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099901939\WLL\production\manning\data\Hyderabad\"/>
    </mc:Choice>
  </mc:AlternateContent>
  <bookViews>
    <workbookView xWindow="0" yWindow="0" windowWidth="19200" windowHeight="6850" tabRatio="682" firstSheet="2" activeTab="6"/>
  </bookViews>
  <sheets>
    <sheet name="BP Value Comparision" sheetId="32" r:id="rId1"/>
    <sheet name="Comparison BP 25-26 Vs 26-27 " sheetId="27" r:id="rId2"/>
    <sheet name="BP_Strucured" sheetId="41" r:id="rId3"/>
    <sheet name="BP_Structured_edit" sheetId="39" r:id="rId4"/>
    <sheet name="Sectionwise Working" sheetId="1" r:id="rId5"/>
    <sheet name="Reqd_MC" sheetId="40" r:id="rId6"/>
    <sheet name="Hyderabad" sheetId="38" r:id="rId7"/>
    <sheet name="Manpower Allocation" sheetId="4" r:id="rId8"/>
    <sheet name="Workmen Category" sheetId="28" r:id="rId9"/>
    <sheet name="PPP Trend overall" sheetId="30" r:id="rId10"/>
    <sheet name="Monthly HC &amp; Prodn Working" sheetId="7" r:id="rId11"/>
    <sheet name="Production 2nd" sheetId="19" state="hidden" r:id="rId12"/>
    <sheet name="Comparision BP old Vs. New" sheetId="15" state="hidden" r:id="rId13"/>
    <sheet name="PPP Trend" sheetId="17" state="hidden" r:id="rId14"/>
    <sheet name="Comp." sheetId="11" state="hidden" r:id="rId15"/>
    <sheet name="Actual MP" sheetId="9" state="hidden" r:id="rId16"/>
    <sheet name="Actual Prod" sheetId="8" state="hidden" r:id="rId17"/>
    <sheet name="Multiply" sheetId="6" r:id="rId18"/>
    <sheet name="Tufting" sheetId="2" state="hidden" r:id="rId19"/>
    <sheet name="CSP" sheetId="12" state="hidden" r:id="rId20"/>
    <sheet name="Tufting (2)" sheetId="20" state="hidden" r:id="rId21"/>
    <sheet name="Cut and Sew" sheetId="3" state="hidden" r:id="rId22"/>
    <sheet name="Sheet4" sheetId="22" state="hidden" r:id="rId23"/>
    <sheet name="BP" sheetId="5" r:id="rId24"/>
    <sheet name="Tufting PPC to BP Sheet conver" sheetId="34" r:id="rId25"/>
    <sheet name="Tufting 2" sheetId="33" r:id="rId26"/>
    <sheet name="CSP Working 1st Draft" sheetId="31" r:id="rId27"/>
    <sheet name="CSP Working 26-27" sheetId="25" r:id="rId28"/>
    <sheet name="CSP Working 26-27 Base Data" sheetId="26" r:id="rId29"/>
    <sheet name="PH Working" sheetId="29" r:id="rId30"/>
    <sheet name="Mandays to PR conversion" sheetId="35" r:id="rId31"/>
    <sheet name="YN01" sheetId="36" r:id="rId32"/>
    <sheet name="T&amp;C01" sheetId="37" r:id="rId33"/>
    <sheet name="Stores" sheetId="13"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s>
  <definedNames>
    <definedName name="\A" localSheetId="12">#REF!</definedName>
    <definedName name="\A" localSheetId="26">#REF!</definedName>
    <definedName name="\A" localSheetId="11">#REF!</definedName>
    <definedName name="\A" localSheetId="20">#REF!</definedName>
    <definedName name="\A">#REF!</definedName>
    <definedName name="\C" localSheetId="12">#REF!</definedName>
    <definedName name="\C" localSheetId="26">#REF!</definedName>
    <definedName name="\C" localSheetId="11">#REF!</definedName>
    <definedName name="\C" localSheetId="20">#REF!</definedName>
    <definedName name="\C">#REF!</definedName>
    <definedName name="\D" localSheetId="12">#REF!</definedName>
    <definedName name="\D" localSheetId="26">#REF!</definedName>
    <definedName name="\D" localSheetId="11">#REF!</definedName>
    <definedName name="\D" localSheetId="20">#REF!</definedName>
    <definedName name="\D">#REF!</definedName>
    <definedName name="\E" localSheetId="12">#REF!</definedName>
    <definedName name="\E" localSheetId="26">#REF!</definedName>
    <definedName name="\E" localSheetId="11">#REF!</definedName>
    <definedName name="\E" localSheetId="20">#REF!</definedName>
    <definedName name="\E">#REF!</definedName>
    <definedName name="\F" localSheetId="12">#REF!</definedName>
    <definedName name="\F" localSheetId="26">#REF!</definedName>
    <definedName name="\F" localSheetId="11">#REF!</definedName>
    <definedName name="\F" localSheetId="20">#REF!</definedName>
    <definedName name="\F">#REF!</definedName>
    <definedName name="\G" localSheetId="12">#REF!</definedName>
    <definedName name="\G" localSheetId="26">#REF!</definedName>
    <definedName name="\G" localSheetId="11">#REF!</definedName>
    <definedName name="\G" localSheetId="20">#REF!</definedName>
    <definedName name="\G">#REF!</definedName>
    <definedName name="\H" localSheetId="12">#REF!</definedName>
    <definedName name="\H" localSheetId="26">#REF!</definedName>
    <definedName name="\H" localSheetId="11">#REF!</definedName>
    <definedName name="\H" localSheetId="20">#REF!</definedName>
    <definedName name="\H">#REF!</definedName>
    <definedName name="\J" localSheetId="12">#REF!</definedName>
    <definedName name="\J" localSheetId="26">#REF!</definedName>
    <definedName name="\J" localSheetId="11">#REF!</definedName>
    <definedName name="\J" localSheetId="20">#REF!</definedName>
    <definedName name="\J">#REF!</definedName>
    <definedName name="\M" localSheetId="12">#REF!</definedName>
    <definedName name="\M" localSheetId="26">#REF!</definedName>
    <definedName name="\M" localSheetId="11">#REF!</definedName>
    <definedName name="\M" localSheetId="20">#REF!</definedName>
    <definedName name="\M">#REF!</definedName>
    <definedName name="\N" localSheetId="12">#REF!</definedName>
    <definedName name="\N" localSheetId="26">#REF!</definedName>
    <definedName name="\N" localSheetId="11">#REF!</definedName>
    <definedName name="\N" localSheetId="20">#REF!</definedName>
    <definedName name="\N">#REF!</definedName>
    <definedName name="\P" localSheetId="12">#REF!</definedName>
    <definedName name="\P" localSheetId="26">#REF!</definedName>
    <definedName name="\P" localSheetId="11">#REF!</definedName>
    <definedName name="\P" localSheetId="20">#REF!</definedName>
    <definedName name="\P">#REF!</definedName>
    <definedName name="\Q" localSheetId="12">#REF!</definedName>
    <definedName name="\Q" localSheetId="26">#REF!</definedName>
    <definedName name="\Q" localSheetId="11">#REF!</definedName>
    <definedName name="\Q" localSheetId="20">#REF!</definedName>
    <definedName name="\Q">#REF!</definedName>
    <definedName name="\R" localSheetId="12">#REF!</definedName>
    <definedName name="\R" localSheetId="26">#REF!</definedName>
    <definedName name="\R" localSheetId="11">#REF!</definedName>
    <definedName name="\R" localSheetId="20">#REF!</definedName>
    <definedName name="\R">#REF!</definedName>
    <definedName name="\S" localSheetId="12">#REF!</definedName>
    <definedName name="\S" localSheetId="26">#REF!</definedName>
    <definedName name="\S" localSheetId="11">#REF!</definedName>
    <definedName name="\S" localSheetId="20">#REF!</definedName>
    <definedName name="\S">#REF!</definedName>
    <definedName name="\T" localSheetId="12">#REF!</definedName>
    <definedName name="\T" localSheetId="26">#REF!</definedName>
    <definedName name="\T" localSheetId="11">#REF!</definedName>
    <definedName name="\T" localSheetId="20">#REF!</definedName>
    <definedName name="\T">#REF!</definedName>
    <definedName name="\V" localSheetId="12">#REF!</definedName>
    <definedName name="\V" localSheetId="26">#REF!</definedName>
    <definedName name="\V" localSheetId="11">#REF!</definedName>
    <definedName name="\V" localSheetId="20">#REF!</definedName>
    <definedName name="\V">#REF!</definedName>
    <definedName name="\X" localSheetId="12">#REF!</definedName>
    <definedName name="\X" localSheetId="26">#REF!</definedName>
    <definedName name="\X" localSheetId="11">#REF!</definedName>
    <definedName name="\X" localSheetId="20">#REF!</definedName>
    <definedName name="\X">#REF!</definedName>
    <definedName name="_________________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k3" localSheetId="12" hidden="1">#REF!</definedName>
    <definedName name="______________k3" localSheetId="11" hidden="1">#REF!</definedName>
    <definedName name="______________k3" localSheetId="20" hidden="1">#REF!</definedName>
    <definedName name="______________k3" hidden="1">#REF!</definedName>
    <definedName name="______________k4" localSheetId="12" hidden="1">#REF!</definedName>
    <definedName name="______________k4" localSheetId="11" hidden="1">#REF!</definedName>
    <definedName name="______________k4" localSheetId="20" hidden="1">#REF!</definedName>
    <definedName name="______________k4" hidden="1">#REF!</definedName>
    <definedName name="_____________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k3" localSheetId="12" hidden="1">#REF!</definedName>
    <definedName name="_____________k3" localSheetId="11" hidden="1">#REF!</definedName>
    <definedName name="_____________k3" localSheetId="20" hidden="1">#REF!</definedName>
    <definedName name="_____________k3" hidden="1">#REF!</definedName>
    <definedName name="_____________k4" localSheetId="12" hidden="1">#REF!</definedName>
    <definedName name="_____________k4" localSheetId="11" hidden="1">#REF!</definedName>
    <definedName name="_____________k4" localSheetId="20" hidden="1">#REF!</definedName>
    <definedName name="_____________k4" hidden="1">#REF!</definedName>
    <definedName name="____________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k3" localSheetId="12" hidden="1">#REF!</definedName>
    <definedName name="____________k3" localSheetId="11" hidden="1">#REF!</definedName>
    <definedName name="____________k3" localSheetId="20" hidden="1">#REF!</definedName>
    <definedName name="____________k3" hidden="1">#REF!</definedName>
    <definedName name="____________k4" localSheetId="12" hidden="1">#REF!</definedName>
    <definedName name="____________k4" localSheetId="11" hidden="1">#REF!</definedName>
    <definedName name="____________k4" localSheetId="20" hidden="1">#REF!</definedName>
    <definedName name="____________k4" hidden="1">#REF!</definedName>
    <definedName name="___________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k3" localSheetId="12" hidden="1">#REF!</definedName>
    <definedName name="___________k3" localSheetId="11" hidden="1">#REF!</definedName>
    <definedName name="___________k3" localSheetId="20" hidden="1">#REF!</definedName>
    <definedName name="___________k3" hidden="1">#REF!</definedName>
    <definedName name="___________k4" localSheetId="12" hidden="1">#REF!</definedName>
    <definedName name="___________k4" localSheetId="11" hidden="1">#REF!</definedName>
    <definedName name="___________k4" localSheetId="20" hidden="1">#REF!</definedName>
    <definedName name="___________k4" hidden="1">#REF!</definedName>
    <definedName name="__________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k3" localSheetId="12" hidden="1">#REF!</definedName>
    <definedName name="__________k3" localSheetId="11" hidden="1">#REF!</definedName>
    <definedName name="__________k3" localSheetId="20" hidden="1">#REF!</definedName>
    <definedName name="__________k3" hidden="1">#REF!</definedName>
    <definedName name="__________k4" localSheetId="12" hidden="1">#REF!</definedName>
    <definedName name="__________k4" localSheetId="11" hidden="1">#REF!</definedName>
    <definedName name="__________k4" localSheetId="20" hidden="1">#REF!</definedName>
    <definedName name="__________k4" hidden="1">#REF!</definedName>
    <definedName name="_________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bg2" localSheetId="12" hidden="1">{#N/A,#N/A,TRUE,"Summary - 1";#N/A,#N/A,TRUE,"Summary - 2";#N/A,#N/A,TRUE,"Group Analysis";#N/A,#N/A,TRUE,"FM Analysis";#N/A,#N/A,TRUE,"T&amp;M-Onsite";#N/A,#N/A,TRUE,"FP-Onsite";#N/A,#N/A,TRUE,"NB-Onsite";#N/A,#N/A,TRUE,"T&amp;M-Offshore";#N/A,#N/A,TRUE,"FP-Offshore";#N/A,#N/A,TRUE,"Appendix-A";#N/A,#N/A,TRUE,"Appendix-B"}</definedName>
    <definedName name="_________bg2" localSheetId="19" hidden="1">{#N/A,#N/A,TRUE,"Summary - 1";#N/A,#N/A,TRUE,"Summary - 2";#N/A,#N/A,TRUE,"Group Analysis";#N/A,#N/A,TRUE,"FM Analysis";#N/A,#N/A,TRUE,"T&amp;M-Onsite";#N/A,#N/A,TRUE,"FP-Onsite";#N/A,#N/A,TRUE,"NB-Onsite";#N/A,#N/A,TRUE,"T&amp;M-Offshore";#N/A,#N/A,TRUE,"FP-Offshore";#N/A,#N/A,TRUE,"Appendix-A";#N/A,#N/A,TRUE,"Appendix-B"}</definedName>
    <definedName name="_________bg2" localSheetId="11" hidden="1">{#N/A,#N/A,TRUE,"Summary - 1";#N/A,#N/A,TRUE,"Summary - 2";#N/A,#N/A,TRUE,"Group Analysis";#N/A,#N/A,TRUE,"FM Analysis";#N/A,#N/A,TRUE,"T&amp;M-Onsite";#N/A,#N/A,TRUE,"FP-Onsite";#N/A,#N/A,TRUE,"NB-Onsite";#N/A,#N/A,TRUE,"T&amp;M-Offshore";#N/A,#N/A,TRUE,"FP-Offshore";#N/A,#N/A,TRUE,"Appendix-A";#N/A,#N/A,TRUE,"Appendix-B"}</definedName>
    <definedName name="_________bg2" localSheetId="32" hidden="1">{#N/A,#N/A,TRUE,"Summary - 1";#N/A,#N/A,TRUE,"Summary - 2";#N/A,#N/A,TRUE,"Group Analysis";#N/A,#N/A,TRUE,"FM Analysis";#N/A,#N/A,TRUE,"T&amp;M-Onsite";#N/A,#N/A,TRUE,"FP-Onsite";#N/A,#N/A,TRUE,"NB-Onsite";#N/A,#N/A,TRUE,"T&amp;M-Offshore";#N/A,#N/A,TRUE,"FP-Offshore";#N/A,#N/A,TRUE,"Appendix-A";#N/A,#N/A,TRUE,"Appendix-B"}</definedName>
    <definedName name="_________bg2" hidden="1">{#N/A,#N/A,TRUE,"Summary - 1";#N/A,#N/A,TRUE,"Summary - 2";#N/A,#N/A,TRUE,"Group Analysis";#N/A,#N/A,TRUE,"FM Analysis";#N/A,#N/A,TRUE,"T&amp;M-Onsite";#N/A,#N/A,TRUE,"FP-Onsite";#N/A,#N/A,TRUE,"NB-Onsite";#N/A,#N/A,TRUE,"T&amp;M-Offshore";#N/A,#N/A,TRUE,"FP-Offshore";#N/A,#N/A,TRUE,"Appendix-A";#N/A,#N/A,TRUE,"Appendix-B"}</definedName>
    <definedName name="_________bg3" localSheetId="12" hidden="1">{#N/A,#N/A,TRUE,"Summary - 1";#N/A,#N/A,TRUE,"Summary - 2";#N/A,#N/A,TRUE,"Group Analysis";#N/A,#N/A,TRUE,"FM Analysis";#N/A,#N/A,TRUE,"T&amp;M-Onsite";#N/A,#N/A,TRUE,"FP-Onsite";#N/A,#N/A,TRUE,"NB-Onsite";#N/A,#N/A,TRUE,"T&amp;M-Offshore";#N/A,#N/A,TRUE,"FP-Offshore";#N/A,#N/A,TRUE,"Appendix-A";#N/A,#N/A,TRUE,"Appendix-B"}</definedName>
    <definedName name="_________bg3" localSheetId="19" hidden="1">{#N/A,#N/A,TRUE,"Summary - 1";#N/A,#N/A,TRUE,"Summary - 2";#N/A,#N/A,TRUE,"Group Analysis";#N/A,#N/A,TRUE,"FM Analysis";#N/A,#N/A,TRUE,"T&amp;M-Onsite";#N/A,#N/A,TRUE,"FP-Onsite";#N/A,#N/A,TRUE,"NB-Onsite";#N/A,#N/A,TRUE,"T&amp;M-Offshore";#N/A,#N/A,TRUE,"FP-Offshore";#N/A,#N/A,TRUE,"Appendix-A";#N/A,#N/A,TRUE,"Appendix-B"}</definedName>
    <definedName name="_________bg3" localSheetId="11" hidden="1">{#N/A,#N/A,TRUE,"Summary - 1";#N/A,#N/A,TRUE,"Summary - 2";#N/A,#N/A,TRUE,"Group Analysis";#N/A,#N/A,TRUE,"FM Analysis";#N/A,#N/A,TRUE,"T&amp;M-Onsite";#N/A,#N/A,TRUE,"FP-Onsite";#N/A,#N/A,TRUE,"NB-Onsite";#N/A,#N/A,TRUE,"T&amp;M-Offshore";#N/A,#N/A,TRUE,"FP-Offshore";#N/A,#N/A,TRUE,"Appendix-A";#N/A,#N/A,TRUE,"Appendix-B"}</definedName>
    <definedName name="_________bg3" localSheetId="32" hidden="1">{#N/A,#N/A,TRUE,"Summary - 1";#N/A,#N/A,TRUE,"Summary - 2";#N/A,#N/A,TRUE,"Group Analysis";#N/A,#N/A,TRUE,"FM Analysis";#N/A,#N/A,TRUE,"T&amp;M-Onsite";#N/A,#N/A,TRUE,"FP-Onsite";#N/A,#N/A,TRUE,"NB-Onsite";#N/A,#N/A,TRUE,"T&amp;M-Offshore";#N/A,#N/A,TRUE,"FP-Offshore";#N/A,#N/A,TRUE,"Appendix-A";#N/A,#N/A,TRUE,"Appendix-B"}</definedName>
    <definedName name="_________bg3" hidden="1">{#N/A,#N/A,TRUE,"Summary - 1";#N/A,#N/A,TRUE,"Summary - 2";#N/A,#N/A,TRUE,"Group Analysis";#N/A,#N/A,TRUE,"FM Analysis";#N/A,#N/A,TRUE,"T&amp;M-Onsite";#N/A,#N/A,TRUE,"FP-Onsite";#N/A,#N/A,TRUE,"NB-Onsite";#N/A,#N/A,TRUE,"T&amp;M-Offshore";#N/A,#N/A,TRUE,"FP-Offshore";#N/A,#N/A,TRUE,"Appendix-A";#N/A,#N/A,TRUE,"Appendix-B"}</definedName>
    <definedName name="_________k3" localSheetId="12" hidden="1">#REF!</definedName>
    <definedName name="_________k3" localSheetId="11" hidden="1">#REF!</definedName>
    <definedName name="_________k3" localSheetId="20" hidden="1">#REF!</definedName>
    <definedName name="_________k3" hidden="1">#REF!</definedName>
    <definedName name="_________k4" localSheetId="12" hidden="1">#REF!</definedName>
    <definedName name="_________k4" localSheetId="11" hidden="1">#REF!</definedName>
    <definedName name="_________k4" localSheetId="20" hidden="1">#REF!</definedName>
    <definedName name="_________k4" hidden="1">#REF!</definedName>
    <definedName name="________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bg2" localSheetId="12" hidden="1">{#N/A,#N/A,TRUE,"Summary - 1";#N/A,#N/A,TRUE,"Summary - 2";#N/A,#N/A,TRUE,"Group Analysis";#N/A,#N/A,TRUE,"FM Analysis";#N/A,#N/A,TRUE,"T&amp;M-Onsite";#N/A,#N/A,TRUE,"FP-Onsite";#N/A,#N/A,TRUE,"NB-Onsite";#N/A,#N/A,TRUE,"T&amp;M-Offshore";#N/A,#N/A,TRUE,"FP-Offshore";#N/A,#N/A,TRUE,"Appendix-A";#N/A,#N/A,TRUE,"Appendix-B"}</definedName>
    <definedName name="________bg2" localSheetId="19" hidden="1">{#N/A,#N/A,TRUE,"Summary - 1";#N/A,#N/A,TRUE,"Summary - 2";#N/A,#N/A,TRUE,"Group Analysis";#N/A,#N/A,TRUE,"FM Analysis";#N/A,#N/A,TRUE,"T&amp;M-Onsite";#N/A,#N/A,TRUE,"FP-Onsite";#N/A,#N/A,TRUE,"NB-Onsite";#N/A,#N/A,TRUE,"T&amp;M-Offshore";#N/A,#N/A,TRUE,"FP-Offshore";#N/A,#N/A,TRUE,"Appendix-A";#N/A,#N/A,TRUE,"Appendix-B"}</definedName>
    <definedName name="________bg2" localSheetId="11" hidden="1">{#N/A,#N/A,TRUE,"Summary - 1";#N/A,#N/A,TRUE,"Summary - 2";#N/A,#N/A,TRUE,"Group Analysis";#N/A,#N/A,TRUE,"FM Analysis";#N/A,#N/A,TRUE,"T&amp;M-Onsite";#N/A,#N/A,TRUE,"FP-Onsite";#N/A,#N/A,TRUE,"NB-Onsite";#N/A,#N/A,TRUE,"T&amp;M-Offshore";#N/A,#N/A,TRUE,"FP-Offshore";#N/A,#N/A,TRUE,"Appendix-A";#N/A,#N/A,TRUE,"Appendix-B"}</definedName>
    <definedName name="________bg2" localSheetId="32" hidden="1">{#N/A,#N/A,TRUE,"Summary - 1";#N/A,#N/A,TRUE,"Summary - 2";#N/A,#N/A,TRUE,"Group Analysis";#N/A,#N/A,TRUE,"FM Analysis";#N/A,#N/A,TRUE,"T&amp;M-Onsite";#N/A,#N/A,TRUE,"FP-Onsite";#N/A,#N/A,TRUE,"NB-Onsite";#N/A,#N/A,TRUE,"T&amp;M-Offshore";#N/A,#N/A,TRUE,"FP-Offshore";#N/A,#N/A,TRUE,"Appendix-A";#N/A,#N/A,TRUE,"Appendix-B"}</definedName>
    <definedName name="________bg2" hidden="1">{#N/A,#N/A,TRUE,"Summary - 1";#N/A,#N/A,TRUE,"Summary - 2";#N/A,#N/A,TRUE,"Group Analysis";#N/A,#N/A,TRUE,"FM Analysis";#N/A,#N/A,TRUE,"T&amp;M-Onsite";#N/A,#N/A,TRUE,"FP-Onsite";#N/A,#N/A,TRUE,"NB-Onsite";#N/A,#N/A,TRUE,"T&amp;M-Offshore";#N/A,#N/A,TRUE,"FP-Offshore";#N/A,#N/A,TRUE,"Appendix-A";#N/A,#N/A,TRUE,"Appendix-B"}</definedName>
    <definedName name="________bg3" localSheetId="12" hidden="1">{#N/A,#N/A,TRUE,"Summary - 1";#N/A,#N/A,TRUE,"Summary - 2";#N/A,#N/A,TRUE,"Group Analysis";#N/A,#N/A,TRUE,"FM Analysis";#N/A,#N/A,TRUE,"T&amp;M-Onsite";#N/A,#N/A,TRUE,"FP-Onsite";#N/A,#N/A,TRUE,"NB-Onsite";#N/A,#N/A,TRUE,"T&amp;M-Offshore";#N/A,#N/A,TRUE,"FP-Offshore";#N/A,#N/A,TRUE,"Appendix-A";#N/A,#N/A,TRUE,"Appendix-B"}</definedName>
    <definedName name="________bg3" localSheetId="19" hidden="1">{#N/A,#N/A,TRUE,"Summary - 1";#N/A,#N/A,TRUE,"Summary - 2";#N/A,#N/A,TRUE,"Group Analysis";#N/A,#N/A,TRUE,"FM Analysis";#N/A,#N/A,TRUE,"T&amp;M-Onsite";#N/A,#N/A,TRUE,"FP-Onsite";#N/A,#N/A,TRUE,"NB-Onsite";#N/A,#N/A,TRUE,"T&amp;M-Offshore";#N/A,#N/A,TRUE,"FP-Offshore";#N/A,#N/A,TRUE,"Appendix-A";#N/A,#N/A,TRUE,"Appendix-B"}</definedName>
    <definedName name="________bg3" localSheetId="11" hidden="1">{#N/A,#N/A,TRUE,"Summary - 1";#N/A,#N/A,TRUE,"Summary - 2";#N/A,#N/A,TRUE,"Group Analysis";#N/A,#N/A,TRUE,"FM Analysis";#N/A,#N/A,TRUE,"T&amp;M-Onsite";#N/A,#N/A,TRUE,"FP-Onsite";#N/A,#N/A,TRUE,"NB-Onsite";#N/A,#N/A,TRUE,"T&amp;M-Offshore";#N/A,#N/A,TRUE,"FP-Offshore";#N/A,#N/A,TRUE,"Appendix-A";#N/A,#N/A,TRUE,"Appendix-B"}</definedName>
    <definedName name="________bg3" localSheetId="32" hidden="1">{#N/A,#N/A,TRUE,"Summary - 1";#N/A,#N/A,TRUE,"Summary - 2";#N/A,#N/A,TRUE,"Group Analysis";#N/A,#N/A,TRUE,"FM Analysis";#N/A,#N/A,TRUE,"T&amp;M-Onsite";#N/A,#N/A,TRUE,"FP-Onsite";#N/A,#N/A,TRUE,"NB-Onsite";#N/A,#N/A,TRUE,"T&amp;M-Offshore";#N/A,#N/A,TRUE,"FP-Offshore";#N/A,#N/A,TRUE,"Appendix-A";#N/A,#N/A,TRUE,"Appendix-B"}</definedName>
    <definedName name="________bg3" hidden="1">{#N/A,#N/A,TRUE,"Summary - 1";#N/A,#N/A,TRUE,"Summary - 2";#N/A,#N/A,TRUE,"Group Analysis";#N/A,#N/A,TRUE,"FM Analysis";#N/A,#N/A,TRUE,"T&amp;M-Onsite";#N/A,#N/A,TRUE,"FP-Onsite";#N/A,#N/A,TRUE,"NB-Onsite";#N/A,#N/A,TRUE,"T&amp;M-Offshore";#N/A,#N/A,TRUE,"FP-Offshore";#N/A,#N/A,TRUE,"Appendix-A";#N/A,#N/A,TRUE,"Appendix-B"}</definedName>
    <definedName name="________k3" localSheetId="12" hidden="1">#REF!</definedName>
    <definedName name="________k3" localSheetId="11" hidden="1">#REF!</definedName>
    <definedName name="________k3" localSheetId="20" hidden="1">#REF!</definedName>
    <definedName name="________k3" hidden="1">#REF!</definedName>
    <definedName name="________k4" localSheetId="12" hidden="1">#REF!</definedName>
    <definedName name="________k4" localSheetId="11" hidden="1">#REF!</definedName>
    <definedName name="________k4" localSheetId="20" hidden="1">#REF!</definedName>
    <definedName name="________k4" hidden="1">#REF!</definedName>
    <definedName name="_______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bg2" localSheetId="12" hidden="1">{#N/A,#N/A,TRUE,"Summary - 1";#N/A,#N/A,TRUE,"Summary - 2";#N/A,#N/A,TRUE,"Group Analysis";#N/A,#N/A,TRUE,"FM Analysis";#N/A,#N/A,TRUE,"T&amp;M-Onsite";#N/A,#N/A,TRUE,"FP-Onsite";#N/A,#N/A,TRUE,"NB-Onsite";#N/A,#N/A,TRUE,"T&amp;M-Offshore";#N/A,#N/A,TRUE,"FP-Offshore";#N/A,#N/A,TRUE,"Appendix-A";#N/A,#N/A,TRUE,"Appendix-B"}</definedName>
    <definedName name="_______bg2" localSheetId="19" hidden="1">{#N/A,#N/A,TRUE,"Summary - 1";#N/A,#N/A,TRUE,"Summary - 2";#N/A,#N/A,TRUE,"Group Analysis";#N/A,#N/A,TRUE,"FM Analysis";#N/A,#N/A,TRUE,"T&amp;M-Onsite";#N/A,#N/A,TRUE,"FP-Onsite";#N/A,#N/A,TRUE,"NB-Onsite";#N/A,#N/A,TRUE,"T&amp;M-Offshore";#N/A,#N/A,TRUE,"FP-Offshore";#N/A,#N/A,TRUE,"Appendix-A";#N/A,#N/A,TRUE,"Appendix-B"}</definedName>
    <definedName name="_______bg2" localSheetId="11" hidden="1">{#N/A,#N/A,TRUE,"Summary - 1";#N/A,#N/A,TRUE,"Summary - 2";#N/A,#N/A,TRUE,"Group Analysis";#N/A,#N/A,TRUE,"FM Analysis";#N/A,#N/A,TRUE,"T&amp;M-Onsite";#N/A,#N/A,TRUE,"FP-Onsite";#N/A,#N/A,TRUE,"NB-Onsite";#N/A,#N/A,TRUE,"T&amp;M-Offshore";#N/A,#N/A,TRUE,"FP-Offshore";#N/A,#N/A,TRUE,"Appendix-A";#N/A,#N/A,TRUE,"Appendix-B"}</definedName>
    <definedName name="_______bg2" localSheetId="32" hidden="1">{#N/A,#N/A,TRUE,"Summary - 1";#N/A,#N/A,TRUE,"Summary - 2";#N/A,#N/A,TRUE,"Group Analysis";#N/A,#N/A,TRUE,"FM Analysis";#N/A,#N/A,TRUE,"T&amp;M-Onsite";#N/A,#N/A,TRUE,"FP-Onsite";#N/A,#N/A,TRUE,"NB-Onsite";#N/A,#N/A,TRUE,"T&amp;M-Offshore";#N/A,#N/A,TRUE,"FP-Offshore";#N/A,#N/A,TRUE,"Appendix-A";#N/A,#N/A,TRUE,"Appendix-B"}</definedName>
    <definedName name="_______bg2" hidden="1">{#N/A,#N/A,TRUE,"Summary - 1";#N/A,#N/A,TRUE,"Summary - 2";#N/A,#N/A,TRUE,"Group Analysis";#N/A,#N/A,TRUE,"FM Analysis";#N/A,#N/A,TRUE,"T&amp;M-Onsite";#N/A,#N/A,TRUE,"FP-Onsite";#N/A,#N/A,TRUE,"NB-Onsite";#N/A,#N/A,TRUE,"T&amp;M-Offshore";#N/A,#N/A,TRUE,"FP-Offshore";#N/A,#N/A,TRUE,"Appendix-A";#N/A,#N/A,TRUE,"Appendix-B"}</definedName>
    <definedName name="_______bg3" localSheetId="12" hidden="1">{#N/A,#N/A,TRUE,"Summary - 1";#N/A,#N/A,TRUE,"Summary - 2";#N/A,#N/A,TRUE,"Group Analysis";#N/A,#N/A,TRUE,"FM Analysis";#N/A,#N/A,TRUE,"T&amp;M-Onsite";#N/A,#N/A,TRUE,"FP-Onsite";#N/A,#N/A,TRUE,"NB-Onsite";#N/A,#N/A,TRUE,"T&amp;M-Offshore";#N/A,#N/A,TRUE,"FP-Offshore";#N/A,#N/A,TRUE,"Appendix-A";#N/A,#N/A,TRUE,"Appendix-B"}</definedName>
    <definedName name="_______bg3" localSheetId="19" hidden="1">{#N/A,#N/A,TRUE,"Summary - 1";#N/A,#N/A,TRUE,"Summary - 2";#N/A,#N/A,TRUE,"Group Analysis";#N/A,#N/A,TRUE,"FM Analysis";#N/A,#N/A,TRUE,"T&amp;M-Onsite";#N/A,#N/A,TRUE,"FP-Onsite";#N/A,#N/A,TRUE,"NB-Onsite";#N/A,#N/A,TRUE,"T&amp;M-Offshore";#N/A,#N/A,TRUE,"FP-Offshore";#N/A,#N/A,TRUE,"Appendix-A";#N/A,#N/A,TRUE,"Appendix-B"}</definedName>
    <definedName name="_______bg3" localSheetId="11" hidden="1">{#N/A,#N/A,TRUE,"Summary - 1";#N/A,#N/A,TRUE,"Summary - 2";#N/A,#N/A,TRUE,"Group Analysis";#N/A,#N/A,TRUE,"FM Analysis";#N/A,#N/A,TRUE,"T&amp;M-Onsite";#N/A,#N/A,TRUE,"FP-Onsite";#N/A,#N/A,TRUE,"NB-Onsite";#N/A,#N/A,TRUE,"T&amp;M-Offshore";#N/A,#N/A,TRUE,"FP-Offshore";#N/A,#N/A,TRUE,"Appendix-A";#N/A,#N/A,TRUE,"Appendix-B"}</definedName>
    <definedName name="_______bg3" localSheetId="32" hidden="1">{#N/A,#N/A,TRUE,"Summary - 1";#N/A,#N/A,TRUE,"Summary - 2";#N/A,#N/A,TRUE,"Group Analysis";#N/A,#N/A,TRUE,"FM Analysis";#N/A,#N/A,TRUE,"T&amp;M-Onsite";#N/A,#N/A,TRUE,"FP-Onsite";#N/A,#N/A,TRUE,"NB-Onsite";#N/A,#N/A,TRUE,"T&amp;M-Offshore";#N/A,#N/A,TRUE,"FP-Offshore";#N/A,#N/A,TRUE,"Appendix-A";#N/A,#N/A,TRUE,"Appendix-B"}</definedName>
    <definedName name="_______bg3" hidden="1">{#N/A,#N/A,TRUE,"Summary - 1";#N/A,#N/A,TRUE,"Summary - 2";#N/A,#N/A,TRUE,"Group Analysis";#N/A,#N/A,TRUE,"FM Analysis";#N/A,#N/A,TRUE,"T&amp;M-Onsite";#N/A,#N/A,TRUE,"FP-Onsite";#N/A,#N/A,TRUE,"NB-Onsite";#N/A,#N/A,TRUE,"T&amp;M-Offshore";#N/A,#N/A,TRUE,"FP-Offshore";#N/A,#N/A,TRUE,"Appendix-A";#N/A,#N/A,TRUE,"Appendix-B"}</definedName>
    <definedName name="_______k3" localSheetId="12" hidden="1">#REF!</definedName>
    <definedName name="_______k3" localSheetId="11" hidden="1">#REF!</definedName>
    <definedName name="_______k3" localSheetId="20" hidden="1">#REF!</definedName>
    <definedName name="_______k3" hidden="1">#REF!</definedName>
    <definedName name="_______k4" localSheetId="12" hidden="1">#REF!</definedName>
    <definedName name="_______k4" localSheetId="11" hidden="1">#REF!</definedName>
    <definedName name="_______k4" localSheetId="20" hidden="1">#REF!</definedName>
    <definedName name="_______k4" hidden="1">#REF!</definedName>
    <definedName name="______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bg2" localSheetId="12" hidden="1">{#N/A,#N/A,TRUE,"Summary - 1";#N/A,#N/A,TRUE,"Summary - 2";#N/A,#N/A,TRUE,"Group Analysis";#N/A,#N/A,TRUE,"FM Analysis";#N/A,#N/A,TRUE,"T&amp;M-Onsite";#N/A,#N/A,TRUE,"FP-Onsite";#N/A,#N/A,TRUE,"NB-Onsite";#N/A,#N/A,TRUE,"T&amp;M-Offshore";#N/A,#N/A,TRUE,"FP-Offshore";#N/A,#N/A,TRUE,"Appendix-A";#N/A,#N/A,TRUE,"Appendix-B"}</definedName>
    <definedName name="______bg2" localSheetId="19" hidden="1">{#N/A,#N/A,TRUE,"Summary - 1";#N/A,#N/A,TRUE,"Summary - 2";#N/A,#N/A,TRUE,"Group Analysis";#N/A,#N/A,TRUE,"FM Analysis";#N/A,#N/A,TRUE,"T&amp;M-Onsite";#N/A,#N/A,TRUE,"FP-Onsite";#N/A,#N/A,TRUE,"NB-Onsite";#N/A,#N/A,TRUE,"T&amp;M-Offshore";#N/A,#N/A,TRUE,"FP-Offshore";#N/A,#N/A,TRUE,"Appendix-A";#N/A,#N/A,TRUE,"Appendix-B"}</definedName>
    <definedName name="______bg2" localSheetId="11" hidden="1">{#N/A,#N/A,TRUE,"Summary - 1";#N/A,#N/A,TRUE,"Summary - 2";#N/A,#N/A,TRUE,"Group Analysis";#N/A,#N/A,TRUE,"FM Analysis";#N/A,#N/A,TRUE,"T&amp;M-Onsite";#N/A,#N/A,TRUE,"FP-Onsite";#N/A,#N/A,TRUE,"NB-Onsite";#N/A,#N/A,TRUE,"T&amp;M-Offshore";#N/A,#N/A,TRUE,"FP-Offshore";#N/A,#N/A,TRUE,"Appendix-A";#N/A,#N/A,TRUE,"Appendix-B"}</definedName>
    <definedName name="______bg2" localSheetId="32" hidden="1">{#N/A,#N/A,TRUE,"Summary - 1";#N/A,#N/A,TRUE,"Summary - 2";#N/A,#N/A,TRUE,"Group Analysis";#N/A,#N/A,TRUE,"FM Analysis";#N/A,#N/A,TRUE,"T&amp;M-Onsite";#N/A,#N/A,TRUE,"FP-Onsite";#N/A,#N/A,TRUE,"NB-Onsite";#N/A,#N/A,TRUE,"T&amp;M-Offshore";#N/A,#N/A,TRUE,"FP-Offshore";#N/A,#N/A,TRUE,"Appendix-A";#N/A,#N/A,TRUE,"Appendix-B"}</definedName>
    <definedName name="______bg2" hidden="1">{#N/A,#N/A,TRUE,"Summary - 1";#N/A,#N/A,TRUE,"Summary - 2";#N/A,#N/A,TRUE,"Group Analysis";#N/A,#N/A,TRUE,"FM Analysis";#N/A,#N/A,TRUE,"T&amp;M-Onsite";#N/A,#N/A,TRUE,"FP-Onsite";#N/A,#N/A,TRUE,"NB-Onsite";#N/A,#N/A,TRUE,"T&amp;M-Offshore";#N/A,#N/A,TRUE,"FP-Offshore";#N/A,#N/A,TRUE,"Appendix-A";#N/A,#N/A,TRUE,"Appendix-B"}</definedName>
    <definedName name="______bg3" localSheetId="12" hidden="1">{#N/A,#N/A,TRUE,"Summary - 1";#N/A,#N/A,TRUE,"Summary - 2";#N/A,#N/A,TRUE,"Group Analysis";#N/A,#N/A,TRUE,"FM Analysis";#N/A,#N/A,TRUE,"T&amp;M-Onsite";#N/A,#N/A,TRUE,"FP-Onsite";#N/A,#N/A,TRUE,"NB-Onsite";#N/A,#N/A,TRUE,"T&amp;M-Offshore";#N/A,#N/A,TRUE,"FP-Offshore";#N/A,#N/A,TRUE,"Appendix-A";#N/A,#N/A,TRUE,"Appendix-B"}</definedName>
    <definedName name="______bg3" localSheetId="19" hidden="1">{#N/A,#N/A,TRUE,"Summary - 1";#N/A,#N/A,TRUE,"Summary - 2";#N/A,#N/A,TRUE,"Group Analysis";#N/A,#N/A,TRUE,"FM Analysis";#N/A,#N/A,TRUE,"T&amp;M-Onsite";#N/A,#N/A,TRUE,"FP-Onsite";#N/A,#N/A,TRUE,"NB-Onsite";#N/A,#N/A,TRUE,"T&amp;M-Offshore";#N/A,#N/A,TRUE,"FP-Offshore";#N/A,#N/A,TRUE,"Appendix-A";#N/A,#N/A,TRUE,"Appendix-B"}</definedName>
    <definedName name="______bg3" localSheetId="11" hidden="1">{#N/A,#N/A,TRUE,"Summary - 1";#N/A,#N/A,TRUE,"Summary - 2";#N/A,#N/A,TRUE,"Group Analysis";#N/A,#N/A,TRUE,"FM Analysis";#N/A,#N/A,TRUE,"T&amp;M-Onsite";#N/A,#N/A,TRUE,"FP-Onsite";#N/A,#N/A,TRUE,"NB-Onsite";#N/A,#N/A,TRUE,"T&amp;M-Offshore";#N/A,#N/A,TRUE,"FP-Offshore";#N/A,#N/A,TRUE,"Appendix-A";#N/A,#N/A,TRUE,"Appendix-B"}</definedName>
    <definedName name="______bg3" localSheetId="32" hidden="1">{#N/A,#N/A,TRUE,"Summary - 1";#N/A,#N/A,TRUE,"Summary - 2";#N/A,#N/A,TRUE,"Group Analysis";#N/A,#N/A,TRUE,"FM Analysis";#N/A,#N/A,TRUE,"T&amp;M-Onsite";#N/A,#N/A,TRUE,"FP-Onsite";#N/A,#N/A,TRUE,"NB-Onsite";#N/A,#N/A,TRUE,"T&amp;M-Offshore";#N/A,#N/A,TRUE,"FP-Offshore";#N/A,#N/A,TRUE,"Appendix-A";#N/A,#N/A,TRUE,"Appendix-B"}</definedName>
    <definedName name="______bg3" hidden="1">{#N/A,#N/A,TRUE,"Summary - 1";#N/A,#N/A,TRUE,"Summary - 2";#N/A,#N/A,TRUE,"Group Analysis";#N/A,#N/A,TRUE,"FM Analysis";#N/A,#N/A,TRUE,"T&amp;M-Onsite";#N/A,#N/A,TRUE,"FP-Onsite";#N/A,#N/A,TRUE,"NB-Onsite";#N/A,#N/A,TRUE,"T&amp;M-Offshore";#N/A,#N/A,TRUE,"FP-Offshore";#N/A,#N/A,TRUE,"Appendix-A";#N/A,#N/A,TRUE,"Appendix-B"}</definedName>
    <definedName name="______k3" localSheetId="12" hidden="1">#REF!</definedName>
    <definedName name="______k3" localSheetId="11" hidden="1">#REF!</definedName>
    <definedName name="______k3" localSheetId="20" hidden="1">#REF!</definedName>
    <definedName name="______k3" hidden="1">#REF!</definedName>
    <definedName name="______k4" localSheetId="12" hidden="1">#REF!</definedName>
    <definedName name="______k4" localSheetId="11" hidden="1">#REF!</definedName>
    <definedName name="______k4" localSheetId="20" hidden="1">#REF!</definedName>
    <definedName name="______k4" hidden="1">#REF!</definedName>
    <definedName name="_____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bg2" localSheetId="12" hidden="1">{#N/A,#N/A,TRUE,"Summary - 1";#N/A,#N/A,TRUE,"Summary - 2";#N/A,#N/A,TRUE,"Group Analysis";#N/A,#N/A,TRUE,"FM Analysis";#N/A,#N/A,TRUE,"T&amp;M-Onsite";#N/A,#N/A,TRUE,"FP-Onsite";#N/A,#N/A,TRUE,"NB-Onsite";#N/A,#N/A,TRUE,"T&amp;M-Offshore";#N/A,#N/A,TRUE,"FP-Offshore";#N/A,#N/A,TRUE,"Appendix-A";#N/A,#N/A,TRUE,"Appendix-B"}</definedName>
    <definedName name="_____bg2" localSheetId="19" hidden="1">{#N/A,#N/A,TRUE,"Summary - 1";#N/A,#N/A,TRUE,"Summary - 2";#N/A,#N/A,TRUE,"Group Analysis";#N/A,#N/A,TRUE,"FM Analysis";#N/A,#N/A,TRUE,"T&amp;M-Onsite";#N/A,#N/A,TRUE,"FP-Onsite";#N/A,#N/A,TRUE,"NB-Onsite";#N/A,#N/A,TRUE,"T&amp;M-Offshore";#N/A,#N/A,TRUE,"FP-Offshore";#N/A,#N/A,TRUE,"Appendix-A";#N/A,#N/A,TRUE,"Appendix-B"}</definedName>
    <definedName name="_____bg2" localSheetId="11" hidden="1">{#N/A,#N/A,TRUE,"Summary - 1";#N/A,#N/A,TRUE,"Summary - 2";#N/A,#N/A,TRUE,"Group Analysis";#N/A,#N/A,TRUE,"FM Analysis";#N/A,#N/A,TRUE,"T&amp;M-Onsite";#N/A,#N/A,TRUE,"FP-Onsite";#N/A,#N/A,TRUE,"NB-Onsite";#N/A,#N/A,TRUE,"T&amp;M-Offshore";#N/A,#N/A,TRUE,"FP-Offshore";#N/A,#N/A,TRUE,"Appendix-A";#N/A,#N/A,TRUE,"Appendix-B"}</definedName>
    <definedName name="_____bg2" localSheetId="32" hidden="1">{#N/A,#N/A,TRUE,"Summary - 1";#N/A,#N/A,TRUE,"Summary - 2";#N/A,#N/A,TRUE,"Group Analysis";#N/A,#N/A,TRUE,"FM Analysis";#N/A,#N/A,TRUE,"T&amp;M-Onsite";#N/A,#N/A,TRUE,"FP-Onsite";#N/A,#N/A,TRUE,"NB-Onsite";#N/A,#N/A,TRUE,"T&amp;M-Offshore";#N/A,#N/A,TRUE,"FP-Offshore";#N/A,#N/A,TRUE,"Appendix-A";#N/A,#N/A,TRUE,"Appendix-B"}</definedName>
    <definedName name="_____bg2" hidden="1">{#N/A,#N/A,TRUE,"Summary - 1";#N/A,#N/A,TRUE,"Summary - 2";#N/A,#N/A,TRUE,"Group Analysis";#N/A,#N/A,TRUE,"FM Analysis";#N/A,#N/A,TRUE,"T&amp;M-Onsite";#N/A,#N/A,TRUE,"FP-Onsite";#N/A,#N/A,TRUE,"NB-Onsite";#N/A,#N/A,TRUE,"T&amp;M-Offshore";#N/A,#N/A,TRUE,"FP-Offshore";#N/A,#N/A,TRUE,"Appendix-A";#N/A,#N/A,TRUE,"Appendix-B"}</definedName>
    <definedName name="_____bg3" localSheetId="12" hidden="1">{#N/A,#N/A,TRUE,"Summary - 1";#N/A,#N/A,TRUE,"Summary - 2";#N/A,#N/A,TRUE,"Group Analysis";#N/A,#N/A,TRUE,"FM Analysis";#N/A,#N/A,TRUE,"T&amp;M-Onsite";#N/A,#N/A,TRUE,"FP-Onsite";#N/A,#N/A,TRUE,"NB-Onsite";#N/A,#N/A,TRUE,"T&amp;M-Offshore";#N/A,#N/A,TRUE,"FP-Offshore";#N/A,#N/A,TRUE,"Appendix-A";#N/A,#N/A,TRUE,"Appendix-B"}</definedName>
    <definedName name="_____bg3" localSheetId="19" hidden="1">{#N/A,#N/A,TRUE,"Summary - 1";#N/A,#N/A,TRUE,"Summary - 2";#N/A,#N/A,TRUE,"Group Analysis";#N/A,#N/A,TRUE,"FM Analysis";#N/A,#N/A,TRUE,"T&amp;M-Onsite";#N/A,#N/A,TRUE,"FP-Onsite";#N/A,#N/A,TRUE,"NB-Onsite";#N/A,#N/A,TRUE,"T&amp;M-Offshore";#N/A,#N/A,TRUE,"FP-Offshore";#N/A,#N/A,TRUE,"Appendix-A";#N/A,#N/A,TRUE,"Appendix-B"}</definedName>
    <definedName name="_____bg3" localSheetId="11" hidden="1">{#N/A,#N/A,TRUE,"Summary - 1";#N/A,#N/A,TRUE,"Summary - 2";#N/A,#N/A,TRUE,"Group Analysis";#N/A,#N/A,TRUE,"FM Analysis";#N/A,#N/A,TRUE,"T&amp;M-Onsite";#N/A,#N/A,TRUE,"FP-Onsite";#N/A,#N/A,TRUE,"NB-Onsite";#N/A,#N/A,TRUE,"T&amp;M-Offshore";#N/A,#N/A,TRUE,"FP-Offshore";#N/A,#N/A,TRUE,"Appendix-A";#N/A,#N/A,TRUE,"Appendix-B"}</definedName>
    <definedName name="_____bg3" localSheetId="32" hidden="1">{#N/A,#N/A,TRUE,"Summary - 1";#N/A,#N/A,TRUE,"Summary - 2";#N/A,#N/A,TRUE,"Group Analysis";#N/A,#N/A,TRUE,"FM Analysis";#N/A,#N/A,TRUE,"T&amp;M-Onsite";#N/A,#N/A,TRUE,"FP-Onsite";#N/A,#N/A,TRUE,"NB-Onsite";#N/A,#N/A,TRUE,"T&amp;M-Offshore";#N/A,#N/A,TRUE,"FP-Offshore";#N/A,#N/A,TRUE,"Appendix-A";#N/A,#N/A,TRUE,"Appendix-B"}</definedName>
    <definedName name="_____bg3" hidden="1">{#N/A,#N/A,TRUE,"Summary - 1";#N/A,#N/A,TRUE,"Summary - 2";#N/A,#N/A,TRUE,"Group Analysis";#N/A,#N/A,TRUE,"FM Analysis";#N/A,#N/A,TRUE,"T&amp;M-Onsite";#N/A,#N/A,TRUE,"FP-Onsite";#N/A,#N/A,TRUE,"NB-Onsite";#N/A,#N/A,TRUE,"T&amp;M-Offshore";#N/A,#N/A,TRUE,"FP-Offshore";#N/A,#N/A,TRUE,"Appendix-A";#N/A,#N/A,TRUE,"Appendix-B"}</definedName>
    <definedName name="_____k3" localSheetId="12" hidden="1">#REF!</definedName>
    <definedName name="_____k3" localSheetId="11" hidden="1">#REF!</definedName>
    <definedName name="_____k3" localSheetId="20" hidden="1">#REF!</definedName>
    <definedName name="_____k3" hidden="1">#REF!</definedName>
    <definedName name="_____k4" localSheetId="12" hidden="1">#REF!</definedName>
    <definedName name="_____k4" localSheetId="11" hidden="1">#REF!</definedName>
    <definedName name="_____k4" localSheetId="20" hidden="1">#REF!</definedName>
    <definedName name="_____k4" hidden="1">#REF!</definedName>
    <definedName name="____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as111" localSheetId="12" hidden="1">#REF!</definedName>
    <definedName name="____as111" localSheetId="11" hidden="1">#REF!</definedName>
    <definedName name="____as111" localSheetId="20" hidden="1">#REF!</definedName>
    <definedName name="____as111" hidden="1">#REF!</definedName>
    <definedName name="____bg2" localSheetId="12" hidden="1">{#N/A,#N/A,TRUE,"Summary - 1";#N/A,#N/A,TRUE,"Summary - 2";#N/A,#N/A,TRUE,"Group Analysis";#N/A,#N/A,TRUE,"FM Analysis";#N/A,#N/A,TRUE,"T&amp;M-Onsite";#N/A,#N/A,TRUE,"FP-Onsite";#N/A,#N/A,TRUE,"NB-Onsite";#N/A,#N/A,TRUE,"T&amp;M-Offshore";#N/A,#N/A,TRUE,"FP-Offshore";#N/A,#N/A,TRUE,"Appendix-A";#N/A,#N/A,TRUE,"Appendix-B"}</definedName>
    <definedName name="____bg2" localSheetId="19" hidden="1">{#N/A,#N/A,TRUE,"Summary - 1";#N/A,#N/A,TRUE,"Summary - 2";#N/A,#N/A,TRUE,"Group Analysis";#N/A,#N/A,TRUE,"FM Analysis";#N/A,#N/A,TRUE,"T&amp;M-Onsite";#N/A,#N/A,TRUE,"FP-Onsite";#N/A,#N/A,TRUE,"NB-Onsite";#N/A,#N/A,TRUE,"T&amp;M-Offshore";#N/A,#N/A,TRUE,"FP-Offshore";#N/A,#N/A,TRUE,"Appendix-A";#N/A,#N/A,TRUE,"Appendix-B"}</definedName>
    <definedName name="____bg2" localSheetId="11" hidden="1">{#N/A,#N/A,TRUE,"Summary - 1";#N/A,#N/A,TRUE,"Summary - 2";#N/A,#N/A,TRUE,"Group Analysis";#N/A,#N/A,TRUE,"FM Analysis";#N/A,#N/A,TRUE,"T&amp;M-Onsite";#N/A,#N/A,TRUE,"FP-Onsite";#N/A,#N/A,TRUE,"NB-Onsite";#N/A,#N/A,TRUE,"T&amp;M-Offshore";#N/A,#N/A,TRUE,"FP-Offshore";#N/A,#N/A,TRUE,"Appendix-A";#N/A,#N/A,TRUE,"Appendix-B"}</definedName>
    <definedName name="____bg2" localSheetId="32" hidden="1">{#N/A,#N/A,TRUE,"Summary - 1";#N/A,#N/A,TRUE,"Summary - 2";#N/A,#N/A,TRUE,"Group Analysis";#N/A,#N/A,TRUE,"FM Analysis";#N/A,#N/A,TRUE,"T&amp;M-Onsite";#N/A,#N/A,TRUE,"FP-Onsite";#N/A,#N/A,TRUE,"NB-Onsite";#N/A,#N/A,TRUE,"T&amp;M-Offshore";#N/A,#N/A,TRUE,"FP-Offshore";#N/A,#N/A,TRUE,"Appendix-A";#N/A,#N/A,TRUE,"Appendix-B"}</definedName>
    <definedName name="____bg2" hidden="1">{#N/A,#N/A,TRUE,"Summary - 1";#N/A,#N/A,TRUE,"Summary - 2";#N/A,#N/A,TRUE,"Group Analysis";#N/A,#N/A,TRUE,"FM Analysis";#N/A,#N/A,TRUE,"T&amp;M-Onsite";#N/A,#N/A,TRUE,"FP-Onsite";#N/A,#N/A,TRUE,"NB-Onsite";#N/A,#N/A,TRUE,"T&amp;M-Offshore";#N/A,#N/A,TRUE,"FP-Offshore";#N/A,#N/A,TRUE,"Appendix-A";#N/A,#N/A,TRUE,"Appendix-B"}</definedName>
    <definedName name="____bg3" localSheetId="12" hidden="1">{#N/A,#N/A,TRUE,"Summary - 1";#N/A,#N/A,TRUE,"Summary - 2";#N/A,#N/A,TRUE,"Group Analysis";#N/A,#N/A,TRUE,"FM Analysis";#N/A,#N/A,TRUE,"T&amp;M-Onsite";#N/A,#N/A,TRUE,"FP-Onsite";#N/A,#N/A,TRUE,"NB-Onsite";#N/A,#N/A,TRUE,"T&amp;M-Offshore";#N/A,#N/A,TRUE,"FP-Offshore";#N/A,#N/A,TRUE,"Appendix-A";#N/A,#N/A,TRUE,"Appendix-B"}</definedName>
    <definedName name="____bg3" localSheetId="19" hidden="1">{#N/A,#N/A,TRUE,"Summary - 1";#N/A,#N/A,TRUE,"Summary - 2";#N/A,#N/A,TRUE,"Group Analysis";#N/A,#N/A,TRUE,"FM Analysis";#N/A,#N/A,TRUE,"T&amp;M-Onsite";#N/A,#N/A,TRUE,"FP-Onsite";#N/A,#N/A,TRUE,"NB-Onsite";#N/A,#N/A,TRUE,"T&amp;M-Offshore";#N/A,#N/A,TRUE,"FP-Offshore";#N/A,#N/A,TRUE,"Appendix-A";#N/A,#N/A,TRUE,"Appendix-B"}</definedName>
    <definedName name="____bg3" localSheetId="11" hidden="1">{#N/A,#N/A,TRUE,"Summary - 1";#N/A,#N/A,TRUE,"Summary - 2";#N/A,#N/A,TRUE,"Group Analysis";#N/A,#N/A,TRUE,"FM Analysis";#N/A,#N/A,TRUE,"T&amp;M-Onsite";#N/A,#N/A,TRUE,"FP-Onsite";#N/A,#N/A,TRUE,"NB-Onsite";#N/A,#N/A,TRUE,"T&amp;M-Offshore";#N/A,#N/A,TRUE,"FP-Offshore";#N/A,#N/A,TRUE,"Appendix-A";#N/A,#N/A,TRUE,"Appendix-B"}</definedName>
    <definedName name="____bg3" localSheetId="32" hidden="1">{#N/A,#N/A,TRUE,"Summary - 1";#N/A,#N/A,TRUE,"Summary - 2";#N/A,#N/A,TRUE,"Group Analysis";#N/A,#N/A,TRUE,"FM Analysis";#N/A,#N/A,TRUE,"T&amp;M-Onsite";#N/A,#N/A,TRUE,"FP-Onsite";#N/A,#N/A,TRUE,"NB-Onsite";#N/A,#N/A,TRUE,"T&amp;M-Offshore";#N/A,#N/A,TRUE,"FP-Offshore";#N/A,#N/A,TRUE,"Appendix-A";#N/A,#N/A,TRUE,"Appendix-B"}</definedName>
    <definedName name="____bg3" hidden="1">{#N/A,#N/A,TRUE,"Summary - 1";#N/A,#N/A,TRUE,"Summary - 2";#N/A,#N/A,TRUE,"Group Analysis";#N/A,#N/A,TRUE,"FM Analysis";#N/A,#N/A,TRUE,"T&amp;M-Onsite";#N/A,#N/A,TRUE,"FP-Onsite";#N/A,#N/A,TRUE,"NB-Onsite";#N/A,#N/A,TRUE,"T&amp;M-Offshore";#N/A,#N/A,TRUE,"FP-Offshore";#N/A,#N/A,TRUE,"Appendix-A";#N/A,#N/A,TRUE,"Appendix-B"}</definedName>
    <definedName name="____k2222" localSheetId="12" hidden="1">#REF!</definedName>
    <definedName name="____k2222" localSheetId="11" hidden="1">#REF!</definedName>
    <definedName name="____k2222" localSheetId="20" hidden="1">#REF!</definedName>
    <definedName name="____k2222" hidden="1">#REF!</definedName>
    <definedName name="____k3" localSheetId="12" hidden="1">#REF!</definedName>
    <definedName name="____k3" localSheetId="11" hidden="1">#REF!</definedName>
    <definedName name="____k3" localSheetId="20" hidden="1">#REF!</definedName>
    <definedName name="____k3" hidden="1">#REF!</definedName>
    <definedName name="____k4" localSheetId="12" hidden="1">#REF!</definedName>
    <definedName name="____k4" localSheetId="11" hidden="1">#REF!</definedName>
    <definedName name="____k4" localSheetId="20" hidden="1">#REF!</definedName>
    <definedName name="____k4" hidden="1">#REF!</definedName>
    <definedName name="___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_xt1222" localSheetId="12" hidden="1">[1]fixexp_analysis!#REF!</definedName>
    <definedName name="____xt1222" localSheetId="11" hidden="1">[1]fixexp_analysis!#REF!</definedName>
    <definedName name="____xt1222" localSheetId="20" hidden="1">[1]fixexp_analysis!#REF!</definedName>
    <definedName name="____xt1222" hidden="1">[1]fixexp_analysis!#REF!</definedName>
    <definedName name="___10__123Graph_AChart_4" hidden="1">[2]Model!$B$469:$B$475</definedName>
    <definedName name="___11__123Graph_BChart_3" hidden="1">[2]Model!$C$483:$C$489</definedName>
    <definedName name="___12__123Graph_BChart_4" hidden="1">[2]Model!$C$469:$C$475</definedName>
    <definedName name="___13__123Graph_XChart_2" hidden="1">[2]Model!$A$453:$A$462</definedName>
    <definedName name="___14__123Graph_XChart_3" hidden="1">[2]Model!$A$483:$A$489</definedName>
    <definedName name="___15__123Graph_XChart_4" hidden="1">[2]Model!$A$469:$A$475</definedName>
    <definedName name="___8__123Graph_AChart_2" hidden="1">[2]Model!$B$453:$B$462</definedName>
    <definedName name="___9__123Graph_AChart_3" hidden="1">[2]Model!$B$483:$B$489</definedName>
    <definedName name="___as111" localSheetId="12" hidden="1">#REF!</definedName>
    <definedName name="___as111" localSheetId="11" hidden="1">#REF!</definedName>
    <definedName name="___as111" localSheetId="20" hidden="1">#REF!</definedName>
    <definedName name="___as111" hidden="1">#REF!</definedName>
    <definedName name="___bg2" localSheetId="12" hidden="1">{#N/A,#N/A,TRUE,"Summary - 1";#N/A,#N/A,TRUE,"Summary - 2";#N/A,#N/A,TRUE,"Group Analysis";#N/A,#N/A,TRUE,"FM Analysis";#N/A,#N/A,TRUE,"T&amp;M-Onsite";#N/A,#N/A,TRUE,"FP-Onsite";#N/A,#N/A,TRUE,"NB-Onsite";#N/A,#N/A,TRUE,"T&amp;M-Offshore";#N/A,#N/A,TRUE,"FP-Offshore";#N/A,#N/A,TRUE,"Appendix-A";#N/A,#N/A,TRUE,"Appendix-B"}</definedName>
    <definedName name="___bg2" localSheetId="19" hidden="1">{#N/A,#N/A,TRUE,"Summary - 1";#N/A,#N/A,TRUE,"Summary - 2";#N/A,#N/A,TRUE,"Group Analysis";#N/A,#N/A,TRUE,"FM Analysis";#N/A,#N/A,TRUE,"T&amp;M-Onsite";#N/A,#N/A,TRUE,"FP-Onsite";#N/A,#N/A,TRUE,"NB-Onsite";#N/A,#N/A,TRUE,"T&amp;M-Offshore";#N/A,#N/A,TRUE,"FP-Offshore";#N/A,#N/A,TRUE,"Appendix-A";#N/A,#N/A,TRUE,"Appendix-B"}</definedName>
    <definedName name="___bg2" localSheetId="11" hidden="1">{#N/A,#N/A,TRUE,"Summary - 1";#N/A,#N/A,TRUE,"Summary - 2";#N/A,#N/A,TRUE,"Group Analysis";#N/A,#N/A,TRUE,"FM Analysis";#N/A,#N/A,TRUE,"T&amp;M-Onsite";#N/A,#N/A,TRUE,"FP-Onsite";#N/A,#N/A,TRUE,"NB-Onsite";#N/A,#N/A,TRUE,"T&amp;M-Offshore";#N/A,#N/A,TRUE,"FP-Offshore";#N/A,#N/A,TRUE,"Appendix-A";#N/A,#N/A,TRUE,"Appendix-B"}</definedName>
    <definedName name="___bg2" localSheetId="32" hidden="1">{#N/A,#N/A,TRUE,"Summary - 1";#N/A,#N/A,TRUE,"Summary - 2";#N/A,#N/A,TRUE,"Group Analysis";#N/A,#N/A,TRUE,"FM Analysis";#N/A,#N/A,TRUE,"T&amp;M-Onsite";#N/A,#N/A,TRUE,"FP-Onsite";#N/A,#N/A,TRUE,"NB-Onsite";#N/A,#N/A,TRUE,"T&amp;M-Offshore";#N/A,#N/A,TRUE,"FP-Offshore";#N/A,#N/A,TRUE,"Appendix-A";#N/A,#N/A,TRUE,"Appendix-B"}</definedName>
    <definedName name="___bg2" hidden="1">{#N/A,#N/A,TRUE,"Summary - 1";#N/A,#N/A,TRUE,"Summary - 2";#N/A,#N/A,TRUE,"Group Analysis";#N/A,#N/A,TRUE,"FM Analysis";#N/A,#N/A,TRUE,"T&amp;M-Onsite";#N/A,#N/A,TRUE,"FP-Onsite";#N/A,#N/A,TRUE,"NB-Onsite";#N/A,#N/A,TRUE,"T&amp;M-Offshore";#N/A,#N/A,TRUE,"FP-Offshore";#N/A,#N/A,TRUE,"Appendix-A";#N/A,#N/A,TRUE,"Appendix-B"}</definedName>
    <definedName name="___bg3" localSheetId="12" hidden="1">{#N/A,#N/A,TRUE,"Summary - 1";#N/A,#N/A,TRUE,"Summary - 2";#N/A,#N/A,TRUE,"Group Analysis";#N/A,#N/A,TRUE,"FM Analysis";#N/A,#N/A,TRUE,"T&amp;M-Onsite";#N/A,#N/A,TRUE,"FP-Onsite";#N/A,#N/A,TRUE,"NB-Onsite";#N/A,#N/A,TRUE,"T&amp;M-Offshore";#N/A,#N/A,TRUE,"FP-Offshore";#N/A,#N/A,TRUE,"Appendix-A";#N/A,#N/A,TRUE,"Appendix-B"}</definedName>
    <definedName name="___bg3" localSheetId="19" hidden="1">{#N/A,#N/A,TRUE,"Summary - 1";#N/A,#N/A,TRUE,"Summary - 2";#N/A,#N/A,TRUE,"Group Analysis";#N/A,#N/A,TRUE,"FM Analysis";#N/A,#N/A,TRUE,"T&amp;M-Onsite";#N/A,#N/A,TRUE,"FP-Onsite";#N/A,#N/A,TRUE,"NB-Onsite";#N/A,#N/A,TRUE,"T&amp;M-Offshore";#N/A,#N/A,TRUE,"FP-Offshore";#N/A,#N/A,TRUE,"Appendix-A";#N/A,#N/A,TRUE,"Appendix-B"}</definedName>
    <definedName name="___bg3" localSheetId="11" hidden="1">{#N/A,#N/A,TRUE,"Summary - 1";#N/A,#N/A,TRUE,"Summary - 2";#N/A,#N/A,TRUE,"Group Analysis";#N/A,#N/A,TRUE,"FM Analysis";#N/A,#N/A,TRUE,"T&amp;M-Onsite";#N/A,#N/A,TRUE,"FP-Onsite";#N/A,#N/A,TRUE,"NB-Onsite";#N/A,#N/A,TRUE,"T&amp;M-Offshore";#N/A,#N/A,TRUE,"FP-Offshore";#N/A,#N/A,TRUE,"Appendix-A";#N/A,#N/A,TRUE,"Appendix-B"}</definedName>
    <definedName name="___bg3" localSheetId="32" hidden="1">{#N/A,#N/A,TRUE,"Summary - 1";#N/A,#N/A,TRUE,"Summary - 2";#N/A,#N/A,TRUE,"Group Analysis";#N/A,#N/A,TRUE,"FM Analysis";#N/A,#N/A,TRUE,"T&amp;M-Onsite";#N/A,#N/A,TRUE,"FP-Onsite";#N/A,#N/A,TRUE,"NB-Onsite";#N/A,#N/A,TRUE,"T&amp;M-Offshore";#N/A,#N/A,TRUE,"FP-Offshore";#N/A,#N/A,TRUE,"Appendix-A";#N/A,#N/A,TRUE,"Appendix-B"}</definedName>
    <definedName name="___bg3" hidden="1">{#N/A,#N/A,TRUE,"Summary - 1";#N/A,#N/A,TRUE,"Summary - 2";#N/A,#N/A,TRUE,"Group Analysis";#N/A,#N/A,TRUE,"FM Analysis";#N/A,#N/A,TRUE,"T&amp;M-Onsite";#N/A,#N/A,TRUE,"FP-Onsite";#N/A,#N/A,TRUE,"NB-Onsite";#N/A,#N/A,TRUE,"T&amp;M-Offshore";#N/A,#N/A,TRUE,"FP-Offshore";#N/A,#N/A,TRUE,"Appendix-A";#N/A,#N/A,TRUE,"Appendix-B"}</definedName>
    <definedName name="___k2222" localSheetId="12" hidden="1">#REF!</definedName>
    <definedName name="___k2222" localSheetId="11" hidden="1">#REF!</definedName>
    <definedName name="___k2222" localSheetId="20" hidden="1">#REF!</definedName>
    <definedName name="___k2222" hidden="1">#REF!</definedName>
    <definedName name="___k3" localSheetId="12" hidden="1">#REF!</definedName>
    <definedName name="___k3" localSheetId="11" hidden="1">#REF!</definedName>
    <definedName name="___k3" localSheetId="20" hidden="1">#REF!</definedName>
    <definedName name="___k3" hidden="1">#REF!</definedName>
    <definedName name="___k4" localSheetId="12" hidden="1">#REF!</definedName>
    <definedName name="___k4" localSheetId="11" hidden="1">#REF!</definedName>
    <definedName name="___k4" localSheetId="20" hidden="1">#REF!</definedName>
    <definedName name="___k4" hidden="1">#REF!</definedName>
    <definedName name="__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_xt1222" localSheetId="12" hidden="1">[1]fixexp_analysis!#REF!</definedName>
    <definedName name="___xt1222" localSheetId="11" hidden="1">[1]fixexp_analysis!#REF!</definedName>
    <definedName name="___xt1222" localSheetId="20" hidden="1">[1]fixexp_analysis!#REF!</definedName>
    <definedName name="___xt1222" hidden="1">[1]fixexp_analysis!#REF!</definedName>
    <definedName name="__10__123Graph_AChart_4" hidden="1">[2]Model!$B$469:$B$475</definedName>
    <definedName name="__11__123Graph_BChart_3" hidden="1">[2]Model!$C$483:$C$489</definedName>
    <definedName name="__12__123Graph_BChart_4" hidden="1">[2]Model!$C$469:$C$475</definedName>
    <definedName name="__123Graph_A" localSheetId="12" hidden="1">'[3]KEYDATA-TT'!#REF!</definedName>
    <definedName name="__123Graph_A" localSheetId="19" hidden="1">'[3]KEYDATA-TT'!#REF!</definedName>
    <definedName name="__123Graph_A" localSheetId="26" hidden="1">'[3]KEYDATA-TT'!#REF!</definedName>
    <definedName name="__123Graph_A" localSheetId="11" hidden="1">'[3]KEYDATA-TT'!#REF!</definedName>
    <definedName name="__123Graph_A" localSheetId="32" hidden="1">'[4]KEYDATA-TT'!#REF!</definedName>
    <definedName name="__123Graph_A" localSheetId="20" hidden="1">'[3]KEYDATA-TT'!#REF!</definedName>
    <definedName name="__123Graph_A" hidden="1">'[3]KEYDATA-TT'!#REF!</definedName>
    <definedName name="__123Graph_ADOMSAL" localSheetId="12" hidden="1">#REF!</definedName>
    <definedName name="__123Graph_ADOMSAL" localSheetId="19" hidden="1">#REF!</definedName>
    <definedName name="__123Graph_ADOMSAL" localSheetId="11" hidden="1">#REF!</definedName>
    <definedName name="__123Graph_ADOMSAL" localSheetId="32" hidden="1">#REF!</definedName>
    <definedName name="__123Graph_ADOMSAL" localSheetId="20" hidden="1">#REF!</definedName>
    <definedName name="__123Graph_ADOMSAL" hidden="1">#REF!</definedName>
    <definedName name="__123Graph_AEXPSAL" localSheetId="12" hidden="1">#REF!</definedName>
    <definedName name="__123Graph_AEXPSAL" localSheetId="19" hidden="1">#REF!</definedName>
    <definedName name="__123Graph_AEXPSAL" localSheetId="11" hidden="1">#REF!</definedName>
    <definedName name="__123Graph_AEXPSAL" localSheetId="32" hidden="1">#REF!</definedName>
    <definedName name="__123Graph_AEXPSAL" localSheetId="20" hidden="1">#REF!</definedName>
    <definedName name="__123Graph_AEXPSAL" hidden="1">#REF!</definedName>
    <definedName name="__123Graph_AGROSSEARN" localSheetId="12" hidden="1">#REF!</definedName>
    <definedName name="__123Graph_AGROSSEARN" localSheetId="19" hidden="1">#REF!</definedName>
    <definedName name="__123Graph_AGROSSEARN" localSheetId="11" hidden="1">#REF!</definedName>
    <definedName name="__123Graph_AGROSSEARN" localSheetId="32" hidden="1">#REF!</definedName>
    <definedName name="__123Graph_AGROSSEARN" localSheetId="20" hidden="1">#REF!</definedName>
    <definedName name="__123Graph_AGROSSEARN" hidden="1">#REF!</definedName>
    <definedName name="__123Graph_ANETWORTH" localSheetId="12" hidden="1">#REF!</definedName>
    <definedName name="__123Graph_ANETWORTH" localSheetId="19" hidden="1">#REF!</definedName>
    <definedName name="__123Graph_ANETWORTH" localSheetId="11" hidden="1">#REF!</definedName>
    <definedName name="__123Graph_ANETWORTH" localSheetId="32" hidden="1">#REF!</definedName>
    <definedName name="__123Graph_ANETWORTH" localSheetId="20" hidden="1">#REF!</definedName>
    <definedName name="__123Graph_ANETWORTH" hidden="1">#REF!</definedName>
    <definedName name="__123Graph_APROFIT" localSheetId="12" hidden="1">#REF!</definedName>
    <definedName name="__123Graph_APROFIT" localSheetId="19" hidden="1">#REF!</definedName>
    <definedName name="__123Graph_APROFIT" localSheetId="11" hidden="1">#REF!</definedName>
    <definedName name="__123Graph_APROFIT" localSheetId="32" hidden="1">#REF!</definedName>
    <definedName name="__123Graph_APROFIT" localSheetId="20" hidden="1">#REF!</definedName>
    <definedName name="__123Graph_APROFIT" hidden="1">#REF!</definedName>
    <definedName name="__123Graph_B" localSheetId="12" hidden="1">#REF!</definedName>
    <definedName name="__123Graph_B" localSheetId="19" hidden="1">#REF!</definedName>
    <definedName name="__123Graph_B" localSheetId="26" hidden="1">#REF!</definedName>
    <definedName name="__123Graph_B" localSheetId="11" hidden="1">#REF!</definedName>
    <definedName name="__123Graph_B" localSheetId="32" hidden="1">#REF!</definedName>
    <definedName name="__123Graph_B" localSheetId="20" hidden="1">#REF!</definedName>
    <definedName name="__123Graph_B" hidden="1">#REF!</definedName>
    <definedName name="__123Graph_C" localSheetId="12" hidden="1">'[3]KEYDATA-TT'!#REF!</definedName>
    <definedName name="__123Graph_C" localSheetId="19" hidden="1">'[3]KEYDATA-TT'!#REF!</definedName>
    <definedName name="__123Graph_C" localSheetId="26" hidden="1">'[3]KEYDATA-TT'!#REF!</definedName>
    <definedName name="__123Graph_C" localSheetId="11" hidden="1">'[3]KEYDATA-TT'!#REF!</definedName>
    <definedName name="__123Graph_C" localSheetId="32" hidden="1">'[4]KEYDATA-TT'!#REF!</definedName>
    <definedName name="__123Graph_C" localSheetId="20" hidden="1">'[3]KEYDATA-TT'!#REF!</definedName>
    <definedName name="__123Graph_C" hidden="1">'[3]KEYDATA-TT'!#REF!</definedName>
    <definedName name="__123Graph_D" localSheetId="12" hidden="1">'[3]KEYDATA-TT'!#REF!</definedName>
    <definedName name="__123Graph_D" localSheetId="19" hidden="1">'[3]KEYDATA-TT'!#REF!</definedName>
    <definedName name="__123Graph_D" localSheetId="26" hidden="1">'[3]KEYDATA-TT'!#REF!</definedName>
    <definedName name="__123Graph_D" localSheetId="11" hidden="1">'[3]KEYDATA-TT'!#REF!</definedName>
    <definedName name="__123Graph_D" localSheetId="32" hidden="1">'[4]KEYDATA-TT'!#REF!</definedName>
    <definedName name="__123Graph_D" localSheetId="20" hidden="1">'[3]KEYDATA-TT'!#REF!</definedName>
    <definedName name="__123Graph_D" hidden="1">'[3]KEYDATA-TT'!#REF!</definedName>
    <definedName name="__123Graph_E" localSheetId="12" hidden="1">'[3]KEYDATA-TT'!#REF!</definedName>
    <definedName name="__123Graph_E" localSheetId="19" hidden="1">'[3]KEYDATA-TT'!#REF!</definedName>
    <definedName name="__123Graph_E" localSheetId="26" hidden="1">'[3]KEYDATA-TT'!#REF!</definedName>
    <definedName name="__123Graph_E" localSheetId="11" hidden="1">'[3]KEYDATA-TT'!#REF!</definedName>
    <definedName name="__123Graph_E" localSheetId="32" hidden="1">'[4]KEYDATA-TT'!#REF!</definedName>
    <definedName name="__123Graph_E" localSheetId="20" hidden="1">'[3]KEYDATA-TT'!#REF!</definedName>
    <definedName name="__123Graph_E" hidden="1">'[3]KEYDATA-TT'!#REF!</definedName>
    <definedName name="__123Graph_F" localSheetId="12" hidden="1">#REF!</definedName>
    <definedName name="__123Graph_F" localSheetId="19" hidden="1">#REF!</definedName>
    <definedName name="__123Graph_F" localSheetId="26" hidden="1">#REF!</definedName>
    <definedName name="__123Graph_F" localSheetId="11" hidden="1">#REF!</definedName>
    <definedName name="__123Graph_F" localSheetId="32" hidden="1">#REF!</definedName>
    <definedName name="__123Graph_F" localSheetId="20" hidden="1">#REF!</definedName>
    <definedName name="__123Graph_F" hidden="1">#REF!</definedName>
    <definedName name="__123Graph_LBL_A" localSheetId="12" hidden="1">#REF!</definedName>
    <definedName name="__123Graph_LBL_A" localSheetId="19" hidden="1">#REF!</definedName>
    <definedName name="__123Graph_LBL_A" localSheetId="11" hidden="1">#REF!</definedName>
    <definedName name="__123Graph_LBL_A" localSheetId="32" hidden="1">#REF!</definedName>
    <definedName name="__123Graph_LBL_A" localSheetId="20" hidden="1">#REF!</definedName>
    <definedName name="__123Graph_LBL_A" hidden="1">#REF!</definedName>
    <definedName name="__123Graph_LBL_ADOMSAL" localSheetId="12" hidden="1">#REF!</definedName>
    <definedName name="__123Graph_LBL_ADOMSAL" localSheetId="19" hidden="1">#REF!</definedName>
    <definedName name="__123Graph_LBL_ADOMSAL" localSheetId="11" hidden="1">#REF!</definedName>
    <definedName name="__123Graph_LBL_ADOMSAL" localSheetId="32" hidden="1">#REF!</definedName>
    <definedName name="__123Graph_LBL_ADOMSAL" localSheetId="20" hidden="1">#REF!</definedName>
    <definedName name="__123Graph_LBL_ADOMSAL" hidden="1">#REF!</definedName>
    <definedName name="__123Graph_LBL_AEXPSAL" localSheetId="12" hidden="1">#REF!</definedName>
    <definedName name="__123Graph_LBL_AEXPSAL" localSheetId="19" hidden="1">#REF!</definedName>
    <definedName name="__123Graph_LBL_AEXPSAL" localSheetId="11" hidden="1">#REF!</definedName>
    <definedName name="__123Graph_LBL_AEXPSAL" localSheetId="32" hidden="1">#REF!</definedName>
    <definedName name="__123Graph_LBL_AEXPSAL" localSheetId="20" hidden="1">#REF!</definedName>
    <definedName name="__123Graph_LBL_AEXPSAL" hidden="1">#REF!</definedName>
    <definedName name="__123Graph_LBL_AGROSSEARN" localSheetId="12" hidden="1">#REF!</definedName>
    <definedName name="__123Graph_LBL_AGROSSEARN" localSheetId="19" hidden="1">#REF!</definedName>
    <definedName name="__123Graph_LBL_AGROSSEARN" localSheetId="11" hidden="1">#REF!</definedName>
    <definedName name="__123Graph_LBL_AGROSSEARN" localSheetId="32" hidden="1">#REF!</definedName>
    <definedName name="__123Graph_LBL_AGROSSEARN" localSheetId="20" hidden="1">#REF!</definedName>
    <definedName name="__123Graph_LBL_AGROSSEARN" hidden="1">#REF!</definedName>
    <definedName name="__123Graph_LBL_ANETWORTH" localSheetId="12" hidden="1">#REF!</definedName>
    <definedName name="__123Graph_LBL_ANETWORTH" localSheetId="19" hidden="1">#REF!</definedName>
    <definedName name="__123Graph_LBL_ANETWORTH" localSheetId="11" hidden="1">#REF!</definedName>
    <definedName name="__123Graph_LBL_ANETWORTH" localSheetId="32" hidden="1">#REF!</definedName>
    <definedName name="__123Graph_LBL_ANETWORTH" localSheetId="20" hidden="1">#REF!</definedName>
    <definedName name="__123Graph_LBL_ANETWORTH" hidden="1">#REF!</definedName>
    <definedName name="__123Graph_LBL_APROFIT" localSheetId="12" hidden="1">#REF!</definedName>
    <definedName name="__123Graph_LBL_APROFIT" localSheetId="19" hidden="1">#REF!</definedName>
    <definedName name="__123Graph_LBL_APROFIT" localSheetId="11" hidden="1">#REF!</definedName>
    <definedName name="__123Graph_LBL_APROFIT" localSheetId="32" hidden="1">#REF!</definedName>
    <definedName name="__123Graph_LBL_APROFIT" localSheetId="20" hidden="1">#REF!</definedName>
    <definedName name="__123Graph_LBL_APROFIT" hidden="1">#REF!</definedName>
    <definedName name="__123Graph_LBL_B" localSheetId="12" hidden="1">#REF!</definedName>
    <definedName name="__123Graph_LBL_B" localSheetId="19" hidden="1">#REF!</definedName>
    <definedName name="__123Graph_LBL_B" localSheetId="11" hidden="1">#REF!</definedName>
    <definedName name="__123Graph_LBL_B" localSheetId="32" hidden="1">#REF!</definedName>
    <definedName name="__123Graph_LBL_B" localSheetId="20" hidden="1">#REF!</definedName>
    <definedName name="__123Graph_LBL_B" hidden="1">#REF!</definedName>
    <definedName name="__123Graph_LBL_C" localSheetId="12" hidden="1">#REF!</definedName>
    <definedName name="__123Graph_LBL_C" localSheetId="19" hidden="1">#REF!</definedName>
    <definedName name="__123Graph_LBL_C" localSheetId="11" hidden="1">#REF!</definedName>
    <definedName name="__123Graph_LBL_C" localSheetId="32" hidden="1">#REF!</definedName>
    <definedName name="__123Graph_LBL_C" localSheetId="20" hidden="1">#REF!</definedName>
    <definedName name="__123Graph_LBL_C" hidden="1">#REF!</definedName>
    <definedName name="__123Graph_LBL_D" localSheetId="12" hidden="1">#REF!</definedName>
    <definedName name="__123Graph_LBL_D" localSheetId="19" hidden="1">#REF!</definedName>
    <definedName name="__123Graph_LBL_D" localSheetId="11" hidden="1">#REF!</definedName>
    <definedName name="__123Graph_LBL_D" localSheetId="32" hidden="1">#REF!</definedName>
    <definedName name="__123Graph_LBL_D" localSheetId="20" hidden="1">#REF!</definedName>
    <definedName name="__123Graph_LBL_D" hidden="1">#REF!</definedName>
    <definedName name="__123Graph_LBL_E" localSheetId="12" hidden="1">#REF!</definedName>
    <definedName name="__123Graph_LBL_E" localSheetId="19" hidden="1">#REF!</definedName>
    <definedName name="__123Graph_LBL_E" localSheetId="11" hidden="1">#REF!</definedName>
    <definedName name="__123Graph_LBL_E" localSheetId="32" hidden="1">#REF!</definedName>
    <definedName name="__123Graph_LBL_E" localSheetId="20" hidden="1">#REF!</definedName>
    <definedName name="__123Graph_LBL_E" hidden="1">#REF!</definedName>
    <definedName name="__123Graph_X" localSheetId="12" hidden="1">#REF!</definedName>
    <definedName name="__123Graph_X" localSheetId="19" hidden="1">#REF!</definedName>
    <definedName name="__123Graph_X" localSheetId="26" hidden="1">#REF!</definedName>
    <definedName name="__123Graph_X" localSheetId="11" hidden="1">#REF!</definedName>
    <definedName name="__123Graph_X" localSheetId="32" hidden="1">#REF!</definedName>
    <definedName name="__123Graph_X" localSheetId="20" hidden="1">#REF!</definedName>
    <definedName name="__123Graph_X" hidden="1">#REF!</definedName>
    <definedName name="__123Graph_XDOMSAL" localSheetId="12" hidden="1">#REF!</definedName>
    <definedName name="__123Graph_XDOMSAL" localSheetId="19" hidden="1">#REF!</definedName>
    <definedName name="__123Graph_XDOMSAL" localSheetId="11" hidden="1">#REF!</definedName>
    <definedName name="__123Graph_XDOMSAL" localSheetId="32" hidden="1">#REF!</definedName>
    <definedName name="__123Graph_XDOMSAL" localSheetId="20" hidden="1">#REF!</definedName>
    <definedName name="__123Graph_XDOMSAL" hidden="1">#REF!</definedName>
    <definedName name="__123Graph_XEXPSAL" localSheetId="12" hidden="1">#REF!</definedName>
    <definedName name="__123Graph_XEXPSAL" localSheetId="19" hidden="1">#REF!</definedName>
    <definedName name="__123Graph_XEXPSAL" localSheetId="11" hidden="1">#REF!</definedName>
    <definedName name="__123Graph_XEXPSAL" localSheetId="32" hidden="1">#REF!</definedName>
    <definedName name="__123Graph_XEXPSAL" localSheetId="20" hidden="1">#REF!</definedName>
    <definedName name="__123Graph_XEXPSAL" hidden="1">#REF!</definedName>
    <definedName name="__123Graph_XGROSSEARN" localSheetId="12" hidden="1">#REF!</definedName>
    <definedName name="__123Graph_XGROSSEARN" localSheetId="19" hidden="1">#REF!</definedName>
    <definedName name="__123Graph_XGROSSEARN" localSheetId="11" hidden="1">#REF!</definedName>
    <definedName name="__123Graph_XGROSSEARN" localSheetId="32" hidden="1">#REF!</definedName>
    <definedName name="__123Graph_XGROSSEARN" localSheetId="20" hidden="1">#REF!</definedName>
    <definedName name="__123Graph_XGROSSEARN" hidden="1">#REF!</definedName>
    <definedName name="__123Graph_XIRG" localSheetId="12" hidden="1">#REF!</definedName>
    <definedName name="__123Graph_XIRG" localSheetId="19" hidden="1">#REF!</definedName>
    <definedName name="__123Graph_XIRG" localSheetId="11" hidden="1">#REF!</definedName>
    <definedName name="__123Graph_XIRG" localSheetId="32" hidden="1">#REF!</definedName>
    <definedName name="__123Graph_XIRG" localSheetId="20" hidden="1">#REF!</definedName>
    <definedName name="__123Graph_XIRG" hidden="1">#REF!</definedName>
    <definedName name="__123Graph_XNETWORTH" localSheetId="12" hidden="1">#REF!</definedName>
    <definedName name="__123Graph_XNETWORTH" localSheetId="19" hidden="1">#REF!</definedName>
    <definedName name="__123Graph_XNETWORTH" localSheetId="11" hidden="1">#REF!</definedName>
    <definedName name="__123Graph_XNETWORTH" localSheetId="32" hidden="1">#REF!</definedName>
    <definedName name="__123Graph_XNETWORTH" localSheetId="20" hidden="1">#REF!</definedName>
    <definedName name="__123Graph_XNETWORTH" hidden="1">#REF!</definedName>
    <definedName name="__123Graph_XPROFIT" localSheetId="12" hidden="1">#REF!</definedName>
    <definedName name="__123Graph_XPROFIT" localSheetId="19" hidden="1">#REF!</definedName>
    <definedName name="__123Graph_XPROFIT" localSheetId="11" hidden="1">#REF!</definedName>
    <definedName name="__123Graph_XPROFIT" localSheetId="32" hidden="1">#REF!</definedName>
    <definedName name="__123Graph_XPROFIT" localSheetId="20" hidden="1">#REF!</definedName>
    <definedName name="__123Graph_XPROFIT" hidden="1">#REF!</definedName>
    <definedName name="__13__123Graph_XChart_2" hidden="1">[2]Model!$A$453:$A$462</definedName>
    <definedName name="__14__123Graph_XChart_3" hidden="1">[2]Model!$A$483:$A$489</definedName>
    <definedName name="__15__123Graph_XChart_4" hidden="1">[2]Model!$A$469:$A$475</definedName>
    <definedName name="__8__123Graph_AChart_2" hidden="1">[2]Model!$B$453:$B$462</definedName>
    <definedName name="__9__123Graph_AChart_3" hidden="1">[2]Model!$B$483:$B$489</definedName>
    <definedName name="__as111" localSheetId="12" hidden="1">#REF!</definedName>
    <definedName name="__as111" localSheetId="11" hidden="1">#REF!</definedName>
    <definedName name="__as111" localSheetId="20" hidden="1">#REF!</definedName>
    <definedName name="__as111" hidden="1">#REF!</definedName>
    <definedName name="__bg2" localSheetId="12" hidden="1">{#N/A,#N/A,TRUE,"Summary - 1";#N/A,#N/A,TRUE,"Summary - 2";#N/A,#N/A,TRUE,"Group Analysis";#N/A,#N/A,TRUE,"FM Analysis";#N/A,#N/A,TRUE,"T&amp;M-Onsite";#N/A,#N/A,TRUE,"FP-Onsite";#N/A,#N/A,TRUE,"NB-Onsite";#N/A,#N/A,TRUE,"T&amp;M-Offshore";#N/A,#N/A,TRUE,"FP-Offshore";#N/A,#N/A,TRUE,"Appendix-A";#N/A,#N/A,TRUE,"Appendix-B"}</definedName>
    <definedName name="__bg2" localSheetId="19" hidden="1">{#N/A,#N/A,TRUE,"Summary - 1";#N/A,#N/A,TRUE,"Summary - 2";#N/A,#N/A,TRUE,"Group Analysis";#N/A,#N/A,TRUE,"FM Analysis";#N/A,#N/A,TRUE,"T&amp;M-Onsite";#N/A,#N/A,TRUE,"FP-Onsite";#N/A,#N/A,TRUE,"NB-Onsite";#N/A,#N/A,TRUE,"T&amp;M-Offshore";#N/A,#N/A,TRUE,"FP-Offshore";#N/A,#N/A,TRUE,"Appendix-A";#N/A,#N/A,TRUE,"Appendix-B"}</definedName>
    <definedName name="__bg2" localSheetId="11" hidden="1">{#N/A,#N/A,TRUE,"Summary - 1";#N/A,#N/A,TRUE,"Summary - 2";#N/A,#N/A,TRUE,"Group Analysis";#N/A,#N/A,TRUE,"FM Analysis";#N/A,#N/A,TRUE,"T&amp;M-Onsite";#N/A,#N/A,TRUE,"FP-Onsite";#N/A,#N/A,TRUE,"NB-Onsite";#N/A,#N/A,TRUE,"T&amp;M-Offshore";#N/A,#N/A,TRUE,"FP-Offshore";#N/A,#N/A,TRUE,"Appendix-A";#N/A,#N/A,TRUE,"Appendix-B"}</definedName>
    <definedName name="__bg2" localSheetId="32" hidden="1">{#N/A,#N/A,TRUE,"Summary - 1";#N/A,#N/A,TRUE,"Summary - 2";#N/A,#N/A,TRUE,"Group Analysis";#N/A,#N/A,TRUE,"FM Analysis";#N/A,#N/A,TRUE,"T&amp;M-Onsite";#N/A,#N/A,TRUE,"FP-Onsite";#N/A,#N/A,TRUE,"NB-Onsite";#N/A,#N/A,TRUE,"T&amp;M-Offshore";#N/A,#N/A,TRUE,"FP-Offshore";#N/A,#N/A,TRUE,"Appendix-A";#N/A,#N/A,TRUE,"Appendix-B"}</definedName>
    <definedName name="__bg2" hidden="1">{#N/A,#N/A,TRUE,"Summary - 1";#N/A,#N/A,TRUE,"Summary - 2";#N/A,#N/A,TRUE,"Group Analysis";#N/A,#N/A,TRUE,"FM Analysis";#N/A,#N/A,TRUE,"T&amp;M-Onsite";#N/A,#N/A,TRUE,"FP-Onsite";#N/A,#N/A,TRUE,"NB-Onsite";#N/A,#N/A,TRUE,"T&amp;M-Offshore";#N/A,#N/A,TRUE,"FP-Offshore";#N/A,#N/A,TRUE,"Appendix-A";#N/A,#N/A,TRUE,"Appendix-B"}</definedName>
    <definedName name="__bg3" localSheetId="12" hidden="1">{#N/A,#N/A,TRUE,"Summary - 1";#N/A,#N/A,TRUE,"Summary - 2";#N/A,#N/A,TRUE,"Group Analysis";#N/A,#N/A,TRUE,"FM Analysis";#N/A,#N/A,TRUE,"T&amp;M-Onsite";#N/A,#N/A,TRUE,"FP-Onsite";#N/A,#N/A,TRUE,"NB-Onsite";#N/A,#N/A,TRUE,"T&amp;M-Offshore";#N/A,#N/A,TRUE,"FP-Offshore";#N/A,#N/A,TRUE,"Appendix-A";#N/A,#N/A,TRUE,"Appendix-B"}</definedName>
    <definedName name="__bg3" localSheetId="19" hidden="1">{#N/A,#N/A,TRUE,"Summary - 1";#N/A,#N/A,TRUE,"Summary - 2";#N/A,#N/A,TRUE,"Group Analysis";#N/A,#N/A,TRUE,"FM Analysis";#N/A,#N/A,TRUE,"T&amp;M-Onsite";#N/A,#N/A,TRUE,"FP-Onsite";#N/A,#N/A,TRUE,"NB-Onsite";#N/A,#N/A,TRUE,"T&amp;M-Offshore";#N/A,#N/A,TRUE,"FP-Offshore";#N/A,#N/A,TRUE,"Appendix-A";#N/A,#N/A,TRUE,"Appendix-B"}</definedName>
    <definedName name="__bg3" localSheetId="11" hidden="1">{#N/A,#N/A,TRUE,"Summary - 1";#N/A,#N/A,TRUE,"Summary - 2";#N/A,#N/A,TRUE,"Group Analysis";#N/A,#N/A,TRUE,"FM Analysis";#N/A,#N/A,TRUE,"T&amp;M-Onsite";#N/A,#N/A,TRUE,"FP-Onsite";#N/A,#N/A,TRUE,"NB-Onsite";#N/A,#N/A,TRUE,"T&amp;M-Offshore";#N/A,#N/A,TRUE,"FP-Offshore";#N/A,#N/A,TRUE,"Appendix-A";#N/A,#N/A,TRUE,"Appendix-B"}</definedName>
    <definedName name="__bg3" localSheetId="32" hidden="1">{#N/A,#N/A,TRUE,"Summary - 1";#N/A,#N/A,TRUE,"Summary - 2";#N/A,#N/A,TRUE,"Group Analysis";#N/A,#N/A,TRUE,"FM Analysis";#N/A,#N/A,TRUE,"T&amp;M-Onsite";#N/A,#N/A,TRUE,"FP-Onsite";#N/A,#N/A,TRUE,"NB-Onsite";#N/A,#N/A,TRUE,"T&amp;M-Offshore";#N/A,#N/A,TRUE,"FP-Offshore";#N/A,#N/A,TRUE,"Appendix-A";#N/A,#N/A,TRUE,"Appendix-B"}</definedName>
    <definedName name="__bg3" hidden="1">{#N/A,#N/A,TRUE,"Summary - 1";#N/A,#N/A,TRUE,"Summary - 2";#N/A,#N/A,TRUE,"Group Analysis";#N/A,#N/A,TRUE,"FM Analysis";#N/A,#N/A,TRUE,"T&amp;M-Onsite";#N/A,#N/A,TRUE,"FP-Onsite";#N/A,#N/A,TRUE,"NB-Onsite";#N/A,#N/A,TRUE,"T&amp;M-Offshore";#N/A,#N/A,TRUE,"FP-Offshore";#N/A,#N/A,TRUE,"Appendix-A";#N/A,#N/A,TRUE,"Appendix-B"}</definedName>
    <definedName name="__FDS_HYPERLINK_TOGGLE_STATE__" hidden="1">"ON"</definedName>
    <definedName name="__k2222" localSheetId="12" hidden="1">#REF!</definedName>
    <definedName name="__k2222" localSheetId="11" hidden="1">#REF!</definedName>
    <definedName name="__k2222" localSheetId="20" hidden="1">#REF!</definedName>
    <definedName name="__k2222" hidden="1">#REF!</definedName>
    <definedName name="__k3" localSheetId="12" hidden="1">#REF!</definedName>
    <definedName name="__k3" localSheetId="11" hidden="1">#REF!</definedName>
    <definedName name="__k3" localSheetId="20" hidden="1">#REF!</definedName>
    <definedName name="__k3" hidden="1">#REF!</definedName>
    <definedName name="__k4" localSheetId="12" hidden="1">#REF!</definedName>
    <definedName name="__k4" localSheetId="11" hidden="1">#REF!</definedName>
    <definedName name="__k4" localSheetId="20" hidden="1">#REF!</definedName>
    <definedName name="__k4" hidden="1">#REF!</definedName>
    <definedName name="_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_xt1222" localSheetId="12" hidden="1">[1]fixexp_analysis!#REF!</definedName>
    <definedName name="__xt1222" localSheetId="11" hidden="1">[1]fixexp_analysis!#REF!</definedName>
    <definedName name="__xt1222" localSheetId="20" hidden="1">[1]fixexp_analysis!#REF!</definedName>
    <definedName name="__xt1222" hidden="1">[1]fixexp_analysis!#REF!</definedName>
    <definedName name="_1__123Graph_ACHART_1" localSheetId="12" hidden="1">[5]keyind!#REF!</definedName>
    <definedName name="_1__123Graph_ACHART_1" localSheetId="11" hidden="1">[5]keyind!#REF!</definedName>
    <definedName name="_1__123Graph_ACHART_1" localSheetId="20" hidden="1">[5]keyind!#REF!</definedName>
    <definedName name="_1__123Graph_ACHART_1" hidden="1">[5]keyind!#REF!</definedName>
    <definedName name="_10__123Graph_ACHART_16" localSheetId="12" hidden="1">'[6]Key-Ind'!#REF!</definedName>
    <definedName name="_10__123Graph_ACHART_16" localSheetId="11" hidden="1">'[6]Key-Ind'!#REF!</definedName>
    <definedName name="_10__123Graph_ACHART_16" localSheetId="20" hidden="1">'[6]Key-Ind'!#REF!</definedName>
    <definedName name="_10__123Graph_ACHART_16" hidden="1">'[6]Key-Ind'!#REF!</definedName>
    <definedName name="_10__123Graph_ACHART_3" localSheetId="12" hidden="1">[5]keyind!#REF!</definedName>
    <definedName name="_10__123Graph_ACHART_3" localSheetId="11" hidden="1">[5]keyind!#REF!</definedName>
    <definedName name="_10__123Graph_ACHART_3" localSheetId="20" hidden="1">[5]keyind!#REF!</definedName>
    <definedName name="_10__123Graph_ACHART_3" hidden="1">[5]keyind!#REF!</definedName>
    <definedName name="_10__123Graph_AChart_4" hidden="1">[2]Model!$B$469:$B$475</definedName>
    <definedName name="_100__123Graph_LBL_BCHART_4" localSheetId="12" hidden="1">[5]keyind!#REF!</definedName>
    <definedName name="_100__123Graph_LBL_BCHART_4" localSheetId="11" hidden="1">[5]keyind!#REF!</definedName>
    <definedName name="_100__123Graph_LBL_BCHART_4" localSheetId="20" hidden="1">[5]keyind!#REF!</definedName>
    <definedName name="_100__123Graph_LBL_BCHART_4" hidden="1">[5]keyind!#REF!</definedName>
    <definedName name="_100__123Graph_XCHART_9" localSheetId="12" hidden="1">[6]Fixexp_analysis!#REF!</definedName>
    <definedName name="_100__123Graph_XCHART_9" localSheetId="11" hidden="1">[6]Fixexp_analysis!#REF!</definedName>
    <definedName name="_100__123Graph_XCHART_9" localSheetId="20" hidden="1">[6]Fixexp_analysis!#REF!</definedName>
    <definedName name="_100__123Graph_XCHART_9" hidden="1">[6]Fixexp_analysis!#REF!</definedName>
    <definedName name="_102__123Graph_LBL_ACHART_5" localSheetId="12" hidden="1">[6]Fixexp_analysis!#REF!</definedName>
    <definedName name="_102__123Graph_LBL_ACHART_5" localSheetId="11" hidden="1">[6]Fixexp_analysis!#REF!</definedName>
    <definedName name="_102__123Graph_LBL_ACHART_5" localSheetId="20" hidden="1">[6]Fixexp_analysis!#REF!</definedName>
    <definedName name="_102__123Graph_LBL_ACHART_5" hidden="1">[6]Fixexp_analysis!#REF!</definedName>
    <definedName name="_103__123Graph_XCHART_1" localSheetId="12" hidden="1">[5]keyind!#REF!</definedName>
    <definedName name="_103__123Graph_XCHART_1" localSheetId="11" hidden="1">[5]keyind!#REF!</definedName>
    <definedName name="_103__123Graph_XCHART_1" localSheetId="20" hidden="1">[5]keyind!#REF!</definedName>
    <definedName name="_103__123Graph_XCHART_1" hidden="1">[5]keyind!#REF!</definedName>
    <definedName name="_105__123Graph_LBL_ACHART_6" localSheetId="12" hidden="1">'[6]Key-Ind'!#REF!</definedName>
    <definedName name="_105__123Graph_LBL_ACHART_6" localSheetId="11" hidden="1">'[6]Key-Ind'!#REF!</definedName>
    <definedName name="_105__123Graph_LBL_ACHART_6" localSheetId="20" hidden="1">'[6]Key-Ind'!#REF!</definedName>
    <definedName name="_105__123Graph_LBL_ACHART_6" hidden="1">'[6]Key-Ind'!#REF!</definedName>
    <definedName name="_105__123Graph_XCHART_10" localSheetId="12" hidden="1">[6]Fixexp_analysis!#REF!</definedName>
    <definedName name="_105__123Graph_XCHART_10" localSheetId="11" hidden="1">[6]Fixexp_analysis!#REF!</definedName>
    <definedName name="_105__123Graph_XCHART_10" localSheetId="20" hidden="1">[6]Fixexp_analysis!#REF!</definedName>
    <definedName name="_105__123Graph_XCHART_10" hidden="1">[6]Fixexp_analysis!#REF!</definedName>
    <definedName name="_107__123Graph_XCHART_11" localSheetId="12" hidden="1">[6]Fixexp_analysis!#REF!</definedName>
    <definedName name="_107__123Graph_XCHART_11" localSheetId="11" hidden="1">[6]Fixexp_analysis!#REF!</definedName>
    <definedName name="_107__123Graph_XCHART_11" localSheetId="20" hidden="1">[6]Fixexp_analysis!#REF!</definedName>
    <definedName name="_107__123Graph_XCHART_11" hidden="1">[6]Fixexp_analysis!#REF!</definedName>
    <definedName name="_108__123Graph_LBL_ACHART_7" localSheetId="12" hidden="1">'[6]Key-Ind'!#REF!</definedName>
    <definedName name="_108__123Graph_LBL_ACHART_7" localSheetId="11" hidden="1">'[6]Key-Ind'!#REF!</definedName>
    <definedName name="_108__123Graph_LBL_ACHART_7" localSheetId="20" hidden="1">'[6]Key-Ind'!#REF!</definedName>
    <definedName name="_108__123Graph_LBL_ACHART_7" hidden="1">'[6]Key-Ind'!#REF!</definedName>
    <definedName name="_109__123Graph_XCHART_12" localSheetId="12" hidden="1">'[6]Key-Ind'!#REF!</definedName>
    <definedName name="_109__123Graph_XCHART_12" localSheetId="11" hidden="1">'[6]Key-Ind'!#REF!</definedName>
    <definedName name="_109__123Graph_XCHART_12" localSheetId="20" hidden="1">'[6]Key-Ind'!#REF!</definedName>
    <definedName name="_109__123Graph_XCHART_12" hidden="1">'[6]Key-Ind'!#REF!</definedName>
    <definedName name="_11__123Graph_ACHART_13" localSheetId="12" hidden="1">'[6]Key-Ind'!#REF!</definedName>
    <definedName name="_11__123Graph_ACHART_13" localSheetId="11" hidden="1">'[6]Key-Ind'!#REF!</definedName>
    <definedName name="_11__123Graph_ACHART_13" localSheetId="20" hidden="1">'[6]Key-Ind'!#REF!</definedName>
    <definedName name="_11__123Graph_ACHART_13" hidden="1">'[6]Key-Ind'!#REF!</definedName>
    <definedName name="_11__123Graph_ACHART_2" localSheetId="12" hidden="1">[5]keyind!#REF!</definedName>
    <definedName name="_11__123Graph_ACHART_2" localSheetId="11" hidden="1">[5]keyind!#REF!</definedName>
    <definedName name="_11__123Graph_ACHART_2" localSheetId="20" hidden="1">[5]keyind!#REF!</definedName>
    <definedName name="_11__123Graph_ACHART_2" hidden="1">[5]keyind!#REF!</definedName>
    <definedName name="_11__123Graph_ACHART_4" localSheetId="12" hidden="1">[5]keyind!#REF!</definedName>
    <definedName name="_11__123Graph_ACHART_4" localSheetId="11" hidden="1">[5]keyind!#REF!</definedName>
    <definedName name="_11__123Graph_ACHART_4" localSheetId="20" hidden="1">[5]keyind!#REF!</definedName>
    <definedName name="_11__123Graph_ACHART_4" hidden="1">[5]keyind!#REF!</definedName>
    <definedName name="_11__123Graph_BChart_3" hidden="1">[2]Model!$C$483:$C$489</definedName>
    <definedName name="_111__123Graph_LBL_ACHART_8" localSheetId="12" hidden="1">[6]Fixexp_analysis!#REF!</definedName>
    <definedName name="_111__123Graph_LBL_ACHART_8" localSheetId="11" hidden="1">[6]Fixexp_analysis!#REF!</definedName>
    <definedName name="_111__123Graph_LBL_ACHART_8" localSheetId="20" hidden="1">[6]Fixexp_analysis!#REF!</definedName>
    <definedName name="_111__123Graph_LBL_ACHART_8" hidden="1">[6]Fixexp_analysis!#REF!</definedName>
    <definedName name="_111__123Graph_XCHART_13" localSheetId="12" hidden="1">'[6]Key-Ind'!#REF!</definedName>
    <definedName name="_111__123Graph_XCHART_13" localSheetId="11" hidden="1">'[6]Key-Ind'!#REF!</definedName>
    <definedName name="_111__123Graph_XCHART_13" localSheetId="20" hidden="1">'[6]Key-Ind'!#REF!</definedName>
    <definedName name="_111__123Graph_XCHART_13" hidden="1">'[6]Key-Ind'!#REF!</definedName>
    <definedName name="_113__123Graph_XCHART_14" localSheetId="12" hidden="1">'[6]Key-Ind'!#REF!</definedName>
    <definedName name="_113__123Graph_XCHART_14" localSheetId="11" hidden="1">'[6]Key-Ind'!#REF!</definedName>
    <definedName name="_113__123Graph_XCHART_14" localSheetId="20" hidden="1">'[6]Key-Ind'!#REF!</definedName>
    <definedName name="_113__123Graph_XCHART_14" hidden="1">'[6]Key-Ind'!#REF!</definedName>
    <definedName name="_114__123Graph_LBL_ACHART_9" localSheetId="12" hidden="1">[6]Fixexp_analysis!#REF!</definedName>
    <definedName name="_114__123Graph_LBL_ACHART_9" localSheetId="11" hidden="1">[6]Fixexp_analysis!#REF!</definedName>
    <definedName name="_114__123Graph_LBL_ACHART_9" localSheetId="20" hidden="1">[6]Fixexp_analysis!#REF!</definedName>
    <definedName name="_114__123Graph_LBL_ACHART_9" hidden="1">[6]Fixexp_analysis!#REF!</definedName>
    <definedName name="_115__123Graph_XCHART_15" localSheetId="12" hidden="1">'[6]Key-Ind'!#REF!</definedName>
    <definedName name="_115__123Graph_XCHART_15" localSheetId="11" hidden="1">'[6]Key-Ind'!#REF!</definedName>
    <definedName name="_115__123Graph_XCHART_15" localSheetId="20" hidden="1">'[6]Key-Ind'!#REF!</definedName>
    <definedName name="_115__123Graph_XCHART_15" hidden="1">'[6]Key-Ind'!#REF!</definedName>
    <definedName name="_117__123Graph_LBL_BCHART_1" localSheetId="12" hidden="1">[5]keyind!#REF!</definedName>
    <definedName name="_117__123Graph_LBL_BCHART_1" localSheetId="11" hidden="1">[5]keyind!#REF!</definedName>
    <definedName name="_117__123Graph_LBL_BCHART_1" localSheetId="20" hidden="1">[5]keyind!#REF!</definedName>
    <definedName name="_117__123Graph_LBL_BCHART_1" hidden="1">[5]keyind!#REF!</definedName>
    <definedName name="_117__123Graph_XCHART_16" localSheetId="12" hidden="1">'[6]Key-Ind'!#REF!</definedName>
    <definedName name="_117__123Graph_XCHART_16" localSheetId="11" hidden="1">'[6]Key-Ind'!#REF!</definedName>
    <definedName name="_117__123Graph_XCHART_16" localSheetId="20" hidden="1">'[6]Key-Ind'!#REF!</definedName>
    <definedName name="_117__123Graph_XCHART_16" hidden="1">'[6]Key-Ind'!#REF!</definedName>
    <definedName name="_12__123Graph_ACHART_12" localSheetId="12" hidden="1">'[6]Key-Ind'!#REF!</definedName>
    <definedName name="_12__123Graph_ACHART_12" localSheetId="11" hidden="1">'[6]Key-Ind'!#REF!</definedName>
    <definedName name="_12__123Graph_ACHART_12" localSheetId="20" hidden="1">'[6]Key-Ind'!#REF!</definedName>
    <definedName name="_12__123Graph_ACHART_12" hidden="1">'[6]Key-Ind'!#REF!</definedName>
    <definedName name="_12__123Graph_ACHART_5" localSheetId="12" hidden="1">[6]Fixexp_analysis!#REF!</definedName>
    <definedName name="_12__123Graph_ACHART_5" localSheetId="11" hidden="1">[6]Fixexp_analysis!#REF!</definedName>
    <definedName name="_12__123Graph_ACHART_5" localSheetId="20" hidden="1">[6]Fixexp_analysis!#REF!</definedName>
    <definedName name="_12__123Graph_ACHART_5" hidden="1">[6]Fixexp_analysis!#REF!</definedName>
    <definedName name="_12__123Graph_BChart_4" hidden="1">[2]Model!$C$469:$C$475</definedName>
    <definedName name="_120__123Graph_LBL_BCHART_2" localSheetId="12" hidden="1">[5]keyind!#REF!</definedName>
    <definedName name="_120__123Graph_LBL_BCHART_2" localSheetId="11" hidden="1">[5]keyind!#REF!</definedName>
    <definedName name="_120__123Graph_LBL_BCHART_2" localSheetId="20" hidden="1">[5]keyind!#REF!</definedName>
    <definedName name="_120__123Graph_LBL_BCHART_2" hidden="1">[5]keyind!#REF!</definedName>
    <definedName name="_120__123Graph_XCHART_2" localSheetId="12" hidden="1">[5]keyind!#REF!</definedName>
    <definedName name="_120__123Graph_XCHART_2" localSheetId="11" hidden="1">[5]keyind!#REF!</definedName>
    <definedName name="_120__123Graph_XCHART_2" localSheetId="20" hidden="1">[5]keyind!#REF!</definedName>
    <definedName name="_120__123Graph_XCHART_2" hidden="1">[5]keyind!#REF!</definedName>
    <definedName name="_123__123Graph_LBL_BCHART_3" localSheetId="12" hidden="1">[5]keyind!#REF!</definedName>
    <definedName name="_123__123Graph_LBL_BCHART_3" localSheetId="11" hidden="1">[5]keyind!#REF!</definedName>
    <definedName name="_123__123Graph_LBL_BCHART_3" localSheetId="20" hidden="1">[5]keyind!#REF!</definedName>
    <definedName name="_123__123Graph_LBL_BCHART_3" hidden="1">[5]keyind!#REF!</definedName>
    <definedName name="_123__123Graph_XCHART_3" localSheetId="12" hidden="1">[5]keyind!#REF!</definedName>
    <definedName name="_123__123Graph_XCHART_3" localSheetId="11" hidden="1">[5]keyind!#REF!</definedName>
    <definedName name="_123__123Graph_XCHART_3" localSheetId="20" hidden="1">[5]keyind!#REF!</definedName>
    <definedName name="_123__123Graph_XCHART_3" hidden="1">[5]keyind!#REF!</definedName>
    <definedName name="_126__123Graph_LBL_BCHART_4" localSheetId="12" hidden="1">[5]keyind!#REF!</definedName>
    <definedName name="_126__123Graph_LBL_BCHART_4" localSheetId="11" hidden="1">[5]keyind!#REF!</definedName>
    <definedName name="_126__123Graph_LBL_BCHART_4" localSheetId="20" hidden="1">[5]keyind!#REF!</definedName>
    <definedName name="_126__123Graph_LBL_BCHART_4" hidden="1">[5]keyind!#REF!</definedName>
    <definedName name="_126__123Graph_XCHART_4" localSheetId="12" hidden="1">[5]keyind!#REF!</definedName>
    <definedName name="_126__123Graph_XCHART_4" localSheetId="11" hidden="1">[5]keyind!#REF!</definedName>
    <definedName name="_126__123Graph_XCHART_4" localSheetId="20" hidden="1">[5]keyind!#REF!</definedName>
    <definedName name="_126__123Graph_XCHART_4" hidden="1">[5]keyind!#REF!</definedName>
    <definedName name="_128__123Graph_XCHART_5" localSheetId="12" hidden="1">'[6]Key-Ind'!#REF!</definedName>
    <definedName name="_128__123Graph_XCHART_5" localSheetId="11" hidden="1">'[6]Key-Ind'!#REF!</definedName>
    <definedName name="_128__123Graph_XCHART_5" localSheetId="20" hidden="1">'[6]Key-Ind'!#REF!</definedName>
    <definedName name="_128__123Graph_XCHART_5" hidden="1">'[6]Key-Ind'!#REF!</definedName>
    <definedName name="_129__123Graph_XCHART_1" localSheetId="12" hidden="1">[5]keyind!#REF!</definedName>
    <definedName name="_129__123Graph_XCHART_1" localSheetId="11" hidden="1">[5]keyind!#REF!</definedName>
    <definedName name="_129__123Graph_XCHART_1" localSheetId="20" hidden="1">[5]keyind!#REF!</definedName>
    <definedName name="_129__123Graph_XCHART_1" hidden="1">[5]keyind!#REF!</definedName>
    <definedName name="_13__123Graph_ACHART_14" localSheetId="12" hidden="1">'[6]Key-Ind'!#REF!</definedName>
    <definedName name="_13__123Graph_ACHART_14" localSheetId="11" hidden="1">'[6]Key-Ind'!#REF!</definedName>
    <definedName name="_13__123Graph_ACHART_14" localSheetId="20" hidden="1">'[6]Key-Ind'!#REF!</definedName>
    <definedName name="_13__123Graph_ACHART_14" hidden="1">'[6]Key-Ind'!#REF!</definedName>
    <definedName name="_13__123Graph_ACHART_6" localSheetId="12" hidden="1">[5]keyind!#REF!</definedName>
    <definedName name="_13__123Graph_ACHART_6" localSheetId="11" hidden="1">[5]keyind!#REF!</definedName>
    <definedName name="_13__123Graph_ACHART_6" localSheetId="20" hidden="1">[5]keyind!#REF!</definedName>
    <definedName name="_13__123Graph_ACHART_6" hidden="1">[5]keyind!#REF!</definedName>
    <definedName name="_13__123Graph_XChart_2" hidden="1">[2]Model!$A$453:$A$462</definedName>
    <definedName name="_130__123Graph_XCHART_6" localSheetId="12" hidden="1">'[6]Key-Ind'!#REF!</definedName>
    <definedName name="_130__123Graph_XCHART_6" localSheetId="11" hidden="1">'[6]Key-Ind'!#REF!</definedName>
    <definedName name="_130__123Graph_XCHART_6" localSheetId="20" hidden="1">'[6]Key-Ind'!#REF!</definedName>
    <definedName name="_130__123Graph_XCHART_6" hidden="1">'[6]Key-Ind'!#REF!</definedName>
    <definedName name="_132__123Graph_XCHART_10" localSheetId="12" hidden="1">[6]Fixexp_analysis!#REF!</definedName>
    <definedName name="_132__123Graph_XCHART_10" localSheetId="11" hidden="1">[6]Fixexp_analysis!#REF!</definedName>
    <definedName name="_132__123Graph_XCHART_10" localSheetId="20" hidden="1">[6]Fixexp_analysis!#REF!</definedName>
    <definedName name="_132__123Graph_XCHART_10" hidden="1">[6]Fixexp_analysis!#REF!</definedName>
    <definedName name="_133__123Graph_XCHART_7" localSheetId="12" hidden="1">[5]keyind!#REF!</definedName>
    <definedName name="_133__123Graph_XCHART_7" localSheetId="11" hidden="1">[5]keyind!#REF!</definedName>
    <definedName name="_133__123Graph_XCHART_7" localSheetId="20" hidden="1">[5]keyind!#REF!</definedName>
    <definedName name="_133__123Graph_XCHART_7" hidden="1">[5]keyind!#REF!</definedName>
    <definedName name="_135__123Graph_XCHART_11" localSheetId="12" hidden="1">[6]Fixexp_analysis!#REF!</definedName>
    <definedName name="_135__123Graph_XCHART_11" localSheetId="11" hidden="1">[6]Fixexp_analysis!#REF!</definedName>
    <definedName name="_135__123Graph_XCHART_11" localSheetId="20" hidden="1">[6]Fixexp_analysis!#REF!</definedName>
    <definedName name="_135__123Graph_XCHART_11" hidden="1">[6]Fixexp_analysis!#REF!</definedName>
    <definedName name="_135__123Graph_XCHART_8" localSheetId="12" hidden="1">'[6]Key-Ind'!#REF!</definedName>
    <definedName name="_135__123Graph_XCHART_8" localSheetId="11" hidden="1">'[6]Key-Ind'!#REF!</definedName>
    <definedName name="_135__123Graph_XCHART_8" localSheetId="20" hidden="1">'[6]Key-Ind'!#REF!</definedName>
    <definedName name="_135__123Graph_XCHART_8" hidden="1">'[6]Key-Ind'!#REF!</definedName>
    <definedName name="_137__123Graph_XCHART_9" localSheetId="12" hidden="1">[6]Fixexp_analysis!#REF!</definedName>
    <definedName name="_137__123Graph_XCHART_9" localSheetId="11" hidden="1">[6]Fixexp_analysis!#REF!</definedName>
    <definedName name="_137__123Graph_XCHART_9" localSheetId="20" hidden="1">[6]Fixexp_analysis!#REF!</definedName>
    <definedName name="_137__123Graph_XCHART_9" hidden="1">[6]Fixexp_analysis!#REF!</definedName>
    <definedName name="_138__123Graph_XCHART_12" localSheetId="12" hidden="1">'[6]Key-Ind'!#REF!</definedName>
    <definedName name="_138__123Graph_XCHART_12" localSheetId="11" hidden="1">'[6]Key-Ind'!#REF!</definedName>
    <definedName name="_138__123Graph_XCHART_12" localSheetId="20" hidden="1">'[6]Key-Ind'!#REF!</definedName>
    <definedName name="_138__123Graph_XCHART_12" hidden="1">'[6]Key-Ind'!#REF!</definedName>
    <definedName name="_14__123Graph_AChart_2" hidden="1">[2]Model!$B$453:$B$462</definedName>
    <definedName name="_14__123Graph_ACHART_3" localSheetId="12" hidden="1">[5]keyind!#REF!</definedName>
    <definedName name="_14__123Graph_ACHART_3" localSheetId="11" hidden="1">[5]keyind!#REF!</definedName>
    <definedName name="_14__123Graph_ACHART_3" localSheetId="20" hidden="1">[5]keyind!#REF!</definedName>
    <definedName name="_14__123Graph_ACHART_3" hidden="1">[5]keyind!#REF!</definedName>
    <definedName name="_14__123Graph_ACHART_7" localSheetId="12" hidden="1">[5]keyind!#REF!</definedName>
    <definedName name="_14__123Graph_ACHART_7" localSheetId="11" hidden="1">[5]keyind!#REF!</definedName>
    <definedName name="_14__123Graph_ACHART_7" localSheetId="20" hidden="1">[5]keyind!#REF!</definedName>
    <definedName name="_14__123Graph_ACHART_7" hidden="1">[5]keyind!#REF!</definedName>
    <definedName name="_14__123Graph_XChart_3" hidden="1">[2]Model!$A$483:$A$489</definedName>
    <definedName name="_141__123Graph_XCHART_13" localSheetId="12" hidden="1">'[6]Key-Ind'!#REF!</definedName>
    <definedName name="_141__123Graph_XCHART_13" localSheetId="11" hidden="1">'[6]Key-Ind'!#REF!</definedName>
    <definedName name="_141__123Graph_XCHART_13" localSheetId="20" hidden="1">'[6]Key-Ind'!#REF!</definedName>
    <definedName name="_141__123Graph_XCHART_13" hidden="1">'[6]Key-Ind'!#REF!</definedName>
    <definedName name="_144__123Graph_XCHART_14" localSheetId="12" hidden="1">'[6]Key-Ind'!#REF!</definedName>
    <definedName name="_144__123Graph_XCHART_14" localSheetId="11" hidden="1">'[6]Key-Ind'!#REF!</definedName>
    <definedName name="_144__123Graph_XCHART_14" localSheetId="20" hidden="1">'[6]Key-Ind'!#REF!</definedName>
    <definedName name="_144__123Graph_XCHART_14" hidden="1">'[6]Key-Ind'!#REF!</definedName>
    <definedName name="_147__123Graph_XCHART_15" localSheetId="12" hidden="1">'[6]Key-Ind'!#REF!</definedName>
    <definedName name="_147__123Graph_XCHART_15" localSheetId="11" hidden="1">'[6]Key-Ind'!#REF!</definedName>
    <definedName name="_147__123Graph_XCHART_15" localSheetId="20" hidden="1">'[6]Key-Ind'!#REF!</definedName>
    <definedName name="_147__123Graph_XCHART_15" hidden="1">'[6]Key-Ind'!#REF!</definedName>
    <definedName name="_15__123Graph_ACHART_13" localSheetId="12" hidden="1">'[6]Key-Ind'!#REF!</definedName>
    <definedName name="_15__123Graph_ACHART_13" localSheetId="11" hidden="1">'[6]Key-Ind'!#REF!</definedName>
    <definedName name="_15__123Graph_ACHART_13" localSheetId="20" hidden="1">'[6]Key-Ind'!#REF!</definedName>
    <definedName name="_15__123Graph_ACHART_13" hidden="1">'[6]Key-Ind'!#REF!</definedName>
    <definedName name="_15__123Graph_ACHART_15" localSheetId="12" hidden="1">'[6]Key-Ind'!#REF!</definedName>
    <definedName name="_15__123Graph_ACHART_15" localSheetId="11" hidden="1">'[6]Key-Ind'!#REF!</definedName>
    <definedName name="_15__123Graph_ACHART_15" localSheetId="20" hidden="1">'[6]Key-Ind'!#REF!</definedName>
    <definedName name="_15__123Graph_ACHART_15" hidden="1">'[6]Key-Ind'!#REF!</definedName>
    <definedName name="_15__123Graph_AChart_2" hidden="1">[2]Model!$B$453:$B$462</definedName>
    <definedName name="_15__123Graph_AChart_3" hidden="1">[2]Model!$B$483:$B$489</definedName>
    <definedName name="_15__123Graph_ACHART_8" localSheetId="12" hidden="1">[6]Fixexp_analysis!#REF!</definedName>
    <definedName name="_15__123Graph_ACHART_8" localSheetId="11" hidden="1">[6]Fixexp_analysis!#REF!</definedName>
    <definedName name="_15__123Graph_ACHART_8" localSheetId="20" hidden="1">[6]Fixexp_analysis!#REF!</definedName>
    <definedName name="_15__123Graph_ACHART_8" hidden="1">[6]Fixexp_analysis!#REF!</definedName>
    <definedName name="_15__123Graph_XChart_4" hidden="1">[2]Model!$A$469:$A$475</definedName>
    <definedName name="_150__123Graph_XCHART_16" localSheetId="12" hidden="1">'[6]Key-Ind'!#REF!</definedName>
    <definedName name="_150__123Graph_XCHART_16" localSheetId="11" hidden="1">'[6]Key-Ind'!#REF!</definedName>
    <definedName name="_150__123Graph_XCHART_16" localSheetId="20" hidden="1">'[6]Key-Ind'!#REF!</definedName>
    <definedName name="_150__123Graph_XCHART_16" hidden="1">'[6]Key-Ind'!#REF!</definedName>
    <definedName name="_153__123Graph_XCHART_2" localSheetId="12" hidden="1">[5]keyind!#REF!</definedName>
    <definedName name="_153__123Graph_XCHART_2" localSheetId="11" hidden="1">[5]keyind!#REF!</definedName>
    <definedName name="_153__123Graph_XCHART_2" localSheetId="20" hidden="1">[5]keyind!#REF!</definedName>
    <definedName name="_153__123Graph_XCHART_2" hidden="1">[5]keyind!#REF!</definedName>
    <definedName name="_156__123Graph_XCHART_3" localSheetId="12" hidden="1">[5]keyind!#REF!</definedName>
    <definedName name="_156__123Graph_XCHART_3" localSheetId="11" hidden="1">[5]keyind!#REF!</definedName>
    <definedName name="_156__123Graph_XCHART_3" localSheetId="20" hidden="1">[5]keyind!#REF!</definedName>
    <definedName name="_156__123Graph_XCHART_3" hidden="1">[5]keyind!#REF!</definedName>
    <definedName name="_159__123Graph_XCHART_4" localSheetId="12" hidden="1">[5]keyind!#REF!</definedName>
    <definedName name="_159__123Graph_XCHART_4" localSheetId="11" hidden="1">[5]keyind!#REF!</definedName>
    <definedName name="_159__123Graph_XCHART_4" localSheetId="20" hidden="1">[5]keyind!#REF!</definedName>
    <definedName name="_159__123Graph_XCHART_4" hidden="1">[5]keyind!#REF!</definedName>
    <definedName name="_16__123Graph_AChart_3" hidden="1">[2]Model!$B$483:$B$489</definedName>
    <definedName name="_16__123Graph_AChart_4" hidden="1">[2]Model!$B$469:$B$475</definedName>
    <definedName name="_16__123Graph_ACHART_9" localSheetId="12" hidden="1">[6]Fixexp_analysis!#REF!</definedName>
    <definedName name="_16__123Graph_ACHART_9" localSheetId="11" hidden="1">[6]Fixexp_analysis!#REF!</definedName>
    <definedName name="_16__123Graph_ACHART_9" localSheetId="20" hidden="1">[6]Fixexp_analysis!#REF!</definedName>
    <definedName name="_16__123Graph_ACHART_9" hidden="1">[6]Fixexp_analysis!#REF!</definedName>
    <definedName name="_162__123Graph_XCHART_5" localSheetId="12" hidden="1">'[6]Key-Ind'!#REF!</definedName>
    <definedName name="_162__123Graph_XCHART_5" localSheetId="11" hidden="1">'[6]Key-Ind'!#REF!</definedName>
    <definedName name="_162__123Graph_XCHART_5" localSheetId="20" hidden="1">'[6]Key-Ind'!#REF!</definedName>
    <definedName name="_162__123Graph_XCHART_5" hidden="1">'[6]Key-Ind'!#REF!</definedName>
    <definedName name="_165__123Graph_XCHART_6" localSheetId="12" hidden="1">'[6]Key-Ind'!#REF!</definedName>
    <definedName name="_165__123Graph_XCHART_6" localSheetId="11" hidden="1">'[6]Key-Ind'!#REF!</definedName>
    <definedName name="_165__123Graph_XCHART_6" localSheetId="20" hidden="1">'[6]Key-Ind'!#REF!</definedName>
    <definedName name="_165__123Graph_XCHART_6" hidden="1">'[6]Key-Ind'!#REF!</definedName>
    <definedName name="_168__123Graph_XCHART_7" localSheetId="12" hidden="1">[5]keyind!#REF!</definedName>
    <definedName name="_168__123Graph_XCHART_7" localSheetId="11" hidden="1">[5]keyind!#REF!</definedName>
    <definedName name="_168__123Graph_XCHART_7" localSheetId="20" hidden="1">[5]keyind!#REF!</definedName>
    <definedName name="_168__123Graph_XCHART_7" hidden="1">[5]keyind!#REF!</definedName>
    <definedName name="_17__123Graph_ACHART_16" localSheetId="12" hidden="1">'[6]Key-Ind'!#REF!</definedName>
    <definedName name="_17__123Graph_ACHART_16" localSheetId="11" hidden="1">'[6]Key-Ind'!#REF!</definedName>
    <definedName name="_17__123Graph_ACHART_16" localSheetId="20" hidden="1">'[6]Key-Ind'!#REF!</definedName>
    <definedName name="_17__123Graph_ACHART_16" hidden="1">'[6]Key-Ind'!#REF!</definedName>
    <definedName name="_17__123Graph_AChart_4" hidden="1">[2]Model!$B$469:$B$475</definedName>
    <definedName name="_17__123Graph_BCHART_1" localSheetId="12" hidden="1">[5]keyind!#REF!</definedName>
    <definedName name="_17__123Graph_BCHART_1" localSheetId="11" hidden="1">[5]keyind!#REF!</definedName>
    <definedName name="_17__123Graph_BCHART_1" localSheetId="20" hidden="1">[5]keyind!#REF!</definedName>
    <definedName name="_17__123Graph_BCHART_1" hidden="1">[5]keyind!#REF!</definedName>
    <definedName name="_17__123Graph_BChart_3" hidden="1">[2]Model!$C$483:$C$489</definedName>
    <definedName name="_171__123Graph_XCHART_8" localSheetId="12" hidden="1">'[6]Key-Ind'!#REF!</definedName>
    <definedName name="_171__123Graph_XCHART_8" localSheetId="11" hidden="1">'[6]Key-Ind'!#REF!</definedName>
    <definedName name="_171__123Graph_XCHART_8" localSheetId="20" hidden="1">'[6]Key-Ind'!#REF!</definedName>
    <definedName name="_171__123Graph_XCHART_8" hidden="1">'[6]Key-Ind'!#REF!</definedName>
    <definedName name="_174__123Graph_XCHART_9" localSheetId="12" hidden="1">[6]Fixexp_analysis!#REF!</definedName>
    <definedName name="_174__123Graph_XCHART_9" localSheetId="11" hidden="1">[6]Fixexp_analysis!#REF!</definedName>
    <definedName name="_174__123Graph_XCHART_9" localSheetId="20" hidden="1">[6]Fixexp_analysis!#REF!</definedName>
    <definedName name="_174__123Graph_XCHART_9" hidden="1">[6]Fixexp_analysis!#REF!</definedName>
    <definedName name="_18__123Graph_ACHART_14" localSheetId="12" hidden="1">'[6]Key-Ind'!#REF!</definedName>
    <definedName name="_18__123Graph_ACHART_14" localSheetId="11" hidden="1">'[6]Key-Ind'!#REF!</definedName>
    <definedName name="_18__123Graph_ACHART_14" localSheetId="20" hidden="1">'[6]Key-Ind'!#REF!</definedName>
    <definedName name="_18__123Graph_ACHART_14" hidden="1">'[6]Key-Ind'!#REF!</definedName>
    <definedName name="_18__123Graph_ACHART_5" localSheetId="12" hidden="1">[6]Fixexp_analysis!#REF!</definedName>
    <definedName name="_18__123Graph_ACHART_5" localSheetId="11" hidden="1">[6]Fixexp_analysis!#REF!</definedName>
    <definedName name="_18__123Graph_ACHART_5" localSheetId="20" hidden="1">[6]Fixexp_analysis!#REF!</definedName>
    <definedName name="_18__123Graph_ACHART_5" hidden="1">[6]Fixexp_analysis!#REF!</definedName>
    <definedName name="_18__123Graph_BCHART_2" localSheetId="12" hidden="1">[5]keyind!#REF!</definedName>
    <definedName name="_18__123Graph_BCHART_2" localSheetId="11" hidden="1">[5]keyind!#REF!</definedName>
    <definedName name="_18__123Graph_BCHART_2" localSheetId="20" hidden="1">[5]keyind!#REF!</definedName>
    <definedName name="_18__123Graph_BCHART_2" hidden="1">[5]keyind!#REF!</definedName>
    <definedName name="_18__123Graph_BChart_3" hidden="1">[2]Model!$C$483:$C$489</definedName>
    <definedName name="_18__123Graph_BChart_4" hidden="1">[2]Model!$C$469:$C$475</definedName>
    <definedName name="_19__123Graph_ACHART_2" localSheetId="12" hidden="1">[5]keyind!#REF!</definedName>
    <definedName name="_19__123Graph_ACHART_2" localSheetId="11" hidden="1">[5]keyind!#REF!</definedName>
    <definedName name="_19__123Graph_ACHART_2" localSheetId="20" hidden="1">[5]keyind!#REF!</definedName>
    <definedName name="_19__123Graph_ACHART_2" hidden="1">[5]keyind!#REF!</definedName>
    <definedName name="_19__123Graph_BCHART_3" localSheetId="12" hidden="1">[5]keyind!#REF!</definedName>
    <definedName name="_19__123Graph_BCHART_3" localSheetId="11" hidden="1">[5]keyind!#REF!</definedName>
    <definedName name="_19__123Graph_BCHART_3" localSheetId="20" hidden="1">[5]keyind!#REF!</definedName>
    <definedName name="_19__123Graph_BCHART_3" hidden="1">[5]keyind!#REF!</definedName>
    <definedName name="_19__123Graph_BChart_4" hidden="1">[2]Model!$C$469:$C$475</definedName>
    <definedName name="_19__123Graph_XChart_2" hidden="1">[2]Model!$A$453:$A$462</definedName>
    <definedName name="_2__123Graph_ACHART_10" localSheetId="12" hidden="1">[6]Fixexp_analysis!#REF!</definedName>
    <definedName name="_2__123Graph_ACHART_10" localSheetId="11" hidden="1">[6]Fixexp_analysis!#REF!</definedName>
    <definedName name="_2__123Graph_ACHART_10" localSheetId="20" hidden="1">[6]Fixexp_analysis!#REF!</definedName>
    <definedName name="_2__123Graph_ACHART_10" hidden="1">[6]Fixexp_analysis!#REF!</definedName>
    <definedName name="_20__123Graph_BCHART_4" localSheetId="12" hidden="1">[5]keyind!#REF!</definedName>
    <definedName name="_20__123Graph_BCHART_4" localSheetId="11" hidden="1">[5]keyind!#REF!</definedName>
    <definedName name="_20__123Graph_BCHART_4" localSheetId="20" hidden="1">[5]keyind!#REF!</definedName>
    <definedName name="_20__123Graph_BCHART_4" hidden="1">[5]keyind!#REF!</definedName>
    <definedName name="_20__123Graph_XChart_2" hidden="1">[2]Model!$A$453:$A$462</definedName>
    <definedName name="_20__123Graph_XChart_3" hidden="1">[2]Model!$A$483:$A$489</definedName>
    <definedName name="_21__123Graph_ACHART_15" localSheetId="12" hidden="1">'[6]Key-Ind'!#REF!</definedName>
    <definedName name="_21__123Graph_ACHART_15" localSheetId="11" hidden="1">'[6]Key-Ind'!#REF!</definedName>
    <definedName name="_21__123Graph_ACHART_15" localSheetId="20" hidden="1">'[6]Key-Ind'!#REF!</definedName>
    <definedName name="_21__123Graph_ACHART_15" hidden="1">'[6]Key-Ind'!#REF!</definedName>
    <definedName name="_21__123Graph_ACHART_6" localSheetId="12" hidden="1">[5]keyind!#REF!</definedName>
    <definedName name="_21__123Graph_ACHART_6" localSheetId="11" hidden="1">[5]keyind!#REF!</definedName>
    <definedName name="_21__123Graph_ACHART_6" localSheetId="20" hidden="1">[5]keyind!#REF!</definedName>
    <definedName name="_21__123Graph_ACHART_6" hidden="1">[5]keyind!#REF!</definedName>
    <definedName name="_21__123Graph_BCHART_6" localSheetId="12" hidden="1">[5]keyind!#REF!</definedName>
    <definedName name="_21__123Graph_BCHART_6" localSheetId="11" hidden="1">[5]keyind!#REF!</definedName>
    <definedName name="_21__123Graph_BCHART_6" localSheetId="20" hidden="1">[5]keyind!#REF!</definedName>
    <definedName name="_21__123Graph_BCHART_6" hidden="1">[5]keyind!#REF!</definedName>
    <definedName name="_21__123Graph_XChart_3" hidden="1">[2]Model!$A$483:$A$489</definedName>
    <definedName name="_21__123Graph_XChart_4" hidden="1">[2]Model!$A$469:$A$475</definedName>
    <definedName name="_22__123Graph_AChart_2" hidden="1">[2]Model!$B$453:$B$462</definedName>
    <definedName name="_22__123Graph_ACHART_3" localSheetId="12" hidden="1">[5]keyind!#REF!</definedName>
    <definedName name="_22__123Graph_ACHART_3" localSheetId="11" hidden="1">[5]keyind!#REF!</definedName>
    <definedName name="_22__123Graph_ACHART_3" localSheetId="20" hidden="1">[5]keyind!#REF!</definedName>
    <definedName name="_22__123Graph_ACHART_3" hidden="1">[5]keyind!#REF!</definedName>
    <definedName name="_22__123Graph_BCHART_7" localSheetId="12" hidden="1">[5]keyind!#REF!</definedName>
    <definedName name="_22__123Graph_BCHART_7" localSheetId="11" hidden="1">[5]keyind!#REF!</definedName>
    <definedName name="_22__123Graph_BCHART_7" localSheetId="20" hidden="1">[5]keyind!#REF!</definedName>
    <definedName name="_22__123Graph_BCHART_7" hidden="1">[5]keyind!#REF!</definedName>
    <definedName name="_22__123Graph_XChart_4" hidden="1">[2]Model!$A$469:$A$475</definedName>
    <definedName name="_23__123Graph_AChart_3" hidden="1">[2]Model!$B$483:$B$489</definedName>
    <definedName name="_23__123Graph_LBL_ACHART_1" localSheetId="12" hidden="1">[5]keyind!#REF!</definedName>
    <definedName name="_23__123Graph_LBL_ACHART_1" localSheetId="11" hidden="1">[5]keyind!#REF!</definedName>
    <definedName name="_23__123Graph_LBL_ACHART_1" localSheetId="20" hidden="1">[5]keyind!#REF!</definedName>
    <definedName name="_23__123Graph_LBL_ACHART_1" hidden="1">[5]keyind!#REF!</definedName>
    <definedName name="_24__123Graph_ACHART_16" localSheetId="12" hidden="1">'[6]Key-Ind'!#REF!</definedName>
    <definedName name="_24__123Graph_ACHART_16" localSheetId="11" hidden="1">'[6]Key-Ind'!#REF!</definedName>
    <definedName name="_24__123Graph_ACHART_16" localSheetId="20" hidden="1">'[6]Key-Ind'!#REF!</definedName>
    <definedName name="_24__123Graph_ACHART_16" hidden="1">'[6]Key-Ind'!#REF!</definedName>
    <definedName name="_24__123Graph_AChart_4" hidden="1">[2]Model!$B$469:$B$475</definedName>
    <definedName name="_24__123Graph_ACHART_7" localSheetId="12" hidden="1">[5]keyind!#REF!</definedName>
    <definedName name="_24__123Graph_ACHART_7" localSheetId="11" hidden="1">[5]keyind!#REF!</definedName>
    <definedName name="_24__123Graph_ACHART_7" localSheetId="20" hidden="1">[5]keyind!#REF!</definedName>
    <definedName name="_24__123Graph_ACHART_7" hidden="1">[5]keyind!#REF!</definedName>
    <definedName name="_24__123Graph_LBL_ACHART_10" localSheetId="12" hidden="1">[6]Fixexp_analysis!#REF!</definedName>
    <definedName name="_24__123Graph_LBL_ACHART_10" localSheetId="11" hidden="1">[6]Fixexp_analysis!#REF!</definedName>
    <definedName name="_24__123Graph_LBL_ACHART_10" localSheetId="20" hidden="1">[6]Fixexp_analysis!#REF!</definedName>
    <definedName name="_24__123Graph_LBL_ACHART_10" hidden="1">[6]Fixexp_analysis!#REF!</definedName>
    <definedName name="_25__123Graph_ACHART_4" localSheetId="12" hidden="1">[5]keyind!#REF!</definedName>
    <definedName name="_25__123Graph_ACHART_4" localSheetId="11" hidden="1">[5]keyind!#REF!</definedName>
    <definedName name="_25__123Graph_ACHART_4" localSheetId="20" hidden="1">[5]keyind!#REF!</definedName>
    <definedName name="_25__123Graph_ACHART_4" hidden="1">[5]keyind!#REF!</definedName>
    <definedName name="_25__123Graph_ACHART_8" localSheetId="12" hidden="1">[6]Fixexp_analysis!#REF!</definedName>
    <definedName name="_25__123Graph_ACHART_8" localSheetId="11" hidden="1">[6]Fixexp_analysis!#REF!</definedName>
    <definedName name="_25__123Graph_ACHART_8" localSheetId="20" hidden="1">[6]Fixexp_analysis!#REF!</definedName>
    <definedName name="_25__123Graph_ACHART_8" hidden="1">[6]Fixexp_analysis!#REF!</definedName>
    <definedName name="_25__123Graph_BChart_3" hidden="1">[2]Model!$C$483:$C$489</definedName>
    <definedName name="_25__123Graph_LBL_ACHART_11" localSheetId="12" hidden="1">[6]Fixexp_analysis!#REF!</definedName>
    <definedName name="_25__123Graph_LBL_ACHART_11" localSheetId="11" hidden="1">[6]Fixexp_analysis!#REF!</definedName>
    <definedName name="_25__123Graph_LBL_ACHART_11" localSheetId="20" hidden="1">[6]Fixexp_analysis!#REF!</definedName>
    <definedName name="_25__123Graph_LBL_ACHART_11" hidden="1">[6]Fixexp_analysis!#REF!</definedName>
    <definedName name="_26__123Graph_ACHART_9" localSheetId="12" hidden="1">[6]Fixexp_analysis!#REF!</definedName>
    <definedName name="_26__123Graph_ACHART_9" localSheetId="11" hidden="1">[6]Fixexp_analysis!#REF!</definedName>
    <definedName name="_26__123Graph_ACHART_9" localSheetId="20" hidden="1">[6]Fixexp_analysis!#REF!</definedName>
    <definedName name="_26__123Graph_ACHART_9" hidden="1">[6]Fixexp_analysis!#REF!</definedName>
    <definedName name="_26__123Graph_BChart_4" hidden="1">[2]Model!$C$469:$C$475</definedName>
    <definedName name="_26__123Graph_LBL_ACHART_12" localSheetId="12" hidden="1">'[6]Key-Ind'!#REF!</definedName>
    <definedName name="_26__123Graph_LBL_ACHART_12" localSheetId="11" hidden="1">'[6]Key-Ind'!#REF!</definedName>
    <definedName name="_26__123Graph_LBL_ACHART_12" localSheetId="20" hidden="1">'[6]Key-Ind'!#REF!</definedName>
    <definedName name="_26__123Graph_LBL_ACHART_12" hidden="1">'[6]Key-Ind'!#REF!</definedName>
    <definedName name="_27__123Graph_ACHART_2" localSheetId="12" hidden="1">[5]keyind!#REF!</definedName>
    <definedName name="_27__123Graph_ACHART_2" localSheetId="11" hidden="1">[5]keyind!#REF!</definedName>
    <definedName name="_27__123Graph_ACHART_2" localSheetId="20" hidden="1">[5]keyind!#REF!</definedName>
    <definedName name="_27__123Graph_ACHART_2" hidden="1">[5]keyind!#REF!</definedName>
    <definedName name="_27__123Graph_ACHART_5" localSheetId="12" hidden="1">[6]Fixexp_analysis!#REF!</definedName>
    <definedName name="_27__123Graph_ACHART_5" localSheetId="11" hidden="1">[6]Fixexp_analysis!#REF!</definedName>
    <definedName name="_27__123Graph_ACHART_5" localSheetId="20" hidden="1">[6]Fixexp_analysis!#REF!</definedName>
    <definedName name="_27__123Graph_ACHART_5" hidden="1">[6]Fixexp_analysis!#REF!</definedName>
    <definedName name="_27__123Graph_LBL_ACHART_13" localSheetId="12" hidden="1">'[6]Key-Ind'!#REF!</definedName>
    <definedName name="_27__123Graph_LBL_ACHART_13" localSheetId="11" hidden="1">'[6]Key-Ind'!#REF!</definedName>
    <definedName name="_27__123Graph_LBL_ACHART_13" localSheetId="20" hidden="1">'[6]Key-Ind'!#REF!</definedName>
    <definedName name="_27__123Graph_LBL_ACHART_13" hidden="1">'[6]Key-Ind'!#REF!</definedName>
    <definedName name="_27__123Graph_XChart_2" hidden="1">[2]Model!$A$453:$A$462</definedName>
    <definedName name="_28__123Graph_AChart_2" hidden="1">[2]Model!$B$453:$B$462</definedName>
    <definedName name="_28__123Graph_LBL_ACHART_14" localSheetId="12" hidden="1">'[6]Key-Ind'!#REF!</definedName>
    <definedName name="_28__123Graph_LBL_ACHART_14" localSheetId="11" hidden="1">'[6]Key-Ind'!#REF!</definedName>
    <definedName name="_28__123Graph_LBL_ACHART_14" localSheetId="20" hidden="1">'[6]Key-Ind'!#REF!</definedName>
    <definedName name="_28__123Graph_LBL_ACHART_14" hidden="1">'[6]Key-Ind'!#REF!</definedName>
    <definedName name="_28__123Graph_XChart_3" hidden="1">[2]Model!$A$483:$A$489</definedName>
    <definedName name="_29__123Graph_AChart_3" hidden="1">[2]Model!$B$483:$B$489</definedName>
    <definedName name="_29__123Graph_BCHART_1" localSheetId="12" hidden="1">[5]keyind!#REF!</definedName>
    <definedName name="_29__123Graph_BCHART_1" localSheetId="11" hidden="1">[5]keyind!#REF!</definedName>
    <definedName name="_29__123Graph_BCHART_1" localSheetId="20" hidden="1">[5]keyind!#REF!</definedName>
    <definedName name="_29__123Graph_BCHART_1" hidden="1">[5]keyind!#REF!</definedName>
    <definedName name="_29__123Graph_LBL_ACHART_15" localSheetId="12" hidden="1">'[6]Key-Ind'!#REF!</definedName>
    <definedName name="_29__123Graph_LBL_ACHART_15" localSheetId="11" hidden="1">'[6]Key-Ind'!#REF!</definedName>
    <definedName name="_29__123Graph_LBL_ACHART_15" localSheetId="20" hidden="1">'[6]Key-Ind'!#REF!</definedName>
    <definedName name="_29__123Graph_LBL_ACHART_15" hidden="1">'[6]Key-Ind'!#REF!</definedName>
    <definedName name="_29__123Graph_XChart_4" hidden="1">[2]Model!$A$469:$A$475</definedName>
    <definedName name="_3__123Graph_ACHART_1" localSheetId="12" hidden="1">[5]keyind!#REF!</definedName>
    <definedName name="_3__123Graph_ACHART_1" localSheetId="11" hidden="1">[5]keyind!#REF!</definedName>
    <definedName name="_3__123Graph_ACHART_1" localSheetId="20" hidden="1">[5]keyind!#REF!</definedName>
    <definedName name="_3__123Graph_ACHART_1" hidden="1">[5]keyind!#REF!</definedName>
    <definedName name="_3__123Graph_ACHART_11" localSheetId="12" hidden="1">[6]Fixexp_analysis!#REF!</definedName>
    <definedName name="_3__123Graph_ACHART_11" localSheetId="11" hidden="1">[6]Fixexp_analysis!#REF!</definedName>
    <definedName name="_3__123Graph_ACHART_11" localSheetId="20" hidden="1">[6]Fixexp_analysis!#REF!</definedName>
    <definedName name="_3__123Graph_ACHART_11" hidden="1">[6]Fixexp_analysis!#REF!</definedName>
    <definedName name="_30__123Graph_ACHART_3" localSheetId="12" hidden="1">[5]keyind!#REF!</definedName>
    <definedName name="_30__123Graph_ACHART_3" localSheetId="11" hidden="1">[5]keyind!#REF!</definedName>
    <definedName name="_30__123Graph_ACHART_3" localSheetId="20" hidden="1">[5]keyind!#REF!</definedName>
    <definedName name="_30__123Graph_ACHART_3" hidden="1">[5]keyind!#REF!</definedName>
    <definedName name="_30__123Graph_AChart_4" hidden="1">[2]Model!$B$469:$B$475</definedName>
    <definedName name="_30__123Graph_ACHART_6" localSheetId="12" hidden="1">[5]keyind!#REF!</definedName>
    <definedName name="_30__123Graph_ACHART_6" localSheetId="11" hidden="1">[5]keyind!#REF!</definedName>
    <definedName name="_30__123Graph_ACHART_6" localSheetId="20" hidden="1">[5]keyind!#REF!</definedName>
    <definedName name="_30__123Graph_ACHART_6" hidden="1">[5]keyind!#REF!</definedName>
    <definedName name="_30__123Graph_BCHART_2" localSheetId="12" hidden="1">[5]keyind!#REF!</definedName>
    <definedName name="_30__123Graph_BCHART_2" localSheetId="11" hidden="1">[5]keyind!#REF!</definedName>
    <definedName name="_30__123Graph_BCHART_2" localSheetId="20" hidden="1">[5]keyind!#REF!</definedName>
    <definedName name="_30__123Graph_BCHART_2" hidden="1">[5]keyind!#REF!</definedName>
    <definedName name="_30__123Graph_LBL_ACHART_16" localSheetId="12" hidden="1">'[6]Key-Ind'!#REF!</definedName>
    <definedName name="_30__123Graph_LBL_ACHART_16" localSheetId="11" hidden="1">'[6]Key-Ind'!#REF!</definedName>
    <definedName name="_30__123Graph_LBL_ACHART_16" localSheetId="20" hidden="1">'[6]Key-Ind'!#REF!</definedName>
    <definedName name="_30__123Graph_LBL_ACHART_16" hidden="1">'[6]Key-Ind'!#REF!</definedName>
    <definedName name="_31__123Graph_BChart_3" hidden="1">[2]Model!$C$483:$C$489</definedName>
    <definedName name="_31__123Graph_LBL_ACHART_2" localSheetId="12" hidden="1">[5]keyind!#REF!</definedName>
    <definedName name="_31__123Graph_LBL_ACHART_2" localSheetId="11" hidden="1">[5]keyind!#REF!</definedName>
    <definedName name="_31__123Graph_LBL_ACHART_2" localSheetId="20" hidden="1">[5]keyind!#REF!</definedName>
    <definedName name="_31__123Graph_LBL_ACHART_2" hidden="1">[5]keyind!#REF!</definedName>
    <definedName name="_32__123Graph_BChart_4" hidden="1">[2]Model!$C$469:$C$475</definedName>
    <definedName name="_32__123Graph_LBL_ACHART_3" localSheetId="12" hidden="1">[5]keyind!#REF!</definedName>
    <definedName name="_32__123Graph_LBL_ACHART_3" localSheetId="11" hidden="1">[5]keyind!#REF!</definedName>
    <definedName name="_32__123Graph_LBL_ACHART_3" localSheetId="20" hidden="1">[5]keyind!#REF!</definedName>
    <definedName name="_32__123Graph_LBL_ACHART_3" hidden="1">[5]keyind!#REF!</definedName>
    <definedName name="_33__123Graph_ACHART_4" localSheetId="12" hidden="1">[5]keyind!#REF!</definedName>
    <definedName name="_33__123Graph_ACHART_4" localSheetId="11" hidden="1">[5]keyind!#REF!</definedName>
    <definedName name="_33__123Graph_ACHART_4" localSheetId="20" hidden="1">[5]keyind!#REF!</definedName>
    <definedName name="_33__123Graph_ACHART_4" hidden="1">[5]keyind!#REF!</definedName>
    <definedName name="_33__123Graph_ACHART_7" localSheetId="12" hidden="1">[5]keyind!#REF!</definedName>
    <definedName name="_33__123Graph_ACHART_7" localSheetId="11" hidden="1">[5]keyind!#REF!</definedName>
    <definedName name="_33__123Graph_ACHART_7" localSheetId="20" hidden="1">[5]keyind!#REF!</definedName>
    <definedName name="_33__123Graph_ACHART_7" hidden="1">[5]keyind!#REF!</definedName>
    <definedName name="_33__123Graph_BCHART_3" localSheetId="12" hidden="1">[5]keyind!#REF!</definedName>
    <definedName name="_33__123Graph_BCHART_3" localSheetId="11" hidden="1">[5]keyind!#REF!</definedName>
    <definedName name="_33__123Graph_BCHART_3" localSheetId="20" hidden="1">[5]keyind!#REF!</definedName>
    <definedName name="_33__123Graph_BCHART_3" hidden="1">[5]keyind!#REF!</definedName>
    <definedName name="_33__123Graph_LBL_ACHART_4" localSheetId="12" hidden="1">[5]keyind!#REF!</definedName>
    <definedName name="_33__123Graph_LBL_ACHART_4" localSheetId="11" hidden="1">[5]keyind!#REF!</definedName>
    <definedName name="_33__123Graph_LBL_ACHART_4" localSheetId="20" hidden="1">[5]keyind!#REF!</definedName>
    <definedName name="_33__123Graph_LBL_ACHART_4" hidden="1">[5]keyind!#REF!</definedName>
    <definedName name="_33__123Graph_XChart_2" hidden="1">[2]Model!$A$453:$A$462</definedName>
    <definedName name="_34__123Graph_AChart_2" hidden="1">[2]Model!$B$453:$B$462</definedName>
    <definedName name="_34__123Graph_LBL_ACHART_5" localSheetId="12" hidden="1">[6]Fixexp_analysis!#REF!</definedName>
    <definedName name="_34__123Graph_LBL_ACHART_5" localSheetId="11" hidden="1">[6]Fixexp_analysis!#REF!</definedName>
    <definedName name="_34__123Graph_LBL_ACHART_5" localSheetId="20" hidden="1">[6]Fixexp_analysis!#REF!</definedName>
    <definedName name="_34__123Graph_LBL_ACHART_5" hidden="1">[6]Fixexp_analysis!#REF!</definedName>
    <definedName name="_34__123Graph_XChart_3" hidden="1">[2]Model!$A$483:$A$489</definedName>
    <definedName name="_35__123Graph_AChart_3" hidden="1">[2]Model!$B$483:$B$489</definedName>
    <definedName name="_35__123Graph_ACHART_8" localSheetId="12" hidden="1">[6]Fixexp_analysis!#REF!</definedName>
    <definedName name="_35__123Graph_ACHART_8" localSheetId="11" hidden="1">[6]Fixexp_analysis!#REF!</definedName>
    <definedName name="_35__123Graph_ACHART_8" localSheetId="20" hidden="1">[6]Fixexp_analysis!#REF!</definedName>
    <definedName name="_35__123Graph_ACHART_8" hidden="1">[6]Fixexp_analysis!#REF!</definedName>
    <definedName name="_35__123Graph_LBL_ACHART_6" localSheetId="12" hidden="1">'[6]Key-Ind'!#REF!</definedName>
    <definedName name="_35__123Graph_LBL_ACHART_6" localSheetId="11" hidden="1">'[6]Key-Ind'!#REF!</definedName>
    <definedName name="_35__123Graph_LBL_ACHART_6" localSheetId="20" hidden="1">'[6]Key-Ind'!#REF!</definedName>
    <definedName name="_35__123Graph_LBL_ACHART_6" hidden="1">'[6]Key-Ind'!#REF!</definedName>
    <definedName name="_35__123Graph_XChart_4" hidden="1">[2]Model!$A$469:$A$475</definedName>
    <definedName name="_36__123Graph_AChart_4" hidden="1">[2]Model!$B$469:$B$475</definedName>
    <definedName name="_36__123Graph_ACHART_5" localSheetId="12" hidden="1">[6]Fixexp_analysis!#REF!</definedName>
    <definedName name="_36__123Graph_ACHART_5" localSheetId="11" hidden="1">[6]Fixexp_analysis!#REF!</definedName>
    <definedName name="_36__123Graph_ACHART_5" localSheetId="20" hidden="1">[6]Fixexp_analysis!#REF!</definedName>
    <definedName name="_36__123Graph_ACHART_5" hidden="1">[6]Fixexp_analysis!#REF!</definedName>
    <definedName name="_36__123Graph_BCHART_4" localSheetId="12" hidden="1">[5]keyind!#REF!</definedName>
    <definedName name="_36__123Graph_BCHART_4" localSheetId="11" hidden="1">[5]keyind!#REF!</definedName>
    <definedName name="_36__123Graph_BCHART_4" localSheetId="20" hidden="1">[5]keyind!#REF!</definedName>
    <definedName name="_36__123Graph_BCHART_4" hidden="1">[5]keyind!#REF!</definedName>
    <definedName name="_36__123Graph_LBL_ACHART_7" localSheetId="12" hidden="1">'[6]Key-Ind'!#REF!</definedName>
    <definedName name="_36__123Graph_LBL_ACHART_7" localSheetId="11" hidden="1">'[6]Key-Ind'!#REF!</definedName>
    <definedName name="_36__123Graph_LBL_ACHART_7" localSheetId="20" hidden="1">'[6]Key-Ind'!#REF!</definedName>
    <definedName name="_36__123Graph_LBL_ACHART_7" hidden="1">'[6]Key-Ind'!#REF!</definedName>
    <definedName name="_37__123Graph_ACHART_9" localSheetId="12" hidden="1">[6]Fixexp_analysis!#REF!</definedName>
    <definedName name="_37__123Graph_ACHART_9" localSheetId="11" hidden="1">[6]Fixexp_analysis!#REF!</definedName>
    <definedName name="_37__123Graph_ACHART_9" localSheetId="20" hidden="1">[6]Fixexp_analysis!#REF!</definedName>
    <definedName name="_37__123Graph_ACHART_9" hidden="1">[6]Fixexp_analysis!#REF!</definedName>
    <definedName name="_37__123Graph_BChart_3" hidden="1">[2]Model!$C$483:$C$489</definedName>
    <definedName name="_37__123Graph_LBL_ACHART_8" localSheetId="12" hidden="1">[6]Fixexp_analysis!#REF!</definedName>
    <definedName name="_37__123Graph_LBL_ACHART_8" localSheetId="11" hidden="1">[6]Fixexp_analysis!#REF!</definedName>
    <definedName name="_37__123Graph_LBL_ACHART_8" localSheetId="20" hidden="1">[6]Fixexp_analysis!#REF!</definedName>
    <definedName name="_37__123Graph_LBL_ACHART_8" hidden="1">[6]Fixexp_analysis!#REF!</definedName>
    <definedName name="_38__123Graph_BChart_4" hidden="1">[2]Model!$C$469:$C$475</definedName>
    <definedName name="_38__123Graph_LBL_ACHART_9" localSheetId="12" hidden="1">[6]Fixexp_analysis!#REF!</definedName>
    <definedName name="_38__123Graph_LBL_ACHART_9" localSheetId="11" hidden="1">[6]Fixexp_analysis!#REF!</definedName>
    <definedName name="_38__123Graph_LBL_ACHART_9" localSheetId="20" hidden="1">[6]Fixexp_analysis!#REF!</definedName>
    <definedName name="_38__123Graph_LBL_ACHART_9" hidden="1">[6]Fixexp_analysis!#REF!</definedName>
    <definedName name="_39__123Graph_ACHART_6" localSheetId="12" hidden="1">[5]keyind!#REF!</definedName>
    <definedName name="_39__123Graph_ACHART_6" localSheetId="11" hidden="1">[5]keyind!#REF!</definedName>
    <definedName name="_39__123Graph_ACHART_6" localSheetId="20" hidden="1">[5]keyind!#REF!</definedName>
    <definedName name="_39__123Graph_ACHART_6" hidden="1">[5]keyind!#REF!</definedName>
    <definedName name="_39__123Graph_BCHART_6" localSheetId="12" hidden="1">[5]keyind!#REF!</definedName>
    <definedName name="_39__123Graph_BCHART_6" localSheetId="11" hidden="1">[5]keyind!#REF!</definedName>
    <definedName name="_39__123Graph_BCHART_6" localSheetId="20" hidden="1">[5]keyind!#REF!</definedName>
    <definedName name="_39__123Graph_BCHART_6" hidden="1">[5]keyind!#REF!</definedName>
    <definedName name="_39__123Graph_LBL_BCHART_1" localSheetId="12" hidden="1">[5]keyind!#REF!</definedName>
    <definedName name="_39__123Graph_LBL_BCHART_1" localSheetId="11" hidden="1">[5]keyind!#REF!</definedName>
    <definedName name="_39__123Graph_LBL_BCHART_1" localSheetId="20" hidden="1">[5]keyind!#REF!</definedName>
    <definedName name="_39__123Graph_LBL_BCHART_1" hidden="1">[5]keyind!#REF!</definedName>
    <definedName name="_39__123Graph_XChart_2" hidden="1">[2]Model!$A$453:$A$462</definedName>
    <definedName name="_4__123Graph_ACHART_10" localSheetId="12" hidden="1">[6]Fixexp_analysis!#REF!</definedName>
    <definedName name="_4__123Graph_ACHART_10" localSheetId="11" hidden="1">[6]Fixexp_analysis!#REF!</definedName>
    <definedName name="_4__123Graph_ACHART_10" localSheetId="20" hidden="1">[6]Fixexp_analysis!#REF!</definedName>
    <definedName name="_4__123Graph_ACHART_10" hidden="1">[6]Fixexp_analysis!#REF!</definedName>
    <definedName name="_4__123Graph_ACHART_12" localSheetId="12" hidden="1">'[6]Key-Ind'!#REF!</definedName>
    <definedName name="_4__123Graph_ACHART_12" localSheetId="11" hidden="1">'[6]Key-Ind'!#REF!</definedName>
    <definedName name="_4__123Graph_ACHART_12" localSheetId="20" hidden="1">'[6]Key-Ind'!#REF!</definedName>
    <definedName name="_4__123Graph_ACHART_12" hidden="1">'[6]Key-Ind'!#REF!</definedName>
    <definedName name="_40__123Graph_BCHART_1" localSheetId="12" hidden="1">[5]keyind!#REF!</definedName>
    <definedName name="_40__123Graph_BCHART_1" localSheetId="11" hidden="1">[5]keyind!#REF!</definedName>
    <definedName name="_40__123Graph_BCHART_1" localSheetId="20" hidden="1">[5]keyind!#REF!</definedName>
    <definedName name="_40__123Graph_BCHART_1" hidden="1">[5]keyind!#REF!</definedName>
    <definedName name="_40__123Graph_LBL_BCHART_2" localSheetId="12" hidden="1">[5]keyind!#REF!</definedName>
    <definedName name="_40__123Graph_LBL_BCHART_2" localSheetId="11" hidden="1">[5]keyind!#REF!</definedName>
    <definedName name="_40__123Graph_LBL_BCHART_2" localSheetId="20" hidden="1">[5]keyind!#REF!</definedName>
    <definedName name="_40__123Graph_LBL_BCHART_2" hidden="1">[5]keyind!#REF!</definedName>
    <definedName name="_40__123Graph_XChart_3" hidden="1">[2]Model!$A$483:$A$489</definedName>
    <definedName name="_41__123Graph_LBL_BCHART_3" localSheetId="12" hidden="1">[5]keyind!#REF!</definedName>
    <definedName name="_41__123Graph_LBL_BCHART_3" localSheetId="11" hidden="1">[5]keyind!#REF!</definedName>
    <definedName name="_41__123Graph_LBL_BCHART_3" localSheetId="20" hidden="1">[5]keyind!#REF!</definedName>
    <definedName name="_41__123Graph_LBL_BCHART_3" hidden="1">[5]keyind!#REF!</definedName>
    <definedName name="_41__123Graph_XChart_4" hidden="1">[2]Model!$A$469:$A$475</definedName>
    <definedName name="_42__123Graph_ACHART_7" localSheetId="12" hidden="1">[5]keyind!#REF!</definedName>
    <definedName name="_42__123Graph_ACHART_7" localSheetId="11" hidden="1">[5]keyind!#REF!</definedName>
    <definedName name="_42__123Graph_ACHART_7" localSheetId="20" hidden="1">[5]keyind!#REF!</definedName>
    <definedName name="_42__123Graph_ACHART_7" hidden="1">[5]keyind!#REF!</definedName>
    <definedName name="_42__123Graph_BCHART_2" localSheetId="12" hidden="1">[5]keyind!#REF!</definedName>
    <definedName name="_42__123Graph_BCHART_2" localSheetId="11" hidden="1">[5]keyind!#REF!</definedName>
    <definedName name="_42__123Graph_BCHART_2" localSheetId="20" hidden="1">[5]keyind!#REF!</definedName>
    <definedName name="_42__123Graph_BCHART_2" hidden="1">[5]keyind!#REF!</definedName>
    <definedName name="_42__123Graph_BCHART_7" localSheetId="12" hidden="1">[5]keyind!#REF!</definedName>
    <definedName name="_42__123Graph_BCHART_7" localSheetId="11" hidden="1">[5]keyind!#REF!</definedName>
    <definedName name="_42__123Graph_BCHART_7" localSheetId="20" hidden="1">[5]keyind!#REF!</definedName>
    <definedName name="_42__123Graph_BCHART_7" hidden="1">[5]keyind!#REF!</definedName>
    <definedName name="_42__123Graph_LBL_BCHART_4" localSheetId="12" hidden="1">[5]keyind!#REF!</definedName>
    <definedName name="_42__123Graph_LBL_BCHART_4" localSheetId="11" hidden="1">[5]keyind!#REF!</definedName>
    <definedName name="_42__123Graph_LBL_BCHART_4" localSheetId="20" hidden="1">[5]keyind!#REF!</definedName>
    <definedName name="_42__123Graph_LBL_BCHART_4" hidden="1">[5]keyind!#REF!</definedName>
    <definedName name="_43__123Graph_XCHART_1" localSheetId="12" hidden="1">[5]keyind!#REF!</definedName>
    <definedName name="_43__123Graph_XCHART_1" localSheetId="11" hidden="1">[5]keyind!#REF!</definedName>
    <definedName name="_43__123Graph_XCHART_1" localSheetId="20" hidden="1">[5]keyind!#REF!</definedName>
    <definedName name="_43__123Graph_XCHART_1" hidden="1">[5]keyind!#REF!</definedName>
    <definedName name="_43B" localSheetId="12">#REF!</definedName>
    <definedName name="_43B" localSheetId="26">#REF!</definedName>
    <definedName name="_43B" localSheetId="11">#REF!</definedName>
    <definedName name="_43B" localSheetId="20">#REF!</definedName>
    <definedName name="_43B">#REF!</definedName>
    <definedName name="_44__123Graph_XCHART_10" localSheetId="12" hidden="1">[6]Fixexp_analysis!#REF!</definedName>
    <definedName name="_44__123Graph_XCHART_10" localSheetId="11" hidden="1">[6]Fixexp_analysis!#REF!</definedName>
    <definedName name="_44__123Graph_XCHART_10" localSheetId="20" hidden="1">[6]Fixexp_analysis!#REF!</definedName>
    <definedName name="_44__123Graph_XCHART_10" hidden="1">[6]Fixexp_analysis!#REF!</definedName>
    <definedName name="_45__123Graph_ACHART_8" localSheetId="12" hidden="1">[6]Fixexp_analysis!#REF!</definedName>
    <definedName name="_45__123Graph_ACHART_8" localSheetId="11" hidden="1">[6]Fixexp_analysis!#REF!</definedName>
    <definedName name="_45__123Graph_ACHART_8" localSheetId="20" hidden="1">[6]Fixexp_analysis!#REF!</definedName>
    <definedName name="_45__123Graph_ACHART_8" hidden="1">[6]Fixexp_analysis!#REF!</definedName>
    <definedName name="_45__123Graph_BCHART_3" localSheetId="12" hidden="1">[5]keyind!#REF!</definedName>
    <definedName name="_45__123Graph_BCHART_3" localSheetId="11" hidden="1">[5]keyind!#REF!</definedName>
    <definedName name="_45__123Graph_BCHART_3" localSheetId="20" hidden="1">[5]keyind!#REF!</definedName>
    <definedName name="_45__123Graph_BCHART_3" hidden="1">[5]keyind!#REF!</definedName>
    <definedName name="_45__123Graph_LBL_ACHART_1" localSheetId="12" hidden="1">[5]keyind!#REF!</definedName>
    <definedName name="_45__123Graph_LBL_ACHART_1" localSheetId="11" hidden="1">[5]keyind!#REF!</definedName>
    <definedName name="_45__123Graph_LBL_ACHART_1" localSheetId="20" hidden="1">[5]keyind!#REF!</definedName>
    <definedName name="_45__123Graph_LBL_ACHART_1" hidden="1">[5]keyind!#REF!</definedName>
    <definedName name="_45__123Graph_XCHART_11" localSheetId="12" hidden="1">[6]Fixexp_analysis!#REF!</definedName>
    <definedName name="_45__123Graph_XCHART_11" localSheetId="11" hidden="1">[6]Fixexp_analysis!#REF!</definedName>
    <definedName name="_45__123Graph_XCHART_11" localSheetId="20" hidden="1">[6]Fixexp_analysis!#REF!</definedName>
    <definedName name="_45__123Graph_XCHART_11" hidden="1">[6]Fixexp_analysis!#REF!</definedName>
    <definedName name="_46__123Graph_LBL_ACHART_10" localSheetId="12" hidden="1">[6]Fixexp_analysis!#REF!</definedName>
    <definedName name="_46__123Graph_LBL_ACHART_10" localSheetId="11" hidden="1">[6]Fixexp_analysis!#REF!</definedName>
    <definedName name="_46__123Graph_LBL_ACHART_10" localSheetId="20" hidden="1">[6]Fixexp_analysis!#REF!</definedName>
    <definedName name="_46__123Graph_LBL_ACHART_10" hidden="1">[6]Fixexp_analysis!#REF!</definedName>
    <definedName name="_46__123Graph_XCHART_12" localSheetId="12" hidden="1">'[6]Key-Ind'!#REF!</definedName>
    <definedName name="_46__123Graph_XCHART_12" localSheetId="11" hidden="1">'[6]Key-Ind'!#REF!</definedName>
    <definedName name="_46__123Graph_XCHART_12" localSheetId="20" hidden="1">'[6]Key-Ind'!#REF!</definedName>
    <definedName name="_46__123Graph_XCHART_12" hidden="1">'[6]Key-Ind'!#REF!</definedName>
    <definedName name="_47__123Graph_LBL_ACHART_11" localSheetId="12" hidden="1">[6]Fixexp_analysis!#REF!</definedName>
    <definedName name="_47__123Graph_LBL_ACHART_11" localSheetId="11" hidden="1">[6]Fixexp_analysis!#REF!</definedName>
    <definedName name="_47__123Graph_LBL_ACHART_11" localSheetId="20" hidden="1">[6]Fixexp_analysis!#REF!</definedName>
    <definedName name="_47__123Graph_LBL_ACHART_11" hidden="1">[6]Fixexp_analysis!#REF!</definedName>
    <definedName name="_47__123Graph_XCHART_13" localSheetId="12" hidden="1">'[6]Key-Ind'!#REF!</definedName>
    <definedName name="_47__123Graph_XCHART_13" localSheetId="11" hidden="1">'[6]Key-Ind'!#REF!</definedName>
    <definedName name="_47__123Graph_XCHART_13" localSheetId="20" hidden="1">'[6]Key-Ind'!#REF!</definedName>
    <definedName name="_47__123Graph_XCHART_13" hidden="1">'[6]Key-Ind'!#REF!</definedName>
    <definedName name="_48__123Graph_AChart_2" hidden="1">[2]Model!$B$453:$B$462</definedName>
    <definedName name="_48__123Graph_ACHART_9" localSheetId="12" hidden="1">[6]Fixexp_analysis!#REF!</definedName>
    <definedName name="_48__123Graph_ACHART_9" localSheetId="11" hidden="1">[6]Fixexp_analysis!#REF!</definedName>
    <definedName name="_48__123Graph_ACHART_9" localSheetId="20" hidden="1">[6]Fixexp_analysis!#REF!</definedName>
    <definedName name="_48__123Graph_ACHART_9" hidden="1">[6]Fixexp_analysis!#REF!</definedName>
    <definedName name="_48__123Graph_BCHART_4" localSheetId="12" hidden="1">[5]keyind!#REF!</definedName>
    <definedName name="_48__123Graph_BCHART_4" localSheetId="11" hidden="1">[5]keyind!#REF!</definedName>
    <definedName name="_48__123Graph_BCHART_4" localSheetId="20" hidden="1">[5]keyind!#REF!</definedName>
    <definedName name="_48__123Graph_BCHART_4" hidden="1">[5]keyind!#REF!</definedName>
    <definedName name="_48__123Graph_LBL_ACHART_12" localSheetId="12" hidden="1">'[6]Key-Ind'!#REF!</definedName>
    <definedName name="_48__123Graph_LBL_ACHART_12" localSheetId="11" hidden="1">'[6]Key-Ind'!#REF!</definedName>
    <definedName name="_48__123Graph_LBL_ACHART_12" localSheetId="20" hidden="1">'[6]Key-Ind'!#REF!</definedName>
    <definedName name="_48__123Graph_LBL_ACHART_12" hidden="1">'[6]Key-Ind'!#REF!</definedName>
    <definedName name="_48__123Graph_XCHART_14" localSheetId="12" hidden="1">'[6]Key-Ind'!#REF!</definedName>
    <definedName name="_48__123Graph_XCHART_14" localSheetId="11" hidden="1">'[6]Key-Ind'!#REF!</definedName>
    <definedName name="_48__123Graph_XCHART_14" localSheetId="20" hidden="1">'[6]Key-Ind'!#REF!</definedName>
    <definedName name="_48__123Graph_XCHART_14" hidden="1">'[6]Key-Ind'!#REF!</definedName>
    <definedName name="_49__123Graph_AChart_3" hidden="1">[2]Model!$B$483:$B$489</definedName>
    <definedName name="_49__123Graph_LBL_ACHART_13" localSheetId="12" hidden="1">'[6]Key-Ind'!#REF!</definedName>
    <definedName name="_49__123Graph_LBL_ACHART_13" localSheetId="11" hidden="1">'[6]Key-Ind'!#REF!</definedName>
    <definedName name="_49__123Graph_LBL_ACHART_13" localSheetId="20" hidden="1">'[6]Key-Ind'!#REF!</definedName>
    <definedName name="_49__123Graph_LBL_ACHART_13" hidden="1">'[6]Key-Ind'!#REF!</definedName>
    <definedName name="_49__123Graph_XCHART_15" localSheetId="12" hidden="1">'[6]Key-Ind'!#REF!</definedName>
    <definedName name="_49__123Graph_XCHART_15" localSheetId="11" hidden="1">'[6]Key-Ind'!#REF!</definedName>
    <definedName name="_49__123Graph_XCHART_15" localSheetId="20" hidden="1">'[6]Key-Ind'!#REF!</definedName>
    <definedName name="_49__123Graph_XCHART_15" hidden="1">'[6]Key-Ind'!#REF!</definedName>
    <definedName name="_5__123Graph_ACHART_10" localSheetId="12" hidden="1">[6]Fixexp_analysis!#REF!</definedName>
    <definedName name="_5__123Graph_ACHART_10" localSheetId="11" hidden="1">[6]Fixexp_analysis!#REF!</definedName>
    <definedName name="_5__123Graph_ACHART_10" localSheetId="20" hidden="1">[6]Fixexp_analysis!#REF!</definedName>
    <definedName name="_5__123Graph_ACHART_10" hidden="1">[6]Fixexp_analysis!#REF!</definedName>
    <definedName name="_5__123Graph_ACHART_11" localSheetId="12" hidden="1">[6]Fixexp_analysis!#REF!</definedName>
    <definedName name="_5__123Graph_ACHART_11" localSheetId="11" hidden="1">[6]Fixexp_analysis!#REF!</definedName>
    <definedName name="_5__123Graph_ACHART_11" localSheetId="20" hidden="1">[6]Fixexp_analysis!#REF!</definedName>
    <definedName name="_5__123Graph_ACHART_11" hidden="1">[6]Fixexp_analysis!#REF!</definedName>
    <definedName name="_5__123Graph_ACHART_13" localSheetId="12" hidden="1">'[6]Key-Ind'!#REF!</definedName>
    <definedName name="_5__123Graph_ACHART_13" localSheetId="11" hidden="1">'[6]Key-Ind'!#REF!</definedName>
    <definedName name="_5__123Graph_ACHART_13" localSheetId="20" hidden="1">'[6]Key-Ind'!#REF!</definedName>
    <definedName name="_5__123Graph_ACHART_13" hidden="1">'[6]Key-Ind'!#REF!</definedName>
    <definedName name="_50__123Graph_AChart_4" hidden="1">[2]Model!$B$469:$B$475</definedName>
    <definedName name="_50__123Graph_LBL_ACHART_14" localSheetId="12" hidden="1">'[6]Key-Ind'!#REF!</definedName>
    <definedName name="_50__123Graph_LBL_ACHART_14" localSheetId="11" hidden="1">'[6]Key-Ind'!#REF!</definedName>
    <definedName name="_50__123Graph_LBL_ACHART_14" localSheetId="20" hidden="1">'[6]Key-Ind'!#REF!</definedName>
    <definedName name="_50__123Graph_LBL_ACHART_14" hidden="1">'[6]Key-Ind'!#REF!</definedName>
    <definedName name="_50__123Graph_XCHART_16" localSheetId="12" hidden="1">'[6]Key-Ind'!#REF!</definedName>
    <definedName name="_50__123Graph_XCHART_16" localSheetId="11" hidden="1">'[6]Key-Ind'!#REF!</definedName>
    <definedName name="_50__123Graph_XCHART_16" localSheetId="20" hidden="1">'[6]Key-Ind'!#REF!</definedName>
    <definedName name="_50__123Graph_XCHART_16" hidden="1">'[6]Key-Ind'!#REF!</definedName>
    <definedName name="_51__123Graph_BCHART_1" localSheetId="12" hidden="1">[5]keyind!#REF!</definedName>
    <definedName name="_51__123Graph_BCHART_1" localSheetId="11" hidden="1">[5]keyind!#REF!</definedName>
    <definedName name="_51__123Graph_BCHART_1" localSheetId="20" hidden="1">[5]keyind!#REF!</definedName>
    <definedName name="_51__123Graph_BCHART_1" hidden="1">[5]keyind!#REF!</definedName>
    <definedName name="_51__123Graph_BCHART_6" localSheetId="12" hidden="1">[5]keyind!#REF!</definedName>
    <definedName name="_51__123Graph_BCHART_6" localSheetId="11" hidden="1">[5]keyind!#REF!</definedName>
    <definedName name="_51__123Graph_BCHART_6" localSheetId="20" hidden="1">[5]keyind!#REF!</definedName>
    <definedName name="_51__123Graph_BCHART_6" hidden="1">[5]keyind!#REF!</definedName>
    <definedName name="_51__123Graph_LBL_ACHART_15" localSheetId="12" hidden="1">'[6]Key-Ind'!#REF!</definedName>
    <definedName name="_51__123Graph_LBL_ACHART_15" localSheetId="11" hidden="1">'[6]Key-Ind'!#REF!</definedName>
    <definedName name="_51__123Graph_LBL_ACHART_15" localSheetId="20" hidden="1">'[6]Key-Ind'!#REF!</definedName>
    <definedName name="_51__123Graph_LBL_ACHART_15" hidden="1">'[6]Key-Ind'!#REF!</definedName>
    <definedName name="_51__123Graph_XCHART_2" localSheetId="12" hidden="1">[5]keyind!#REF!</definedName>
    <definedName name="_51__123Graph_XCHART_2" localSheetId="11" hidden="1">[5]keyind!#REF!</definedName>
    <definedName name="_51__123Graph_XCHART_2" localSheetId="20" hidden="1">[5]keyind!#REF!</definedName>
    <definedName name="_51__123Graph_XCHART_2" hidden="1">[5]keyind!#REF!</definedName>
    <definedName name="_52__123Graph_BChart_4" hidden="1">[2]Model!$C$469:$C$475</definedName>
    <definedName name="_52__123Graph_LBL_ACHART_16" localSheetId="12" hidden="1">'[6]Key-Ind'!#REF!</definedName>
    <definedName name="_52__123Graph_LBL_ACHART_16" localSheetId="11" hidden="1">'[6]Key-Ind'!#REF!</definedName>
    <definedName name="_52__123Graph_LBL_ACHART_16" localSheetId="20" hidden="1">'[6]Key-Ind'!#REF!</definedName>
    <definedName name="_52__123Graph_LBL_ACHART_16" hidden="1">'[6]Key-Ind'!#REF!</definedName>
    <definedName name="_52__123Graph_XCHART_3" localSheetId="12" hidden="1">[5]keyind!#REF!</definedName>
    <definedName name="_52__123Graph_XCHART_3" localSheetId="11" hidden="1">[5]keyind!#REF!</definedName>
    <definedName name="_52__123Graph_XCHART_3" localSheetId="20" hidden="1">[5]keyind!#REF!</definedName>
    <definedName name="_52__123Graph_XCHART_3" hidden="1">[5]keyind!#REF!</definedName>
    <definedName name="_53__123Graph_LBL_ACHART_2" localSheetId="12" hidden="1">[5]keyind!#REF!</definedName>
    <definedName name="_53__123Graph_LBL_ACHART_2" localSheetId="11" hidden="1">[5]keyind!#REF!</definedName>
    <definedName name="_53__123Graph_LBL_ACHART_2" localSheetId="20" hidden="1">[5]keyind!#REF!</definedName>
    <definedName name="_53__123Graph_LBL_ACHART_2" hidden="1">[5]keyind!#REF!</definedName>
    <definedName name="_53__123Graph_XChart_2" hidden="1">[2]Model!$A$453:$A$462</definedName>
    <definedName name="_53__123Graph_XCHART_4" localSheetId="12" hidden="1">[5]keyind!#REF!</definedName>
    <definedName name="_53__123Graph_XCHART_4" localSheetId="11" hidden="1">[5]keyind!#REF!</definedName>
    <definedName name="_53__123Graph_XCHART_4" localSheetId="20" hidden="1">[5]keyind!#REF!</definedName>
    <definedName name="_53__123Graph_XCHART_4" hidden="1">[5]keyind!#REF!</definedName>
    <definedName name="_54__123Graph_BCHART_2" localSheetId="12" hidden="1">[5]keyind!#REF!</definedName>
    <definedName name="_54__123Graph_BCHART_2" localSheetId="11" hidden="1">[5]keyind!#REF!</definedName>
    <definedName name="_54__123Graph_BCHART_2" localSheetId="20" hidden="1">[5]keyind!#REF!</definedName>
    <definedName name="_54__123Graph_BCHART_2" hidden="1">[5]keyind!#REF!</definedName>
    <definedName name="_54__123Graph_BCHART_7" localSheetId="12" hidden="1">[5]keyind!#REF!</definedName>
    <definedName name="_54__123Graph_BCHART_7" localSheetId="11" hidden="1">[5]keyind!#REF!</definedName>
    <definedName name="_54__123Graph_BCHART_7" localSheetId="20" hidden="1">[5]keyind!#REF!</definedName>
    <definedName name="_54__123Graph_BCHART_7" hidden="1">[5]keyind!#REF!</definedName>
    <definedName name="_54__123Graph_XChart_3" hidden="1">[2]Model!$A$483:$A$489</definedName>
    <definedName name="_54__123Graph_XCHART_5" localSheetId="12" hidden="1">'[6]Key-Ind'!#REF!</definedName>
    <definedName name="_54__123Graph_XCHART_5" localSheetId="11" hidden="1">'[6]Key-Ind'!#REF!</definedName>
    <definedName name="_54__123Graph_XCHART_5" localSheetId="20" hidden="1">'[6]Key-Ind'!#REF!</definedName>
    <definedName name="_54__123Graph_XCHART_5" hidden="1">'[6]Key-Ind'!#REF!</definedName>
    <definedName name="_55__123Graph_XCHART_6" localSheetId="12" hidden="1">'[6]Key-Ind'!#REF!</definedName>
    <definedName name="_55__123Graph_XCHART_6" localSheetId="11" hidden="1">'[6]Key-Ind'!#REF!</definedName>
    <definedName name="_55__123Graph_XCHART_6" localSheetId="20" hidden="1">'[6]Key-Ind'!#REF!</definedName>
    <definedName name="_55__123Graph_XCHART_6" hidden="1">'[6]Key-Ind'!#REF!</definedName>
    <definedName name="_56__123Graph_LBL_ACHART_3" localSheetId="12" hidden="1">[5]keyind!#REF!</definedName>
    <definedName name="_56__123Graph_LBL_ACHART_3" localSheetId="11" hidden="1">[5]keyind!#REF!</definedName>
    <definedName name="_56__123Graph_LBL_ACHART_3" localSheetId="20" hidden="1">[5]keyind!#REF!</definedName>
    <definedName name="_56__123Graph_LBL_ACHART_3" hidden="1">[5]keyind!#REF!</definedName>
    <definedName name="_56__123Graph_XCHART_7" localSheetId="12" hidden="1">[5]keyind!#REF!</definedName>
    <definedName name="_56__123Graph_XCHART_7" localSheetId="11" hidden="1">[5]keyind!#REF!</definedName>
    <definedName name="_56__123Graph_XCHART_7" localSheetId="20" hidden="1">[5]keyind!#REF!</definedName>
    <definedName name="_56__123Graph_XCHART_7" hidden="1">[5]keyind!#REF!</definedName>
    <definedName name="_57__123Graph_BCHART_3" localSheetId="12" hidden="1">[5]keyind!#REF!</definedName>
    <definedName name="_57__123Graph_BCHART_3" localSheetId="11" hidden="1">[5]keyind!#REF!</definedName>
    <definedName name="_57__123Graph_BCHART_3" localSheetId="20" hidden="1">[5]keyind!#REF!</definedName>
    <definedName name="_57__123Graph_BCHART_3" hidden="1">[5]keyind!#REF!</definedName>
    <definedName name="_57__123Graph_LBL_ACHART_1" localSheetId="12" hidden="1">[5]keyind!#REF!</definedName>
    <definedName name="_57__123Graph_LBL_ACHART_1" localSheetId="11" hidden="1">[5]keyind!#REF!</definedName>
    <definedName name="_57__123Graph_LBL_ACHART_1" localSheetId="20" hidden="1">[5]keyind!#REF!</definedName>
    <definedName name="_57__123Graph_LBL_ACHART_1" hidden="1">[5]keyind!#REF!</definedName>
    <definedName name="_57__123Graph_XCHART_8" localSheetId="12" hidden="1">'[6]Key-Ind'!#REF!</definedName>
    <definedName name="_57__123Graph_XCHART_8" localSheetId="11" hidden="1">'[6]Key-Ind'!#REF!</definedName>
    <definedName name="_57__123Graph_XCHART_8" localSheetId="20" hidden="1">'[6]Key-Ind'!#REF!</definedName>
    <definedName name="_57__123Graph_XCHART_8" hidden="1">'[6]Key-Ind'!#REF!</definedName>
    <definedName name="_58__123Graph_XCHART_9" localSheetId="12" hidden="1">[6]Fixexp_analysis!#REF!</definedName>
    <definedName name="_58__123Graph_XCHART_9" localSheetId="11" hidden="1">[6]Fixexp_analysis!#REF!</definedName>
    <definedName name="_58__123Graph_XCHART_9" localSheetId="20" hidden="1">[6]Fixexp_analysis!#REF!</definedName>
    <definedName name="_58__123Graph_XCHART_9" hidden="1">[6]Fixexp_analysis!#REF!</definedName>
    <definedName name="_59__123Graph_LBL_ACHART_10" localSheetId="12" hidden="1">[6]Fixexp_analysis!#REF!</definedName>
    <definedName name="_59__123Graph_LBL_ACHART_10" localSheetId="11" hidden="1">[6]Fixexp_analysis!#REF!</definedName>
    <definedName name="_59__123Graph_LBL_ACHART_10" localSheetId="20" hidden="1">[6]Fixexp_analysis!#REF!</definedName>
    <definedName name="_59__123Graph_LBL_ACHART_10" hidden="1">[6]Fixexp_analysis!#REF!</definedName>
    <definedName name="_59__123Graph_LBL_ACHART_4" localSheetId="12" hidden="1">[5]keyind!#REF!</definedName>
    <definedName name="_59__123Graph_LBL_ACHART_4" localSheetId="11" hidden="1">[5]keyind!#REF!</definedName>
    <definedName name="_59__123Graph_LBL_ACHART_4" localSheetId="20" hidden="1">[5]keyind!#REF!</definedName>
    <definedName name="_59__123Graph_LBL_ACHART_4" hidden="1">[5]keyind!#REF!</definedName>
    <definedName name="_6__123Graph_ACHART_10" localSheetId="12" hidden="1">[6]Fixexp_analysis!#REF!</definedName>
    <definedName name="_6__123Graph_ACHART_10" localSheetId="11" hidden="1">[6]Fixexp_analysis!#REF!</definedName>
    <definedName name="_6__123Graph_ACHART_10" localSheetId="20" hidden="1">[6]Fixexp_analysis!#REF!</definedName>
    <definedName name="_6__123Graph_ACHART_10" hidden="1">[6]Fixexp_analysis!#REF!</definedName>
    <definedName name="_6__123Graph_ACHART_12" localSheetId="12" hidden="1">'[6]Key-Ind'!#REF!</definedName>
    <definedName name="_6__123Graph_ACHART_12" localSheetId="11" hidden="1">'[6]Key-Ind'!#REF!</definedName>
    <definedName name="_6__123Graph_ACHART_12" localSheetId="20" hidden="1">'[6]Key-Ind'!#REF!</definedName>
    <definedName name="_6__123Graph_ACHART_12" hidden="1">'[6]Key-Ind'!#REF!</definedName>
    <definedName name="_6__123Graph_ACHART_14" localSheetId="12" hidden="1">'[6]Key-Ind'!#REF!</definedName>
    <definedName name="_6__123Graph_ACHART_14" localSheetId="11" hidden="1">'[6]Key-Ind'!#REF!</definedName>
    <definedName name="_6__123Graph_ACHART_14" localSheetId="20" hidden="1">'[6]Key-Ind'!#REF!</definedName>
    <definedName name="_6__123Graph_ACHART_14" hidden="1">'[6]Key-Ind'!#REF!</definedName>
    <definedName name="_60__123Graph_BCHART_4" localSheetId="12" hidden="1">[5]keyind!#REF!</definedName>
    <definedName name="_60__123Graph_BCHART_4" localSheetId="11" hidden="1">[5]keyind!#REF!</definedName>
    <definedName name="_60__123Graph_BCHART_4" localSheetId="20" hidden="1">[5]keyind!#REF!</definedName>
    <definedName name="_60__123Graph_BCHART_4" hidden="1">[5]keyind!#REF!</definedName>
    <definedName name="_60__123Graph_LBL_ACHART_5" localSheetId="12" hidden="1">[6]Fixexp_analysis!#REF!</definedName>
    <definedName name="_60__123Graph_LBL_ACHART_5" localSheetId="11" hidden="1">[6]Fixexp_analysis!#REF!</definedName>
    <definedName name="_60__123Graph_LBL_ACHART_5" localSheetId="20" hidden="1">[6]Fixexp_analysis!#REF!</definedName>
    <definedName name="_60__123Graph_LBL_ACHART_5" hidden="1">[6]Fixexp_analysis!#REF!</definedName>
    <definedName name="_61__123Graph_LBL_ACHART_11" localSheetId="12" hidden="1">[6]Fixexp_analysis!#REF!</definedName>
    <definedName name="_61__123Graph_LBL_ACHART_11" localSheetId="11" hidden="1">[6]Fixexp_analysis!#REF!</definedName>
    <definedName name="_61__123Graph_LBL_ACHART_11" localSheetId="20" hidden="1">[6]Fixexp_analysis!#REF!</definedName>
    <definedName name="_61__123Graph_LBL_ACHART_11" hidden="1">[6]Fixexp_analysis!#REF!</definedName>
    <definedName name="_61__123Graph_LBL_ACHART_6" localSheetId="12" hidden="1">'[6]Key-Ind'!#REF!</definedName>
    <definedName name="_61__123Graph_LBL_ACHART_6" localSheetId="11" hidden="1">'[6]Key-Ind'!#REF!</definedName>
    <definedName name="_61__123Graph_LBL_ACHART_6" localSheetId="20" hidden="1">'[6]Key-Ind'!#REF!</definedName>
    <definedName name="_61__123Graph_LBL_ACHART_6" hidden="1">'[6]Key-Ind'!#REF!</definedName>
    <definedName name="_62__123Graph_LBL_ACHART_7" localSheetId="12" hidden="1">'[6]Key-Ind'!#REF!</definedName>
    <definedName name="_62__123Graph_LBL_ACHART_7" localSheetId="11" hidden="1">'[6]Key-Ind'!#REF!</definedName>
    <definedName name="_62__123Graph_LBL_ACHART_7" localSheetId="20" hidden="1">'[6]Key-Ind'!#REF!</definedName>
    <definedName name="_62__123Graph_LBL_ACHART_7" hidden="1">'[6]Key-Ind'!#REF!</definedName>
    <definedName name="_63__123Graph_BCHART_6" localSheetId="12" hidden="1">[5]keyind!#REF!</definedName>
    <definedName name="_63__123Graph_BCHART_6" localSheetId="11" hidden="1">[5]keyind!#REF!</definedName>
    <definedName name="_63__123Graph_BCHART_6" localSheetId="20" hidden="1">[5]keyind!#REF!</definedName>
    <definedName name="_63__123Graph_BCHART_6" hidden="1">[5]keyind!#REF!</definedName>
    <definedName name="_63__123Graph_LBL_ACHART_12" localSheetId="12" hidden="1">'[6]Key-Ind'!#REF!</definedName>
    <definedName name="_63__123Graph_LBL_ACHART_12" localSheetId="11" hidden="1">'[6]Key-Ind'!#REF!</definedName>
    <definedName name="_63__123Graph_LBL_ACHART_12" localSheetId="20" hidden="1">'[6]Key-Ind'!#REF!</definedName>
    <definedName name="_63__123Graph_LBL_ACHART_12" hidden="1">'[6]Key-Ind'!#REF!</definedName>
    <definedName name="_63__123Graph_LBL_ACHART_8" localSheetId="12" hidden="1">[6]Fixexp_analysis!#REF!</definedName>
    <definedName name="_63__123Graph_LBL_ACHART_8" localSheetId="11" hidden="1">[6]Fixexp_analysis!#REF!</definedName>
    <definedName name="_63__123Graph_LBL_ACHART_8" localSheetId="20" hidden="1">[6]Fixexp_analysis!#REF!</definedName>
    <definedName name="_63__123Graph_LBL_ACHART_8" hidden="1">[6]Fixexp_analysis!#REF!</definedName>
    <definedName name="_64__123Graph_LBL_ACHART_9" localSheetId="12" hidden="1">[6]Fixexp_analysis!#REF!</definedName>
    <definedName name="_64__123Graph_LBL_ACHART_9" localSheetId="11" hidden="1">[6]Fixexp_analysis!#REF!</definedName>
    <definedName name="_64__123Graph_LBL_ACHART_9" localSheetId="20" hidden="1">[6]Fixexp_analysis!#REF!</definedName>
    <definedName name="_64__123Graph_LBL_ACHART_9" hidden="1">[6]Fixexp_analysis!#REF!</definedName>
    <definedName name="_65__123Graph_LBL_ACHART_13" localSheetId="12" hidden="1">'[6]Key-Ind'!#REF!</definedName>
    <definedName name="_65__123Graph_LBL_ACHART_13" localSheetId="11" hidden="1">'[6]Key-Ind'!#REF!</definedName>
    <definedName name="_65__123Graph_LBL_ACHART_13" localSheetId="20" hidden="1">'[6]Key-Ind'!#REF!</definedName>
    <definedName name="_65__123Graph_LBL_ACHART_13" hidden="1">'[6]Key-Ind'!#REF!</definedName>
    <definedName name="_66__123Graph_BCHART_7" localSheetId="12" hidden="1">[5]keyind!#REF!</definedName>
    <definedName name="_66__123Graph_BCHART_7" localSheetId="11" hidden="1">[5]keyind!#REF!</definedName>
    <definedName name="_66__123Graph_BCHART_7" localSheetId="20" hidden="1">[5]keyind!#REF!</definedName>
    <definedName name="_66__123Graph_BCHART_7" hidden="1">[5]keyind!#REF!</definedName>
    <definedName name="_67__123Graph_LBL_ACHART_14" localSheetId="12" hidden="1">'[6]Key-Ind'!#REF!</definedName>
    <definedName name="_67__123Graph_LBL_ACHART_14" localSheetId="11" hidden="1">'[6]Key-Ind'!#REF!</definedName>
    <definedName name="_67__123Graph_LBL_ACHART_14" localSheetId="20" hidden="1">'[6]Key-Ind'!#REF!</definedName>
    <definedName name="_67__123Graph_LBL_ACHART_14" hidden="1">'[6]Key-Ind'!#REF!</definedName>
    <definedName name="_67__123Graph_LBL_BCHART_1" localSheetId="12" hidden="1">[5]keyind!#REF!</definedName>
    <definedName name="_67__123Graph_LBL_BCHART_1" localSheetId="11" hidden="1">[5]keyind!#REF!</definedName>
    <definedName name="_67__123Graph_LBL_BCHART_1" localSheetId="20" hidden="1">[5]keyind!#REF!</definedName>
    <definedName name="_67__123Graph_LBL_BCHART_1" hidden="1">[5]keyind!#REF!</definedName>
    <definedName name="_68__123Graph_LBL_BCHART_2" localSheetId="12" hidden="1">[5]keyind!#REF!</definedName>
    <definedName name="_68__123Graph_LBL_BCHART_2" localSheetId="11" hidden="1">[5]keyind!#REF!</definedName>
    <definedName name="_68__123Graph_LBL_BCHART_2" localSheetId="20" hidden="1">[5]keyind!#REF!</definedName>
    <definedName name="_68__123Graph_LBL_BCHART_2" hidden="1">[5]keyind!#REF!</definedName>
    <definedName name="_69__123Graph_LBL_ACHART_1" localSheetId="12" hidden="1">[5]keyind!#REF!</definedName>
    <definedName name="_69__123Graph_LBL_ACHART_1" localSheetId="11" hidden="1">[5]keyind!#REF!</definedName>
    <definedName name="_69__123Graph_LBL_ACHART_1" localSheetId="20" hidden="1">[5]keyind!#REF!</definedName>
    <definedName name="_69__123Graph_LBL_ACHART_1" hidden="1">[5]keyind!#REF!</definedName>
    <definedName name="_69__123Graph_LBL_ACHART_15" localSheetId="12" hidden="1">'[6]Key-Ind'!#REF!</definedName>
    <definedName name="_69__123Graph_LBL_ACHART_15" localSheetId="11" hidden="1">'[6]Key-Ind'!#REF!</definedName>
    <definedName name="_69__123Graph_LBL_ACHART_15" localSheetId="20" hidden="1">'[6]Key-Ind'!#REF!</definedName>
    <definedName name="_69__123Graph_LBL_ACHART_15" hidden="1">'[6]Key-Ind'!#REF!</definedName>
    <definedName name="_7__123Graph_ACHART_11" localSheetId="12" hidden="1">[6]Fixexp_analysis!#REF!</definedName>
    <definedName name="_7__123Graph_ACHART_11" localSheetId="11" hidden="1">[6]Fixexp_analysis!#REF!</definedName>
    <definedName name="_7__123Graph_ACHART_11" localSheetId="20" hidden="1">[6]Fixexp_analysis!#REF!</definedName>
    <definedName name="_7__123Graph_ACHART_11" hidden="1">[6]Fixexp_analysis!#REF!</definedName>
    <definedName name="_7__123Graph_ACHART_13" localSheetId="12" hidden="1">'[6]Key-Ind'!#REF!</definedName>
    <definedName name="_7__123Graph_ACHART_13" localSheetId="11" hidden="1">'[6]Key-Ind'!#REF!</definedName>
    <definedName name="_7__123Graph_ACHART_13" localSheetId="20" hidden="1">'[6]Key-Ind'!#REF!</definedName>
    <definedName name="_7__123Graph_ACHART_13" hidden="1">'[6]Key-Ind'!#REF!</definedName>
    <definedName name="_7__123Graph_ACHART_15" localSheetId="12" hidden="1">'[6]Key-Ind'!#REF!</definedName>
    <definedName name="_7__123Graph_ACHART_15" localSheetId="11" hidden="1">'[6]Key-Ind'!#REF!</definedName>
    <definedName name="_7__123Graph_ACHART_15" localSheetId="20" hidden="1">'[6]Key-Ind'!#REF!</definedName>
    <definedName name="_7__123Graph_ACHART_15" hidden="1">'[6]Key-Ind'!#REF!</definedName>
    <definedName name="_71__123Graph_LBL_ACHART_16" localSheetId="12" hidden="1">'[6]Key-Ind'!#REF!</definedName>
    <definedName name="_71__123Graph_LBL_ACHART_16" localSheetId="11" hidden="1">'[6]Key-Ind'!#REF!</definedName>
    <definedName name="_71__123Graph_LBL_ACHART_16" localSheetId="20" hidden="1">'[6]Key-Ind'!#REF!</definedName>
    <definedName name="_71__123Graph_LBL_ACHART_16" hidden="1">'[6]Key-Ind'!#REF!</definedName>
    <definedName name="_71__123Graph_LBL_BCHART_3" localSheetId="12" hidden="1">[5]keyind!#REF!</definedName>
    <definedName name="_71__123Graph_LBL_BCHART_3" localSheetId="11" hidden="1">[5]keyind!#REF!</definedName>
    <definedName name="_71__123Graph_LBL_BCHART_3" localSheetId="20" hidden="1">[5]keyind!#REF!</definedName>
    <definedName name="_71__123Graph_LBL_BCHART_3" hidden="1">[5]keyind!#REF!</definedName>
    <definedName name="_72__123Graph_LBL_ACHART_10" localSheetId="12" hidden="1">[6]Fixexp_analysis!#REF!</definedName>
    <definedName name="_72__123Graph_LBL_ACHART_10" localSheetId="11" hidden="1">[6]Fixexp_analysis!#REF!</definedName>
    <definedName name="_72__123Graph_LBL_ACHART_10" localSheetId="20" hidden="1">[6]Fixexp_analysis!#REF!</definedName>
    <definedName name="_72__123Graph_LBL_ACHART_10" hidden="1">[6]Fixexp_analysis!#REF!</definedName>
    <definedName name="_73__123Graph_LBL_ACHART_2" localSheetId="12" hidden="1">[5]keyind!#REF!</definedName>
    <definedName name="_73__123Graph_LBL_ACHART_2" localSheetId="11" hidden="1">[5]keyind!#REF!</definedName>
    <definedName name="_73__123Graph_LBL_ACHART_2" localSheetId="20" hidden="1">[5]keyind!#REF!</definedName>
    <definedName name="_73__123Graph_LBL_ACHART_2" hidden="1">[5]keyind!#REF!</definedName>
    <definedName name="_74__123Graph_LBL_BCHART_4" localSheetId="12" hidden="1">[5]keyind!#REF!</definedName>
    <definedName name="_74__123Graph_LBL_BCHART_4" localSheetId="11" hidden="1">[5]keyind!#REF!</definedName>
    <definedName name="_74__123Graph_LBL_BCHART_4" localSheetId="20" hidden="1">[5]keyind!#REF!</definedName>
    <definedName name="_74__123Graph_LBL_BCHART_4" hidden="1">[5]keyind!#REF!</definedName>
    <definedName name="_75__123Graph_LBL_ACHART_11" localSheetId="12" hidden="1">[6]Fixexp_analysis!#REF!</definedName>
    <definedName name="_75__123Graph_LBL_ACHART_11" localSheetId="11" hidden="1">[6]Fixexp_analysis!#REF!</definedName>
    <definedName name="_75__123Graph_LBL_ACHART_11" localSheetId="20" hidden="1">[6]Fixexp_analysis!#REF!</definedName>
    <definedName name="_75__123Graph_LBL_ACHART_11" hidden="1">[6]Fixexp_analysis!#REF!</definedName>
    <definedName name="_76__123Graph_LBL_ACHART_3" localSheetId="12" hidden="1">[5]keyind!#REF!</definedName>
    <definedName name="_76__123Graph_LBL_ACHART_3" localSheetId="11" hidden="1">[5]keyind!#REF!</definedName>
    <definedName name="_76__123Graph_LBL_ACHART_3" localSheetId="20" hidden="1">[5]keyind!#REF!</definedName>
    <definedName name="_76__123Graph_LBL_ACHART_3" hidden="1">[5]keyind!#REF!</definedName>
    <definedName name="_77__123Graph_XCHART_1" localSheetId="12" hidden="1">[5]keyind!#REF!</definedName>
    <definedName name="_77__123Graph_XCHART_1" localSheetId="11" hidden="1">[5]keyind!#REF!</definedName>
    <definedName name="_77__123Graph_XCHART_1" localSheetId="20" hidden="1">[5]keyind!#REF!</definedName>
    <definedName name="_77__123Graph_XCHART_1" hidden="1">[5]keyind!#REF!</definedName>
    <definedName name="_78__123Graph_LBL_ACHART_12" localSheetId="12" hidden="1">'[6]Key-Ind'!#REF!</definedName>
    <definedName name="_78__123Graph_LBL_ACHART_12" localSheetId="11" hidden="1">'[6]Key-Ind'!#REF!</definedName>
    <definedName name="_78__123Graph_LBL_ACHART_12" localSheetId="20" hidden="1">'[6]Key-Ind'!#REF!</definedName>
    <definedName name="_78__123Graph_LBL_ACHART_12" hidden="1">'[6]Key-Ind'!#REF!</definedName>
    <definedName name="_78__123Graph_XCHART_10" localSheetId="12" hidden="1">[6]Fixexp_analysis!#REF!</definedName>
    <definedName name="_78__123Graph_XCHART_10" localSheetId="11" hidden="1">[6]Fixexp_analysis!#REF!</definedName>
    <definedName name="_78__123Graph_XCHART_10" localSheetId="20" hidden="1">[6]Fixexp_analysis!#REF!</definedName>
    <definedName name="_78__123Graph_XCHART_10" hidden="1">[6]Fixexp_analysis!#REF!</definedName>
    <definedName name="_79__123Graph_LBL_ACHART_4" localSheetId="12" hidden="1">[5]keyind!#REF!</definedName>
    <definedName name="_79__123Graph_LBL_ACHART_4" localSheetId="11" hidden="1">[5]keyind!#REF!</definedName>
    <definedName name="_79__123Graph_LBL_ACHART_4" localSheetId="20" hidden="1">[5]keyind!#REF!</definedName>
    <definedName name="_79__123Graph_LBL_ACHART_4" hidden="1">[5]keyind!#REF!</definedName>
    <definedName name="_79__123Graph_XCHART_11" localSheetId="12" hidden="1">[6]Fixexp_analysis!#REF!</definedName>
    <definedName name="_79__123Graph_XCHART_11" localSheetId="11" hidden="1">[6]Fixexp_analysis!#REF!</definedName>
    <definedName name="_79__123Graph_XCHART_11" localSheetId="20" hidden="1">[6]Fixexp_analysis!#REF!</definedName>
    <definedName name="_79__123Graph_XCHART_11" hidden="1">[6]Fixexp_analysis!#REF!</definedName>
    <definedName name="_8__123Graph_ACHART_14" localSheetId="12" hidden="1">'[6]Key-Ind'!#REF!</definedName>
    <definedName name="_8__123Graph_ACHART_14" localSheetId="11" hidden="1">'[6]Key-Ind'!#REF!</definedName>
    <definedName name="_8__123Graph_ACHART_14" localSheetId="20" hidden="1">'[6]Key-Ind'!#REF!</definedName>
    <definedName name="_8__123Graph_ACHART_14" hidden="1">'[6]Key-Ind'!#REF!</definedName>
    <definedName name="_8__123Graph_ACHART_16" localSheetId="12" hidden="1">'[6]Key-Ind'!#REF!</definedName>
    <definedName name="_8__123Graph_ACHART_16" localSheetId="11" hidden="1">'[6]Key-Ind'!#REF!</definedName>
    <definedName name="_8__123Graph_ACHART_16" localSheetId="20" hidden="1">'[6]Key-Ind'!#REF!</definedName>
    <definedName name="_8__123Graph_ACHART_16" hidden="1">'[6]Key-Ind'!#REF!</definedName>
    <definedName name="_8__123Graph_AChart_2" hidden="1">[2]Model!$B$453:$B$462</definedName>
    <definedName name="_80__123Graph_XCHART_12" localSheetId="12" hidden="1">'[6]Key-Ind'!#REF!</definedName>
    <definedName name="_80__123Graph_XCHART_12" localSheetId="11" hidden="1">'[6]Key-Ind'!#REF!</definedName>
    <definedName name="_80__123Graph_XCHART_12" localSheetId="20" hidden="1">'[6]Key-Ind'!#REF!</definedName>
    <definedName name="_80__123Graph_XCHART_12" hidden="1">'[6]Key-Ind'!#REF!</definedName>
    <definedName name="_81__123Graph_LBL_ACHART_13" localSheetId="12" hidden="1">'[6]Key-Ind'!#REF!</definedName>
    <definedName name="_81__123Graph_LBL_ACHART_13" localSheetId="11" hidden="1">'[6]Key-Ind'!#REF!</definedName>
    <definedName name="_81__123Graph_LBL_ACHART_13" localSheetId="20" hidden="1">'[6]Key-Ind'!#REF!</definedName>
    <definedName name="_81__123Graph_LBL_ACHART_13" hidden="1">'[6]Key-Ind'!#REF!</definedName>
    <definedName name="_81__123Graph_LBL_ACHART_5" localSheetId="12" hidden="1">[6]Fixexp_analysis!#REF!</definedName>
    <definedName name="_81__123Graph_LBL_ACHART_5" localSheetId="11" hidden="1">[6]Fixexp_analysis!#REF!</definedName>
    <definedName name="_81__123Graph_LBL_ACHART_5" localSheetId="20" hidden="1">[6]Fixexp_analysis!#REF!</definedName>
    <definedName name="_81__123Graph_LBL_ACHART_5" hidden="1">[6]Fixexp_analysis!#REF!</definedName>
    <definedName name="_81__123Graph_XCHART_13" localSheetId="12" hidden="1">'[6]Key-Ind'!#REF!</definedName>
    <definedName name="_81__123Graph_XCHART_13" localSheetId="11" hidden="1">'[6]Key-Ind'!#REF!</definedName>
    <definedName name="_81__123Graph_XCHART_13" localSheetId="20" hidden="1">'[6]Key-Ind'!#REF!</definedName>
    <definedName name="_81__123Graph_XCHART_13" hidden="1">'[6]Key-Ind'!#REF!</definedName>
    <definedName name="_82__123Graph_XCHART_14" localSheetId="12" hidden="1">'[6]Key-Ind'!#REF!</definedName>
    <definedName name="_82__123Graph_XCHART_14" localSheetId="11" hidden="1">'[6]Key-Ind'!#REF!</definedName>
    <definedName name="_82__123Graph_XCHART_14" localSheetId="20" hidden="1">'[6]Key-Ind'!#REF!</definedName>
    <definedName name="_82__123Graph_XCHART_14" hidden="1">'[6]Key-Ind'!#REF!</definedName>
    <definedName name="_83__123Graph_LBL_ACHART_6" localSheetId="12" hidden="1">'[6]Key-Ind'!#REF!</definedName>
    <definedName name="_83__123Graph_LBL_ACHART_6" localSheetId="11" hidden="1">'[6]Key-Ind'!#REF!</definedName>
    <definedName name="_83__123Graph_LBL_ACHART_6" localSheetId="20" hidden="1">'[6]Key-Ind'!#REF!</definedName>
    <definedName name="_83__123Graph_LBL_ACHART_6" hidden="1">'[6]Key-Ind'!#REF!</definedName>
    <definedName name="_83__123Graph_XCHART_15" localSheetId="12" hidden="1">'[6]Key-Ind'!#REF!</definedName>
    <definedName name="_83__123Graph_XCHART_15" localSheetId="11" hidden="1">'[6]Key-Ind'!#REF!</definedName>
    <definedName name="_83__123Graph_XCHART_15" localSheetId="20" hidden="1">'[6]Key-Ind'!#REF!</definedName>
    <definedName name="_83__123Graph_XCHART_15" hidden="1">'[6]Key-Ind'!#REF!</definedName>
    <definedName name="_84__123Graph_LBL_ACHART_14" localSheetId="12" hidden="1">'[6]Key-Ind'!#REF!</definedName>
    <definedName name="_84__123Graph_LBL_ACHART_14" localSheetId="11" hidden="1">'[6]Key-Ind'!#REF!</definedName>
    <definedName name="_84__123Graph_LBL_ACHART_14" localSheetId="20" hidden="1">'[6]Key-Ind'!#REF!</definedName>
    <definedName name="_84__123Graph_LBL_ACHART_14" hidden="1">'[6]Key-Ind'!#REF!</definedName>
    <definedName name="_84__123Graph_XCHART_16" localSheetId="12" hidden="1">'[6]Key-Ind'!#REF!</definedName>
    <definedName name="_84__123Graph_XCHART_16" localSheetId="11" hidden="1">'[6]Key-Ind'!#REF!</definedName>
    <definedName name="_84__123Graph_XCHART_16" localSheetId="20" hidden="1">'[6]Key-Ind'!#REF!</definedName>
    <definedName name="_84__123Graph_XCHART_16" hidden="1">'[6]Key-Ind'!#REF!</definedName>
    <definedName name="_85__123Graph_LBL_ACHART_7" localSheetId="12" hidden="1">'[6]Key-Ind'!#REF!</definedName>
    <definedName name="_85__123Graph_LBL_ACHART_7" localSheetId="11" hidden="1">'[6]Key-Ind'!#REF!</definedName>
    <definedName name="_85__123Graph_LBL_ACHART_7" localSheetId="20" hidden="1">'[6]Key-Ind'!#REF!</definedName>
    <definedName name="_85__123Graph_LBL_ACHART_7" hidden="1">'[6]Key-Ind'!#REF!</definedName>
    <definedName name="_87__123Graph_LBL_ACHART_15" localSheetId="12" hidden="1">'[6]Key-Ind'!#REF!</definedName>
    <definedName name="_87__123Graph_LBL_ACHART_15" localSheetId="11" hidden="1">'[6]Key-Ind'!#REF!</definedName>
    <definedName name="_87__123Graph_LBL_ACHART_15" localSheetId="20" hidden="1">'[6]Key-Ind'!#REF!</definedName>
    <definedName name="_87__123Graph_LBL_ACHART_15" hidden="1">'[6]Key-Ind'!#REF!</definedName>
    <definedName name="_87__123Graph_LBL_ACHART_8" localSheetId="12" hidden="1">[6]Fixexp_analysis!#REF!</definedName>
    <definedName name="_87__123Graph_LBL_ACHART_8" localSheetId="11" hidden="1">[6]Fixexp_analysis!#REF!</definedName>
    <definedName name="_87__123Graph_LBL_ACHART_8" localSheetId="20" hidden="1">[6]Fixexp_analysis!#REF!</definedName>
    <definedName name="_87__123Graph_LBL_ACHART_8" hidden="1">[6]Fixexp_analysis!#REF!</definedName>
    <definedName name="_87__123Graph_XCHART_2" localSheetId="12" hidden="1">[5]keyind!#REF!</definedName>
    <definedName name="_87__123Graph_XCHART_2" localSheetId="11" hidden="1">[5]keyind!#REF!</definedName>
    <definedName name="_87__123Graph_XCHART_2" localSheetId="20" hidden="1">[5]keyind!#REF!</definedName>
    <definedName name="_87__123Graph_XCHART_2" hidden="1">[5]keyind!#REF!</definedName>
    <definedName name="_89__123Graph_LBL_ACHART_9" localSheetId="12" hidden="1">[6]Fixexp_analysis!#REF!</definedName>
    <definedName name="_89__123Graph_LBL_ACHART_9" localSheetId="11" hidden="1">[6]Fixexp_analysis!#REF!</definedName>
    <definedName name="_89__123Graph_LBL_ACHART_9" localSheetId="20" hidden="1">[6]Fixexp_analysis!#REF!</definedName>
    <definedName name="_89__123Graph_LBL_ACHART_9" hidden="1">[6]Fixexp_analysis!#REF!</definedName>
    <definedName name="_9__123Graph_ACHART_11" localSheetId="12" hidden="1">[6]Fixexp_analysis!#REF!</definedName>
    <definedName name="_9__123Graph_ACHART_11" localSheetId="11" hidden="1">[6]Fixexp_analysis!#REF!</definedName>
    <definedName name="_9__123Graph_ACHART_11" localSheetId="20" hidden="1">[6]Fixexp_analysis!#REF!</definedName>
    <definedName name="_9__123Graph_ACHART_11" hidden="1">[6]Fixexp_analysis!#REF!</definedName>
    <definedName name="_9__123Graph_ACHART_12" localSheetId="12" hidden="1">'[6]Key-Ind'!#REF!</definedName>
    <definedName name="_9__123Graph_ACHART_12" localSheetId="11" hidden="1">'[6]Key-Ind'!#REF!</definedName>
    <definedName name="_9__123Graph_ACHART_12" localSheetId="20" hidden="1">'[6]Key-Ind'!#REF!</definedName>
    <definedName name="_9__123Graph_ACHART_12" hidden="1">'[6]Key-Ind'!#REF!</definedName>
    <definedName name="_9__123Graph_ACHART_15" localSheetId="12" hidden="1">'[6]Key-Ind'!#REF!</definedName>
    <definedName name="_9__123Graph_ACHART_15" localSheetId="11" hidden="1">'[6]Key-Ind'!#REF!</definedName>
    <definedName name="_9__123Graph_ACHART_15" localSheetId="20" hidden="1">'[6]Key-Ind'!#REF!</definedName>
    <definedName name="_9__123Graph_ACHART_15" hidden="1">'[6]Key-Ind'!#REF!</definedName>
    <definedName name="_9__123Graph_ACHART_2" localSheetId="12" hidden="1">[5]keyind!#REF!</definedName>
    <definedName name="_9__123Graph_ACHART_2" localSheetId="11" hidden="1">[5]keyind!#REF!</definedName>
    <definedName name="_9__123Graph_ACHART_2" localSheetId="20" hidden="1">[5]keyind!#REF!</definedName>
    <definedName name="_9__123Graph_ACHART_2" hidden="1">[5]keyind!#REF!</definedName>
    <definedName name="_9__123Graph_AChart_3" hidden="1">[2]Model!$B$483:$B$489</definedName>
    <definedName name="_90__123Graph_LBL_ACHART_16" localSheetId="12" hidden="1">'[6]Key-Ind'!#REF!</definedName>
    <definedName name="_90__123Graph_LBL_ACHART_16" localSheetId="11" hidden="1">'[6]Key-Ind'!#REF!</definedName>
    <definedName name="_90__123Graph_LBL_ACHART_16" localSheetId="20" hidden="1">'[6]Key-Ind'!#REF!</definedName>
    <definedName name="_90__123Graph_LBL_ACHART_16" hidden="1">'[6]Key-Ind'!#REF!</definedName>
    <definedName name="_90__123Graph_XCHART_3" localSheetId="12" hidden="1">[5]keyind!#REF!</definedName>
    <definedName name="_90__123Graph_XCHART_3" localSheetId="11" hidden="1">[5]keyind!#REF!</definedName>
    <definedName name="_90__123Graph_XCHART_3" localSheetId="20" hidden="1">[5]keyind!#REF!</definedName>
    <definedName name="_90__123Graph_XCHART_3" hidden="1">[5]keyind!#REF!</definedName>
    <definedName name="_92__123Graph_LBL_BCHART_1" localSheetId="12" hidden="1">[5]keyind!#REF!</definedName>
    <definedName name="_92__123Graph_LBL_BCHART_1" localSheetId="11" hidden="1">[5]keyind!#REF!</definedName>
    <definedName name="_92__123Graph_LBL_BCHART_1" localSheetId="20" hidden="1">[5]keyind!#REF!</definedName>
    <definedName name="_92__123Graph_LBL_BCHART_1" hidden="1">[5]keyind!#REF!</definedName>
    <definedName name="_93__123Graph_LBL_ACHART_2" localSheetId="12" hidden="1">[5]keyind!#REF!</definedName>
    <definedName name="_93__123Graph_LBL_ACHART_2" localSheetId="11" hidden="1">[5]keyind!#REF!</definedName>
    <definedName name="_93__123Graph_LBL_ACHART_2" localSheetId="20" hidden="1">[5]keyind!#REF!</definedName>
    <definedName name="_93__123Graph_LBL_ACHART_2" hidden="1">[5]keyind!#REF!</definedName>
    <definedName name="_93__123Graph_XCHART_4" localSheetId="12" hidden="1">[5]keyind!#REF!</definedName>
    <definedName name="_93__123Graph_XCHART_4" localSheetId="11" hidden="1">[5]keyind!#REF!</definedName>
    <definedName name="_93__123Graph_XCHART_4" localSheetId="20" hidden="1">[5]keyind!#REF!</definedName>
    <definedName name="_93__123Graph_XCHART_4" hidden="1">[5]keyind!#REF!</definedName>
    <definedName name="_94__123Graph_LBL_BCHART_2" localSheetId="12" hidden="1">[5]keyind!#REF!</definedName>
    <definedName name="_94__123Graph_LBL_BCHART_2" localSheetId="11" hidden="1">[5]keyind!#REF!</definedName>
    <definedName name="_94__123Graph_LBL_BCHART_2" localSheetId="20" hidden="1">[5]keyind!#REF!</definedName>
    <definedName name="_94__123Graph_LBL_BCHART_2" hidden="1">[5]keyind!#REF!</definedName>
    <definedName name="_94__123Graph_XCHART_5" localSheetId="12" hidden="1">'[6]Key-Ind'!#REF!</definedName>
    <definedName name="_94__123Graph_XCHART_5" localSheetId="11" hidden="1">'[6]Key-Ind'!#REF!</definedName>
    <definedName name="_94__123Graph_XCHART_5" localSheetId="20" hidden="1">'[6]Key-Ind'!#REF!</definedName>
    <definedName name="_94__123Graph_XCHART_5" hidden="1">'[6]Key-Ind'!#REF!</definedName>
    <definedName name="_95__123Graph_XCHART_6" localSheetId="12" hidden="1">'[6]Key-Ind'!#REF!</definedName>
    <definedName name="_95__123Graph_XCHART_6" localSheetId="11" hidden="1">'[6]Key-Ind'!#REF!</definedName>
    <definedName name="_95__123Graph_XCHART_6" localSheetId="20" hidden="1">'[6]Key-Ind'!#REF!</definedName>
    <definedName name="_95__123Graph_XCHART_6" hidden="1">'[6]Key-Ind'!#REF!</definedName>
    <definedName name="_96__123Graph_LBL_ACHART_3" localSheetId="12" hidden="1">[5]keyind!#REF!</definedName>
    <definedName name="_96__123Graph_LBL_ACHART_3" localSheetId="11" hidden="1">[5]keyind!#REF!</definedName>
    <definedName name="_96__123Graph_LBL_ACHART_3" localSheetId="20" hidden="1">[5]keyind!#REF!</definedName>
    <definedName name="_96__123Graph_LBL_ACHART_3" hidden="1">[5]keyind!#REF!</definedName>
    <definedName name="_97__123Graph_LBL_BCHART_3" localSheetId="12" hidden="1">[5]keyind!#REF!</definedName>
    <definedName name="_97__123Graph_LBL_BCHART_3" localSheetId="11" hidden="1">[5]keyind!#REF!</definedName>
    <definedName name="_97__123Graph_LBL_BCHART_3" localSheetId="20" hidden="1">[5]keyind!#REF!</definedName>
    <definedName name="_97__123Graph_LBL_BCHART_3" hidden="1">[5]keyind!#REF!</definedName>
    <definedName name="_98__123Graph_XCHART_7" localSheetId="12" hidden="1">[5]keyind!#REF!</definedName>
    <definedName name="_98__123Graph_XCHART_7" localSheetId="11" hidden="1">[5]keyind!#REF!</definedName>
    <definedName name="_98__123Graph_XCHART_7" localSheetId="20" hidden="1">[5]keyind!#REF!</definedName>
    <definedName name="_98__123Graph_XCHART_7" hidden="1">[5]keyind!#REF!</definedName>
    <definedName name="_99__123Graph_LBL_ACHART_4" localSheetId="12" hidden="1">[5]keyind!#REF!</definedName>
    <definedName name="_99__123Graph_LBL_ACHART_4" localSheetId="11" hidden="1">[5]keyind!#REF!</definedName>
    <definedName name="_99__123Graph_LBL_ACHART_4" localSheetId="20" hidden="1">[5]keyind!#REF!</definedName>
    <definedName name="_99__123Graph_LBL_ACHART_4" hidden="1">[5]keyind!#REF!</definedName>
    <definedName name="_99__123Graph_XCHART_8" localSheetId="12" hidden="1">'[6]Key-Ind'!#REF!</definedName>
    <definedName name="_99__123Graph_XCHART_8" localSheetId="11" hidden="1">'[6]Key-Ind'!#REF!</definedName>
    <definedName name="_99__123Graph_XCHART_8" localSheetId="20" hidden="1">'[6]Key-Ind'!#REF!</definedName>
    <definedName name="_99__123Graph_XCHART_8" hidden="1">'[6]Key-Ind'!#REF!</definedName>
    <definedName name="_a1" localSheetId="12">#REF!</definedName>
    <definedName name="_a1" localSheetId="26">#REF!</definedName>
    <definedName name="_a1" localSheetId="11">#REF!</definedName>
    <definedName name="_a1" localSheetId="20">#REF!</definedName>
    <definedName name="_a1">#REF!</definedName>
    <definedName name="_as111" localSheetId="12" hidden="1">#REF!</definedName>
    <definedName name="_as111" localSheetId="11" hidden="1">#REF!</definedName>
    <definedName name="_as111" localSheetId="20" hidden="1">#REF!</definedName>
    <definedName name="_as111" hidden="1">#REF!</definedName>
    <definedName name="_aug08" localSheetId="12">#REF!</definedName>
    <definedName name="_aug08" localSheetId="26">#REF!</definedName>
    <definedName name="_aug08" localSheetId="11">#REF!</definedName>
    <definedName name="_aug08" localSheetId="20">#REF!</definedName>
    <definedName name="_aug08">#REF!</definedName>
    <definedName name="_bdm.1548A132B46F4C60B8E729C4551DF117.edm" hidden="1">#N/A</definedName>
    <definedName name="_bdm.15BCD9489AD748028D57019E3C0A66F7.edm" hidden="1">#N/A</definedName>
    <definedName name="_bdm.192E1A69B51247D9914DF8B21161D19C.edm" hidden="1">#N/A</definedName>
    <definedName name="_bdm.24BD2FD9E425417286248BF927A96720.edm" hidden="1">#N/A</definedName>
    <definedName name="_bdm.26553D234A2F4E3D8E53B2192BC0A315.edm" hidden="1">#N/A</definedName>
    <definedName name="_bdm.33A03B62988A41C39A3ED3AE27C84906.edm" hidden="1">#N/A</definedName>
    <definedName name="_bdm.84B00B6FA1B249B294FCD8F89E13079B.edm" hidden="1">#N/A</definedName>
    <definedName name="_bdm.9560A33D287847109A077533FE570E73.edm" hidden="1">#N/A</definedName>
    <definedName name="_bdm.95F445F17CFE4E66883B738BF6636433.edm" hidden="1">#N/A</definedName>
    <definedName name="_bdm.A2E42FEC9E174E2397DAA1281664C0E5.edm" hidden="1">#N/A</definedName>
    <definedName name="_bdm.B114A6131A5F49C1A7A5F91639356266.edm" hidden="1">#N/A</definedName>
    <definedName name="_bdm.BE209056026942F4AE4180B6E4138E6B.edm" hidden="1">#N/A</definedName>
    <definedName name="_bdm.CA7C0830173C4BED942E509D900BD0CE.edm" hidden="1">#N/A</definedName>
    <definedName name="_bdm.D8450A1B7ADA43A6B01241520EBB1C80.edm" hidden="1">#N/A</definedName>
    <definedName name="_bdm.DC897DFCCAB040F0A0613423FABA10C2.edm" hidden="1">#N/A</definedName>
    <definedName name="_bdm.DFA99D928C514173ACC7302690466393.edm" hidden="1">#N/A</definedName>
    <definedName name="_bdm.E29E946DE9AD43058E12CD132AFEDAA9.edm" hidden="1">#N/A</definedName>
    <definedName name="_bg2" localSheetId="12" hidden="1">{#N/A,#N/A,TRUE,"Summary - 1";#N/A,#N/A,TRUE,"Summary - 2";#N/A,#N/A,TRUE,"Group Analysis";#N/A,#N/A,TRUE,"FM Analysis";#N/A,#N/A,TRUE,"T&amp;M-Onsite";#N/A,#N/A,TRUE,"FP-Onsite";#N/A,#N/A,TRUE,"NB-Onsite";#N/A,#N/A,TRUE,"T&amp;M-Offshore";#N/A,#N/A,TRUE,"FP-Offshore";#N/A,#N/A,TRUE,"Appendix-A";#N/A,#N/A,TRUE,"Appendix-B"}</definedName>
    <definedName name="_bg2" localSheetId="19" hidden="1">{#N/A,#N/A,TRUE,"Summary - 1";#N/A,#N/A,TRUE,"Summary - 2";#N/A,#N/A,TRUE,"Group Analysis";#N/A,#N/A,TRUE,"FM Analysis";#N/A,#N/A,TRUE,"T&amp;M-Onsite";#N/A,#N/A,TRUE,"FP-Onsite";#N/A,#N/A,TRUE,"NB-Onsite";#N/A,#N/A,TRUE,"T&amp;M-Offshore";#N/A,#N/A,TRUE,"FP-Offshore";#N/A,#N/A,TRUE,"Appendix-A";#N/A,#N/A,TRUE,"Appendix-B"}</definedName>
    <definedName name="_bg2" localSheetId="11" hidden="1">{#N/A,#N/A,TRUE,"Summary - 1";#N/A,#N/A,TRUE,"Summary - 2";#N/A,#N/A,TRUE,"Group Analysis";#N/A,#N/A,TRUE,"FM Analysis";#N/A,#N/A,TRUE,"T&amp;M-Onsite";#N/A,#N/A,TRUE,"FP-Onsite";#N/A,#N/A,TRUE,"NB-Onsite";#N/A,#N/A,TRUE,"T&amp;M-Offshore";#N/A,#N/A,TRUE,"FP-Offshore";#N/A,#N/A,TRUE,"Appendix-A";#N/A,#N/A,TRUE,"Appendix-B"}</definedName>
    <definedName name="_bg2" localSheetId="32" hidden="1">{#N/A,#N/A,TRUE,"Summary - 1";#N/A,#N/A,TRUE,"Summary - 2";#N/A,#N/A,TRUE,"Group Analysis";#N/A,#N/A,TRUE,"FM Analysis";#N/A,#N/A,TRUE,"T&amp;M-Onsite";#N/A,#N/A,TRUE,"FP-Onsite";#N/A,#N/A,TRUE,"NB-Onsite";#N/A,#N/A,TRUE,"T&amp;M-Offshore";#N/A,#N/A,TRUE,"FP-Offshore";#N/A,#N/A,TRUE,"Appendix-A";#N/A,#N/A,TRUE,"Appendix-B"}</definedName>
    <definedName name="_bg2" hidden="1">{#N/A,#N/A,TRUE,"Summary - 1";#N/A,#N/A,TRUE,"Summary - 2";#N/A,#N/A,TRUE,"Group Analysis";#N/A,#N/A,TRUE,"FM Analysis";#N/A,#N/A,TRUE,"T&amp;M-Onsite";#N/A,#N/A,TRUE,"FP-Onsite";#N/A,#N/A,TRUE,"NB-Onsite";#N/A,#N/A,TRUE,"T&amp;M-Offshore";#N/A,#N/A,TRUE,"FP-Offshore";#N/A,#N/A,TRUE,"Appendix-A";#N/A,#N/A,TRUE,"Appendix-B"}</definedName>
    <definedName name="_bg3" localSheetId="12" hidden="1">{#N/A,#N/A,TRUE,"Summary - 1";#N/A,#N/A,TRUE,"Summary - 2";#N/A,#N/A,TRUE,"Group Analysis";#N/A,#N/A,TRUE,"FM Analysis";#N/A,#N/A,TRUE,"T&amp;M-Onsite";#N/A,#N/A,TRUE,"FP-Onsite";#N/A,#N/A,TRUE,"NB-Onsite";#N/A,#N/A,TRUE,"T&amp;M-Offshore";#N/A,#N/A,TRUE,"FP-Offshore";#N/A,#N/A,TRUE,"Appendix-A";#N/A,#N/A,TRUE,"Appendix-B"}</definedName>
    <definedName name="_bg3" localSheetId="19" hidden="1">{#N/A,#N/A,TRUE,"Summary - 1";#N/A,#N/A,TRUE,"Summary - 2";#N/A,#N/A,TRUE,"Group Analysis";#N/A,#N/A,TRUE,"FM Analysis";#N/A,#N/A,TRUE,"T&amp;M-Onsite";#N/A,#N/A,TRUE,"FP-Onsite";#N/A,#N/A,TRUE,"NB-Onsite";#N/A,#N/A,TRUE,"T&amp;M-Offshore";#N/A,#N/A,TRUE,"FP-Offshore";#N/A,#N/A,TRUE,"Appendix-A";#N/A,#N/A,TRUE,"Appendix-B"}</definedName>
    <definedName name="_bg3" localSheetId="11" hidden="1">{#N/A,#N/A,TRUE,"Summary - 1";#N/A,#N/A,TRUE,"Summary - 2";#N/A,#N/A,TRUE,"Group Analysis";#N/A,#N/A,TRUE,"FM Analysis";#N/A,#N/A,TRUE,"T&amp;M-Onsite";#N/A,#N/A,TRUE,"FP-Onsite";#N/A,#N/A,TRUE,"NB-Onsite";#N/A,#N/A,TRUE,"T&amp;M-Offshore";#N/A,#N/A,TRUE,"FP-Offshore";#N/A,#N/A,TRUE,"Appendix-A";#N/A,#N/A,TRUE,"Appendix-B"}</definedName>
    <definedName name="_bg3" localSheetId="32" hidden="1">{#N/A,#N/A,TRUE,"Summary - 1";#N/A,#N/A,TRUE,"Summary - 2";#N/A,#N/A,TRUE,"Group Analysis";#N/A,#N/A,TRUE,"FM Analysis";#N/A,#N/A,TRUE,"T&amp;M-Onsite";#N/A,#N/A,TRUE,"FP-Onsite";#N/A,#N/A,TRUE,"NB-Onsite";#N/A,#N/A,TRUE,"T&amp;M-Offshore";#N/A,#N/A,TRUE,"FP-Offshore";#N/A,#N/A,TRUE,"Appendix-A";#N/A,#N/A,TRUE,"Appendix-B"}</definedName>
    <definedName name="_bg3" hidden="1">{#N/A,#N/A,TRUE,"Summary - 1";#N/A,#N/A,TRUE,"Summary - 2";#N/A,#N/A,TRUE,"Group Analysis";#N/A,#N/A,TRUE,"FM Analysis";#N/A,#N/A,TRUE,"T&amp;M-Onsite";#N/A,#N/A,TRUE,"FP-Onsite";#N/A,#N/A,TRUE,"NB-Onsite";#N/A,#N/A,TRUE,"T&amp;M-Offshore";#N/A,#N/A,TRUE,"FP-Offshore";#N/A,#N/A,TRUE,"Appendix-A";#N/A,#N/A,TRUE,"Appendix-B"}</definedName>
    <definedName name="_C" localSheetId="12">'[7]Power&amp;Fuel'!#REF!</definedName>
    <definedName name="_C" localSheetId="26">'[7]Power&amp;Fuel'!#REF!</definedName>
    <definedName name="_C" localSheetId="11">'[7]Power&amp;Fuel'!#REF!</definedName>
    <definedName name="_C" localSheetId="20">'[7]Power&amp;Fuel'!#REF!</definedName>
    <definedName name="_C">'[7]Power&amp;Fuel'!#REF!</definedName>
    <definedName name="_DAT1" localSheetId="12">#REF!</definedName>
    <definedName name="_DAT1" localSheetId="26">#REF!</definedName>
    <definedName name="_DAT1" localSheetId="11">#REF!</definedName>
    <definedName name="_DAT1" localSheetId="20">#REF!</definedName>
    <definedName name="_DAT1">#REF!</definedName>
    <definedName name="_DAT10">[8]Input_B_V!$J$2:$J$1028</definedName>
    <definedName name="_DAT100" localSheetId="12">#REF!</definedName>
    <definedName name="_DAT100" localSheetId="26">#REF!</definedName>
    <definedName name="_DAT100" localSheetId="11">#REF!</definedName>
    <definedName name="_DAT100" localSheetId="20">#REF!</definedName>
    <definedName name="_DAT100">#REF!</definedName>
    <definedName name="_DAT101" localSheetId="12">#REF!</definedName>
    <definedName name="_DAT101" localSheetId="26">#REF!</definedName>
    <definedName name="_DAT101" localSheetId="11">#REF!</definedName>
    <definedName name="_DAT101" localSheetId="20">#REF!</definedName>
    <definedName name="_DAT101">#REF!</definedName>
    <definedName name="_DAT102" localSheetId="12">#REF!</definedName>
    <definedName name="_DAT102" localSheetId="26">#REF!</definedName>
    <definedName name="_DAT102" localSheetId="11">#REF!</definedName>
    <definedName name="_DAT102" localSheetId="20">#REF!</definedName>
    <definedName name="_DAT102">#REF!</definedName>
    <definedName name="_DAT103" localSheetId="12">#REF!</definedName>
    <definedName name="_DAT103" localSheetId="26">#REF!</definedName>
    <definedName name="_DAT103" localSheetId="11">#REF!</definedName>
    <definedName name="_DAT103" localSheetId="20">#REF!</definedName>
    <definedName name="_DAT103">#REF!</definedName>
    <definedName name="_DAT104" localSheetId="12">#REF!</definedName>
    <definedName name="_DAT104" localSheetId="26">#REF!</definedName>
    <definedName name="_DAT104" localSheetId="11">#REF!</definedName>
    <definedName name="_DAT104" localSheetId="20">#REF!</definedName>
    <definedName name="_DAT104">#REF!</definedName>
    <definedName name="_DAT105" localSheetId="12">#REF!</definedName>
    <definedName name="_DAT105" localSheetId="26">#REF!</definedName>
    <definedName name="_DAT105" localSheetId="11">#REF!</definedName>
    <definedName name="_DAT105" localSheetId="20">#REF!</definedName>
    <definedName name="_DAT105">#REF!</definedName>
    <definedName name="_DAT106" localSheetId="12">#REF!</definedName>
    <definedName name="_DAT106" localSheetId="26">#REF!</definedName>
    <definedName name="_DAT106" localSheetId="11">#REF!</definedName>
    <definedName name="_DAT106" localSheetId="20">#REF!</definedName>
    <definedName name="_DAT106">#REF!</definedName>
    <definedName name="_DAT107" localSheetId="12">#REF!</definedName>
    <definedName name="_DAT107" localSheetId="26">#REF!</definedName>
    <definedName name="_DAT107" localSheetId="11">#REF!</definedName>
    <definedName name="_DAT107" localSheetId="20">#REF!</definedName>
    <definedName name="_DAT107">#REF!</definedName>
    <definedName name="_DAT108" localSheetId="12">#REF!</definedName>
    <definedName name="_DAT108" localSheetId="26">#REF!</definedName>
    <definedName name="_DAT108" localSheetId="11">#REF!</definedName>
    <definedName name="_DAT108" localSheetId="20">#REF!</definedName>
    <definedName name="_DAT108">#REF!</definedName>
    <definedName name="_DAT109" localSheetId="12">#REF!</definedName>
    <definedName name="_DAT109" localSheetId="26">#REF!</definedName>
    <definedName name="_DAT109" localSheetId="11">#REF!</definedName>
    <definedName name="_DAT109" localSheetId="20">#REF!</definedName>
    <definedName name="_DAT109">#REF!</definedName>
    <definedName name="_DAT11" localSheetId="12">[9]Working!#REF!</definedName>
    <definedName name="_DAT11" localSheetId="26">[9]Working!#REF!</definedName>
    <definedName name="_DAT11" localSheetId="11">[9]Working!#REF!</definedName>
    <definedName name="_DAT11" localSheetId="20">[9]Working!#REF!</definedName>
    <definedName name="_DAT11">[9]Working!#REF!</definedName>
    <definedName name="_DAT110" localSheetId="12">#REF!</definedName>
    <definedName name="_DAT110" localSheetId="26">#REF!</definedName>
    <definedName name="_DAT110" localSheetId="11">#REF!</definedName>
    <definedName name="_DAT110" localSheetId="20">#REF!</definedName>
    <definedName name="_DAT110">#REF!</definedName>
    <definedName name="_DAT111" localSheetId="12">#REF!</definedName>
    <definedName name="_DAT111" localSheetId="26">#REF!</definedName>
    <definedName name="_DAT111" localSheetId="11">#REF!</definedName>
    <definedName name="_DAT111" localSheetId="20">#REF!</definedName>
    <definedName name="_DAT111">#REF!</definedName>
    <definedName name="_DAT112" localSheetId="12">#REF!</definedName>
    <definedName name="_DAT112" localSheetId="26">#REF!</definedName>
    <definedName name="_DAT112" localSheetId="11">#REF!</definedName>
    <definedName name="_DAT112" localSheetId="20">#REF!</definedName>
    <definedName name="_DAT112">#REF!</definedName>
    <definedName name="_DAT113" localSheetId="12">#REF!</definedName>
    <definedName name="_DAT113" localSheetId="26">#REF!</definedName>
    <definedName name="_DAT113" localSheetId="11">#REF!</definedName>
    <definedName name="_DAT113" localSheetId="20">#REF!</definedName>
    <definedName name="_DAT113">#REF!</definedName>
    <definedName name="_DAT114" localSheetId="12">#REF!</definedName>
    <definedName name="_DAT114" localSheetId="26">#REF!</definedName>
    <definedName name="_DAT114" localSheetId="11">#REF!</definedName>
    <definedName name="_DAT114" localSheetId="20">#REF!</definedName>
    <definedName name="_DAT114">#REF!</definedName>
    <definedName name="_DAT115" localSheetId="12">#REF!</definedName>
    <definedName name="_DAT115" localSheetId="26">#REF!</definedName>
    <definedName name="_DAT115" localSheetId="11">#REF!</definedName>
    <definedName name="_DAT115" localSheetId="20">#REF!</definedName>
    <definedName name="_DAT115">#REF!</definedName>
    <definedName name="_DAT116" localSheetId="12">#REF!</definedName>
    <definedName name="_DAT116" localSheetId="26">#REF!</definedName>
    <definedName name="_DAT116" localSheetId="11">#REF!</definedName>
    <definedName name="_DAT116" localSheetId="20">#REF!</definedName>
    <definedName name="_DAT116">#REF!</definedName>
    <definedName name="_DAT117" localSheetId="12">#REF!</definedName>
    <definedName name="_DAT117" localSheetId="26">#REF!</definedName>
    <definedName name="_DAT117" localSheetId="11">#REF!</definedName>
    <definedName name="_DAT117" localSheetId="20">#REF!</definedName>
    <definedName name="_DAT117">#REF!</definedName>
    <definedName name="_DAT118" localSheetId="12">#REF!</definedName>
    <definedName name="_DAT118" localSheetId="26">#REF!</definedName>
    <definedName name="_DAT118" localSheetId="11">#REF!</definedName>
    <definedName name="_DAT118" localSheetId="20">#REF!</definedName>
    <definedName name="_DAT118">#REF!</definedName>
    <definedName name="_DAT119" localSheetId="12">#REF!</definedName>
    <definedName name="_DAT119" localSheetId="26">#REF!</definedName>
    <definedName name="_DAT119" localSheetId="11">#REF!</definedName>
    <definedName name="_DAT119" localSheetId="20">#REF!</definedName>
    <definedName name="_DAT119">#REF!</definedName>
    <definedName name="_DAT12" localSheetId="12">[9]Working!#REF!</definedName>
    <definedName name="_DAT12" localSheetId="26">[9]Working!#REF!</definedName>
    <definedName name="_DAT12" localSheetId="11">[9]Working!#REF!</definedName>
    <definedName name="_DAT12" localSheetId="20">[9]Working!#REF!</definedName>
    <definedName name="_DAT12">[9]Working!#REF!</definedName>
    <definedName name="_DAT120" localSheetId="12">#REF!</definedName>
    <definedName name="_DAT120" localSheetId="26">#REF!</definedName>
    <definedName name="_DAT120" localSheetId="11">#REF!</definedName>
    <definedName name="_DAT120" localSheetId="20">#REF!</definedName>
    <definedName name="_DAT120">#REF!</definedName>
    <definedName name="_DAT121" localSheetId="12">#REF!</definedName>
    <definedName name="_DAT121" localSheetId="26">#REF!</definedName>
    <definedName name="_DAT121" localSheetId="11">#REF!</definedName>
    <definedName name="_DAT121" localSheetId="20">#REF!</definedName>
    <definedName name="_DAT121">#REF!</definedName>
    <definedName name="_DAT122" localSheetId="12">#REF!</definedName>
    <definedName name="_DAT122" localSheetId="26">#REF!</definedName>
    <definedName name="_DAT122" localSheetId="11">#REF!</definedName>
    <definedName name="_DAT122" localSheetId="20">#REF!</definedName>
    <definedName name="_DAT122">#REF!</definedName>
    <definedName name="_DAT123" localSheetId="12">#REF!</definedName>
    <definedName name="_DAT123" localSheetId="26">#REF!</definedName>
    <definedName name="_DAT123" localSheetId="11">#REF!</definedName>
    <definedName name="_DAT123" localSheetId="20">#REF!</definedName>
    <definedName name="_DAT123">#REF!</definedName>
    <definedName name="_DAT124" localSheetId="12">#REF!</definedName>
    <definedName name="_DAT124" localSheetId="26">#REF!</definedName>
    <definedName name="_DAT124" localSheetId="11">#REF!</definedName>
    <definedName name="_DAT124" localSheetId="20">#REF!</definedName>
    <definedName name="_DAT124">#REF!</definedName>
    <definedName name="_DAT125" localSheetId="12">#REF!</definedName>
    <definedName name="_DAT125" localSheetId="26">#REF!</definedName>
    <definedName name="_DAT125" localSheetId="11">#REF!</definedName>
    <definedName name="_DAT125" localSheetId="20">#REF!</definedName>
    <definedName name="_DAT125">#REF!</definedName>
    <definedName name="_DAT126" localSheetId="12">#REF!</definedName>
    <definedName name="_DAT126" localSheetId="26">#REF!</definedName>
    <definedName name="_DAT126" localSheetId="11">#REF!</definedName>
    <definedName name="_DAT126" localSheetId="20">#REF!</definedName>
    <definedName name="_DAT126">#REF!</definedName>
    <definedName name="_DAT127" localSheetId="12">#REF!</definedName>
    <definedName name="_DAT127" localSheetId="26">#REF!</definedName>
    <definedName name="_DAT127" localSheetId="11">#REF!</definedName>
    <definedName name="_DAT127" localSheetId="20">#REF!</definedName>
    <definedName name="_DAT127">#REF!</definedName>
    <definedName name="_DAT128" localSheetId="12">#REF!</definedName>
    <definedName name="_DAT128" localSheetId="26">#REF!</definedName>
    <definedName name="_DAT128" localSheetId="11">#REF!</definedName>
    <definedName name="_DAT128" localSheetId="20">#REF!</definedName>
    <definedName name="_DAT128">#REF!</definedName>
    <definedName name="_DAT129" localSheetId="12">#REF!</definedName>
    <definedName name="_DAT129" localSheetId="26">#REF!</definedName>
    <definedName name="_DAT129" localSheetId="11">#REF!</definedName>
    <definedName name="_DAT129" localSheetId="20">#REF!</definedName>
    <definedName name="_DAT129">#REF!</definedName>
    <definedName name="_DAT13" localSheetId="12">#REF!</definedName>
    <definedName name="_DAT13" localSheetId="26">#REF!</definedName>
    <definedName name="_DAT13" localSheetId="11">#REF!</definedName>
    <definedName name="_DAT13" localSheetId="20">#REF!</definedName>
    <definedName name="_DAT13">#REF!</definedName>
    <definedName name="_DAT130" localSheetId="12">#REF!</definedName>
    <definedName name="_DAT130" localSheetId="26">#REF!</definedName>
    <definedName name="_DAT130" localSheetId="11">#REF!</definedName>
    <definedName name="_DAT130" localSheetId="20">#REF!</definedName>
    <definedName name="_DAT130">#REF!</definedName>
    <definedName name="_DAT131" localSheetId="12">#REF!</definedName>
    <definedName name="_DAT131" localSheetId="26">#REF!</definedName>
    <definedName name="_DAT131" localSheetId="11">#REF!</definedName>
    <definedName name="_DAT131" localSheetId="20">#REF!</definedName>
    <definedName name="_DAT131">#REF!</definedName>
    <definedName name="_DAT132" localSheetId="12">#REF!</definedName>
    <definedName name="_DAT132" localSheetId="26">#REF!</definedName>
    <definedName name="_DAT132" localSheetId="11">#REF!</definedName>
    <definedName name="_DAT132" localSheetId="20">#REF!</definedName>
    <definedName name="_DAT132">#REF!</definedName>
    <definedName name="_DAT133" localSheetId="12">#REF!</definedName>
    <definedName name="_DAT133" localSheetId="26">#REF!</definedName>
    <definedName name="_DAT133" localSheetId="11">#REF!</definedName>
    <definedName name="_DAT133" localSheetId="20">#REF!</definedName>
    <definedName name="_DAT133">#REF!</definedName>
    <definedName name="_DAT134" localSheetId="12">#REF!</definedName>
    <definedName name="_DAT134" localSheetId="26">#REF!</definedName>
    <definedName name="_DAT134" localSheetId="11">#REF!</definedName>
    <definedName name="_DAT134" localSheetId="20">#REF!</definedName>
    <definedName name="_DAT134">#REF!</definedName>
    <definedName name="_DAT135" localSheetId="12">#REF!</definedName>
    <definedName name="_DAT135" localSheetId="26">#REF!</definedName>
    <definedName name="_DAT135" localSheetId="11">#REF!</definedName>
    <definedName name="_DAT135" localSheetId="20">#REF!</definedName>
    <definedName name="_DAT135">#REF!</definedName>
    <definedName name="_DAT136" localSheetId="12">#REF!</definedName>
    <definedName name="_DAT136" localSheetId="26">#REF!</definedName>
    <definedName name="_DAT136" localSheetId="11">#REF!</definedName>
    <definedName name="_DAT136" localSheetId="20">#REF!</definedName>
    <definedName name="_DAT136">#REF!</definedName>
    <definedName name="_DAT137" localSheetId="12">#REF!</definedName>
    <definedName name="_DAT137" localSheetId="26">#REF!</definedName>
    <definedName name="_DAT137" localSheetId="11">#REF!</definedName>
    <definedName name="_DAT137" localSheetId="20">#REF!</definedName>
    <definedName name="_DAT137">#REF!</definedName>
    <definedName name="_DAT138" localSheetId="12">#REF!</definedName>
    <definedName name="_DAT138" localSheetId="26">#REF!</definedName>
    <definedName name="_DAT138" localSheetId="11">#REF!</definedName>
    <definedName name="_DAT138" localSheetId="20">#REF!</definedName>
    <definedName name="_DAT138">#REF!</definedName>
    <definedName name="_DAT139" localSheetId="12">#REF!</definedName>
    <definedName name="_DAT139" localSheetId="26">#REF!</definedName>
    <definedName name="_DAT139" localSheetId="11">#REF!</definedName>
    <definedName name="_DAT139" localSheetId="20">#REF!</definedName>
    <definedName name="_DAT139">#REF!</definedName>
    <definedName name="_DAT14" localSheetId="12">#REF!</definedName>
    <definedName name="_DAT14" localSheetId="26">#REF!</definedName>
    <definedName name="_DAT14" localSheetId="11">#REF!</definedName>
    <definedName name="_DAT14" localSheetId="20">#REF!</definedName>
    <definedName name="_DAT14">#REF!</definedName>
    <definedName name="_DAT15" localSheetId="12">#REF!</definedName>
    <definedName name="_DAT15" localSheetId="26">#REF!</definedName>
    <definedName name="_DAT15" localSheetId="11">#REF!</definedName>
    <definedName name="_DAT15" localSheetId="20">#REF!</definedName>
    <definedName name="_DAT15">#REF!</definedName>
    <definedName name="_DAT16" localSheetId="12">#REF!</definedName>
    <definedName name="_DAT16" localSheetId="26">#REF!</definedName>
    <definedName name="_DAT16" localSheetId="11">#REF!</definedName>
    <definedName name="_DAT16" localSheetId="20">#REF!</definedName>
    <definedName name="_DAT16">#REF!</definedName>
    <definedName name="_DAT17" localSheetId="12">#REF!</definedName>
    <definedName name="_DAT17" localSheetId="26">#REF!</definedName>
    <definedName name="_DAT17" localSheetId="11">#REF!</definedName>
    <definedName name="_DAT17" localSheetId="20">#REF!</definedName>
    <definedName name="_DAT17">#REF!</definedName>
    <definedName name="_DAT18" localSheetId="12">#REF!</definedName>
    <definedName name="_DAT18" localSheetId="26">#REF!</definedName>
    <definedName name="_DAT18" localSheetId="11">#REF!</definedName>
    <definedName name="_DAT18" localSheetId="20">#REF!</definedName>
    <definedName name="_DAT18">#REF!</definedName>
    <definedName name="_DAT19" localSheetId="12">#REF!</definedName>
    <definedName name="_DAT19" localSheetId="26">#REF!</definedName>
    <definedName name="_DAT19" localSheetId="11">#REF!</definedName>
    <definedName name="_DAT19" localSheetId="20">#REF!</definedName>
    <definedName name="_DAT19">#REF!</definedName>
    <definedName name="_DAT2" localSheetId="12">#REF!</definedName>
    <definedName name="_DAT2" localSheetId="26">#REF!</definedName>
    <definedName name="_DAT2" localSheetId="11">#REF!</definedName>
    <definedName name="_DAT2" localSheetId="20">#REF!</definedName>
    <definedName name="_DAT2">#REF!</definedName>
    <definedName name="_DAT20" localSheetId="12">#REF!</definedName>
    <definedName name="_DAT20" localSheetId="26">#REF!</definedName>
    <definedName name="_DAT20" localSheetId="11">#REF!</definedName>
    <definedName name="_DAT20" localSheetId="20">#REF!</definedName>
    <definedName name="_DAT20">#REF!</definedName>
    <definedName name="_DAT21" localSheetId="12">'[10]Excise on RM'!#REF!</definedName>
    <definedName name="_DAT21" localSheetId="26">'[10]Excise on RM'!#REF!</definedName>
    <definedName name="_DAT21" localSheetId="11">'[10]Excise on RM'!#REF!</definedName>
    <definedName name="_DAT21" localSheetId="20">'[10]Excise on RM'!#REF!</definedName>
    <definedName name="_DAT21">'[10]Excise on RM'!#REF!</definedName>
    <definedName name="_DAT22" localSheetId="12">#REF!</definedName>
    <definedName name="_DAT22" localSheetId="26">#REF!</definedName>
    <definedName name="_DAT22" localSheetId="11">#REF!</definedName>
    <definedName name="_DAT22" localSheetId="20">#REF!</definedName>
    <definedName name="_DAT22">#REF!</definedName>
    <definedName name="_DAT23" localSheetId="12">'[10]Excise on RM'!#REF!</definedName>
    <definedName name="_DAT23" localSheetId="26">'[10]Excise on RM'!#REF!</definedName>
    <definedName name="_DAT23" localSheetId="11">'[10]Excise on RM'!#REF!</definedName>
    <definedName name="_DAT23" localSheetId="20">'[10]Excise on RM'!#REF!</definedName>
    <definedName name="_DAT23">'[10]Excise on RM'!#REF!</definedName>
    <definedName name="_DAT24" localSheetId="12">'[10]Excise on RM'!#REF!</definedName>
    <definedName name="_DAT24" localSheetId="26">'[10]Excise on RM'!#REF!</definedName>
    <definedName name="_DAT24" localSheetId="11">'[10]Excise on RM'!#REF!</definedName>
    <definedName name="_DAT24" localSheetId="20">'[10]Excise on RM'!#REF!</definedName>
    <definedName name="_DAT24">'[10]Excise on RM'!#REF!</definedName>
    <definedName name="_DAT25" localSheetId="12">[11]Sheet1!#REF!</definedName>
    <definedName name="_DAT25" localSheetId="26">[11]Sheet1!#REF!</definedName>
    <definedName name="_DAT25" localSheetId="11">[11]Sheet1!#REF!</definedName>
    <definedName name="_DAT25" localSheetId="20">[11]Sheet1!#REF!</definedName>
    <definedName name="_DAT25">[11]Sheet1!#REF!</definedName>
    <definedName name="_DAT26" localSheetId="12">[9]Working!#REF!</definedName>
    <definedName name="_DAT26" localSheetId="26">[9]Working!#REF!</definedName>
    <definedName name="_DAT26" localSheetId="11">[9]Working!#REF!</definedName>
    <definedName name="_DAT26" localSheetId="20">[9]Working!#REF!</definedName>
    <definedName name="_DAT26">[9]Working!#REF!</definedName>
    <definedName name="_DAT27" localSheetId="12">[9]Working!#REF!</definedName>
    <definedName name="_DAT27" localSheetId="26">[9]Working!#REF!</definedName>
    <definedName name="_DAT27" localSheetId="11">[9]Working!#REF!</definedName>
    <definedName name="_DAT27" localSheetId="20">[9]Working!#REF!</definedName>
    <definedName name="_DAT27">[9]Working!#REF!</definedName>
    <definedName name="_DAT28" localSheetId="12">'[10]Excise on RM'!#REF!</definedName>
    <definedName name="_DAT28" localSheetId="26">'[10]Excise on RM'!#REF!</definedName>
    <definedName name="_DAT28" localSheetId="11">'[10]Excise on RM'!#REF!</definedName>
    <definedName name="_DAT28" localSheetId="20">'[10]Excise on RM'!#REF!</definedName>
    <definedName name="_DAT28">'[10]Excise on RM'!#REF!</definedName>
    <definedName name="_DAT29" localSheetId="12">#REF!</definedName>
    <definedName name="_DAT29" localSheetId="26">#REF!</definedName>
    <definedName name="_DAT29" localSheetId="11">#REF!</definedName>
    <definedName name="_DAT29" localSheetId="20">#REF!</definedName>
    <definedName name="_DAT29">#REF!</definedName>
    <definedName name="_DAT3" localSheetId="12">#REF!</definedName>
    <definedName name="_DAT3" localSheetId="26">#REF!</definedName>
    <definedName name="_DAT3" localSheetId="11">#REF!</definedName>
    <definedName name="_DAT3" localSheetId="20">#REF!</definedName>
    <definedName name="_DAT3">#REF!</definedName>
    <definedName name="_DAT30" localSheetId="12">'[10]Excise on RM'!#REF!</definedName>
    <definedName name="_DAT30" localSheetId="26">'[10]Excise on RM'!#REF!</definedName>
    <definedName name="_DAT30" localSheetId="11">'[10]Excise on RM'!#REF!</definedName>
    <definedName name="_DAT30" localSheetId="20">'[10]Excise on RM'!#REF!</definedName>
    <definedName name="_DAT30">'[10]Excise on RM'!#REF!</definedName>
    <definedName name="_DAT31" localSheetId="12">[9]Working!#REF!</definedName>
    <definedName name="_DAT31" localSheetId="26">[9]Working!#REF!</definedName>
    <definedName name="_DAT31" localSheetId="11">[9]Working!#REF!</definedName>
    <definedName name="_DAT31" localSheetId="20">[9]Working!#REF!</definedName>
    <definedName name="_DAT31">[9]Working!#REF!</definedName>
    <definedName name="_DAT32" localSheetId="12">'[10]Excise on RM'!#REF!</definedName>
    <definedName name="_DAT32" localSheetId="26">'[10]Excise on RM'!#REF!</definedName>
    <definedName name="_DAT32" localSheetId="11">'[10]Excise on RM'!#REF!</definedName>
    <definedName name="_DAT32" localSheetId="20">'[10]Excise on RM'!#REF!</definedName>
    <definedName name="_DAT32">'[10]Excise on RM'!#REF!</definedName>
    <definedName name="_DAT33" localSheetId="12">'[10]Excise on RM'!#REF!</definedName>
    <definedName name="_DAT33" localSheetId="26">'[10]Excise on RM'!#REF!</definedName>
    <definedName name="_DAT33" localSheetId="11">'[10]Excise on RM'!#REF!</definedName>
    <definedName name="_DAT33" localSheetId="20">'[10]Excise on RM'!#REF!</definedName>
    <definedName name="_DAT33">'[10]Excise on RM'!#REF!</definedName>
    <definedName name="_DAT34" localSheetId="12">#REF!</definedName>
    <definedName name="_DAT34" localSheetId="26">#REF!</definedName>
    <definedName name="_DAT34" localSheetId="11">#REF!</definedName>
    <definedName name="_DAT34" localSheetId="20">#REF!</definedName>
    <definedName name="_DAT34">#REF!</definedName>
    <definedName name="_DAT35" localSheetId="12">#REF!</definedName>
    <definedName name="_DAT35" localSheetId="26">#REF!</definedName>
    <definedName name="_DAT35" localSheetId="11">#REF!</definedName>
    <definedName name="_DAT35" localSheetId="20">#REF!</definedName>
    <definedName name="_DAT35">#REF!</definedName>
    <definedName name="_DAT36" localSheetId="12">#REF!</definedName>
    <definedName name="_DAT36" localSheetId="26">#REF!</definedName>
    <definedName name="_DAT36" localSheetId="11">#REF!</definedName>
    <definedName name="_DAT36" localSheetId="20">#REF!</definedName>
    <definedName name="_DAT36">#REF!</definedName>
    <definedName name="_DAT37" localSheetId="12">#REF!</definedName>
    <definedName name="_DAT37" localSheetId="26">#REF!</definedName>
    <definedName name="_DAT37" localSheetId="11">#REF!</definedName>
    <definedName name="_DAT37" localSheetId="20">#REF!</definedName>
    <definedName name="_DAT37">#REF!</definedName>
    <definedName name="_DAT38" localSheetId="12">#REF!</definedName>
    <definedName name="_DAT38" localSheetId="26">#REF!</definedName>
    <definedName name="_DAT38" localSheetId="11">#REF!</definedName>
    <definedName name="_DAT38" localSheetId="20">#REF!</definedName>
    <definedName name="_DAT38">#REF!</definedName>
    <definedName name="_DAT39" localSheetId="12">[12]Prod!#REF!</definedName>
    <definedName name="_DAT39" localSheetId="26">[12]Prod!#REF!</definedName>
    <definedName name="_DAT39" localSheetId="11">[12]Prod!#REF!</definedName>
    <definedName name="_DAT39" localSheetId="20">[12]Prod!#REF!</definedName>
    <definedName name="_DAT39">[12]Prod!#REF!</definedName>
    <definedName name="_DAT4" localSheetId="12">#REF!</definedName>
    <definedName name="_DAT4" localSheetId="26">#REF!</definedName>
    <definedName name="_DAT4" localSheetId="11">#REF!</definedName>
    <definedName name="_DAT4" localSheetId="20">#REF!</definedName>
    <definedName name="_DAT4">#REF!</definedName>
    <definedName name="_DAT40" localSheetId="12">[12]Prod!#REF!</definedName>
    <definedName name="_DAT40" localSheetId="26">[12]Prod!#REF!</definedName>
    <definedName name="_DAT40" localSheetId="11">[12]Prod!#REF!</definedName>
    <definedName name="_DAT40" localSheetId="20">[12]Prod!#REF!</definedName>
    <definedName name="_DAT40">[12]Prod!#REF!</definedName>
    <definedName name="_DAT41" localSheetId="12">#REF!</definedName>
    <definedName name="_DAT41" localSheetId="26">#REF!</definedName>
    <definedName name="_DAT41" localSheetId="11">#REF!</definedName>
    <definedName name="_DAT41" localSheetId="20">#REF!</definedName>
    <definedName name="_DAT41">#REF!</definedName>
    <definedName name="_DAT42" localSheetId="12">#REF!</definedName>
    <definedName name="_DAT42" localSheetId="26">#REF!</definedName>
    <definedName name="_DAT42" localSheetId="11">#REF!</definedName>
    <definedName name="_DAT42" localSheetId="20">#REF!</definedName>
    <definedName name="_DAT42">#REF!</definedName>
    <definedName name="_DAT43" localSheetId="12">#REF!</definedName>
    <definedName name="_DAT43" localSheetId="26">#REF!</definedName>
    <definedName name="_DAT43" localSheetId="11">#REF!</definedName>
    <definedName name="_DAT43" localSheetId="20">#REF!</definedName>
    <definedName name="_DAT43">#REF!</definedName>
    <definedName name="_DAT44" localSheetId="12">#REF!</definedName>
    <definedName name="_DAT44" localSheetId="26">#REF!</definedName>
    <definedName name="_DAT44" localSheetId="11">#REF!</definedName>
    <definedName name="_DAT44" localSheetId="20">#REF!</definedName>
    <definedName name="_DAT44">#REF!</definedName>
    <definedName name="_DAT45" localSheetId="12">#REF!</definedName>
    <definedName name="_DAT45" localSheetId="26">#REF!</definedName>
    <definedName name="_DAT45" localSheetId="11">#REF!</definedName>
    <definedName name="_DAT45" localSheetId="20">#REF!</definedName>
    <definedName name="_DAT45">#REF!</definedName>
    <definedName name="_DAT46" localSheetId="12">#REF!</definedName>
    <definedName name="_DAT46" localSheetId="26">#REF!</definedName>
    <definedName name="_DAT46" localSheetId="11">#REF!</definedName>
    <definedName name="_DAT46" localSheetId="20">#REF!</definedName>
    <definedName name="_DAT46">#REF!</definedName>
    <definedName name="_DAT47" localSheetId="12">#REF!</definedName>
    <definedName name="_DAT47" localSheetId="26">#REF!</definedName>
    <definedName name="_DAT47" localSheetId="11">#REF!</definedName>
    <definedName name="_DAT47" localSheetId="20">#REF!</definedName>
    <definedName name="_DAT47">#REF!</definedName>
    <definedName name="_DAT48" localSheetId="12">#REF!</definedName>
    <definedName name="_DAT48" localSheetId="26">#REF!</definedName>
    <definedName name="_DAT48" localSheetId="11">#REF!</definedName>
    <definedName name="_DAT48" localSheetId="20">#REF!</definedName>
    <definedName name="_DAT48">#REF!</definedName>
    <definedName name="_DAT49" localSheetId="12">[12]Prod!#REF!</definedName>
    <definedName name="_DAT49" localSheetId="26">[12]Prod!#REF!</definedName>
    <definedName name="_DAT49" localSheetId="11">[12]Prod!#REF!</definedName>
    <definedName name="_DAT49" localSheetId="20">[12]Prod!#REF!</definedName>
    <definedName name="_DAT49">[12]Prod!#REF!</definedName>
    <definedName name="_DAT5" localSheetId="12">#REF!</definedName>
    <definedName name="_DAT5" localSheetId="26">#REF!</definedName>
    <definedName name="_DAT5" localSheetId="11">#REF!</definedName>
    <definedName name="_DAT5" localSheetId="20">#REF!</definedName>
    <definedName name="_DAT5">#REF!</definedName>
    <definedName name="_DAT50" localSheetId="12">[12]Prod!#REF!</definedName>
    <definedName name="_DAT50" localSheetId="26">[12]Prod!#REF!</definedName>
    <definedName name="_DAT50" localSheetId="11">[12]Prod!#REF!</definedName>
    <definedName name="_DAT50" localSheetId="20">[12]Prod!#REF!</definedName>
    <definedName name="_DAT50">[12]Prod!#REF!</definedName>
    <definedName name="_DAT51" localSheetId="12">[12]Prod!#REF!</definedName>
    <definedName name="_DAT51" localSheetId="26">[12]Prod!#REF!</definedName>
    <definedName name="_DAT51" localSheetId="11">[12]Prod!#REF!</definedName>
    <definedName name="_DAT51" localSheetId="20">[12]Prod!#REF!</definedName>
    <definedName name="_DAT51">[12]Prod!#REF!</definedName>
    <definedName name="_DAT52" localSheetId="12">[12]Prod!#REF!</definedName>
    <definedName name="_DAT52" localSheetId="26">[12]Prod!#REF!</definedName>
    <definedName name="_DAT52" localSheetId="11">[12]Prod!#REF!</definedName>
    <definedName name="_DAT52" localSheetId="20">[12]Prod!#REF!</definedName>
    <definedName name="_DAT52">[12]Prod!#REF!</definedName>
    <definedName name="_DAT53" localSheetId="12">#REF!</definedName>
    <definedName name="_DAT53" localSheetId="26">#REF!</definedName>
    <definedName name="_DAT53" localSheetId="11">#REF!</definedName>
    <definedName name="_DAT53" localSheetId="20">#REF!</definedName>
    <definedName name="_DAT53">#REF!</definedName>
    <definedName name="_DAT54" localSheetId="12">'[13]PACKING GL MAY-07'!#REF!</definedName>
    <definedName name="_DAT54" localSheetId="26">'[13]PACKING GL MAY-07'!#REF!</definedName>
    <definedName name="_DAT54" localSheetId="11">'[13]PACKING GL MAY-07'!#REF!</definedName>
    <definedName name="_DAT54" localSheetId="20">'[13]PACKING GL MAY-07'!#REF!</definedName>
    <definedName name="_DAT54">'[13]PACKING GL MAY-07'!#REF!</definedName>
    <definedName name="_DAT55" localSheetId="12">#REF!</definedName>
    <definedName name="_DAT55" localSheetId="26">#REF!</definedName>
    <definedName name="_DAT55" localSheetId="11">#REF!</definedName>
    <definedName name="_DAT55" localSheetId="20">#REF!</definedName>
    <definedName name="_DAT55">#REF!</definedName>
    <definedName name="_DAT56" localSheetId="12">#REF!</definedName>
    <definedName name="_DAT56" localSheetId="26">#REF!</definedName>
    <definedName name="_DAT56" localSheetId="11">#REF!</definedName>
    <definedName name="_DAT56" localSheetId="20">#REF!</definedName>
    <definedName name="_DAT56">#REF!</definedName>
    <definedName name="_DAT57" localSheetId="12">#REF!</definedName>
    <definedName name="_DAT57" localSheetId="26">#REF!</definedName>
    <definedName name="_DAT57" localSheetId="11">#REF!</definedName>
    <definedName name="_DAT57" localSheetId="20">#REF!</definedName>
    <definedName name="_DAT57">#REF!</definedName>
    <definedName name="_DAT58" localSheetId="12">#REF!</definedName>
    <definedName name="_DAT58" localSheetId="26">#REF!</definedName>
    <definedName name="_DAT58" localSheetId="11">#REF!</definedName>
    <definedName name="_DAT58" localSheetId="20">#REF!</definedName>
    <definedName name="_DAT58">#REF!</definedName>
    <definedName name="_DAT59" localSheetId="12">'[13]PACKING GL MAY-07'!#REF!</definedName>
    <definedName name="_DAT59" localSheetId="26">'[13]PACKING GL MAY-07'!#REF!</definedName>
    <definedName name="_DAT59" localSheetId="11">'[13]PACKING GL MAY-07'!#REF!</definedName>
    <definedName name="_DAT59" localSheetId="20">'[13]PACKING GL MAY-07'!#REF!</definedName>
    <definedName name="_DAT59">'[13]PACKING GL MAY-07'!#REF!</definedName>
    <definedName name="_DAT6" localSheetId="12">#REF!</definedName>
    <definedName name="_DAT6" localSheetId="26">#REF!</definedName>
    <definedName name="_DAT6" localSheetId="11">#REF!</definedName>
    <definedName name="_DAT6" localSheetId="20">#REF!</definedName>
    <definedName name="_DAT6">#REF!</definedName>
    <definedName name="_DAT60" localSheetId="12">[14]MASTER!#REF!</definedName>
    <definedName name="_DAT60" localSheetId="26">[14]MASTER!#REF!</definedName>
    <definedName name="_DAT60" localSheetId="11">[14]MASTER!#REF!</definedName>
    <definedName name="_DAT60" localSheetId="20">[14]MASTER!#REF!</definedName>
    <definedName name="_DAT60">[14]MASTER!#REF!</definedName>
    <definedName name="_DAT61" localSheetId="12">[14]MASTER!#REF!</definedName>
    <definedName name="_DAT61" localSheetId="26">[14]MASTER!#REF!</definedName>
    <definedName name="_DAT61" localSheetId="11">[14]MASTER!#REF!</definedName>
    <definedName name="_DAT61" localSheetId="20">[14]MASTER!#REF!</definedName>
    <definedName name="_DAT61">[14]MASTER!#REF!</definedName>
    <definedName name="_DAT62" localSheetId="12">'[13]PACKING GL MAY-07'!#REF!</definedName>
    <definedName name="_DAT62" localSheetId="26">'[13]PACKING GL MAY-07'!#REF!</definedName>
    <definedName name="_DAT62" localSheetId="11">'[13]PACKING GL MAY-07'!#REF!</definedName>
    <definedName name="_DAT62" localSheetId="20">'[13]PACKING GL MAY-07'!#REF!</definedName>
    <definedName name="_DAT62">'[13]PACKING GL MAY-07'!#REF!</definedName>
    <definedName name="_DAT63" localSheetId="12">[14]MASTER!#REF!</definedName>
    <definedName name="_DAT63" localSheetId="26">[14]MASTER!#REF!</definedName>
    <definedName name="_DAT63" localSheetId="11">[14]MASTER!#REF!</definedName>
    <definedName name="_DAT63" localSheetId="20">[14]MASTER!#REF!</definedName>
    <definedName name="_DAT63">[14]MASTER!#REF!</definedName>
    <definedName name="_DAT64" localSheetId="12">'[15]MASTER-01st qtr-packinggl'!#REF!</definedName>
    <definedName name="_DAT64" localSheetId="26">'[15]MASTER-01st qtr-packinggl'!#REF!</definedName>
    <definedName name="_DAT64" localSheetId="11">'[15]MASTER-01st qtr-packinggl'!#REF!</definedName>
    <definedName name="_DAT64" localSheetId="20">'[15]MASTER-01st qtr-packinggl'!#REF!</definedName>
    <definedName name="_DAT64">'[15]MASTER-01st qtr-packinggl'!#REF!</definedName>
    <definedName name="_DAT65" localSheetId="12">'[13]PACKING GL MAY-07'!#REF!</definedName>
    <definedName name="_DAT65" localSheetId="26">'[13]PACKING GL MAY-07'!#REF!</definedName>
    <definedName name="_DAT65" localSheetId="11">'[13]PACKING GL MAY-07'!#REF!</definedName>
    <definedName name="_DAT65" localSheetId="20">'[13]PACKING GL MAY-07'!#REF!</definedName>
    <definedName name="_DAT65">'[13]PACKING GL MAY-07'!#REF!</definedName>
    <definedName name="_DAT66" localSheetId="12">'[13]PACKING GL MAY-07'!#REF!</definedName>
    <definedName name="_DAT66" localSheetId="26">'[13]PACKING GL MAY-07'!#REF!</definedName>
    <definedName name="_DAT66" localSheetId="11">'[13]PACKING GL MAY-07'!#REF!</definedName>
    <definedName name="_DAT66" localSheetId="20">'[13]PACKING GL MAY-07'!#REF!</definedName>
    <definedName name="_DAT66">'[13]PACKING GL MAY-07'!#REF!</definedName>
    <definedName name="_DAT67" localSheetId="12">'[13]PACKING GL MAY-07'!#REF!</definedName>
    <definedName name="_DAT67" localSheetId="26">'[13]PACKING GL MAY-07'!#REF!</definedName>
    <definedName name="_DAT67" localSheetId="11">'[13]PACKING GL MAY-07'!#REF!</definedName>
    <definedName name="_DAT67" localSheetId="20">'[13]PACKING GL MAY-07'!#REF!</definedName>
    <definedName name="_DAT67">'[13]PACKING GL MAY-07'!#REF!</definedName>
    <definedName name="_DAT68" localSheetId="12">'[15]MASTER-01st qtr-packinggl'!#REF!</definedName>
    <definedName name="_DAT68" localSheetId="26">'[15]MASTER-01st qtr-packinggl'!#REF!</definedName>
    <definedName name="_DAT68" localSheetId="11">'[15]MASTER-01st qtr-packinggl'!#REF!</definedName>
    <definedName name="_DAT68" localSheetId="20">'[15]MASTER-01st qtr-packinggl'!#REF!</definedName>
    <definedName name="_DAT68">'[15]MASTER-01st qtr-packinggl'!#REF!</definedName>
    <definedName name="_DAT69" localSheetId="12">'[13]PACKING GL MAY-07'!#REF!</definedName>
    <definedName name="_DAT69" localSheetId="26">'[13]PACKING GL MAY-07'!#REF!</definedName>
    <definedName name="_DAT69" localSheetId="11">'[13]PACKING GL MAY-07'!#REF!</definedName>
    <definedName name="_DAT69" localSheetId="20">'[13]PACKING GL MAY-07'!#REF!</definedName>
    <definedName name="_DAT69">'[13]PACKING GL MAY-07'!#REF!</definedName>
    <definedName name="_DAT7" localSheetId="12">[16]Sheet1!#REF!</definedName>
    <definedName name="_DAT7" localSheetId="26">[16]Sheet1!#REF!</definedName>
    <definedName name="_DAT7" localSheetId="11">[16]Sheet1!#REF!</definedName>
    <definedName name="_DAT7" localSheetId="20">[16]Sheet1!#REF!</definedName>
    <definedName name="_DAT7">[16]Sheet1!#REF!</definedName>
    <definedName name="_DAT70" localSheetId="12">'[13]PACKING GL MAY-07'!#REF!</definedName>
    <definedName name="_DAT70" localSheetId="26">'[13]PACKING GL MAY-07'!#REF!</definedName>
    <definedName name="_DAT70" localSheetId="11">'[13]PACKING GL MAY-07'!#REF!</definedName>
    <definedName name="_DAT70" localSheetId="20">'[13]PACKING GL MAY-07'!#REF!</definedName>
    <definedName name="_DAT70">'[13]PACKING GL MAY-07'!#REF!</definedName>
    <definedName name="_DAT71" localSheetId="12">'[13]PACKING GL MAY-07'!#REF!</definedName>
    <definedName name="_DAT71" localSheetId="26">'[13]PACKING GL MAY-07'!#REF!</definedName>
    <definedName name="_DAT71" localSheetId="11">'[13]PACKING GL MAY-07'!#REF!</definedName>
    <definedName name="_DAT71" localSheetId="20">'[13]PACKING GL MAY-07'!#REF!</definedName>
    <definedName name="_DAT71">'[13]PACKING GL MAY-07'!#REF!</definedName>
    <definedName name="_DAT72" localSheetId="12">'[13]PACKING GL MAY-07'!#REF!</definedName>
    <definedName name="_DAT72" localSheetId="26">'[13]PACKING GL MAY-07'!#REF!</definedName>
    <definedName name="_DAT72" localSheetId="11">'[13]PACKING GL MAY-07'!#REF!</definedName>
    <definedName name="_DAT72" localSheetId="20">'[13]PACKING GL MAY-07'!#REF!</definedName>
    <definedName name="_DAT72">'[13]PACKING GL MAY-07'!#REF!</definedName>
    <definedName name="_DAT73" localSheetId="12">#REF!</definedName>
    <definedName name="_DAT73" localSheetId="26">#REF!</definedName>
    <definedName name="_DAT73" localSheetId="11">#REF!</definedName>
    <definedName name="_DAT73" localSheetId="20">#REF!</definedName>
    <definedName name="_DAT73">#REF!</definedName>
    <definedName name="_DAT74" localSheetId="12">#REF!</definedName>
    <definedName name="_DAT74" localSheetId="26">#REF!</definedName>
    <definedName name="_DAT74" localSheetId="11">#REF!</definedName>
    <definedName name="_DAT74" localSheetId="20">#REF!</definedName>
    <definedName name="_DAT74">#REF!</definedName>
    <definedName name="_DAT75" localSheetId="12">#REF!</definedName>
    <definedName name="_DAT75" localSheetId="26">#REF!</definedName>
    <definedName name="_DAT75" localSheetId="11">#REF!</definedName>
    <definedName name="_DAT75" localSheetId="20">#REF!</definedName>
    <definedName name="_DAT75">#REF!</definedName>
    <definedName name="_DAT76" localSheetId="12">#REF!</definedName>
    <definedName name="_DAT76" localSheetId="26">#REF!</definedName>
    <definedName name="_DAT76" localSheetId="11">#REF!</definedName>
    <definedName name="_DAT76" localSheetId="20">#REF!</definedName>
    <definedName name="_DAT76">#REF!</definedName>
    <definedName name="_DAT77" localSheetId="12">#REF!</definedName>
    <definedName name="_DAT77" localSheetId="26">#REF!</definedName>
    <definedName name="_DAT77" localSheetId="11">#REF!</definedName>
    <definedName name="_DAT77" localSheetId="20">#REF!</definedName>
    <definedName name="_DAT77">#REF!</definedName>
    <definedName name="_DAT78" localSheetId="12">#REF!</definedName>
    <definedName name="_DAT78" localSheetId="26">#REF!</definedName>
    <definedName name="_DAT78" localSheetId="11">#REF!</definedName>
    <definedName name="_DAT78" localSheetId="20">#REF!</definedName>
    <definedName name="_DAT78">#REF!</definedName>
    <definedName name="_DAT79" localSheetId="12">#REF!</definedName>
    <definedName name="_DAT79" localSheetId="26">#REF!</definedName>
    <definedName name="_DAT79" localSheetId="11">#REF!</definedName>
    <definedName name="_DAT79" localSheetId="20">#REF!</definedName>
    <definedName name="_DAT79">#REF!</definedName>
    <definedName name="_DAT8" localSheetId="12">#REF!</definedName>
    <definedName name="_DAT8" localSheetId="26">#REF!</definedName>
    <definedName name="_DAT8" localSheetId="11">#REF!</definedName>
    <definedName name="_DAT8" localSheetId="20">#REF!</definedName>
    <definedName name="_DAT8">#REF!</definedName>
    <definedName name="_DAT80" localSheetId="12">#REF!</definedName>
    <definedName name="_DAT80" localSheetId="26">#REF!</definedName>
    <definedName name="_DAT80" localSheetId="11">#REF!</definedName>
    <definedName name="_DAT80" localSheetId="20">#REF!</definedName>
    <definedName name="_DAT80">#REF!</definedName>
    <definedName name="_DAT81" localSheetId="12">#REF!</definedName>
    <definedName name="_DAT81" localSheetId="26">#REF!</definedName>
    <definedName name="_DAT81" localSheetId="11">#REF!</definedName>
    <definedName name="_DAT81" localSheetId="20">#REF!</definedName>
    <definedName name="_DAT81">#REF!</definedName>
    <definedName name="_DAT82" localSheetId="12">#REF!</definedName>
    <definedName name="_DAT82" localSheetId="26">#REF!</definedName>
    <definedName name="_DAT82" localSheetId="11">#REF!</definedName>
    <definedName name="_DAT82" localSheetId="20">#REF!</definedName>
    <definedName name="_DAT82">#REF!</definedName>
    <definedName name="_DAT83" localSheetId="12">#REF!</definedName>
    <definedName name="_DAT83" localSheetId="26">#REF!</definedName>
    <definedName name="_DAT83" localSheetId="11">#REF!</definedName>
    <definedName name="_DAT83" localSheetId="20">#REF!</definedName>
    <definedName name="_DAT83">#REF!</definedName>
    <definedName name="_DAT84" localSheetId="12">#REF!</definedName>
    <definedName name="_DAT84" localSheetId="26">#REF!</definedName>
    <definedName name="_DAT84" localSheetId="11">#REF!</definedName>
    <definedName name="_DAT84" localSheetId="20">#REF!</definedName>
    <definedName name="_DAT84">#REF!</definedName>
    <definedName name="_DAT85" localSheetId="12">#REF!</definedName>
    <definedName name="_DAT85" localSheetId="26">#REF!</definedName>
    <definedName name="_DAT85" localSheetId="11">#REF!</definedName>
    <definedName name="_DAT85" localSheetId="20">#REF!</definedName>
    <definedName name="_DAT85">#REF!</definedName>
    <definedName name="_DAT86" localSheetId="12">#REF!</definedName>
    <definedName name="_DAT86" localSheetId="26">#REF!</definedName>
    <definedName name="_DAT86" localSheetId="11">#REF!</definedName>
    <definedName name="_DAT86" localSheetId="20">#REF!</definedName>
    <definedName name="_DAT86">#REF!</definedName>
    <definedName name="_DAT87" localSheetId="12">#REF!</definedName>
    <definedName name="_DAT87" localSheetId="26">#REF!</definedName>
    <definedName name="_DAT87" localSheetId="11">#REF!</definedName>
    <definedName name="_DAT87" localSheetId="20">#REF!</definedName>
    <definedName name="_DAT87">#REF!</definedName>
    <definedName name="_DAT88" localSheetId="12">#REF!</definedName>
    <definedName name="_DAT88" localSheetId="26">#REF!</definedName>
    <definedName name="_DAT88" localSheetId="11">#REF!</definedName>
    <definedName name="_DAT88" localSheetId="20">#REF!</definedName>
    <definedName name="_DAT88">#REF!</definedName>
    <definedName name="_DAT89" localSheetId="12">#REF!</definedName>
    <definedName name="_DAT89" localSheetId="26">#REF!</definedName>
    <definedName name="_DAT89" localSheetId="11">#REF!</definedName>
    <definedName name="_DAT89" localSheetId="20">#REF!</definedName>
    <definedName name="_DAT89">#REF!</definedName>
    <definedName name="_DAT9" localSheetId="12">#REF!</definedName>
    <definedName name="_DAT9" localSheetId="26">#REF!</definedName>
    <definedName name="_DAT9" localSheetId="11">#REF!</definedName>
    <definedName name="_DAT9" localSheetId="20">#REF!</definedName>
    <definedName name="_DAT9">#REF!</definedName>
    <definedName name="_DAT90" localSheetId="12">#REF!</definedName>
    <definedName name="_DAT90" localSheetId="26">#REF!</definedName>
    <definedName name="_DAT90" localSheetId="11">#REF!</definedName>
    <definedName name="_DAT90" localSheetId="20">#REF!</definedName>
    <definedName name="_DAT90">#REF!</definedName>
    <definedName name="_DAT91" localSheetId="12">#REF!</definedName>
    <definedName name="_DAT91" localSheetId="26">#REF!</definedName>
    <definedName name="_DAT91" localSheetId="11">#REF!</definedName>
    <definedName name="_DAT91" localSheetId="20">#REF!</definedName>
    <definedName name="_DAT91">#REF!</definedName>
    <definedName name="_DAT92" localSheetId="12">#REF!</definedName>
    <definedName name="_DAT92" localSheetId="26">#REF!</definedName>
    <definedName name="_DAT92" localSheetId="11">#REF!</definedName>
    <definedName name="_DAT92" localSheetId="20">#REF!</definedName>
    <definedName name="_DAT92">#REF!</definedName>
    <definedName name="_DAT93" localSheetId="12">#REF!</definedName>
    <definedName name="_DAT93" localSheetId="26">#REF!</definedName>
    <definedName name="_DAT93" localSheetId="11">#REF!</definedName>
    <definedName name="_DAT93" localSheetId="20">#REF!</definedName>
    <definedName name="_DAT93">#REF!</definedName>
    <definedName name="_DAT94" localSheetId="12">#REF!</definedName>
    <definedName name="_DAT94" localSheetId="26">#REF!</definedName>
    <definedName name="_DAT94" localSheetId="11">#REF!</definedName>
    <definedName name="_DAT94" localSheetId="20">#REF!</definedName>
    <definedName name="_DAT94">#REF!</definedName>
    <definedName name="_DAT95" localSheetId="12">#REF!</definedName>
    <definedName name="_DAT95" localSheetId="26">#REF!</definedName>
    <definedName name="_DAT95" localSheetId="11">#REF!</definedName>
    <definedName name="_DAT95" localSheetId="20">#REF!</definedName>
    <definedName name="_DAT95">#REF!</definedName>
    <definedName name="_DAT96" localSheetId="12">#REF!</definedName>
    <definedName name="_DAT96" localSheetId="26">#REF!</definedName>
    <definedName name="_DAT96" localSheetId="11">#REF!</definedName>
    <definedName name="_DAT96" localSheetId="20">#REF!</definedName>
    <definedName name="_DAT96">#REF!</definedName>
    <definedName name="_DAT97" localSheetId="12">#REF!</definedName>
    <definedName name="_DAT97" localSheetId="26">#REF!</definedName>
    <definedName name="_DAT97" localSheetId="11">#REF!</definedName>
    <definedName name="_DAT97" localSheetId="20">#REF!</definedName>
    <definedName name="_DAT97">#REF!</definedName>
    <definedName name="_DAT98" localSheetId="12">#REF!</definedName>
    <definedName name="_DAT98" localSheetId="26">#REF!</definedName>
    <definedName name="_DAT98" localSheetId="11">#REF!</definedName>
    <definedName name="_DAT98" localSheetId="20">#REF!</definedName>
    <definedName name="_DAT98">#REF!</definedName>
    <definedName name="_DAT99" localSheetId="12">#REF!</definedName>
    <definedName name="_DAT99" localSheetId="26">#REF!</definedName>
    <definedName name="_DAT99" localSheetId="11">#REF!</definedName>
    <definedName name="_DAT99" localSheetId="20">#REF!</definedName>
    <definedName name="_DAT99">#REF!</definedName>
    <definedName name="_Fill" hidden="1">'[17]bs &amp; P&amp;l (2)'!$E$86</definedName>
    <definedName name="_xlnm._FilterDatabase" localSheetId="15" hidden="1">'Actual MP'!$A$2:$XEU$2</definedName>
    <definedName name="_xlnm._FilterDatabase" localSheetId="12" hidden="1">#REF!</definedName>
    <definedName name="_xlnm._FilterDatabase" localSheetId="19" hidden="1">#REF!</definedName>
    <definedName name="_xlnm._FilterDatabase" localSheetId="26" hidden="1">#REF!</definedName>
    <definedName name="_xlnm._FilterDatabase" localSheetId="7" hidden="1">'Manpower Allocation'!$A$1:$F$165</definedName>
    <definedName name="_xlnm._FilterDatabase" localSheetId="11" hidden="1">#REF!</definedName>
    <definedName name="_xlnm._FilterDatabase" localSheetId="32" hidden="1">'T&amp;C01'!$A$29:$Q$51</definedName>
    <definedName name="_xlnm._FilterDatabase" localSheetId="20" hidden="1">#REF!</definedName>
    <definedName name="_xlnm._FilterDatabase" localSheetId="31" hidden="1">'YN01'!$A$107:$P$165</definedName>
    <definedName name="_xlnm._FilterDatabase" hidden="1">#REF!</definedName>
    <definedName name="_k2222" localSheetId="12" hidden="1">#REF!</definedName>
    <definedName name="_k2222" localSheetId="11" hidden="1">#REF!</definedName>
    <definedName name="_k2222" localSheetId="20" hidden="1">#REF!</definedName>
    <definedName name="_k2222" hidden="1">#REF!</definedName>
    <definedName name="_k3" localSheetId="12" hidden="1">#REF!</definedName>
    <definedName name="_k3" localSheetId="11" hidden="1">#REF!</definedName>
    <definedName name="_k3" localSheetId="20" hidden="1">#REF!</definedName>
    <definedName name="_k3" hidden="1">#REF!</definedName>
    <definedName name="_k4" localSheetId="12" hidden="1">#REF!</definedName>
    <definedName name="_k4" localSheetId="11" hidden="1">#REF!</definedName>
    <definedName name="_k4" localSheetId="20" hidden="1">#REF!</definedName>
    <definedName name="_k4" hidden="1">#REF!</definedName>
    <definedName name="_k8" localSheetId="12" hidden="1">{#N/A,#N/A,FALSE,"COVER1.XLS ";#N/A,#N/A,FALSE,"RACT1.XLS";#N/A,#N/A,FALSE,"RACT2.XLS";#N/A,#N/A,FALSE,"ECCMP";#N/A,#N/A,FALSE,"WELDER.XLS"}</definedName>
    <definedName name="_k8" localSheetId="11" hidden="1">{#N/A,#N/A,FALSE,"COVER1.XLS ";#N/A,#N/A,FALSE,"RACT1.XLS";#N/A,#N/A,FALSE,"RACT2.XLS";#N/A,#N/A,FALSE,"ECCMP";#N/A,#N/A,FALSE,"WELDER.XLS"}</definedName>
    <definedName name="_k8" hidden="1">{#N/A,#N/A,FALSE,"COVER1.XLS ";#N/A,#N/A,FALSE,"RACT1.XLS";#N/A,#N/A,FALSE,"RACT2.XLS";#N/A,#N/A,FALSE,"ECCMP";#N/A,#N/A,FALSE,"WELDER.XLS"}</definedName>
    <definedName name="_Key1" localSheetId="12" hidden="1">[18]WGSRL!#REF!</definedName>
    <definedName name="_Key1" localSheetId="19" hidden="1">#N/A</definedName>
    <definedName name="_Key1" localSheetId="26" hidden="1">#N/A</definedName>
    <definedName name="_Key1" localSheetId="11" hidden="1">[18]WGSRL!#REF!</definedName>
    <definedName name="_Key1" localSheetId="32" hidden="1">#N/A</definedName>
    <definedName name="_Key1" localSheetId="20" hidden="1">[18]WGSRL!#REF!</definedName>
    <definedName name="_Key1" hidden="1">[18]WGSRL!#REF!</definedName>
    <definedName name="_key2" localSheetId="12" hidden="1">[19]WGSRL!#REF!</definedName>
    <definedName name="_key2" localSheetId="19" hidden="1">[20]WGSRL!#REF!</definedName>
    <definedName name="_key2" localSheetId="11" hidden="1">[20]WGSRL!#REF!</definedName>
    <definedName name="_key2" localSheetId="32" hidden="1">[20]WGSRL!#REF!</definedName>
    <definedName name="_key2" localSheetId="20" hidden="1">[19]WGSRL!#REF!</definedName>
    <definedName name="_key2" hidden="1">[19]WGSRL!#REF!</definedName>
    <definedName name="_kv2" localSheetId="12" hidden="1">{#N/A,#N/A,FALSE,"COVER1.XLS ";#N/A,#N/A,FALSE,"RACT1.XLS";#N/A,#N/A,FALSE,"RACT2.XLS";#N/A,#N/A,FALSE,"ECCMP";#N/A,#N/A,FALSE,"WELDER.XLS"}</definedName>
    <definedName name="_kv2" localSheetId="11" hidden="1">{#N/A,#N/A,FALSE,"COVER1.XLS ";#N/A,#N/A,FALSE,"RACT1.XLS";#N/A,#N/A,FALSE,"RACT2.XLS";#N/A,#N/A,FALSE,"ECCMP";#N/A,#N/A,FALSE,"WELDER.XLS"}</definedName>
    <definedName name="_kv2" hidden="1">{#N/A,#N/A,FALSE,"COVER1.XLS ";#N/A,#N/A,FALSE,"RACT1.XLS";#N/A,#N/A,FALSE,"RACT2.XLS";#N/A,#N/A,FALSE,"ECCMP";#N/A,#N/A,FALSE,"WELDER.XLS"}</definedName>
    <definedName name="_kvs1" localSheetId="12" hidden="1">{#N/A,#N/A,FALSE,"COVER1.XLS ";#N/A,#N/A,FALSE,"RACT1.XLS";#N/A,#N/A,FALSE,"RACT2.XLS";#N/A,#N/A,FALSE,"ECCMP";#N/A,#N/A,FALSE,"WELDER.XLS"}</definedName>
    <definedName name="_kvs1" localSheetId="11" hidden="1">{#N/A,#N/A,FALSE,"COVER1.XLS ";#N/A,#N/A,FALSE,"RACT1.XLS";#N/A,#N/A,FALSE,"RACT2.XLS";#N/A,#N/A,FALSE,"ECCMP";#N/A,#N/A,FALSE,"WELDER.XLS"}</definedName>
    <definedName name="_kvs1" hidden="1">{#N/A,#N/A,FALSE,"COVER1.XLS ";#N/A,#N/A,FALSE,"RACT1.XLS";#N/A,#N/A,FALSE,"RACT2.XLS";#N/A,#N/A,FALSE,"ECCMP";#N/A,#N/A,FALSE,"WELDER.XLS"}</definedName>
    <definedName name="_kvs2" localSheetId="12" hidden="1">{#N/A,#N/A,FALSE,"COVER1.XLS ";#N/A,#N/A,FALSE,"RACT1.XLS";#N/A,#N/A,FALSE,"RACT2.XLS";#N/A,#N/A,FALSE,"ECCMP";#N/A,#N/A,FALSE,"WELDER.XLS"}</definedName>
    <definedName name="_kvs2" localSheetId="11" hidden="1">{#N/A,#N/A,FALSE,"COVER1.XLS ";#N/A,#N/A,FALSE,"RACT1.XLS";#N/A,#N/A,FALSE,"RACT2.XLS";#N/A,#N/A,FALSE,"ECCMP";#N/A,#N/A,FALSE,"WELDER.XLS"}</definedName>
    <definedName name="_kvs2" hidden="1">{#N/A,#N/A,FALSE,"COVER1.XLS ";#N/A,#N/A,FALSE,"RACT1.XLS";#N/A,#N/A,FALSE,"RACT2.XLS";#N/A,#N/A,FALSE,"ECCMP";#N/A,#N/A,FALSE,"WELDER.XLS"}</definedName>
    <definedName name="_kvs5" localSheetId="12" hidden="1">{#N/A,#N/A,FALSE,"COVER.XLS";#N/A,#N/A,FALSE,"RACT1.XLS";#N/A,#N/A,FALSE,"RACT2.XLS";#N/A,#N/A,FALSE,"ECCMP";#N/A,#N/A,FALSE,"WELDER.XLS"}</definedName>
    <definedName name="_kvs5" localSheetId="11" hidden="1">{#N/A,#N/A,FALSE,"COVER.XLS";#N/A,#N/A,FALSE,"RACT1.XLS";#N/A,#N/A,FALSE,"RACT2.XLS";#N/A,#N/A,FALSE,"ECCMP";#N/A,#N/A,FALSE,"WELDER.XLS"}</definedName>
    <definedName name="_kvs5" hidden="1">{#N/A,#N/A,FALSE,"COVER.XLS";#N/A,#N/A,FALSE,"RACT1.XLS";#N/A,#N/A,FALSE,"RACT2.XLS";#N/A,#N/A,FALSE,"ECCMP";#N/A,#N/A,FALSE,"WELDER.XLS"}</definedName>
    <definedName name="_kvs7" localSheetId="12" hidden="1">{#N/A,#N/A,FALSE,"COVER1.XLS ";#N/A,#N/A,FALSE,"RACT1.XLS";#N/A,#N/A,FALSE,"RACT2.XLS";#N/A,#N/A,FALSE,"ECCMP";#N/A,#N/A,FALSE,"WELDER.XLS"}</definedName>
    <definedName name="_kvs7" localSheetId="11" hidden="1">{#N/A,#N/A,FALSE,"COVER1.XLS ";#N/A,#N/A,FALSE,"RACT1.XLS";#N/A,#N/A,FALSE,"RACT2.XLS";#N/A,#N/A,FALSE,"ECCMP";#N/A,#N/A,FALSE,"WELDER.XLS"}</definedName>
    <definedName name="_kvs7" hidden="1">{#N/A,#N/A,FALSE,"COVER1.XLS ";#N/A,#N/A,FALSE,"RACT1.XLS";#N/A,#N/A,FALSE,"RACT2.XLS";#N/A,#N/A,FALSE,"ECCMP";#N/A,#N/A,FALSE,"WELDER.XLS"}</definedName>
    <definedName name="_kvs8" localSheetId="12" hidden="1">{#N/A,#N/A,FALSE,"COVER1.XLS ";#N/A,#N/A,FALSE,"RACT1.XLS";#N/A,#N/A,FALSE,"RACT2.XLS";#N/A,#N/A,FALSE,"ECCMP";#N/A,#N/A,FALSE,"WELDER.XLS"}</definedName>
    <definedName name="_kvs8" localSheetId="11" hidden="1">{#N/A,#N/A,FALSE,"COVER1.XLS ";#N/A,#N/A,FALSE,"RACT1.XLS";#N/A,#N/A,FALSE,"RACT2.XLS";#N/A,#N/A,FALSE,"ECCMP";#N/A,#N/A,FALSE,"WELDER.XLS"}</definedName>
    <definedName name="_kvs8" hidden="1">{#N/A,#N/A,FALSE,"COVER1.XLS ";#N/A,#N/A,FALSE,"RACT1.XLS";#N/A,#N/A,FALSE,"RACT2.XLS";#N/A,#N/A,FALSE,"ECCMP";#N/A,#N/A,FALSE,"WELDER.XLS"}</definedName>
    <definedName name="_KVS9" localSheetId="12" hidden="1">{#N/A,#N/A,FALSE,"COVER1.XLS ";#N/A,#N/A,FALSE,"RACT1.XLS";#N/A,#N/A,FALSE,"RACT2.XLS";#N/A,#N/A,FALSE,"ECCMP";#N/A,#N/A,FALSE,"WELDER.XLS"}</definedName>
    <definedName name="_KVS9" localSheetId="11" hidden="1">{#N/A,#N/A,FALSE,"COVER1.XLS ";#N/A,#N/A,FALSE,"RACT1.XLS";#N/A,#N/A,FALSE,"RACT2.XLS";#N/A,#N/A,FALSE,"ECCMP";#N/A,#N/A,FALSE,"WELDER.XLS"}</definedName>
    <definedName name="_KVS9" hidden="1">{#N/A,#N/A,FALSE,"COVER1.XLS ";#N/A,#N/A,FALSE,"RACT1.XLS";#N/A,#N/A,FALSE,"RACT2.XLS";#N/A,#N/A,FALSE,"ECCMP";#N/A,#N/A,FALSE,"WELDER.XLS"}</definedName>
    <definedName name="_l2"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Order1" hidden="1">255</definedName>
    <definedName name="_Order2" hidden="1">255</definedName>
    <definedName name="_P2"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P2"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P2"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P2"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P2"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P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P2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P2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P2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P2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P2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P2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Parse_Out" localSheetId="12" hidden="1">#REF!</definedName>
    <definedName name="_Parse_Out" localSheetId="19" hidden="1">#REF!</definedName>
    <definedName name="_Parse_Out" localSheetId="11" hidden="1">#REF!</definedName>
    <definedName name="_Parse_Out" localSheetId="32" hidden="1">#REF!</definedName>
    <definedName name="_Parse_Out" localSheetId="20" hidden="1">#REF!</definedName>
    <definedName name="_Parse_Out" hidden="1">#REF!</definedName>
    <definedName name="_prn01" localSheetId="12">#REF!</definedName>
    <definedName name="_prn01" localSheetId="26">#REF!</definedName>
    <definedName name="_prn01" localSheetId="11">#REF!</definedName>
    <definedName name="_prn01" localSheetId="20">#REF!</definedName>
    <definedName name="_prn01">#REF!</definedName>
    <definedName name="_q2" localSheetId="12" hidden="1">{#N/A,#N/A,FALSE,"COVER1.XLS ";#N/A,#N/A,FALSE,"RACT1.XLS";#N/A,#N/A,FALSE,"RACT2.XLS";#N/A,#N/A,FALSE,"ECCMP";#N/A,#N/A,FALSE,"WELDER.XLS"}</definedName>
    <definedName name="_q2" localSheetId="11" hidden="1">{#N/A,#N/A,FALSE,"COVER1.XLS ";#N/A,#N/A,FALSE,"RACT1.XLS";#N/A,#N/A,FALSE,"RACT2.XLS";#N/A,#N/A,FALSE,"ECCMP";#N/A,#N/A,FALSE,"WELDER.XLS"}</definedName>
    <definedName name="_q2" hidden="1">{#N/A,#N/A,FALSE,"COVER1.XLS ";#N/A,#N/A,FALSE,"RACT1.XLS";#N/A,#N/A,FALSE,"RACT2.XLS";#N/A,#N/A,FALSE,"ECCMP";#N/A,#N/A,FALSE,"WELDER.XLS"}</definedName>
    <definedName name="_re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8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8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8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8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8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8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gression_Int" hidden="1">1</definedName>
    <definedName name="_Regression_Out" hidden="1">#N/A</definedName>
    <definedName name="_Regression_X" localSheetId="12" hidden="1">#REF!</definedName>
    <definedName name="_Regression_X" localSheetId="19" hidden="1">#REF!</definedName>
    <definedName name="_Regression_X" localSheetId="11" hidden="1">#REF!</definedName>
    <definedName name="_Regression_X" localSheetId="32" hidden="1">#REF!</definedName>
    <definedName name="_Regression_X" localSheetId="20" hidden="1">#REF!</definedName>
    <definedName name="_Regression_X" hidden="1">#REF!</definedName>
    <definedName name="_rem8"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m8"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m8"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m8"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m8"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m8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m8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m8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m8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m8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em8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S" localSheetId="12">'[7]Power&amp;Fuel'!#REF!</definedName>
    <definedName name="_S" localSheetId="26">'[7]Power&amp;Fuel'!#REF!</definedName>
    <definedName name="_S" localSheetId="11">'[7]Power&amp;Fuel'!#REF!</definedName>
    <definedName name="_S" localSheetId="20">'[7]Power&amp;Fuel'!#REF!</definedName>
    <definedName name="_S">'[7]Power&amp;Fuel'!#REF!</definedName>
    <definedName name="_Sort" hidden="1">#N/A</definedName>
    <definedName name="_t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able1_In1" localSheetId="12" hidden="1">[21]Consolidated!#REF!</definedName>
    <definedName name="_Table1_In1" localSheetId="19" hidden="1">[22]Consolidated!#REF!</definedName>
    <definedName name="_Table1_In1" localSheetId="11" hidden="1">[22]Consolidated!#REF!</definedName>
    <definedName name="_Table1_In1" localSheetId="32" hidden="1">[22]Consolidated!#REF!</definedName>
    <definedName name="_Table1_In1" localSheetId="20" hidden="1">[21]Consolidated!#REF!</definedName>
    <definedName name="_Table1_In1" hidden="1">[21]Consolidated!#REF!</definedName>
    <definedName name="_Table1_Out" localSheetId="12" hidden="1">[21]Consolidated!#REF!</definedName>
    <definedName name="_Table1_Out" localSheetId="19" hidden="1">[22]Consolidated!#REF!</definedName>
    <definedName name="_Table1_Out" localSheetId="11" hidden="1">[22]Consolidated!#REF!</definedName>
    <definedName name="_Table1_Out" localSheetId="32" hidden="1">[22]Consolidated!#REF!</definedName>
    <definedName name="_Table1_Out" localSheetId="20" hidden="1">[21]Consolidated!#REF!</definedName>
    <definedName name="_Table1_Out" hidden="1">[21]Consolidated!#REF!</definedName>
    <definedName name="_Table2_In1" localSheetId="12" hidden="1">[21]Consolidated!#REF!</definedName>
    <definedName name="_Table2_In1" localSheetId="19" hidden="1">[22]Consolidated!#REF!</definedName>
    <definedName name="_Table2_In1" localSheetId="11" hidden="1">[22]Consolidated!#REF!</definedName>
    <definedName name="_Table2_In1" localSheetId="32" hidden="1">[22]Consolidated!#REF!</definedName>
    <definedName name="_Table2_In1" localSheetId="20" hidden="1">[21]Consolidated!#REF!</definedName>
    <definedName name="_Table2_In1" hidden="1">[21]Consolidated!#REF!</definedName>
    <definedName name="_Table2_In2" localSheetId="12" hidden="1">#REF!</definedName>
    <definedName name="_Table2_In2" localSheetId="19" hidden="1">#REF!</definedName>
    <definedName name="_Table2_In2" localSheetId="11" hidden="1">#REF!</definedName>
    <definedName name="_Table2_In2" localSheetId="32" hidden="1">#REF!</definedName>
    <definedName name="_Table2_In2" localSheetId="20" hidden="1">#REF!</definedName>
    <definedName name="_Table2_In2" hidden="1">#REF!</definedName>
    <definedName name="_Table2_Out" localSheetId="12" hidden="1">[21]Consolidated!#REF!</definedName>
    <definedName name="_Table2_Out" localSheetId="19" hidden="1">[22]Consolidated!#REF!</definedName>
    <definedName name="_Table2_Out" localSheetId="11" hidden="1">[22]Consolidated!#REF!</definedName>
    <definedName name="_Table2_Out" localSheetId="32" hidden="1">[22]Consolidated!#REF!</definedName>
    <definedName name="_Table2_Out" localSheetId="20" hidden="1">[21]Consolidated!#REF!</definedName>
    <definedName name="_Table2_Out" hidden="1">[21]Consolidated!#REF!</definedName>
    <definedName name="_tr1"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VML1" localSheetId="12">'[23]POP SALARY '!#REF!</definedName>
    <definedName name="_VML1" localSheetId="26">'[23]POP SALARY '!#REF!</definedName>
    <definedName name="_VML1" localSheetId="11">'[23]POP SALARY '!#REF!</definedName>
    <definedName name="_VML1" localSheetId="20">'[23]POP SALARY '!#REF!</definedName>
    <definedName name="_VML1">'[23]POP SALARY '!#REF!</definedName>
    <definedName name="_VML2" localSheetId="12">'[23]POP SALARY '!#REF!</definedName>
    <definedName name="_VML2" localSheetId="26">'[23]POP SALARY '!#REF!</definedName>
    <definedName name="_VML2" localSheetId="11">'[23]POP SALARY '!#REF!</definedName>
    <definedName name="_VML2" localSheetId="20">'[23]POP SALARY '!#REF!</definedName>
    <definedName name="_VML2">'[23]POP SALARY '!#REF!</definedName>
    <definedName name="_VML3" localSheetId="12">'[23]POP SALARY '!#REF!</definedName>
    <definedName name="_VML3" localSheetId="26">'[23]POP SALARY '!#REF!</definedName>
    <definedName name="_VML3" localSheetId="11">'[23]POP SALARY '!#REF!</definedName>
    <definedName name="_VML3" localSheetId="20">'[23]POP SALARY '!#REF!</definedName>
    <definedName name="_VML3">'[23]POP SALARY '!#REF!</definedName>
    <definedName name="_VML4" localSheetId="12">'[23]POP SALARY '!#REF!</definedName>
    <definedName name="_VML4" localSheetId="26">'[23]POP SALARY '!#REF!</definedName>
    <definedName name="_VML4" localSheetId="11">'[23]POP SALARY '!#REF!</definedName>
    <definedName name="_VML4" localSheetId="20">'[23]POP SALARY '!#REF!</definedName>
    <definedName name="_VML4">'[23]POP SALARY '!#REF!</definedName>
    <definedName name="_w2" localSheetId="12" hidden="1">{#N/A,#N/A,FALSE,"17MAY";#N/A,#N/A,FALSE,"24MAY"}</definedName>
    <definedName name="_w2" localSheetId="11" hidden="1">{#N/A,#N/A,FALSE,"17MAY";#N/A,#N/A,FALSE,"24MAY"}</definedName>
    <definedName name="_w2" hidden="1">{#N/A,#N/A,FALSE,"17MAY";#N/A,#N/A,FALSE,"24MAY"}</definedName>
    <definedName name="_xt1222" localSheetId="12" hidden="1">[1]fixexp_analysis!#REF!</definedName>
    <definedName name="_xt1222" localSheetId="11" hidden="1">[1]fixexp_analysis!#REF!</definedName>
    <definedName name="_xt1222" localSheetId="20" hidden="1">[1]fixexp_analysis!#REF!</definedName>
    <definedName name="_xt1222" hidden="1">[1]fixexp_analysis!#REF!</definedName>
    <definedName name="a"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A" localSheetId="19">#REF!</definedName>
    <definedName name="A" localSheetId="26">#REF!</definedName>
    <definedName name="a"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a"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aa" localSheetId="12">'[24]jan feb'!#REF!</definedName>
    <definedName name="aa" localSheetId="26">'[24]jan feb'!#REF!</definedName>
    <definedName name="aa" localSheetId="11">'[24]jan feb'!#REF!</definedName>
    <definedName name="aa" localSheetId="20">'[24]jan feb'!#REF!</definedName>
    <definedName name="aa">'[24]jan feb'!#REF!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ba"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c"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ABC"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abc"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ABC"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abc"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abcd"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abcd"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abcd"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abcde"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abcde"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abcde"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abs"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d" localSheetId="12" hidden="1">{#N/A,#N/A,FALSE,"Status of Projects";#N/A,#N/A,FALSE,"CEA-TEC";#N/A,#N/A,FALSE,"U-Constr.";#N/A,#N/A,FALSE,"summary";#N/A,#N/A,FALSE,"PPP-3 yrs"}</definedName>
    <definedName name="ad" localSheetId="11" hidden="1">{#N/A,#N/A,FALSE,"Status of Projects";#N/A,#N/A,FALSE,"CEA-TEC";#N/A,#N/A,FALSE,"U-Constr.";#N/A,#N/A,FALSE,"summary";#N/A,#N/A,FALSE,"PPP-3 yrs"}</definedName>
    <definedName name="ad" hidden="1">{#N/A,#N/A,FALSE,"Status of Projects";#N/A,#N/A,FALSE,"CEA-TEC";#N/A,#N/A,FALSE,"U-Constr.";#N/A,#N/A,FALSE,"summary";#N/A,#N/A,FALSE,"PPP-3 yrs"}</definedName>
    <definedName name="adfrs" localSheetId="12" hidden="1">{#N/A,#N/A,FALSE,"COVER.XLS";#N/A,#N/A,FALSE,"RACT1.XLS";#N/A,#N/A,FALSE,"RACT2.XLS";#N/A,#N/A,FALSE,"ECCMP";#N/A,#N/A,FALSE,"WELDER.XLS"}</definedName>
    <definedName name="adfrs" localSheetId="11" hidden="1">{#N/A,#N/A,FALSE,"COVER.XLS";#N/A,#N/A,FALSE,"RACT1.XLS";#N/A,#N/A,FALSE,"RACT2.XLS";#N/A,#N/A,FALSE,"ECCMP";#N/A,#N/A,FALSE,"WELDER.XLS"}</definedName>
    <definedName name="adfrs" hidden="1">{#N/A,#N/A,FALSE,"COVER.XLS";#N/A,#N/A,FALSE,"RACT1.XLS";#N/A,#N/A,FALSE,"RACT2.XLS";#N/A,#N/A,FALSE,"ECCMP";#N/A,#N/A,FALSE,"WELDER.XLS"}</definedName>
    <definedName name="adv"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fv" localSheetId="12" hidden="1">#REF!</definedName>
    <definedName name="afv" localSheetId="19" hidden="1">#REF!</definedName>
    <definedName name="afv" localSheetId="11" hidden="1">#REF!</definedName>
    <definedName name="afv" localSheetId="32" hidden="1">#REF!</definedName>
    <definedName name="afv" localSheetId="20" hidden="1">#REF!</definedName>
    <definedName name="afv" hidden="1">#REF!</definedName>
    <definedName name="al"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nal"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scount" hidden="1">2</definedName>
    <definedName name="appendix4" localSheetId="12" hidden="1">{#N/A,#N/A,TRUE,"Cover sheet";#N/A,#N/A,TRUE,"Summary";#N/A,#N/A,TRUE,"Key Assumptions";#N/A,#N/A,TRUE,"Profit &amp; Loss";#N/A,#N/A,TRUE,"Balance Sheet";#N/A,#N/A,TRUE,"Cashflow";#N/A,#N/A,TRUE,"IRR";#N/A,#N/A,TRUE,"Ratios";#N/A,#N/A,TRUE,"Debt analysis"}</definedName>
    <definedName name="appendix4" localSheetId="19" hidden="1">{#N/A,#N/A,TRUE,"Cover sheet";#N/A,#N/A,TRUE,"Summary";#N/A,#N/A,TRUE,"Key Assumptions";#N/A,#N/A,TRUE,"Profit &amp; Loss";#N/A,#N/A,TRUE,"Balance Sheet";#N/A,#N/A,TRUE,"Cashflow";#N/A,#N/A,TRUE,"IRR";#N/A,#N/A,TRUE,"Ratios";#N/A,#N/A,TRUE,"Debt analysis"}</definedName>
    <definedName name="appendix4" localSheetId="11" hidden="1">{#N/A,#N/A,TRUE,"Cover sheet";#N/A,#N/A,TRUE,"Summary";#N/A,#N/A,TRUE,"Key Assumptions";#N/A,#N/A,TRUE,"Profit &amp; Loss";#N/A,#N/A,TRUE,"Balance Sheet";#N/A,#N/A,TRUE,"Cashflow";#N/A,#N/A,TRUE,"IRR";#N/A,#N/A,TRUE,"Ratios";#N/A,#N/A,TRUE,"Debt analysis"}</definedName>
    <definedName name="appendix4" localSheetId="32" hidden="1">{#N/A,#N/A,TRUE,"Cover sheet";#N/A,#N/A,TRUE,"Summary";#N/A,#N/A,TRUE,"Key Assumptions";#N/A,#N/A,TRUE,"Profit &amp; Loss";#N/A,#N/A,TRUE,"Balance Sheet";#N/A,#N/A,TRUE,"Cashflow";#N/A,#N/A,TRUE,"IRR";#N/A,#N/A,TRUE,"Ratios";#N/A,#N/A,TRUE,"Debt analysis"}</definedName>
    <definedName name="appendix4" hidden="1">{#N/A,#N/A,TRUE,"Cover sheet";#N/A,#N/A,TRUE,"Summary";#N/A,#N/A,TRUE,"Key Assumptions";#N/A,#N/A,TRUE,"Profit &amp; Loss";#N/A,#N/A,TRUE,"Balance Sheet";#N/A,#N/A,TRUE,"Cashflow";#N/A,#N/A,TRUE,"IRR";#N/A,#N/A,TRUE,"Ratios";#N/A,#N/A,TRUE,"Debt analysis"}</definedName>
    <definedName name="as" localSheetId="12">[25]dsp!#REF!</definedName>
    <definedName name="as" localSheetId="26">[25]dsp!#REF!</definedName>
    <definedName name="as" localSheetId="11">[25]dsp!#REF!</definedName>
    <definedName name="as" localSheetId="20">[25]dsp!#REF!</definedName>
    <definedName name="as">[25]dsp!#REF!</definedName>
    <definedName name="AS2DocOpenMode" hidden="1">"AS2DocumentEdit"</definedName>
    <definedName name="AS2ReportLS" hidden="1">1</definedName>
    <definedName name="AS2SyncStepLS" hidden="1">0</definedName>
    <definedName name="AS2TickmarkLS" localSheetId="12" hidden="1">#REF!</definedName>
    <definedName name="AS2TickmarkLS" localSheetId="11" hidden="1">#REF!</definedName>
    <definedName name="AS2TickmarkLS" localSheetId="20" hidden="1">#REF!</definedName>
    <definedName name="AS2TickmarkLS" hidden="1">#REF!</definedName>
    <definedName name="AS2VersionLS" hidden="1">300</definedName>
    <definedName name="asaasa" localSheetId="12" hidden="1">#REF!</definedName>
    <definedName name="asaasa" localSheetId="26" hidden="1">#REF!</definedName>
    <definedName name="asaasa" localSheetId="11" hidden="1">#REF!</definedName>
    <definedName name="asaasa" localSheetId="20" hidden="1">#REF!</definedName>
    <definedName name="asaasa" hidden="1">#REF!</definedName>
    <definedName name="asad" localSheetId="12" hidden="1">{#N/A,#N/A,FALSE,"str_title";#N/A,#N/A,FALSE,"SUM";#N/A,#N/A,FALSE,"Scope";#N/A,#N/A,FALSE,"PIE-Jn";#N/A,#N/A,FALSE,"PIE-Jn_Hz";#N/A,#N/A,FALSE,"Liq_Plan";#N/A,#N/A,FALSE,"S_Curve";#N/A,#N/A,FALSE,"Liq_Prof";#N/A,#N/A,FALSE,"Man_Pwr";#N/A,#N/A,FALSE,"Man_Prof"}</definedName>
    <definedName name="asad" localSheetId="11"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dfdfdjf"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localSheetId="3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s"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sss" localSheetId="12" hidden="1">{TRUE,TRUE,7.75,2.5,467.25,234,FALSE,TRUE,TRUE,TRUE,0,21,#N/A,70,#N/A,3.96551724137931,9.21428571428571,1,FALSE,FALSE,1,TRUE,1,FALSE,100,"Swvu.BTP.","ACwvu.BTP.",#N/A,FALSE,FALSE,0.5,0.75,0.5,0.5,2,"","",TRUE,TRUE,FALSE,FALSE,1,#N/A,1,1,"=R2C1:R75C2",FALSE,"Rwvu.BTP.",#N/A,FALSE,FALSE,FALSE,8,180,180,FALSE,FALSE,TRUE,TRUE,TRUE}</definedName>
    <definedName name="asssss" localSheetId="19" hidden="1">{TRUE,TRUE,7.75,2.5,467.25,234,FALSE,TRUE,TRUE,TRUE,0,21,#N/A,70,#N/A,3.96551724137931,9.21428571428571,1,FALSE,FALSE,1,TRUE,1,FALSE,100,"Swvu.BTP.","ACwvu.BTP.",#N/A,FALSE,FALSE,0.5,0.75,0.5,0.5,2,"","",TRUE,TRUE,FALSE,FALSE,1,#N/A,1,1,"=R2C1:R75C2",FALSE,"Rwvu.BTP.",#N/A,FALSE,FALSE,FALSE,8,180,180,FALSE,FALSE,TRUE,TRUE,TRUE}</definedName>
    <definedName name="asssss" localSheetId="11" hidden="1">{TRUE,TRUE,7.75,2.5,467.25,234,FALSE,TRUE,TRUE,TRUE,0,21,#N/A,70,#N/A,3.96551724137931,9.21428571428571,1,FALSE,FALSE,1,TRUE,1,FALSE,100,"Swvu.BTP.","ACwvu.BTP.",#N/A,FALSE,FALSE,0.5,0.75,0.5,0.5,2,"","",TRUE,TRUE,FALSE,FALSE,1,#N/A,1,1,"=R2C1:R75C2",FALSE,"Rwvu.BTP.",#N/A,FALSE,FALSE,FALSE,8,180,180,FALSE,FALSE,TRUE,TRUE,TRUE}</definedName>
    <definedName name="asssss" localSheetId="32" hidden="1">{TRUE,TRUE,7.75,2.5,467.25,234,FALSE,TRUE,TRUE,TRUE,0,21,#N/A,70,#N/A,3.96551724137931,9.21428571428571,1,FALSE,FALSE,1,TRUE,1,FALSE,100,"Swvu.BTP.","ACwvu.BTP.",#N/A,FALSE,FALSE,0.5,0.75,0.5,0.5,2,"","",TRUE,TRUE,FALSE,FALSE,1,#N/A,1,1,"=R2C1:R75C2",FALSE,"Rwvu.BTP.",#N/A,FALSE,FALSE,FALSE,8,180,180,FALSE,FALSE,TRUE,TRUE,TRUE}</definedName>
    <definedName name="asssss" hidden="1">{TRUE,TRUE,7.75,2.5,467.25,234,FALSE,TRUE,TRUE,TRUE,0,21,#N/A,70,#N/A,3.96551724137931,9.21428571428571,1,FALSE,FALSE,1,TRUE,1,FALSE,100,"Swvu.BTP.","ACwvu.BTP.",#N/A,FALSE,FALSE,0.5,0.75,0.5,0.5,2,"","",TRUE,TRUE,FALSE,FALSE,1,#N/A,1,1,"=R2C1:R75C2",FALSE,"Rwvu.BTP.",#N/A,FALSE,FALSE,FALSE,8,180,180,FALSE,FALSE,TRUE,TRUE,TRUE}</definedName>
    <definedName name="AST" localSheetId="12" hidden="1">{#N/A,#N/A,FALSE,"COVER.XLS";#N/A,#N/A,FALSE,"RACT1.XLS";#N/A,#N/A,FALSE,"RACT2.XLS";#N/A,#N/A,FALSE,"ECCMP";#N/A,#N/A,FALSE,"WELDER.XLS"}</definedName>
    <definedName name="AST" localSheetId="11" hidden="1">{#N/A,#N/A,FALSE,"COVER.XLS";#N/A,#N/A,FALSE,"RACT1.XLS";#N/A,#N/A,FALSE,"RACT2.XLS";#N/A,#N/A,FALSE,"ECCMP";#N/A,#N/A,FALSE,"WELDER.XLS"}</definedName>
    <definedName name="AST" hidden="1">{#N/A,#N/A,FALSE,"COVER.XLS";#N/A,#N/A,FALSE,"RACT1.XLS";#N/A,#N/A,FALSE,"RACT2.XLS";#N/A,#N/A,FALSE,"ECCMP";#N/A,#N/A,FALSE,"WELDER.XLS"}</definedName>
    <definedName name="ATTEND" localSheetId="12">#REF!</definedName>
    <definedName name="ATTEND" localSheetId="26">#REF!</definedName>
    <definedName name="ATTEND" localSheetId="11">#REF!</definedName>
    <definedName name="ATTEND" localSheetId="20">#REF!</definedName>
    <definedName name="ATTEND">#REF!</definedName>
    <definedName name="augcivil" localSheetId="12">'[26]pending indent'!#REF!</definedName>
    <definedName name="augcivil" localSheetId="26">'[26]pending indent'!#REF!</definedName>
    <definedName name="augcivil" localSheetId="11">'[26]pending indent'!#REF!</definedName>
    <definedName name="augcivil" localSheetId="20">'[26]pending indent'!#REF!</definedName>
    <definedName name="augcivil">'[26]pending indent'!#REF!</definedName>
    <definedName name="b" localSheetId="12">'[24]jan feb'!#REF!</definedName>
    <definedName name="b" localSheetId="26">'[24]jan feb'!#REF!</definedName>
    <definedName name="b" localSheetId="11">'[24]jan feb'!#REF!</definedName>
    <definedName name="b" localSheetId="20">'[24]jan feb'!#REF!</definedName>
    <definedName name="b">'[24]jan feb'!#REF!</definedName>
    <definedName name="bb"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bb"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bb"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bb"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bb"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bb"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bb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bb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bb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bb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bb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bb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bbbbb" localSheetId="12" hidden="1">{#N/A,#N/A,FALSE,"17MAY";#N/A,#N/A,FALSE,"24MAY"}</definedName>
    <definedName name="bbbbb" localSheetId="11" hidden="1">{#N/A,#N/A,FALSE,"17MAY";#N/A,#N/A,FALSE,"24MAY"}</definedName>
    <definedName name="bbbbb" hidden="1">{#N/A,#N/A,FALSE,"17MAY";#N/A,#N/A,FALSE,"24MAY"}</definedName>
    <definedName name="BBRAS"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cd"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Ex009G00IN0JUIAQ4WE9NHTMQE2" hidden="1">#N/A</definedName>
    <definedName name="BEx00DXTY2JDVGWQKV8H7FG4SV30" hidden="1">#N/A</definedName>
    <definedName name="BEx00GHLTYRH5N2S6P78YW1CD30N" hidden="1">#N/A</definedName>
    <definedName name="BEx00JC31DY11L45SEU4B10BIN6W" hidden="1">#N/A</definedName>
    <definedName name="BEx00KZHZBHP3TDV1YMX4B19B95O" hidden="1">#N/A</definedName>
    <definedName name="BEx00MBY8XXUOHIZ4LHXHPD7WYD5" hidden="1">#N/A</definedName>
    <definedName name="BEx01ALWOBWCNC4OBV3E1EHNOM32" hidden="1">#N/A</definedName>
    <definedName name="BEx01HY6E3GJ66ABU5ABN26V6Q13" hidden="1">#N/A</definedName>
    <definedName name="BEx01PW5YQKEGAR8JDDI5OARYXDF" hidden="1">#N/A</definedName>
    <definedName name="BEx01XJ94SHJ1YQ7ORPW0RQGKI2H" hidden="1">#N/A</definedName>
    <definedName name="BEx02Q08R9G839Q4RFGG9026C7PX" hidden="1">#N/A</definedName>
    <definedName name="BEx02SEL3Z1QWGAHXDPUA9WLTTPS" hidden="1">#N/A</definedName>
    <definedName name="BEx02Y3KJZH5BGDM9QEZ1PVVI114" hidden="1">#N/A</definedName>
    <definedName name="BEx0313GRLLASDTVPW5DHTXHE74M" hidden="1">#N/A</definedName>
    <definedName name="BEx1F0SOZ3H5XUHXD7O01TCR8T6J" hidden="1">#N/A</definedName>
    <definedName name="BEx1F9HL824UCNCVZ2U62J4KZCX8" hidden="1">#N/A</definedName>
    <definedName name="BEx1FEVSJKTI1Q1Z874QZVFSJSVA" hidden="1">#N/A</definedName>
    <definedName name="BEx1FGDRUHHLI1GBHELT4PK0LY4V" hidden="1">#N/A</definedName>
    <definedName name="BEx1FJZ7GKO99IYTP6GGGF7EUL3Z" hidden="1">#N/A</definedName>
    <definedName name="BEx1FZV2CM77TBH1R6YYV9P06KA2" hidden="1">#N/A</definedName>
    <definedName name="BEx1G59AY8195JTUM6P18VXUFJ3E" hidden="1">#N/A</definedName>
    <definedName name="BEx1GG1Q70TGNW6FXOFU0X55RIME" hidden="1">#N/A</definedName>
    <definedName name="BEx1GVMRHFXUP6XYYY9NR12PV5TF" hidden="1">#N/A</definedName>
    <definedName name="BEx1H6KIT7BHUH6MDDWC935V9N47" hidden="1">#N/A</definedName>
    <definedName name="BEx1HDGOOJ3SKHYMWUZJ1P0RQZ9N" hidden="1">#N/A</definedName>
    <definedName name="BEx1HDM5ZXSJG6JQEMSFV52PZ10V" hidden="1">#N/A</definedName>
    <definedName name="BEx1HETBBZVN5F43LKOFMC4QB0CR" hidden="1">#N/A</definedName>
    <definedName name="BEx1HGWNWPLNXICOTP90TKQVVE4E" hidden="1">#N/A</definedName>
    <definedName name="BEx1HIPLJZABY0EMUOTZN0EQMDPU" hidden="1">#N/A</definedName>
    <definedName name="BEx1HO94JIRX219MPWMB5E5XZ04X" hidden="1">#N/A</definedName>
    <definedName name="BEx1HQNF6KHM21E3XLW0NMSSEI9S" hidden="1">#N/A</definedName>
    <definedName name="BEx1HSLNWIW4S97ZBYY7I7M5YVH4" hidden="1">#N/A</definedName>
    <definedName name="BEx1I4QKTILCKZUSOJCVZN7SNHL5" hidden="1">#N/A</definedName>
    <definedName name="BEx1IE0ZP7RIFM9FI24S9I6AAJ14" hidden="1">#N/A</definedName>
    <definedName name="BEx1IGQ5B697MNDOE06MVSR0H58E" hidden="1">#N/A</definedName>
    <definedName name="BEx1IKRPW8MLB9Y485M1TL2IT9SH" hidden="1">#N/A</definedName>
    <definedName name="BEx1J0CSSHDJGBJUHVOEMCF2P4DL" hidden="1">#N/A</definedName>
    <definedName name="BEx1J61RRF9LJ3V3R5OY3WJ6VBWR" hidden="1">#N/A</definedName>
    <definedName name="BEx1J7E8VCGLPYU82QXVUG5N3ZAI" hidden="1">#N/A</definedName>
    <definedName name="BEx1JGE2YQWH8S25USOY08XVGO0D" hidden="1">#N/A</definedName>
    <definedName name="BEx1JJJC9T1W7HY4V7HP1S1W4JO1" hidden="1">#N/A</definedName>
    <definedName name="BEx1JKKZSJ7DI4PTFVI9VVFMB1X2" hidden="1">#N/A</definedName>
    <definedName name="BEx1JUBQFRVMASSFK4B3V0AD7YP9" hidden="1">#N/A</definedName>
    <definedName name="BEx1JXBM5W4YRWNQ0P95QQS6JWD6" hidden="1">#N/A</definedName>
    <definedName name="BEx1KGY9QEHZ9QSARMQUTQKRK4UX" hidden="1">#N/A</definedName>
    <definedName name="BEx1KKP1ELIF2UII2FWVGL7M1X7J" hidden="1">#N/A</definedName>
    <definedName name="BEx1KUVWMB0QCWA3RBE4CADFVRIS" hidden="1">#N/A</definedName>
    <definedName name="BEx1L2OG1SDFK2TPXELJ77YP4NI2" hidden="1">#N/A</definedName>
    <definedName name="BEx1L6Q60MWRDJB4L20LK0XPA0Z2" hidden="1">#N/A</definedName>
    <definedName name="BEx1LD63FP2Z4BR9TKSHOZW9KKZ5" hidden="1">#N/A</definedName>
    <definedName name="BEx1LDMB9RW982DUILM2WPT5VWQ3" hidden="1">#N/A</definedName>
    <definedName name="BEx1LRPGDQCOEMW8YT80J1XCDCIV" hidden="1">#N/A</definedName>
    <definedName name="BEx1LRUSJW4JG54X07QWD9R27WV9" hidden="1">#N/A</definedName>
    <definedName name="BEx1M1WBK5T0LP1AK2JYV6W87ID6" hidden="1">#N/A</definedName>
    <definedName name="BEx1M51HHDYGIT8PON7U8ICL2S95" hidden="1">#N/A</definedName>
    <definedName name="BEx1MTRKKVCHOZ0YGID6HZ49LJTO" hidden="1">#N/A</definedName>
    <definedName name="BEx1N3CUJ3UX61X38ZAJVPEN4KMC" hidden="1">#N/A</definedName>
    <definedName name="BEx1NM34KQTO1LDNSAFD1L82UZFG" hidden="1">#N/A</definedName>
    <definedName name="BEx1NO6TXZVOGCUWCCRTXRXWW0XL" hidden="1">#N/A</definedName>
    <definedName name="BEx1NS8EU5P9FQV3S0WRTXI5L361" hidden="1">#N/A</definedName>
    <definedName name="BEx1NUBX5VUYZFKQH69FN6BTLWCR" hidden="1">#N/A</definedName>
    <definedName name="BEx1NZ4K1L8UON80Y2A4RASKWGNP" hidden="1">#N/A</definedName>
    <definedName name="BEx1OLAZ915OGYWP0QP1QQWDLCRX" hidden="1">#N/A</definedName>
    <definedName name="BEx1OO5ER042IS6IC4TLDI75JNVH" hidden="1">#N/A</definedName>
    <definedName name="BEx1OTE54CBSUT8FWKRALEDCUWN4" hidden="1">#N/A</definedName>
    <definedName name="BEx1OVSMPADTX95QUOX34KZQ8EDY" hidden="1">#N/A</definedName>
    <definedName name="BEx1OX544IO9FQJI7YYQGZCEHB3O" hidden="1">#N/A</definedName>
    <definedName name="BEx1OY6SVEUT2EQ26P7EKEND342G" hidden="1">#N/A</definedName>
    <definedName name="BEx1OYN1LPIPI12O9G6F7QAOS9T4" hidden="1">#N/A</definedName>
    <definedName name="BEx1P1HHKJA799O3YZXQAX6KFH58" hidden="1">#N/A</definedName>
    <definedName name="BEx1P34W467WGPOXPK292QFJIPHJ" hidden="1">#N/A</definedName>
    <definedName name="BEx1P7S1J4TKGVJ43C2Q2R3M9WRB" hidden="1">#N/A</definedName>
    <definedName name="BEx1PA11BLPVZM8RC5BL46WX8YB5" hidden="1">#N/A</definedName>
    <definedName name="BEx1PBZ4BEFIPGMQXT9T8S4PZ2IM" hidden="1">#N/A</definedName>
    <definedName name="BEx1PLF2CFSXBZPVI6CJ534EIJDN" hidden="1">#N/A</definedName>
    <definedName name="BEx1PMWZB2DO6EM9BKLUICZJ65HD" hidden="1">#N/A</definedName>
    <definedName name="BEx1Q2ND0E60FPJYGEA0E5W3P080" hidden="1">#N/A</definedName>
    <definedName name="BEx1QA54J2A4I7IBQR19BTY28ZMR" hidden="1">#N/A</definedName>
    <definedName name="BEx1QIU0NZ13LALP0SA0WXCM67DI" hidden="1">#N/A</definedName>
    <definedName name="BEx1QMQAHG3KQUK59DVM68SWKZIZ" hidden="1">#N/A</definedName>
    <definedName name="BEx1R9YFKJCMSEST8OVCAO5E47FO" hidden="1">#N/A</definedName>
    <definedName name="BEx1RBGC06B3T52OIC0EQ1KGVP1I" hidden="1">#N/A</definedName>
    <definedName name="BEx1RRC7X4NI1CU4EO5XYE2GVARJ" hidden="1">#N/A</definedName>
    <definedName name="BEx1RZA1NCGT832L7EMR7GMF588W" hidden="1">#N/A</definedName>
    <definedName name="BEx1S0XGIPUSZQUCSGWSK10GKW7Y" hidden="1">#N/A</definedName>
    <definedName name="BEx1S5VFNKIXHTTCWSV60UC50EZ8" hidden="1">#N/A</definedName>
    <definedName name="BEx1SK3U02H0RGKEYXW7ZMCEOF3V" hidden="1">#N/A</definedName>
    <definedName name="BEx1SSNEZINBJT29QVS62VS1THT4" hidden="1">#N/A</definedName>
    <definedName name="BEx1SVNCHNANBJIDIQVB8AFK4HAN" hidden="1">#N/A</definedName>
    <definedName name="BEx1TJ0WLS9O7KNSGIPWTYHDYI1D" hidden="1">#N/A</definedName>
    <definedName name="BEx1U15M7LVVFZENH830B2BGWC04" hidden="1">#N/A</definedName>
    <definedName name="BEx1U7WFO8OZKB1EBF4H386JW91L" hidden="1">#N/A</definedName>
    <definedName name="BEx1U87938YR9N6HYI24KVBKLOS3" hidden="1">#N/A</definedName>
    <definedName name="BEx1UESH4KDWHYESQU2IE55RS3LI" hidden="1">#N/A</definedName>
    <definedName name="BEx1UI8N9KTCPSOJ7RDW0T8UEBNP" hidden="1">#N/A</definedName>
    <definedName name="BEx1UML0HHJFHA5TBOYQ24I3RV1W" hidden="1">#N/A</definedName>
    <definedName name="BEx1UUDIQPZ23XQ79GUL0RAWRSCK" hidden="1">#N/A</definedName>
    <definedName name="BEx1V67SEV778NVW68J8W5SND1J7" hidden="1">#N/A</definedName>
    <definedName name="BEx1VIY9SQLRESD11CC4PHYT0XSG" hidden="1">#N/A</definedName>
    <definedName name="BEx1WC67EH10SC38QWX3WEA5KH3A" hidden="1">#N/A</definedName>
    <definedName name="BEx1WGYTKZZIPM1577W5FEYKFH3V" hidden="1">#N/A</definedName>
    <definedName name="BEx1WHPURIV3D3PTJJ359H1OP7ZV" hidden="1">#N/A</definedName>
    <definedName name="BEx1WLWY2CR1WRD694JJSWSDFAIR" hidden="1">#N/A</definedName>
    <definedName name="BEx1WMD1LWPWRIK6GGAJRJAHJM8I" hidden="1">#N/A</definedName>
    <definedName name="BEx1WR0D41MR174LBF3P9E3K0J51" hidden="1">#N/A</definedName>
    <definedName name="BEx1WUB1FAS5PHU33TJ60SUHR618" hidden="1">#N/A</definedName>
    <definedName name="BEx1WX04G0INSPPG9NTNR3DYR6PZ" hidden="1">#N/A</definedName>
    <definedName name="BEx1X3LHU9DPG01VWX2IF65TRATF" hidden="1">#N/A</definedName>
    <definedName name="BEx1XK8AAMO0AH0Z1OUKW30CA7EQ" hidden="1">#N/A</definedName>
    <definedName name="BEx1XL4MZ7C80495GHQRWOBS16PQ" hidden="1">#N/A</definedName>
    <definedName name="BEx1Y2IGS2K95E1M51PEF9KJZ0KB" hidden="1">#N/A</definedName>
    <definedName name="BEx1Y3PKK83X2FN9SAALFHOWKMRQ" hidden="1">#N/A</definedName>
    <definedName name="BEx1YL3DJ7Y4AZ01ERCOGW0FJ26T" hidden="1">#N/A</definedName>
    <definedName name="BEx1Z2RYHSVD1H37817SN93VMURZ" hidden="1">#N/A</definedName>
    <definedName name="BEx3AMAKWI6458B67VKZO56MCNJW" hidden="1">#N/A</definedName>
    <definedName name="BEx3AOOVM42G82TNF53W0EKXLUSI" hidden="1">#N/A</definedName>
    <definedName name="BEx3AZH9W4SUFCAHNDOQ728R9V4L" hidden="1">#N/A</definedName>
    <definedName name="BEx3BJUZWTUTVLUHJB0BSY0K61AQ" hidden="1">#N/A</definedName>
    <definedName name="BEx3BNR9ES4KY7Q1DK83KC5NDGL8" hidden="1">#N/A</definedName>
    <definedName name="BEx3BW5CTV0DJU5AQS3ZQFK2VLF3" hidden="1">#N/A</definedName>
    <definedName name="BEx3BYP0FG369M7G3JEFLMMXAKTS" hidden="1">#N/A</definedName>
    <definedName name="BEx3C2QR0WUD19QSVO8EMIPNQJKH" hidden="1">#N/A</definedName>
    <definedName name="BEx3CCS3VNR1KW2R7DKSQFZ17QW0" hidden="1">#N/A</definedName>
    <definedName name="BEx3CKFCCPZZ6ROLAT5C1DZNIC1U" hidden="1">#N/A</definedName>
    <definedName name="BEx3CO0SVO4WLH0DO43DCHYDTH1P" hidden="1">#N/A</definedName>
    <definedName name="BEx3D9G6QTSPF9UYI4X0XY0VE896" hidden="1">#N/A</definedName>
    <definedName name="BEx3DCQU9PBRXIMLO62KS5RLH447" hidden="1">#N/A</definedName>
    <definedName name="BEx3EF99FD6QNNCNOKDEE67JHTUJ" hidden="1">#N/A</definedName>
    <definedName name="BEx3EHCSERZ2O2OAG8Y95UPG2IY9" hidden="1">#N/A</definedName>
    <definedName name="BEx3EJR3TCJDYS7ZXNDS5N9KTGIK" hidden="1">#N/A</definedName>
    <definedName name="BEx3ELJTTBS6P05CNISMGOJOA60V" hidden="1">#N/A</definedName>
    <definedName name="BEx3EQSLJBDDJRHNX19PBFCKNY2I" hidden="1">#N/A</definedName>
    <definedName name="BEx3EUUAX947Q5N6MY6W0KSNY78Y" hidden="1">#N/A</definedName>
    <definedName name="BEx3EWXUA3TV5K9AXW24YJ95YA3O" hidden="1">#N/A</definedName>
    <definedName name="BEx3FHMD1P5XBCH23ZKIFO6ZTCNB" hidden="1">#N/A</definedName>
    <definedName name="BEx3FI2G3YYIACQHXNXEA15M8ZK5" hidden="1">#N/A</definedName>
    <definedName name="BEx3FJ9MHSLDK8W91GO85FX1GX57" hidden="1">#N/A</definedName>
    <definedName name="BEx3FR251HFU7A33PU01SJUENL2B" hidden="1">#N/A</definedName>
    <definedName name="BEx3FX7EJL47JSLSWP3EOC265WAE" hidden="1">#N/A</definedName>
    <definedName name="BEx3G201R8NLJ6FIHO2QS0SW9QVV" hidden="1">#N/A</definedName>
    <definedName name="BEx3G2LL2II66XY5YCDPG4JE13A3" hidden="1">#N/A</definedName>
    <definedName name="BEx3G2WA0DTYY9D8AGHHOBTPE2B2" hidden="1">#N/A</definedName>
    <definedName name="BEx3GCXR6IAS0B6WJ03GJVH7CO52" hidden="1">#N/A</definedName>
    <definedName name="BEx3GEVV18SEQDI1JGY7EN6D1GT1" hidden="1">#N/A</definedName>
    <definedName name="BEx3GKFH64MKQX61S7DYTZ15JCPY" hidden="1">#N/A</definedName>
    <definedName name="BEx3GMJ1Y6UU02DLRL0QXCEKDA6C" hidden="1">#N/A</definedName>
    <definedName name="BEx3GN4LY0135CBDIN1TU2UEODGF" hidden="1">#N/A</definedName>
    <definedName name="BEx3GPDH2AH4QKT4OOSN563XUHBD" hidden="1">#N/A</definedName>
    <definedName name="BEx3H5UX2GZFZZT657YR76RHW5I6" hidden="1">#N/A</definedName>
    <definedName name="BEx3HMSEFOP6DBM4R97XA6B7NFG6" hidden="1">#N/A</definedName>
    <definedName name="BEx3HWJ5SQSD2CVCQNR183X44FR8" hidden="1">#N/A</definedName>
    <definedName name="BEx3I09YVXO0G4X7KGSA4WGORM35" hidden="1">#N/A</definedName>
    <definedName name="BEx3ICF1GY8HQEBIU9S43PDJ90BX" hidden="1">#N/A</definedName>
    <definedName name="BEx3IYAH2DEBFWO8F94H4MXE3RLY" hidden="1">#N/A</definedName>
    <definedName name="BEx3IZXXSYEW50379N2EAFWO8DZV" hidden="1">#N/A</definedName>
    <definedName name="BEx3J1VZVGTKT4ATPO9O5JCSFTTR" hidden="1">#N/A</definedName>
    <definedName name="BEx3J56PAU1OHPRDFDG67H0BD0TJ" hidden="1">#N/A</definedName>
    <definedName name="BEx3JC2TY7JNAAC3L7QHVPQXLGQ8" hidden="1">#N/A</definedName>
    <definedName name="BEx3JQBEVT0037JKHKBA4BI5NDG7" hidden="1">#N/A</definedName>
    <definedName name="BEx3JX23SYDIGOGM4Y0CQFBW8ZBV" hidden="1">#N/A</definedName>
    <definedName name="BEx3JXCXCVBZJGV5VEG9MJEI01AL" hidden="1">#N/A</definedName>
    <definedName name="BEx3JYK2N7X59TPJSKYZ77ENY8SS" hidden="1">#N/A</definedName>
    <definedName name="BEx3K4EII7GU1CG0BN7UL15M6J8Z" hidden="1">#N/A</definedName>
    <definedName name="BEx3K4ZXQUQ2KYZF74B84SO48XMW" hidden="1">#N/A</definedName>
    <definedName name="BEx3KEFXUCVNVPH7KSEGAZYX13B5" hidden="1">#N/A</definedName>
    <definedName name="BEx3KFXUAF6YXAA47B7Q6X9B3VGB" hidden="1">#N/A</definedName>
    <definedName name="BEx3KIXQYOGMPK4WJJAVBRX4NR28" hidden="1">#N/A</definedName>
    <definedName name="BEx3KJOMVOSFZVJUL3GKCNP6DQDS" hidden="1">#N/A</definedName>
    <definedName name="BEx3KP2VRBMORK0QEAZUYCXL3DHJ" hidden="1">#N/A</definedName>
    <definedName name="BEx3L4IN3LI4C26SITKTGAH27CDU" hidden="1">#N/A</definedName>
    <definedName name="BEx3L4YQ0J7ZU0M5QM6YIPCEYC9K" hidden="1">#N/A</definedName>
    <definedName name="BEx3L60DJOR7NQN42G7YSAODP1EX" hidden="1">#N/A</definedName>
    <definedName name="BEx3L7D0PI38HWZ7VADU16C9E33D" hidden="1">#N/A</definedName>
    <definedName name="BEx3LM1PR4Y7KINKMTMKR984GX8Q" hidden="1">#N/A</definedName>
    <definedName name="BEx3LPCEZ1C0XEKNCM3YT09JWCUO" hidden="1">#N/A</definedName>
    <definedName name="BEx3M1MR1K1NQD03H74BFWOK4MWQ" hidden="1">#N/A</definedName>
    <definedName name="BEx3M4H77MYUKOOD31H9F80NMVK8" hidden="1">#N/A</definedName>
    <definedName name="BEx3M9VFX329PZWYC4DMZ6P3W9R2" hidden="1">#N/A</definedName>
    <definedName name="BEx3MCQ0VEBV0CZXDS505L38EQ8N" hidden="1">#N/A</definedName>
    <definedName name="BEx3MEYV5LQY0BAL7V3CFAFVOM3T" hidden="1">#N/A</definedName>
    <definedName name="BEx3MREOFWJQEYMCMBL7ZE06NBN6" hidden="1">#N/A</definedName>
    <definedName name="BEx3NKXF7GYXHBK75UI6MDRUSU0J" hidden="1">#N/A</definedName>
    <definedName name="BEx3NLIZ7PHF2XE59ECZ3MD04ZG1" hidden="1">#N/A</definedName>
    <definedName name="BEx3NMQ4BVC94728AUM7CCX7UHTU" hidden="1">#N/A</definedName>
    <definedName name="BEx3NR2I4OUFP3Z2QZEDU2PIFIDI" hidden="1">#N/A</definedName>
    <definedName name="BEx3O19B8FTTAPVT5DZXQGQXWFR8" hidden="1">#N/A</definedName>
    <definedName name="BEx3O85IKWARA6NCJOLRBRJFMEWW" hidden="1">#N/A</definedName>
    <definedName name="BEx3OJZSCGFRW7SVGBFI0X9DNVMM" hidden="1">#N/A</definedName>
    <definedName name="BEx3ORSBUXAF21MKEY90YJV9AY9A" hidden="1">#N/A</definedName>
    <definedName name="BEx3OV8BH6PYNZT7C246LOAU9SVX" hidden="1">#N/A</definedName>
    <definedName name="BEx3OXRYJZUEY6E72UJU0PHLMYAR" hidden="1">#N/A</definedName>
    <definedName name="BEx3P59TTRSGQY888P5C1O7M2PQT" hidden="1">#N/A</definedName>
    <definedName name="BEx3PDNRRNKD5GOUBUQFXAHIXLD9" hidden="1">#N/A</definedName>
    <definedName name="BEx3PDT8GNPWLLN02IH1XPV90XYK" hidden="1">#N/A</definedName>
    <definedName name="BEx3PKEMDW8KZEP11IL927C5O7I2" hidden="1">#N/A</definedName>
    <definedName name="BEx3PKJZ1Z7L9S6KV8KXVS6B2FX4" hidden="1">#N/A</definedName>
    <definedName name="BEx3PMNG53Z5HY138H99QOMTX8W3" hidden="1">#N/A</definedName>
    <definedName name="BEx3PP1RRSFZ8UC0JC9R91W6LNKW" hidden="1">#N/A</definedName>
    <definedName name="BEx3PVXYZC8WB9ZJE7OCKUXZ46EA" hidden="1">#N/A</definedName>
    <definedName name="BEx3Q0VWPU5EQECK7MQ47TYJ3SWW" hidden="1">#N/A</definedName>
    <definedName name="BEx3Q7BZ9PUXK2RLIOFSIS9AHU1B" hidden="1">#N/A</definedName>
    <definedName name="BEx3Q8J42S9VU6EAN2Y28MR6DF88" hidden="1">#N/A</definedName>
    <definedName name="BEx3QEDFOYFY5NBTININ5W4RLD4Q" hidden="1">#N/A</definedName>
    <definedName name="BEx3QIKJ3U962US1Q564NZDLU8LD" hidden="1">#N/A</definedName>
    <definedName name="BEx3QR9D45DHW50VQ7Y3Q1AXPOB9" hidden="1">#N/A</definedName>
    <definedName name="BEx3QSWT2S5KWG6U2V9711IYDQBM" hidden="1">#N/A</definedName>
    <definedName name="BEx3QVGG7Q2X4HZHJAM35A8T3VR7" hidden="1">#N/A</definedName>
    <definedName name="BEx3R0JUB9YN8PHPPQTAMIT1IHWK" hidden="1">#N/A</definedName>
    <definedName name="BEx3R81NFRO7M81VHVKOBFT0QBIL" hidden="1">#N/A</definedName>
    <definedName name="BEx3RHC2ZD5UFS6QD4OPFCNNMWH1" hidden="1">#N/A</definedName>
    <definedName name="BEx3RQ10QIWBAPHALAA91BUUCM2X" hidden="1">#N/A</definedName>
    <definedName name="BEx3RV4E1WT43SZBUN09RTB8EK1O" hidden="1">#N/A</definedName>
    <definedName name="BEx3RXYU0QLFXSFTM5EB20GD03W5" hidden="1">#N/A</definedName>
    <definedName name="BEx3RYKLC3QQO3XTUN7BEW2AQL98" hidden="1">#N/A</definedName>
    <definedName name="BEx3SICJ45BYT6FHBER86PJT25FC" hidden="1">#N/A</definedName>
    <definedName name="BEx3SMUCMJVGQ2H4EHQI5ZFHEF0P" hidden="1">#N/A</definedName>
    <definedName name="BEx3SN56F03CPDRDA7LZ763V0N4I" hidden="1">#N/A</definedName>
    <definedName name="BEx3SPE6N1ORXPRCDL3JPZD73Z9F" hidden="1">#N/A</definedName>
    <definedName name="BEx3T29ZTULQE0OMSMWUMZDU9ZZ0" hidden="1">#N/A</definedName>
    <definedName name="BEx3T6MJ1QDJ929WMUDVZ0O3UW0Y" hidden="1">#N/A</definedName>
    <definedName name="BEx3TPCSI16OAB2L9M9IULQMQ9J9" hidden="1">#N/A</definedName>
    <definedName name="BEx3U64YUOZ419BAJS2W78UMATAW" hidden="1">#N/A</definedName>
    <definedName name="BEx3U94WCEA5DKMWBEX1GU0LKYG2" hidden="1">#N/A</definedName>
    <definedName name="BEx3U9VZ8SQVYS6ZA038J7AP7ZGW" hidden="1">#N/A</definedName>
    <definedName name="BEx3UIQ5WRJBGNTFCCLOR4N7B1OQ" hidden="1">#N/A</definedName>
    <definedName name="BEx3UJMIX2NUSSWGMSI25A5DM4CH" hidden="1">#N/A</definedName>
    <definedName name="BEx3UKOCOQG7S1YQ436S997K1KWV" hidden="1">#N/A</definedName>
    <definedName name="BEx3UYM19VIXLA0EU7LB9NHA77PB" hidden="1">#N/A</definedName>
    <definedName name="BEx3VML7CG70HPISMVYIUEN3711Q" hidden="1">#N/A</definedName>
    <definedName name="BEx3VSKYARHRC25ANEWZGA9GLUAA" hidden="1">#N/A</definedName>
    <definedName name="BEx56ZID5H04P9AIYLP1OASFGV56" hidden="1">#N/A</definedName>
    <definedName name="BEx587EYSS57E3PI8DT973HLJM9E" hidden="1">#N/A</definedName>
    <definedName name="BEx587KFQ3VKCOCY1SA5F24PQGUI" hidden="1">#N/A</definedName>
    <definedName name="BEx58O780PQ05NF0Z1SKKRB3N099" hidden="1">#N/A</definedName>
    <definedName name="BEx58XHO7ZULLF2EUD7YIS0MGQJ5" hidden="1">#N/A</definedName>
    <definedName name="BEx58ZW0HAIGIPEX9CVA1PQQTR6X" hidden="1">#N/A</definedName>
    <definedName name="BEx59BA1KH3RG6K1LHL7YS2VB79N" hidden="1">#N/A</definedName>
    <definedName name="BEx59E9WABJP2TN71QAIKK79HPK9" hidden="1">#N/A</definedName>
    <definedName name="BEx59P7MAPNU129ZTC5H3EH892G1" hidden="1">#N/A</definedName>
    <definedName name="BEx5A11WZRQSIE089QE119AOX9ZG" hidden="1">#N/A</definedName>
    <definedName name="BEx5A7CIGCOTHJKHGUBDZG91JGPZ" hidden="1">#N/A</definedName>
    <definedName name="BEx5A8UFLT2SWVSG5COFA9B8P376" hidden="1">#N/A</definedName>
    <definedName name="BEx5AFFTN3IXIBHDKM0FYC4OFL1S" hidden="1">#N/A</definedName>
    <definedName name="BEx5AOFIO8KVRHIZ1RII337AA8ML" hidden="1">#N/A</definedName>
    <definedName name="BEx5APRZ66L5BWHFE8E4YYNEDTI4" hidden="1">#N/A</definedName>
    <definedName name="BEx5AUVDSQ35VO4BD9AKKGBM5S7D" hidden="1">#N/A</definedName>
    <definedName name="BEx5B4RHHX0J1BF2FZKEA0SPP29O" hidden="1">#N/A</definedName>
    <definedName name="BEx5B5YMSWP0OVI5CIQRP5V18D0C" hidden="1">#N/A</definedName>
    <definedName name="BEx5B825RW35M5H0UB2IZGGRS4ER" hidden="1">#N/A</definedName>
    <definedName name="BEx5BAWPMY0TL684WDXX6KKJLRCN" hidden="1">#N/A</definedName>
    <definedName name="BEx5BBI61U4Y65GD0ARMTALPP7SJ" hidden="1">#N/A</definedName>
    <definedName name="BEx5BDR56MEV4IHY6CIH2SVNG1UB" hidden="1">#N/A</definedName>
    <definedName name="BEx5BESZC5H329SKHGJOHZFILYJJ" hidden="1">#N/A</definedName>
    <definedName name="BEx5BHSQ42B50IU1TEQFUXFX9XQD" hidden="1">#N/A</definedName>
    <definedName name="BEx5BKSM4UN4C1DM3EYKM79MRC5K" hidden="1">#N/A</definedName>
    <definedName name="BEx5BLP00QMF8U26ZPILK6CFKDKP" hidden="1">#N/A</definedName>
    <definedName name="BEx5BNN8NPH9KVOBARB9CDD9WLB6" hidden="1">#N/A</definedName>
    <definedName name="BEx5BYFMZ80TDDN2EZO8CF39AIAC" hidden="1">#N/A</definedName>
    <definedName name="BEx5C2BWFW6SHZBFDEISKGXHZCQW" hidden="1">#N/A</definedName>
    <definedName name="BEx5C49ZFH8TO9ZU55729C3F7XG7" hidden="1">#N/A</definedName>
    <definedName name="BEx5C8GZQK13G60ZM70P63I5OS0L" hidden="1">#N/A</definedName>
    <definedName name="BEx5CAPTVN2NBT3UOMA1UFAL1C2R" hidden="1">#N/A</definedName>
    <definedName name="BEx5CEM3SYF9XP0ZZVE0GEPCLV3F" hidden="1">#N/A</definedName>
    <definedName name="BEx5CFYQ0F1Z6P8SCVJ0I3UPVFE4" hidden="1">#N/A</definedName>
    <definedName name="BEx5CINUDCSDCAJSNNV7XVNU8Q79" hidden="1">#N/A</definedName>
    <definedName name="BEx5CNLUIOYU8EODGA03Z3547I9T" hidden="1">#N/A</definedName>
    <definedName name="BEx5CPEKNSJORIPFQC2E1LTRYY8L" hidden="1">#N/A</definedName>
    <definedName name="BEx5CSUOL05D8PAM2TRDA9VRJT1O" hidden="1">#N/A</definedName>
    <definedName name="BEx5CUNFOO4YDFJ22HCMI2QKIGKM" hidden="1">#N/A</definedName>
    <definedName name="BEx5D8L47OF0WHBPFWXGZINZWUBZ" hidden="1">#N/A</definedName>
    <definedName name="BEx5DAJAHQ2SKUPCKSCR3PYML67L" hidden="1">#N/A</definedName>
    <definedName name="BEx5DC18JM1KJCV44PF18E0LNRKA" hidden="1">#N/A</definedName>
    <definedName name="BEx5DJIZBTNS011R9IIG2OQ2L6ZX" hidden="1">#N/A</definedName>
    <definedName name="BEx5DVYP51PH1M6DTU5RBJNM94GO" hidden="1">#N/A</definedName>
    <definedName name="BEx5E123OLO9WQUOIRIDJ967KAGK" hidden="1">#N/A</definedName>
    <definedName name="BEx5E2UU5NES6W779W2OZTZOB4O7" hidden="1">#N/A</definedName>
    <definedName name="BEx5E4CSE5G83J5K32WENF7BXL82" hidden="1">#N/A</definedName>
    <definedName name="BEx5ELQL9B0VR6UT18KP11DHOTFX" hidden="1">#N/A</definedName>
    <definedName name="BEx5ER4TJTFPN7IB1MNEB1ZFR5M6" hidden="1">#N/A</definedName>
    <definedName name="BEx5F6V72QTCK7O39Y59R0EVM6CW" hidden="1">#N/A</definedName>
    <definedName name="BEx5FGLQVACD5F5YZG4DGSCHCGO2" hidden="1">#N/A</definedName>
    <definedName name="BEx5FLJWHLW3BTZILDPN5NMA449V" hidden="1">#N/A</definedName>
    <definedName name="BEx5FNI2O10YN2SI1NO4X5GP3GTF" hidden="1">#N/A</definedName>
    <definedName name="BEx5FO8YRFSZCG3L608EHIHIHFY4" hidden="1">#N/A</definedName>
    <definedName name="BEx5FQNA6V4CNYSH013K45RI4BCV" hidden="1">#N/A</definedName>
    <definedName name="BEx5FVQPPEU32CPNV9RRQ9MNLLVE" hidden="1">#N/A</definedName>
    <definedName name="BEx5G08KGMG5X2AQKDGPFYG5GH94" hidden="1">#N/A</definedName>
    <definedName name="BEx5G1A8TFN4C4QII35U9DKYNIS8" hidden="1">#N/A</definedName>
    <definedName name="BEx5G1L0QO91KEPDMV1D8OT4BT73" hidden="1">#N/A</definedName>
    <definedName name="BEx5G86DZL1VYUX6KWODAP3WFAWP" hidden="1">#N/A</definedName>
    <definedName name="BEx5G8BV2GIOCM3C7IUFK8L04A6M" hidden="1">#N/A</definedName>
    <definedName name="BEx5GID9MVBUPFFT9M8K8B5MO9NV" hidden="1">#N/A</definedName>
    <definedName name="BEx5GN0EWA9SCQDPQ7NTUQH82QVK" hidden="1">#N/A</definedName>
    <definedName name="BEx5GNBCU4WZ74I0UXFL9ZG2XSGJ" hidden="1">#N/A</definedName>
    <definedName name="BEx5GUCTYC7QCWGWU5BTO7Y7HDZX" hidden="1">#N/A</definedName>
    <definedName name="BEx5GYUPJULJQ624TEESYFG1NFOH" hidden="1">#N/A</definedName>
    <definedName name="BEx5H0NEE0AIN5E2UHJ9J9ISU9N1" hidden="1">#N/A</definedName>
    <definedName name="BEx5H1UJSEUQM2K8QHQXO5THVHSO" hidden="1">#N/A</definedName>
    <definedName name="BEx5HAOT9XWUF7XIFRZZS8B9F5TZ" hidden="1">#N/A</definedName>
    <definedName name="BEx5HE4XRF9BUY04MENWY9CHHN5H" hidden="1">#N/A</definedName>
    <definedName name="BEx5HFHMABAT0H9KKS754X4T304E" hidden="1">#N/A</definedName>
    <definedName name="BEx5HGDZ7MX1S3KNXLRL9WU565V4" hidden="1">#N/A</definedName>
    <definedName name="BEx5HJZ9FAVNZSSBTAYRPZDYM9NU" hidden="1">#N/A</definedName>
    <definedName name="BEx5HZ9JMKHNLFWLVUB1WP5B39BL" hidden="1">#N/A</definedName>
    <definedName name="BEx5I244LQHZTF3XI66J8705R9XX" hidden="1">#N/A</definedName>
    <definedName name="BEx5I8PBP4LIXDGID5BP0THLO0AQ" hidden="1">#N/A</definedName>
    <definedName name="BEx5I8USVUB3JP4S9OXGMZVMOQXR" hidden="1">#N/A</definedName>
    <definedName name="BEx5I9GDQSYIAL65UQNDMNFQCS9Y" hidden="1">#N/A</definedName>
    <definedName name="BEx5IBUPG9AWNW5PK7JGRGEJ4OLM" hidden="1">#N/A</definedName>
    <definedName name="BEx5IC06RVN8BSAEPREVKHKLCJ2L" hidden="1">#N/A</definedName>
    <definedName name="BEx5J0FFP1KS4NGY20AEJI8VREEA" hidden="1">#N/A</definedName>
    <definedName name="BEx5JF3ZXLDIS8VNKDCY7ZI7H1CI" hidden="1">#N/A</definedName>
    <definedName name="BEx5JHCZJ8G6OOOW6EF3GABXKH6F" hidden="1">#N/A</definedName>
    <definedName name="BEx5JJB6W446THXQCRUKD3I7RKLP" hidden="1">#N/A</definedName>
    <definedName name="BEx5JJWTMI37U3RDEJOYLO93RJ6Z" hidden="1">#N/A</definedName>
    <definedName name="BEx5JNCT8Z7XSSPD5EMNAJELCU2V" hidden="1">#N/A</definedName>
    <definedName name="BEx5JQCNT9Y4RM306CHC8IPY3HBZ" hidden="1">#N/A</definedName>
    <definedName name="BEx5K08PYKE6JOKBYIB006TX619P" hidden="1">#N/A</definedName>
    <definedName name="BEx5K51DSERT1TR7B4A29R41W4NX" hidden="1">#N/A</definedName>
    <definedName name="BEx5KYER580I4T7WTLMUN7NLNP5K" hidden="1">#N/A</definedName>
    <definedName name="BEx5LHLB3M6K4ZKY2F42QBZT30ZH" hidden="1">#N/A</definedName>
    <definedName name="BEx5LRMNU3HXIE1BUMDHRU31F7JJ" hidden="1">#N/A</definedName>
    <definedName name="BEx5LSJ1LPUAX3ENSPECWPG4J7D1" hidden="1">#N/A</definedName>
    <definedName name="BEx5LTKQ8RQWJE4BC88OP928893U" hidden="1">#N/A</definedName>
    <definedName name="BEx5MB9BR71LZDG7XXQ2EO58JC5F" hidden="1">#N/A</definedName>
    <definedName name="BEx5MLQZM68YQSKARVWTTPINFQ2C" hidden="1">#N/A</definedName>
    <definedName name="BEx5MVXTKNBXHNWTL43C670E4KXC" hidden="1">#N/A</definedName>
    <definedName name="BEx5N4XI4PWB1W9PMZ4O5R0HWTYD" hidden="1">#N/A</definedName>
    <definedName name="BEx5NA68N6FJFX9UJXK4M14U487F" hidden="1">#N/A</definedName>
    <definedName name="BEx5NIKBG2GDJOYGE3WCXKU7YY51" hidden="1">#N/A</definedName>
    <definedName name="BEx5NV06L5J5IMKGOMGKGJ4PBZCD" hidden="1">#N/A</definedName>
    <definedName name="BEx5NZ1R2DMV2BHXW634VHSF5D5C" hidden="1">#N/A</definedName>
    <definedName name="BEx5NZSSQ6PY99ZX2D7Q9IGOR34W" hidden="1">#N/A</definedName>
    <definedName name="BEx5O3ZUQ2OARA1CDOZ3NC4UE5AA" hidden="1">#N/A</definedName>
    <definedName name="BEx5OAFS0NJ2CB86A02E1JYHMLQ1" hidden="1">#N/A</definedName>
    <definedName name="BEx5OG4RPU8W1ETWDWM234NYYYEN" hidden="1">#N/A</definedName>
    <definedName name="BEx5OP9Y43F99O2IT69MKCCXGL61" hidden="1">#N/A</definedName>
    <definedName name="BEx5P9Y9RDXNUAJ6CZ2LHMM8IM7T" hidden="1">#N/A</definedName>
    <definedName name="BEx5PHWB2C0D5QLP3BZIP3UO7DIZ" hidden="1">#N/A</definedName>
    <definedName name="BEx5PJP02W68K2E46L5C5YBSNU6T" hidden="1">#N/A</definedName>
    <definedName name="BEx5PLCA8DOMAU315YCS5275L2HS" hidden="1">#N/A</definedName>
    <definedName name="BEx5PRXMZ5M65Z732WNNGV564C2J" hidden="1">#N/A</definedName>
    <definedName name="BEx5QPSW4IPLH50WSR87HRER05RF" hidden="1">#N/A</definedName>
    <definedName name="BEx73V0EP8EMNRC3EZJJKKVKWQVB" hidden="1">#N/A</definedName>
    <definedName name="BEx741WJHIJVXUX131SBXTVW8D71" hidden="1">#N/A</definedName>
    <definedName name="BEx74ESIB9Y8KGETIERMKU5PLCQR" hidden="1">#N/A</definedName>
    <definedName name="BEx74Q6H3O7133AWQXWC21MI2UFT" hidden="1">#N/A</definedName>
    <definedName name="BEx74W6BJ8ENO3J25WNM5H5APKA3" hidden="1">#N/A</definedName>
    <definedName name="BEx755GRRD9BL27YHLH5QWIYLWB7" hidden="1">#N/A</definedName>
    <definedName name="BEx759D1D5SXS5ELLZVBI0SXYUNF" hidden="1">#N/A</definedName>
    <definedName name="BEx75GJZSZHUDN6OOAGQYFUDA2LP" hidden="1">#N/A</definedName>
    <definedName name="BEx75HGCCV5K4UCJWYV8EV9AG5YT" hidden="1">#N/A</definedName>
    <definedName name="BEx75PZT8TY5P13U978NVBUXKHT4" hidden="1">#N/A</definedName>
    <definedName name="BEx75T55F7GML8V1DMWL26WRT006" hidden="1">#N/A</definedName>
    <definedName name="BEx75VJGR07JY6UUWURQ4PJ29UKC" hidden="1">#N/A</definedName>
    <definedName name="BEx7741OUGLA0WJQLQRUJSL4DE00" hidden="1">#N/A</definedName>
    <definedName name="BEx774N83DXLJZ54Q42PWIJZ2DN1" hidden="1">#N/A</definedName>
    <definedName name="BEx779QNIY3061ZV9BR462WKEGRW" hidden="1">#N/A</definedName>
    <definedName name="BEx77G19QU9A95CNHE6QMVSQR2T3" hidden="1">#N/A</definedName>
    <definedName name="BEx77P0S3GVMS7BJUL9OWUGJ1B02" hidden="1">#N/A</definedName>
    <definedName name="BEx77QDESURI6WW5582YXSK3A972" hidden="1">#N/A</definedName>
    <definedName name="BEx77VBI9XOPFHKEWU5EHQ9J675Y" hidden="1">#N/A</definedName>
    <definedName name="BEx7809GQOCLHSNH95VOYIX7P1TV" hidden="1">#N/A</definedName>
    <definedName name="BEx780K8XAXUHGVZGZWQ74DK4CI3" hidden="1">#N/A</definedName>
    <definedName name="BEx78226TN58UE0CTY98YEDU0LSL" hidden="1">#N/A</definedName>
    <definedName name="BEx7881ZZBWHRAX6W2GY19J8MGEQ" hidden="1">#N/A</definedName>
    <definedName name="BEx78HHRIWDLHQX2LG0HWFRYEL1T" hidden="1">#N/A</definedName>
    <definedName name="BEx78QMXZ2P1ZB3HJ9O50DWHCMXR" hidden="1">#N/A</definedName>
    <definedName name="BEx78SFO5VR28677DWZEMDN7G86X" hidden="1">#N/A</definedName>
    <definedName name="BEx78SFOYH1Z0ZDTO47W2M60TW6K" hidden="1">#N/A</definedName>
    <definedName name="BEx79JK3E6JO8MX4O35A5G8NZCC8" hidden="1">#N/A</definedName>
    <definedName name="BEx79OCP4HQ6XP8EWNGEUDLOZBBS" hidden="1">#N/A</definedName>
    <definedName name="BEx79SEAYKUZB0H4LYBCD6WWJBG2" hidden="1">#N/A</definedName>
    <definedName name="BEx79SJRHTLS9PYM69O9BWW1FMJK" hidden="1">#N/A</definedName>
    <definedName name="BEx79YJJLBELICW9F9FRYSCQ101L" hidden="1">#N/A</definedName>
    <definedName name="BEx79YUC7B0V77FSBGIRCY1BR4VK" hidden="1">#N/A</definedName>
    <definedName name="BEx7A06T3RC2891FUX05G3QPRAUE" hidden="1">#N/A</definedName>
    <definedName name="BEx7A9S3JA1X7FH4CFSQLTZC4691" hidden="1">#N/A</definedName>
    <definedName name="BEx7ABA2C9IWH5VSLVLLLCY62161" hidden="1">#N/A</definedName>
    <definedName name="BEx7AE4LPLX8N85BYB0WCO5S7ZPV" hidden="1">#N/A</definedName>
    <definedName name="BEx7ASD1I654MEDCO6GGWA95PXSC" hidden="1">#N/A</definedName>
    <definedName name="BEx7AVCX9S5RJP3NSZ4QM4E6ERDT" hidden="1">#N/A</definedName>
    <definedName name="BEx7AVYIGP0930MV5JEBWRYCJN68" hidden="1">#N/A</definedName>
    <definedName name="BEx7B6LH6917TXOSAAQ6U7HVF018" hidden="1">#N/A</definedName>
    <definedName name="BEx7BPXFZXJ79FQ0E8AQE21PGVHA" hidden="1">#N/A</definedName>
    <definedName name="BEx7C04AM39DQMC1TIX7CFZ2ADHX" hidden="1">#N/A</definedName>
    <definedName name="BEx7C40F0PQURHPI6YQ39NFIR86Z" hidden="1">#N/A</definedName>
    <definedName name="BEx7C93VR7SYRIJS1JO8YZKSFAW9" hidden="1">#N/A</definedName>
    <definedName name="BEx7CCPC6R1KQQZ2JQU6EFI1G0RM" hidden="1">#N/A</definedName>
    <definedName name="BEx7CIJST9GLS2QD383UK7VUDTGL" hidden="1">#N/A</definedName>
    <definedName name="BEx7CL3MNZVB7T6R4YIFXB2NOBT8" hidden="1">#N/A</definedName>
    <definedName name="BEx7CO8T2XKC7GHDSYNAWTZ9L7YR" hidden="1">#N/A</definedName>
    <definedName name="BEx7CW1CF00DO8A36UNC2X7K65C2" hidden="1">#N/A</definedName>
    <definedName name="BEx7CW6NFRL2P4XWP0MWHIYA97KF" hidden="1">#N/A</definedName>
    <definedName name="BEx7D5RWKRS4W71J4NZ6ZSFHPKFT" hidden="1">#N/A</definedName>
    <definedName name="BEx7D8H1TPOX1UN17QZYEV7Q58GA" hidden="1">#N/A</definedName>
    <definedName name="BEx7DGF13H2074LRWFZQ45PZ6JPX" hidden="1">#N/A</definedName>
    <definedName name="BEx7DKWUXEDIISSX4GDD4YYT887F" hidden="1">#N/A</definedName>
    <definedName name="BEx7DMUYR2HC26WW7AOB1TULERMB" hidden="1">#N/A</definedName>
    <definedName name="BEx7DVJTRV44IMJIBFXELE67SZ7S" hidden="1">#N/A</definedName>
    <definedName name="BEx7DVUMFCI5INHMVFIJ44RTTSTT" hidden="1">#N/A</definedName>
    <definedName name="BEx7E2QT2U8THYOKBPXONB1B47WH" hidden="1">#N/A</definedName>
    <definedName name="BEx7E5QP7W6UKO74F5Y0VJ741HS5" hidden="1">#N/A</definedName>
    <definedName name="BEx7E6N29HGH3I47AFB2DCS6MVS6" hidden="1">#N/A</definedName>
    <definedName name="BEx7EBA8IYHQKT7IQAOAML660SYA" hidden="1">#N/A</definedName>
    <definedName name="BEx7EI6C8MCRZFEQYUBE5FSUTIHK" hidden="1">#N/A</definedName>
    <definedName name="BEx7EI6DL1Z6UWLFBXAKVGZTKHWJ" hidden="1">#N/A</definedName>
    <definedName name="BEx7EQKHX7GZYOLXRDU534TT4H64" hidden="1">#N/A</definedName>
    <definedName name="BEx7ETV6L1TM7JSXJIGK3FC6RVZW" hidden="1">#N/A</definedName>
    <definedName name="BEx7EWK9GUVV6FXWYIGH0TAI4V2O" hidden="1">#N/A</definedName>
    <definedName name="BEx7EYYLHMBYQTH6I377FCQS7CSX" hidden="1">#N/A</definedName>
    <definedName name="BEx7FCLG1RYI2SNOU1Y2GQZNZSWA" hidden="1">#N/A</definedName>
    <definedName name="BEx7FN32ZGWOAA4TTH79KINTDWR9" hidden="1">#N/A</definedName>
    <definedName name="BEx7G82CKM3NIY1PHNFK28M09PCH" hidden="1">#N/A</definedName>
    <definedName name="BEx7GR3ENYWRXXS5IT0UMEGOLGUH" hidden="1">#N/A</definedName>
    <definedName name="BEx7GSAL6P7TASL8MB63RFST1LJL" hidden="1">#N/A</definedName>
    <definedName name="BEx7H0JD6I5I8WQLLWOYWY5YWPQE" hidden="1">#N/A</definedName>
    <definedName name="BEx7H14XCXH7WEXEY1HVO53A6AGH" hidden="1">#N/A</definedName>
    <definedName name="BEx7HFTIA8AC8BR8HKIN81VE1SGW" hidden="1">#N/A</definedName>
    <definedName name="BEx7HGVBEF4LEIF6RC14N3PSU461" hidden="1">#N/A</definedName>
    <definedName name="BEx7HJKG6I7Q3UCJ834GPTI67WZP" hidden="1">#N/A</definedName>
    <definedName name="BEx7HQ5T9FZ42QWS09UO4DT42Y0R" hidden="1">#N/A</definedName>
    <definedName name="BEx7HRCZE3CVGON1HV07MT5MNDZ3" hidden="1">#N/A</definedName>
    <definedName name="BEx7HWGE2CANG5M17X4C8YNC3N8F" hidden="1">#N/A</definedName>
    <definedName name="BEx7I8FZ96C5JAHXS18ZV0912LZP" hidden="1">#N/A</definedName>
    <definedName name="BEx7IBVYN47SFZIA0K4MDKQZNN9V" hidden="1">#N/A</definedName>
    <definedName name="BEx7IV2IJ5WT7UC0UG7WP0WF2JZI" hidden="1">#N/A</definedName>
    <definedName name="BEx7IXGU74GE5E4S6W4Z13AR092Y" hidden="1">#N/A</definedName>
    <definedName name="BEx7J4YL8Q3BI1MLH16YYQ18IJRD" hidden="1">#N/A</definedName>
    <definedName name="BEx7JH3HGBPI07OHZ5LFYK0UFZQR" hidden="1">#N/A</definedName>
    <definedName name="BEx7JV194190CNM6WWGQ3UBJ3CHH" hidden="1">#N/A</definedName>
    <definedName name="BEx7K7GZ607XQOGB81A1HINBTGOZ" hidden="1">#N/A</definedName>
    <definedName name="BEx7KEYPBDXSNROH8M6CDCBN6B50" hidden="1">#N/A</definedName>
    <definedName name="BEx7KSAS8BZT6H8OQCZ5DNSTMO07" hidden="1">#N/A</definedName>
    <definedName name="BEx7KWHTBD21COXVI4HNEQH0Z3L8" hidden="1">#N/A</definedName>
    <definedName name="BEx7KXUGRMRSUXCM97Z7VRZQ9JH2" hidden="1">#N/A</definedName>
    <definedName name="BEx7L21IQVP1N1TTQLRMANSSLSLE" hidden="1">#N/A</definedName>
    <definedName name="BEx7L5C6U8MP6IZ67BD649WQYJEK" hidden="1">#N/A</definedName>
    <definedName name="BEx7L8HEYEVTATR0OG5JJO647KNI" hidden="1">#N/A</definedName>
    <definedName name="BEx7L8XOV64OMS15ZFURFEUXLMWF" hidden="1">#N/A</definedName>
    <definedName name="BEx7LJVFQACL9F4DRS9YZQ9R2N30" hidden="1">#N/A</definedName>
    <definedName name="BEx7MAUI1JJFDIJGDW4RWY5384LY" hidden="1">#N/A</definedName>
    <definedName name="BEx7MJZO3UKAMJ53UWOJ5ZD4GGMQ" hidden="1">#N/A</definedName>
    <definedName name="BEx7MT4MFNXIVQGAT6D971GZW7CA" hidden="1">#N/A</definedName>
    <definedName name="BEx7NI062THZAM6I8AJWTFJL91CS" hidden="1">#N/A</definedName>
    <definedName name="BEx904S75BPRYMHF0083JF7ES4NG" hidden="1">#N/A</definedName>
    <definedName name="BEx90HDD4RWF7JZGA8GCGG7D63MG" hidden="1">#N/A</definedName>
    <definedName name="BEx90VGH5H09ON2QXYC9WIIEU98T" hidden="1">#N/A</definedName>
    <definedName name="BEx9175B70QXYAU5A8DJPGZQ46L9" hidden="1">#N/A</definedName>
    <definedName name="BEx91AQQRTV87AO27VWHSFZAD4ZR" hidden="1">#N/A</definedName>
    <definedName name="BEx91L8FLL5CWLA2CDHKCOMGVDZN" hidden="1">#N/A</definedName>
    <definedName name="BEx91OTVH9ZDBC3QTORU8RZX4EOC" hidden="1">#N/A</definedName>
    <definedName name="BEx91QH5JRZKQP1GPN2SQMR3CKAG" hidden="1">#N/A</definedName>
    <definedName name="BEx91ROALDNHO7FI4X8L61RH4UJE" hidden="1">#N/A</definedName>
    <definedName name="BEx91TMID71GVYH0U16QM1RV3PX0" hidden="1">#N/A</definedName>
    <definedName name="BEx91VF2D78PAF337E3L2L81K9W2" hidden="1">#N/A</definedName>
    <definedName name="BEx921PNZ46VORG2VRMWREWIC0SE" hidden="1">#N/A</definedName>
    <definedName name="BEx92DPEKL5WM5A3CN8674JI0PR3" hidden="1">#N/A</definedName>
    <definedName name="BEx92ER2RMY93TZK0D9L9T3H0GI5" hidden="1">#N/A</definedName>
    <definedName name="BEx92FI04PJT4LI23KKIHRXWJDTT" hidden="1">#N/A</definedName>
    <definedName name="BEx92HR14HQ9D5JXCSPA4SS4RT62" hidden="1">#N/A</definedName>
    <definedName name="BEx92HWA2D6A5EX9MFG68G0NOMSN" hidden="1">#N/A</definedName>
    <definedName name="BEx92I1RLVR3ZIAROGUHDW2HCBW6" hidden="1">#N/A</definedName>
    <definedName name="BEx92PUBDIXAU1FW5ZAXECMAU0LN" hidden="1">#N/A</definedName>
    <definedName name="BEx92S8MHFFIVRQ2YSHZNQGOFUHD" hidden="1">#N/A</definedName>
    <definedName name="BEx93B9OULL2YGC896XXYAAJSTRK" hidden="1">#N/A</definedName>
    <definedName name="BEx93FRKF99NRT3LH99UTIH7AAYF" hidden="1">#N/A</definedName>
    <definedName name="BEx93M7FSHP50OG34A4W8W8DF12U" hidden="1">#N/A</definedName>
    <definedName name="BEx93OLWY2O3PRA74U41VG5RXT4Q" hidden="1">#N/A</definedName>
    <definedName name="BEx93RWFAF6YJGYUTITVM445C02U" hidden="1">#N/A</definedName>
    <definedName name="BEx93SY9RWG3HUV4YXQKXJH9FH14" hidden="1">#N/A</definedName>
    <definedName name="BEx93TJUX3U0FJDBG6DDSNQ91R5J" hidden="1">#N/A</definedName>
    <definedName name="BEx942UCRHMI4B0US31HO95GSC2X" hidden="1">#N/A</definedName>
    <definedName name="BEx948ZFFQWVIDNG4AZAUGGGEB5U" hidden="1">#N/A</definedName>
    <definedName name="BEx94CKXG92OMURH41SNU6IOHK4J" hidden="1">#N/A</definedName>
    <definedName name="BEx94GXG30CIVB6ZQN3X3IK6BZXQ" hidden="1">#N/A</definedName>
    <definedName name="BEx94HZ5LURYM9ST744ALV6ZCKYP" hidden="1">#N/A</definedName>
    <definedName name="BEx94IQ75E90YUMWJ9N591LR7DQQ" hidden="1">#N/A</definedName>
    <definedName name="BEx94L9TBK45AUQSX1IUZ86U1GPQ" hidden="1">#N/A</definedName>
    <definedName name="BEx94N7W5T3U7UOE97D6OVIBUCXS" hidden="1">#N/A</definedName>
    <definedName name="BEx953PB6S6ECMD8N0JSW0CBG0DA" hidden="1">#N/A</definedName>
    <definedName name="BEx955NIAWX5OLAHMTV6QFUZPR30" hidden="1">#N/A</definedName>
    <definedName name="BEx9581TYVI2M5TT4ISDAJV4W7Z6" hidden="1">#N/A</definedName>
    <definedName name="BEx95NHF4RVUE0YDOAFZEIVBYJXD" hidden="1">#N/A</definedName>
    <definedName name="BEx95QBZMG0E2KQ9BERJ861QLYN3" hidden="1">#N/A</definedName>
    <definedName name="BEx95QHBVDN795UNQJLRXG3RDU49" hidden="1">#N/A</definedName>
    <definedName name="BEx95TBVUWV7L7OMFMZDQEXGVHU6" hidden="1">#N/A</definedName>
    <definedName name="BEx95U89DZZSVO39TGS62CX8G9N4" hidden="1">#N/A</definedName>
    <definedName name="BEx9602K2GHNBUEUVT9ONRQU1GMD" hidden="1">#N/A</definedName>
    <definedName name="BEx962BL3Y4LA53EBYI64ZYMZE8U" hidden="1">#N/A</definedName>
    <definedName name="BEx96KR21O7H9R29TN0S45Y3QPUK" hidden="1">#N/A</definedName>
    <definedName name="BEx96SUFKHHFE8XQ6UUO6ILDOXHO" hidden="1">#N/A</definedName>
    <definedName name="BEx96UN4YWXBDEZ1U1ZUIPP41Z7I" hidden="1">#N/A</definedName>
    <definedName name="BEx970MYCPJ6DQ44TKLOIGZO5LHH" hidden="1">#N/A</definedName>
    <definedName name="BEx978KSD61YJH3S9DGO050R2EHA" hidden="1">#N/A</definedName>
    <definedName name="BEx97H9O1NAKAPK4MX4PKO34ICL5" hidden="1">#N/A</definedName>
    <definedName name="BEx97HVA5F2I0D6ID81KCUDEQOIH" hidden="1">#N/A</definedName>
    <definedName name="BEx97MNUZQ1Z0AO2FL7XQYVNCPR7" hidden="1">#N/A</definedName>
    <definedName name="BEx97NPQBACJVD9K1YXI08RTW9E2" hidden="1">#N/A</definedName>
    <definedName name="BEx97RWQLXS0OORDCN69IGA58CWU" hidden="1">#N/A</definedName>
    <definedName name="BEx97YNGGDFIXHTMGFL2IHAQX9MI" hidden="1">#N/A</definedName>
    <definedName name="BEx981HW73BUZWT14TBTZHC0ZTJ4" hidden="1">#N/A</definedName>
    <definedName name="BEx9871KU0N99P0900EAK69VFYT2" hidden="1">#N/A</definedName>
    <definedName name="BEx98IFKNJFGZFLID1YTRFEG1SXY" hidden="1">#N/A</definedName>
    <definedName name="BEx9915UVD4G7RA3IMLFZ0LG3UA2" hidden="1">#N/A</definedName>
    <definedName name="BEx992CZON8AO7U7V88VN1JBO0MG" hidden="1">#N/A</definedName>
    <definedName name="BEx9952469XMFGSPXL7CMXHPJF90" hidden="1">#N/A</definedName>
    <definedName name="BEx99B77I7TUSHRR4HIZ9FU2EIUT" hidden="1">#N/A</definedName>
    <definedName name="BEx99Q6PH5F3OQKCCAAO75PYDEFN" hidden="1">#N/A</definedName>
    <definedName name="BEx99WBYT2D6UUC1PT7A40ENYID4" hidden="1">#N/A</definedName>
    <definedName name="BEx99XOGHOM28CNCYKQWYGL56W2S" hidden="1">#N/A</definedName>
    <definedName name="BEx99ZRZ4I7FHDPGRAT5VW7NVBPU" hidden="1">#N/A</definedName>
    <definedName name="BEx9AT5E3ZSHKSOL35O38L8HF9TH" hidden="1">#N/A</definedName>
    <definedName name="BEx9AV8W1FAWF5BHATYEN47X12JN" hidden="1">#N/A</definedName>
    <definedName name="BEx9B6HFAULSW9IXMIKBHKRW03Z5" hidden="1">#N/A</definedName>
    <definedName name="BEx9B8A5186FNTQQNLIO5LK02ABI" hidden="1">#N/A</definedName>
    <definedName name="BEx9B8VR20E2CILU4CDQUQQ9ONXK" hidden="1">#N/A</definedName>
    <definedName name="BEx9B917EUP13X6FQ3NPQL76XM5V" hidden="1">#N/A</definedName>
    <definedName name="BEx9BAJ5WYEQ623HUT9NNCMP3RUG" hidden="1">#N/A</definedName>
    <definedName name="BEx9BYSYW7QCPXS2NAVLFAU5Y2Z2" hidden="1">#N/A</definedName>
    <definedName name="BEx9C590HJ2O31IWJB73C1HR74AI" hidden="1">#N/A</definedName>
    <definedName name="BEx9CCQRMYYOGIOYTOM73VKDIPS1" hidden="1">#N/A</definedName>
    <definedName name="BEx9D1BC9FT19KY0INAABNDBAMR1" hidden="1">#N/A</definedName>
    <definedName name="BEx9DN6ZMF18Q39MPMXSDJTZQNJ3" hidden="1">#N/A</definedName>
    <definedName name="BEx9DUU8DALPSCW66GTMQRPXZ6GL" hidden="1">#N/A</definedName>
    <definedName name="BEx9E14TDNSEMI784W0OTIEQMWN6" hidden="1">#N/A</definedName>
    <definedName name="BEx9E2BZ2B1R41FMGJCJ7JLGLUAJ" hidden="1">#N/A</definedName>
    <definedName name="BEx9EG9KBJ77M8LEOR9ITOKN5KXY" hidden="1">#N/A</definedName>
    <definedName name="BEx9EMK6HAJJMVYZTN5AUIV7O1E6" hidden="1">#N/A</definedName>
    <definedName name="BEx9EQAY352HT2ZRQK6GWSIN7DT6" hidden="1">#N/A</definedName>
    <definedName name="BEx9EQLVZHYQ1TPX7WH3SOWXCZLE" hidden="1">#N/A</definedName>
    <definedName name="BEx9ETLU0EK5LGEM1QCNYN2S8O5F" hidden="1">#N/A</definedName>
    <definedName name="BEx9F0Y2ESUNE3U7TQDLMPE9BO67" hidden="1">#N/A</definedName>
    <definedName name="BEx9F5W18ZGFOKGRE8PR6T1MO6GT" hidden="1">#N/A</definedName>
    <definedName name="BEx9F78N4HY0XFGBQ4UJRD52L1EI" hidden="1">#N/A</definedName>
    <definedName name="BEx9FF16LOQP5QIR4UHW5EIFGQB8" hidden="1">#N/A</definedName>
    <definedName name="BEx9FJTSRCZ3ZXT3QVBJT5NF8T7V" hidden="1">#N/A</definedName>
    <definedName name="BEx9FRBEEYPS5HLS3XT34AKZN94G" hidden="1">#N/A</definedName>
    <definedName name="BEx9GDY4D8ZPQJCYFIMYM0V0C51Y" hidden="1">#N/A</definedName>
    <definedName name="BEx9GGY04V0ZWI6O9KZH4KSBB389" hidden="1">#N/A</definedName>
    <definedName name="BEx9GNOPB6OZ2RH3FCDNJR38RJOS" hidden="1">#N/A</definedName>
    <definedName name="BEx9GUQALUWCD30UKUQGSWW8KBQ7" hidden="1">#N/A</definedName>
    <definedName name="BEx9GY6BVFQGCLMOWVT6PIC9WP5X" hidden="1">#N/A</definedName>
    <definedName name="BEx9GZ2P3FDHKXEBXX2VS0BG2NP2" hidden="1">#N/A</definedName>
    <definedName name="BEx9H04IB14E1437FF2OIRRWBSD7" hidden="1">#N/A</definedName>
    <definedName name="BEx9H5O1KDZJCW91Q29VRPY5YS6P" hidden="1">#N/A</definedName>
    <definedName name="BEx9H8YR0E906F1JXZMBX3LNT004" hidden="1">#N/A</definedName>
    <definedName name="BEx9I8XIG7E5NB48QQHXP23FIN60" hidden="1">#N/A</definedName>
    <definedName name="BEx9IQRF01ATLVK0YE60ARKQJ68L" hidden="1">#N/A</definedName>
    <definedName name="BEx9IT5QNZWKM6YQ5WER0DC2PMMU" hidden="1">#N/A</definedName>
    <definedName name="BEx9IW5MFLXTVCJHVUZTUH93AXOS" hidden="1">#N/A</definedName>
    <definedName name="BEx9IXCSPSZC80YZUPRCYTG326KV" hidden="1">#N/A</definedName>
    <definedName name="BEx9IZR39NHDGOM97H4E6F81RTQW" hidden="1">#N/A</definedName>
    <definedName name="BEx9J6CH5E7YZPER7HXEIOIKGPCA" hidden="1">#N/A</definedName>
    <definedName name="BEx9JJTZKVUJAVPTRE0RAVTEH41G" hidden="1">#N/A</definedName>
    <definedName name="BEx9JLBYK239B3F841C7YG1GT7ST" hidden="1">#N/A</definedName>
    <definedName name="BExAW4IIW5D0MDY6TJ3G4FOLPYIR" hidden="1">#N/A</definedName>
    <definedName name="BExAX410NB4F2XOB84OR2197H8M5" hidden="1">#N/A</definedName>
    <definedName name="BExAX8TNG8LQ5Q4904SAYQIPGBSV" hidden="1">#N/A</definedName>
    <definedName name="BExAY0EAT2LXR5MFGM0DLIB45PLO" hidden="1">#N/A</definedName>
    <definedName name="BExAYE6LNIEBR9DSNI5JGNITGKIT" hidden="1">#N/A</definedName>
    <definedName name="BExAYHMLXGGO25P8HYB2S75DEB4F" hidden="1">#N/A</definedName>
    <definedName name="BExAYKXAUWGDOPG952TEJ2UKZKWN" hidden="1">#N/A</definedName>
    <definedName name="BExAYP9TDTI2MBP6EYE0H39CPMXN" hidden="1">#N/A</definedName>
    <definedName name="BExAYPPWJPWDKU59O051WMGB7O0J" hidden="1">#N/A</definedName>
    <definedName name="BExAYR2JZCJBUH6F1LZC2A7JIVRJ" hidden="1">#N/A</definedName>
    <definedName name="BExAYTGVRD3DLKO75RFPMBKCIWB8" hidden="1">#N/A</definedName>
    <definedName name="BExAYY9H9COOT46HJLPVDLTO12UL" hidden="1">#N/A</definedName>
    <definedName name="BExAZCNEGB4JYHC8CZ51KTN890US" hidden="1">#N/A</definedName>
    <definedName name="BExAZFCI302YFYRDJYQDWQQL0Q0O" hidden="1">#N/A</definedName>
    <definedName name="BExAZLHLST9OP89R1HJMC1POQG8H" hidden="1">#N/A</definedName>
    <definedName name="BExAZMDYMIAA7RX1BMCKU1VLBRGY" hidden="1">#N/A</definedName>
    <definedName name="BExAZNL6BHI8DCQWXOX4I2P839UX" hidden="1">#N/A</definedName>
    <definedName name="BExAZRMWSONMCG9KDUM4KAQ7BONM" hidden="1">#N/A</definedName>
    <definedName name="BExAZTFG4SJRG4TW6JXRF7N08JFI" hidden="1">#N/A</definedName>
    <definedName name="BExAZUS4A8OHDZK0MWAOCCCKTH73" hidden="1">#N/A</definedName>
    <definedName name="BExAZX6FECVK3E07KXM2XPYKGM6U" hidden="1">#N/A</definedName>
    <definedName name="BExB012NJ8GASTNNPBRRFTLHIOC9" hidden="1">#N/A</definedName>
    <definedName name="BExB072HHXVMUC0VYNGG48GRSH5Q" hidden="1">#N/A</definedName>
    <definedName name="BExB0FRDEYDEUEAB1W8KD6D965XA" hidden="1">#N/A</definedName>
    <definedName name="BExB0KPCN7YJORQAYUCF4YKIKPMC" hidden="1">#N/A</definedName>
    <definedName name="BExB0WE4PI3NOBXXVO9CTEN4DIU2" hidden="1">#N/A</definedName>
    <definedName name="BExB10QNIVITUYS55OAEKK3VLJFE" hidden="1">#N/A</definedName>
    <definedName name="BExB15ZDRY4CIJ911DONP0KCY9KU" hidden="1">#N/A</definedName>
    <definedName name="BExB16VQY0O0RLZYJFU3OFEONVTE" hidden="1">#N/A</definedName>
    <definedName name="BExB1FKNY2UO4W5FUGFHJOA2WFGG" hidden="1">#N/A</definedName>
    <definedName name="BExB1GMD0PIDGTFBGQOPRWQSP9I4" hidden="1">#N/A</definedName>
    <definedName name="BExB1Q29OO6LNFNT1EQLA3KYE7MX" hidden="1">#N/A</definedName>
    <definedName name="BExB1TNRV5EBWZEHYLHI76T0FVA7" hidden="1">#N/A</definedName>
    <definedName name="BExB1WI6M8I0EEP1ANUQZCFY24EV" hidden="1">#N/A</definedName>
    <definedName name="BExB203OWC9QZA3BYOKQ18L4FUJE" hidden="1">#N/A</definedName>
    <definedName name="BExB2CJHTU7C591BR4WRL5L2F2K6" hidden="1">#N/A</definedName>
    <definedName name="BExB2K1AV4PGNS1O6C7D7AO411AX" hidden="1">#N/A</definedName>
    <definedName name="BExB2O2UYHKI324YE324E1N7FVIB" hidden="1">#N/A</definedName>
    <definedName name="BExB2Q0VJ0MU2URO3JOVUAVHEI3V" hidden="1">#N/A</definedName>
    <definedName name="BExB30IP1DNKNQ6PZ5ERUGR5MK4Z" hidden="1">#N/A</definedName>
    <definedName name="BExB442RX0T3L6HUL6X5T21CENW6" hidden="1">#N/A</definedName>
    <definedName name="BExB4ADD0L7417CII901XTFKXD1J" hidden="1">#N/A</definedName>
    <definedName name="BExB4DO1V1NL2AVK5YE1RSL5RYHL" hidden="1">#N/A</definedName>
    <definedName name="BExB4DYU06HCGRIPBSWRCXK804UM" hidden="1">#N/A</definedName>
    <definedName name="BExB4QEHP88TDHO8TGYV91365M0F" hidden="1">#N/A</definedName>
    <definedName name="BExB4Z3EZBGYYI33U0KQ8NEIH8PY" hidden="1">#N/A</definedName>
    <definedName name="BExB55368XW7UX657ZSPC6BFE92S" hidden="1">#N/A</definedName>
    <definedName name="BExB57MZEPL2SA2ONPK66YFLZWJU" hidden="1">#N/A</definedName>
    <definedName name="BExB5833OAOJ22VK1YK47FHUSVK2" hidden="1">#N/A</definedName>
    <definedName name="BExB58JDIHS42JZT9DJJMKA8QFCO" hidden="1">#N/A</definedName>
    <definedName name="BExB58U5FQC5JWV9CGC83HLLZUZI" hidden="1">#N/A</definedName>
    <definedName name="BExB5EDO9XUKHF74X3HAU2WPPHZH" hidden="1">#N/A</definedName>
    <definedName name="BExB5G6EH68AYEP1UT0GHUEL3SLN" hidden="1">#N/A</definedName>
    <definedName name="BExB5QYVEZWFE5DQVHAM760EV05X" hidden="1">#N/A</definedName>
    <definedName name="BExB5U9IRH14EMOE0YGIE3WIVLFS" hidden="1">#N/A</definedName>
    <definedName name="BExB5VWYMOV6BAIH7XUBBVPU7MMD" hidden="1">#N/A</definedName>
    <definedName name="BExB610DZWIJP1B72U9QM42COH2B" hidden="1">#N/A</definedName>
    <definedName name="BExB6C3FUAKK9ML5T767NMWGA9YB" hidden="1">#N/A</definedName>
    <definedName name="BExB6C8X6JYRLKZKK17VE3QUNL3D" hidden="1">#N/A</definedName>
    <definedName name="BExB6HN3QRFPXM71MDUK21BKM7PF" hidden="1">#N/A</definedName>
    <definedName name="BExB6IZMHCZ3LB7N73KD90YB1HBZ" hidden="1">#N/A</definedName>
    <definedName name="BExB719SGNX4Y8NE6JEXC555K596" hidden="1">#N/A</definedName>
    <definedName name="BExB7265DCHKS7V2OWRBXCZTEIW9" hidden="1">#N/A</definedName>
    <definedName name="BExB74PS5P9G0P09Y6DZSCX0FLTJ" hidden="1">#N/A</definedName>
    <definedName name="BExB78RH79J0MIF7H8CAZ0CFE88Q" hidden="1">#N/A</definedName>
    <definedName name="BExB7ELT09HGDVO5BJC1ZY9D09GZ" hidden="1">#N/A</definedName>
    <definedName name="BExB806PAXX70XUTA3ZI7OORD78R" hidden="1">#N/A</definedName>
    <definedName name="BExB8B4K8WFO3JUW66JXKOKB130W" hidden="1">#N/A</definedName>
    <definedName name="BExB8HF4UBVZKQCSRFRUQL2EE6VL" hidden="1">#N/A</definedName>
    <definedName name="BExB8HKHKZ1ORJZUYGG2M4VSCC39" hidden="1">#N/A</definedName>
    <definedName name="BExB8QPH8DC5BESEVPSMBCWVN6PO" hidden="1">#N/A</definedName>
    <definedName name="BExB8U5N0D85YR8APKN3PPKG0FWP" hidden="1">#N/A</definedName>
    <definedName name="BExB9DHI5I2TJ2LXYPM98EE81L27" hidden="1">#N/A</definedName>
    <definedName name="BExB9Q2MZZHBGW8QQKVEYIMJBPIE" hidden="1">#N/A</definedName>
    <definedName name="BExBA1GON0EZRJ20UYPILAPLNQWM" hidden="1">#N/A</definedName>
    <definedName name="BExBA69ASGYRZW1G1DYIS9QRRTBN" hidden="1">#N/A</definedName>
    <definedName name="BExBA6K42582A14WFFWQ3Q8QQWB6" hidden="1">#N/A</definedName>
    <definedName name="BExBA8I5D4R8R2PYQ1K16TWGTOEP" hidden="1">#N/A</definedName>
    <definedName name="BExBA93PE0DGUUTA7LLSIGBIXWE5" hidden="1">#N/A</definedName>
    <definedName name="BExBAI8X0FKDQJ6YZJQDTTG4ZCWY" hidden="1">#N/A</definedName>
    <definedName name="BExBAKN7XIBAXCF9PCNVS038PCQO" hidden="1">#N/A</definedName>
    <definedName name="BExBAKXZ7PBW3DDKKA5MWC1ZUC7O" hidden="1">#N/A</definedName>
    <definedName name="BExBAO8NLXZXHO6KCIECSFCH3RR0" hidden="1">#N/A</definedName>
    <definedName name="BExBAOOT1KBSIEISN1ADL4RMY879" hidden="1">#N/A</definedName>
    <definedName name="BExBAVKX8Q09370X1GCZWJ4E91YJ" hidden="1">#N/A</definedName>
    <definedName name="BExBAX2X2ENJYO4QTR5VAIQ86L7B" hidden="1">#N/A</definedName>
    <definedName name="BExBAZ13D3F1DVJQ6YJ8JGUYEYJE" hidden="1">#N/A</definedName>
    <definedName name="BExBBTG649R9I0CT042JLL8LXV18" hidden="1">#N/A</definedName>
    <definedName name="BExBBUCJQRR74Q7GPWDEZXYK2KJL" hidden="1">#N/A</definedName>
    <definedName name="BExBBV8XVMD9CKZY711T0BN7H3PM" hidden="1">#N/A</definedName>
    <definedName name="BExBC78HXWXHO3XAB6E8NVTBGLJS" hidden="1">#N/A</definedName>
    <definedName name="BExBCKKJTIRKC1RZJRTK65HHLX4W" hidden="1">#N/A</definedName>
    <definedName name="BExBCLMEPAN3XXX174TU8SS0627Q" hidden="1">#N/A</definedName>
    <definedName name="BExBCRBEYR2KZ8FAQFZ2NHY13WIY" hidden="1">#N/A</definedName>
    <definedName name="BExBD4I559NXSV6J07Q343TKYMVJ" hidden="1">#N/A</definedName>
    <definedName name="BExBDBZQLTX3OGFYGULQFK5WEZU5" hidden="1">#N/A</definedName>
    <definedName name="BExBDJS9TUEU8Z84IV59E5V4T8K6" hidden="1">#N/A</definedName>
    <definedName name="BExBDKOMSVH4XMH52CFJ3F028I9R" hidden="1">#N/A</definedName>
    <definedName name="BExBDSRXVZQ0W5WXQMP5XD00GRRL" hidden="1">#N/A</definedName>
    <definedName name="BExBDUVGK3E1J4JY9ZYTS7V14BLY" hidden="1">#N/A</definedName>
    <definedName name="BExBE162OSBKD30I7T1DKKPT3I9I" hidden="1">#N/A</definedName>
    <definedName name="BExBE5YPUY1T7N7DHMMIGGXK8TMP" hidden="1">#N/A</definedName>
    <definedName name="BExBEC9ATLQZF86W1M3APSM4HEOH" hidden="1">#N/A</definedName>
    <definedName name="BExBEYFQJE9YK12A6JBMRFKEC7RN" hidden="1">#N/A</definedName>
    <definedName name="BExBG1ED81J2O4A2S5F5Y3BPHMCR" hidden="1">#N/A</definedName>
    <definedName name="BExCRLIHS7466WFJ3RPIUGGXYESZ" hidden="1">#N/A</definedName>
    <definedName name="BExCS1EDDUEAEWHVYXHIP9I1WCJH" hidden="1">#N/A</definedName>
    <definedName name="BExCS6SLRCBH006GNRE27HFRHP40" hidden="1">#N/A</definedName>
    <definedName name="BExCS7ZPMHFJ4UJDAL8CQOLSZ13B" hidden="1">#N/A</definedName>
    <definedName name="BExCS8W4NJUZH9S1CYB6XSDLEPBW" hidden="1">#N/A</definedName>
    <definedName name="BExCSAE1M6G20R41J0Y24YNN0YC1" hidden="1">#N/A</definedName>
    <definedName name="BExCSAOUZOYKHN7HV511TO8VDJ02" hidden="1">#N/A</definedName>
    <definedName name="BExCSMOFTXSUEC1T46LR1UPYRCX5" hidden="1">#N/A</definedName>
    <definedName name="BExCSSDG3TM6TPKS19E9QYJEELZ6" hidden="1">#N/A</definedName>
    <definedName name="BExCSZV7U67UWXL2HKJNM5W1E4OO" hidden="1">#N/A</definedName>
    <definedName name="BExCT4NSDT61OCH04Y2QIFIOP75H" hidden="1">#N/A</definedName>
    <definedName name="BExCTW8G3VCZ55S09HTUGXKB1P2M" hidden="1">#N/A</definedName>
    <definedName name="BExCTYS2KX0QANOLT8LGZ9WV3S3T" hidden="1">#N/A</definedName>
    <definedName name="BExCTZZ9JNES4EDHW97NP0EGQALX" hidden="1">#N/A</definedName>
    <definedName name="BExCU0A1V6NMZQ9ASYJ8QIVQ5UR2" hidden="1">#N/A</definedName>
    <definedName name="BExCU2834920JBHSPCRC4UF80OLL" hidden="1">#N/A</definedName>
    <definedName name="BExCU8O54I3P3WRYWY1CRP3S78QY" hidden="1">#N/A</definedName>
    <definedName name="BExCUDRJO23YOKT8GPWOVQ4XEHF5" hidden="1">#N/A</definedName>
    <definedName name="BExCUPAXFR16YMWL30ME3F3BSRDZ" hidden="1">#N/A</definedName>
    <definedName name="BExCUR94DHCE47PUUWEMT5QZOYR2" hidden="1">#N/A</definedName>
    <definedName name="BExCV634L7SVHGB0UDDTRRQ2Q72H" hidden="1">#N/A</definedName>
    <definedName name="BExCVBXGSXT9FWJRG62PX9S1RK83" hidden="1">#N/A</definedName>
    <definedName name="BExCVHBNLOHNFS0JAV3I1XGPNH9W" hidden="1">#N/A</definedName>
    <definedName name="BExCVI86R31A2IOZIEBY1FJLVILD" hidden="1">#N/A</definedName>
    <definedName name="BExCVKGZXE0I9EIXKBZVSGSEY2RR" hidden="1">#N/A</definedName>
    <definedName name="BExCVV44WY5807WGMTGKPW0GT256" hidden="1">#N/A</definedName>
    <definedName name="BExCVZ5PN4V6MRBZ04PZJW3GEF8S" hidden="1">#N/A</definedName>
    <definedName name="BExCW13R0GWJYGXZBNCPAHQN4NR2" hidden="1">#N/A</definedName>
    <definedName name="BExCW9Y5HWU4RJTNX74O6L24VGCK" hidden="1">#N/A</definedName>
    <definedName name="BExCWPDPESGZS07QGBLSBWDNVJLZ" hidden="1">#N/A</definedName>
    <definedName name="BExCWTVKHIVCRHF8GC39KI58YM5K" hidden="1">#N/A</definedName>
    <definedName name="BExCX2KGRZBRVLZNM8SUSIE6A0RL" hidden="1">#N/A</definedName>
    <definedName name="BExCX3X451T70LZ1VF95L7W4Y4TM" hidden="1">#N/A</definedName>
    <definedName name="BExCX4NZ2N1OUGXM7EV0U7VULJMM" hidden="1">#N/A</definedName>
    <definedName name="BExCXILMURGYMAH6N5LF5DV6K3GM" hidden="1">#N/A</definedName>
    <definedName name="BExCXQUFBMXQ1650735H48B1AZT3" hidden="1">#N/A</definedName>
    <definedName name="BExCY2DQO9VLA77Q7EG3T0XNXX4F" hidden="1">#N/A</definedName>
    <definedName name="BExCY6VMJ68MX3C981R5Q0BX5791" hidden="1">#N/A</definedName>
    <definedName name="BExCYAH2SAZCPW6XCB7V7PMMCAWO" hidden="1">#N/A</definedName>
    <definedName name="BExCYJBB52X8B3AREHCC1L5QNPX7" hidden="1">#N/A</definedName>
    <definedName name="BExCYPRC5HJE6N2XQTHCT6NXGP8N" hidden="1">#N/A</definedName>
    <definedName name="BExCYUK0I3UEXZNFDW71G6Z6D8XR" hidden="1">#N/A</definedName>
    <definedName name="BExCZ15DB89J6GSEBMRW45QG2RQ8" hidden="1">#N/A</definedName>
    <definedName name="BExCZFZCXMLY5DWESYJ9NGTJYQ8M" hidden="1">#N/A</definedName>
    <definedName name="BExCZJ4P8WS0BDT31WDXI0ROE7D6" hidden="1">#N/A</definedName>
    <definedName name="BExCZKH6NI0EE02L995IFVBD1J59" hidden="1">#N/A</definedName>
    <definedName name="BExCZUD9FEOJBKDJ51Z3JON9LKJ8" hidden="1">#N/A</definedName>
    <definedName name="BExD0508DAALLU00PHFPBC8SRRKT" hidden="1">#N/A</definedName>
    <definedName name="BExD0HALIN0JR4JTPGDEVAEE5EX5" hidden="1">#N/A</definedName>
    <definedName name="BExD0LCCDPG16YLY5WQSZF1XI5DA" hidden="1">#N/A</definedName>
    <definedName name="BExD0RMWSB4TRECEHTH6NN4K9DFZ" hidden="1">#N/A</definedName>
    <definedName name="BExD0U6KG10QGVDI1XSHK0J10A2V" hidden="1">#N/A</definedName>
    <definedName name="BExD13RUIBGRXDL4QDZ305UKUR12" hidden="1">#N/A</definedName>
    <definedName name="BExD14DETV5R4OOTMAXD5NAKWRO3" hidden="1">#N/A</definedName>
    <definedName name="BExD1OAU9OXQAZA4D70HP72CU6GB" hidden="1">#N/A</definedName>
    <definedName name="BExD1Y1JV61416YA1XRQHKWPZIE7" hidden="1">#N/A</definedName>
    <definedName name="BExD2CFHIRMBKN5KXE5QP4XXEWFS" hidden="1">#N/A</definedName>
    <definedName name="BExD2DMHH1HWXQ9W0YYMDP8AAX8Q" hidden="1">#N/A</definedName>
    <definedName name="BExD2HTPC7IWBAU6OSQ67MQA8BYZ" hidden="1">#N/A</definedName>
    <definedName name="BExD363H2VGFIQUCE6LS4AC5J0ZT" hidden="1">#N/A</definedName>
    <definedName name="BExD3A588E939V61P1XEW0FI5Q0S" hidden="1">#N/A</definedName>
    <definedName name="BExD3CJJDKVR9M18XI3WDZH80WL6" hidden="1">#N/A</definedName>
    <definedName name="BExD3ESD9WYJIB3TRDPJ1CKXRAVL" hidden="1">#N/A</definedName>
    <definedName name="BExD3F368X5S25MWSUNIV57RDB57" hidden="1">#N/A</definedName>
    <definedName name="BExD3IJ5IT335SOSNV9L85WKAOSI" hidden="1">#N/A</definedName>
    <definedName name="BExD3KBVUY57GMMQTOFEU6S6G1AY" hidden="1">#N/A</definedName>
    <definedName name="BExD3NMR7AW2Z6V8SC79VQR37NA6" hidden="1">#N/A</definedName>
    <definedName name="BExD3QXA2UQ2W4N7NYLUEOG40BZB" hidden="1">#N/A</definedName>
    <definedName name="BExD3U2N041TEJ7GCN005UTPHNXY" hidden="1">#N/A</definedName>
    <definedName name="BExD40O0CFTNJFOFMMM1KH0P7BUI" hidden="1">#N/A</definedName>
    <definedName name="BExD4BR9HJ3MWWZ5KLVZWX9FJAUS" hidden="1">#N/A</definedName>
    <definedName name="BExD4F1WTKT3H0N9MF4H1LX7MBSY" hidden="1">#N/A</definedName>
    <definedName name="BExD4H5GQWXBS6LUL3TSP36DVO38" hidden="1">#N/A</definedName>
    <definedName name="BExD4JJSS3QDBLABCJCHD45SRNPI" hidden="1">#N/A</definedName>
    <definedName name="BExD4R1I0MKF033I5LPUYIMTZ6E8" hidden="1">#N/A</definedName>
    <definedName name="BExD50MT3M6XZLNUP9JL93EG6D9R" hidden="1">#N/A</definedName>
    <definedName name="BExD5EV7KDSVF1CJT38M4IBPFLPY" hidden="1">#N/A</definedName>
    <definedName name="BExD5FRK547OESJRYAW574DZEZ7J" hidden="1">#N/A</definedName>
    <definedName name="BExD5I5X2YA2YNCTCDSMEL4CWF4N" hidden="1">#N/A</definedName>
    <definedName name="BExD5QUSRFJWRQ1ZM50WYLCF74DF" hidden="1">#N/A</definedName>
    <definedName name="BExD5SSUIF6AJQHBHK8PNMFBPRYB" hidden="1">#N/A</definedName>
    <definedName name="BExD623C9LRX18BE0W2V6SZLQUXX" hidden="1">#N/A</definedName>
    <definedName name="BExD6CQA7UMJBXV7AIFAIHUF2ICX" hidden="1">#N/A</definedName>
    <definedName name="BExD6FKVK8WJWNYPVENR7Q8Q30PK" hidden="1">#N/A</definedName>
    <definedName name="BExD6GMP0LK8WKVWMIT1NNH8CHLF" hidden="1">#N/A</definedName>
    <definedName name="BExD6H2TE0WWAUIWVSSCLPZ6B88N" hidden="1">#N/A</definedName>
    <definedName name="BExD71LTOE015TV5RSAHM8NT8GVW" hidden="1">#N/A</definedName>
    <definedName name="BExD73USXVADC7EHGHVTQNCT06ZA" hidden="1">#N/A</definedName>
    <definedName name="BExD7GAIGULTB3YHM1OS9RBQOTEC" hidden="1">#N/A</definedName>
    <definedName name="BExD7IE1DHIS52UFDCTSKPJQNRD5" hidden="1">#N/A</definedName>
    <definedName name="BExD7IUBGUWHYC9UNZ1IY5XFYKQN" hidden="1">#N/A</definedName>
    <definedName name="BExD7JQOJ35HGL8U2OCEI2P2JT7I" hidden="1">#N/A</definedName>
    <definedName name="BExD7KSDKNDNH95NDT3S7GM3MUU2" hidden="1">#N/A</definedName>
    <definedName name="BExD8H5O087KQVWIVPUUID5VMGMS" hidden="1">#N/A</definedName>
    <definedName name="BExD8OCLZMFN5K3VZYI4Q4ITVKUA" hidden="1">#N/A</definedName>
    <definedName name="BExD93C1R6LC0631ECHVFYH0R0PD" hidden="1">#N/A</definedName>
    <definedName name="BExD97TXIO0COVNN4OH3DEJ33YLM" hidden="1">#N/A</definedName>
    <definedName name="BExD99RZ1RFIMK6O1ZHSPJ68X9Y5" hidden="1">#N/A</definedName>
    <definedName name="BExD9L0ID3VSOU609GKWYTA5BFMA" hidden="1">#N/A</definedName>
    <definedName name="BExD9M7SEMG0JK2FUTTZXWIEBTKB" hidden="1">#N/A</definedName>
    <definedName name="BExD9MNYBYB1AICQL5165G472IE2" hidden="1">#N/A</definedName>
    <definedName name="BExD9PNSYT7GASEGUVL48MUQ02WO" hidden="1">#N/A</definedName>
    <definedName name="BExD9TK2MIWFH5SKUYU9ZKF4NPHQ" hidden="1">#N/A</definedName>
    <definedName name="BExDA6LD9061UULVKUUI4QP8SK13" hidden="1">#N/A</definedName>
    <definedName name="BExDAGMVMNLQ6QXASB9R6D8DIT12" hidden="1">#N/A</definedName>
    <definedName name="BExDAYBHU9ADLXI8VRC7F608RVGM" hidden="1">#N/A</definedName>
    <definedName name="BExDBDR1XR0FV0CYUCB2OJ7CJCZU" hidden="1">#N/A</definedName>
    <definedName name="BExDC7F818VN0S18ID7XRCRVYPJ4" hidden="1">#N/A</definedName>
    <definedName name="BExDCL7K96PC9VZYB70ZW3QPVIJE" hidden="1">#N/A</definedName>
    <definedName name="BExDCP3UZ3C2O4C1F7KMU0Z9U32N" hidden="1">#N/A</definedName>
    <definedName name="BExEOBX3WECDMYCV9RLN49APTXMM" hidden="1">#N/A</definedName>
    <definedName name="BExEP4E4F36662JDI0TOD85OP7X9" hidden="1">#N/A</definedName>
    <definedName name="BExEPN9VIYI0FVL0HLZQXJFO6TT0" hidden="1">#N/A</definedName>
    <definedName name="BExEPYT6VDSMR8MU2341Q5GM2Y9V" hidden="1">#N/A</definedName>
    <definedName name="BExEQ2ENYLMY8K1796XBB31CJHNN" hidden="1">#N/A</definedName>
    <definedName name="BExEQ2PFE4N40LEPGDPS90WDL6BN" hidden="1">#N/A</definedName>
    <definedName name="BExEQ2PFURT24NQYGYVE8NKX1EGA" hidden="1">#N/A</definedName>
    <definedName name="BExEQB8ZWXO6IIGOEPWTLOJGE2NR" hidden="1">#N/A</definedName>
    <definedName name="BExEQBZX0EL6LIKPY01197ACK65H" hidden="1">#N/A</definedName>
    <definedName name="BExEQDXZALJLD4OBF74IKZBR13SR" hidden="1">#N/A</definedName>
    <definedName name="BExEQFLE2RPWGMWQAI4JMKUEFRPT" hidden="1">#N/A</definedName>
    <definedName name="BExEQTZAP8R69U31W4LKGTKKGKQE" hidden="1">#N/A</definedName>
    <definedName name="BExER2O72H1F9WV6S1J04C15PXX7" hidden="1">#N/A</definedName>
    <definedName name="BExERRUIKIOATPZ9U4HQ0V52RJAU" hidden="1">#N/A</definedName>
    <definedName name="BExERSANFNM1O7T65PC5MJ301YET" hidden="1">#N/A</definedName>
    <definedName name="BExERWCEBKQRYWRQLYJ4UCMMKTHG" hidden="1">#N/A</definedName>
    <definedName name="BExES44RHHDL3V7FLV6M20834WF1" hidden="1">#N/A</definedName>
    <definedName name="BExES4A7VE2X3RYYTVRLKZD4I7WU" hidden="1">#N/A</definedName>
    <definedName name="BExES6ZC8R7PHJ21OVJFLIR7DY30" hidden="1">#N/A</definedName>
    <definedName name="BExESMKD95A649M0WRSG6CXXP326" hidden="1">#N/A</definedName>
    <definedName name="BExESR27ZXJG5VMY4PR9D940VS7T" hidden="1">#N/A</definedName>
    <definedName name="BExESZ03KXL8DQ2591HLR56ZML94" hidden="1">#N/A</definedName>
    <definedName name="BExESZAW5N443NRTKIP59OEI1CR6" hidden="1">#N/A</definedName>
    <definedName name="BExET3HXQ60A4O2OLKX8QNXRI6LQ" hidden="1">#N/A</definedName>
    <definedName name="BExETA3B1FCIOA80H94K90FWXQKE" hidden="1">#N/A</definedName>
    <definedName name="BExETAZOYT4CJIT8RRKC9F2HJG1D" hidden="1">#N/A</definedName>
    <definedName name="BExETF6QD5A9GEINE1KZRRC2LXWM" hidden="1">#N/A</definedName>
    <definedName name="BExETQ9XRXLUACN82805SPSPNKHI" hidden="1">#N/A</definedName>
    <definedName name="BExETR0YRMOR63E6DHLEHV9QVVON" hidden="1">#N/A</definedName>
    <definedName name="BExETVTGY38YXYYF7N73OYN6FYY3" hidden="1">#N/A</definedName>
    <definedName name="BExEUNE4T242Y59C6MS28MXEUGCP" hidden="1">#N/A</definedName>
    <definedName name="BExEV2TP7NA3ZR6RJGH5ER370OUM" hidden="1">#N/A</definedName>
    <definedName name="BExEV69USLNYO2QRJRC0J92XUF00" hidden="1">#N/A</definedName>
    <definedName name="BExEV6KNTQOCFD7GV726XQEVQ7R6" hidden="1">#N/A</definedName>
    <definedName name="BExEV6VGM4POO9QT9KH3QA3VYCWM" hidden="1">#N/A</definedName>
    <definedName name="BExEVET98G3FU6QBF9LHYWSAMV0O" hidden="1">#N/A</definedName>
    <definedName name="BExEVNCUT0PDUYNJH7G6BSEWZOT2" hidden="1">#N/A</definedName>
    <definedName name="BExEVPGF4V5J0WQRZKUM8F9TTKZJ" hidden="1">#N/A</definedName>
    <definedName name="BExEVPWH8S9GER9M14SPIT6XZ8SG" hidden="1">#N/A</definedName>
    <definedName name="BExEVVLIEVWYRF2UUC1H0H5QU1CP" hidden="1">#N/A</definedName>
    <definedName name="BExEVWCKO8T84GW9Z3X47915XKSH" hidden="1">#N/A</definedName>
    <definedName name="BExEVZSJWMZ5L2ZE7AZC57CXKW6T" hidden="1">#N/A</definedName>
    <definedName name="BExEW0JL1GFFCXMDGW54CI7Y8FZN" hidden="1">#N/A</definedName>
    <definedName name="BExEW68M9WL8214QH9C7VCK7BN08" hidden="1">#N/A</definedName>
    <definedName name="BExEW8HFKH6F47KIHYBDRUEFZ2ZZ" hidden="1">#N/A</definedName>
    <definedName name="BExEWLO75K95C6IRKHXSP7VP81T4" hidden="1">#N/A</definedName>
    <definedName name="BExEWNBGQS1U2LW3W84T4LSJ9K00" hidden="1">#N/A</definedName>
    <definedName name="BExEWO7STL7HNZSTY8VQBPTX1WK6" hidden="1">#N/A</definedName>
    <definedName name="BExEWQ0M1N3KMKTDJ73H10QSG4W1" hidden="1">#N/A</definedName>
    <definedName name="BExEX85F3OSW8NSCYGYPS9372Z1Q" hidden="1">#N/A</definedName>
    <definedName name="BExEX9HWY2G6928ZVVVQF77QCM2C" hidden="1">#N/A</definedName>
    <definedName name="BExEXBQWAYKMVBRJRHB8PFCSYFVN" hidden="1">#N/A</definedName>
    <definedName name="BExEXRBZ0DI9E2UFLLKYWGN66B61" hidden="1">#N/A</definedName>
    <definedName name="BExEYLG9FL9V1JPPNZ3FUDNSEJ4V" hidden="1">#N/A</definedName>
    <definedName name="BExEYOW8C1B3OUUCIGEC7L8OOW1Z" hidden="1">#N/A</definedName>
    <definedName name="BExEYUQJXZT6N5HJH8ACJF6SRWEE" hidden="1">#N/A</definedName>
    <definedName name="BExEZ1S6VZCG01ZPLBSS9Z1SBOJ2" hidden="1">#N/A</definedName>
    <definedName name="BExEZGBFNJR8DLPN0V11AU22L6WY" hidden="1">#N/A</definedName>
    <definedName name="BExF02Y3V3QEPO2XLDSK47APK9XJ" hidden="1">#N/A</definedName>
    <definedName name="BExF09OS91RT7N7IW8JLMZ121ZP3" hidden="1">#N/A</definedName>
    <definedName name="BExF0LOEHV42P2DV7QL8O7HOQ3N9" hidden="1">#N/A</definedName>
    <definedName name="BExF0WRM9VO25RLSO03ZOCE8H7K5" hidden="1">#N/A</definedName>
    <definedName name="BExF0ZRI7W4RSLIDLHTSM0AWXO3S" hidden="1">#N/A</definedName>
    <definedName name="BExF19CT3MMZZ2T5EWMDNG3UOJ01" hidden="1">#N/A</definedName>
    <definedName name="BExF1M38U6NX17YJA8YU359B5Z4M" hidden="1">#N/A</definedName>
    <definedName name="BExF1MU4W3NPEY0OHRDWP5IANCBB" hidden="1">#N/A</definedName>
    <definedName name="BExF1MZN8MWMOKOARHJ1QAF9HPGT" hidden="1">#N/A</definedName>
    <definedName name="BExF1US4ZIQYSU5LBFYNRA9N0K2O" hidden="1">#N/A</definedName>
    <definedName name="BExF2CWZN6E87RGTBMD4YQI2QT7R" hidden="1">#N/A</definedName>
    <definedName name="BExF2DYO1WQ7GMXSTAQRDBW1NSFG" hidden="1">#N/A</definedName>
    <definedName name="BExF2JNP0R7R5PGUZ9MGTWY3QT46" hidden="1">#N/A</definedName>
    <definedName name="BExF2MSWNUY9Z6BZJQZ538PPTION" hidden="1">#N/A</definedName>
    <definedName name="BExF2QZYWHTYGUTTXR15CKCV3LS7" hidden="1">#N/A</definedName>
    <definedName name="BExF2T8Y6TSJ74RMSZOA9CEH4OZ6" hidden="1">#N/A</definedName>
    <definedName name="BExF31N3YM4F37EOOY8M8VI1KXN8" hidden="1">#N/A</definedName>
    <definedName name="BExF37C1YKBT79Z9SOJAG5MXQGTU" hidden="1">#N/A</definedName>
    <definedName name="BExF3A6HPA6DGYALZNHHJPMCUYZR" hidden="1">#N/A</definedName>
    <definedName name="BExF3I9T44X7DV9HHV51DVDDPPZG" hidden="1">#N/A</definedName>
    <definedName name="BExF3JMFX5DILOIFUDIO1HZUK875" hidden="1">#N/A</definedName>
    <definedName name="BExF3NTC4BGZEM6B87TCFX277QCS" hidden="1">#N/A</definedName>
    <definedName name="BExF3Q7NI90WT31QHYSJDIG0LLLJ" hidden="1">#N/A</definedName>
    <definedName name="BExF3QD55TIY1MSBSRK9TUJKBEWO" hidden="1">#N/A</definedName>
    <definedName name="BExF3QT8J6RIF1L3R700MBSKIOKW" hidden="1">#N/A</definedName>
    <definedName name="BExF42SSBVPMLK2UB3B7FPEIY9TU" hidden="1">#N/A</definedName>
    <definedName name="BExF4HXSWB50BKYPWA0HTT8W56H6" hidden="1">#N/A</definedName>
    <definedName name="BExF4KHF04IWW4LQ95FHQPFE4Y9K" hidden="1">#N/A</definedName>
    <definedName name="BExF4LU2NV3A47BCWPM3EZXUEH37" hidden="1">#N/A</definedName>
    <definedName name="BExF4MVQM5Y0QRDLDFSKWWTF709C" hidden="1">#N/A</definedName>
    <definedName name="BExF4PVMZYV36E8HOYY06J81AMBI" hidden="1">#N/A</definedName>
    <definedName name="BExF4SF9NEX1FZE9N8EXT89PM54D" hidden="1">#N/A</definedName>
    <definedName name="BExF52GTGP8MHGII4KJ8TJGR8W8U" hidden="1">#N/A</definedName>
    <definedName name="BExF57K7L3UC1I2FSAWURR4SN0UN" hidden="1">#N/A</definedName>
    <definedName name="BExF5D96JEPDW6LV89G2REZJ1ES7" hidden="1">#N/A</definedName>
    <definedName name="BExF5HR2GFV7O8LKG9SJ4BY78LYA" hidden="1">#N/A</definedName>
    <definedName name="BExF5ZFO2A29GHWR5ES64Z9OS16J" hidden="1">#N/A</definedName>
    <definedName name="BExF63S045JO7H2ZJCBTBVH3SUIF" hidden="1">#N/A</definedName>
    <definedName name="BExF642TEGTXCI9A61ZOONJCB0U1" hidden="1">#N/A</definedName>
    <definedName name="BExF67O951CF8UJF3KBDNR0E83C1" hidden="1">#N/A</definedName>
    <definedName name="BExF6EV7I35NVMIJGYTB6E24YVPA" hidden="1">#N/A</definedName>
    <definedName name="BExF6FGUF393KTMBT40S5BYAFG00" hidden="1">#N/A</definedName>
    <definedName name="BExF6GNYXWY8A0SY4PW1B6KJMMTM" hidden="1">#N/A</definedName>
    <definedName name="BExF6IB8K74Z0AFT05GPOKKZW7C9" hidden="1">#N/A</definedName>
    <definedName name="BExF6NUXJI11W2IAZNAM1QWC0459" hidden="1">#N/A</definedName>
    <definedName name="BExF6RR76KNVIXGJOVFO8GDILKGZ" hidden="1">#N/A</definedName>
    <definedName name="BExF6ZE8D5CMPJPRWT6S4HM56LPF" hidden="1">#N/A</definedName>
    <definedName name="BExF76FV8SF7AJK7B35AL7VTZF6D" hidden="1">#N/A</definedName>
    <definedName name="BExF7EOIMC1OYL1N7835KGOI0FIZ" hidden="1">#N/A</definedName>
    <definedName name="BExF7K88K7ASGV6RAOAGH52G04VR" hidden="1">#N/A</definedName>
    <definedName name="BExF7OVDRP3LHNAF2CX4V84CKKIR" hidden="1">#N/A</definedName>
    <definedName name="BExF7QO41X2A2SL8UXDNP99GY7U9" hidden="1">#N/A</definedName>
    <definedName name="BExF81GI8B8WBHXFTET68A9358BR" hidden="1">#N/A</definedName>
    <definedName name="BExGL97US0Y3KXXASUTVR26XLT70" hidden="1">#N/A</definedName>
    <definedName name="BExGLC7R4C33RO0PID97ZPPVCW4M" hidden="1">#N/A</definedName>
    <definedName name="BExGLFIF7HCFSHNQHKEV6RY0WCO3" hidden="1">#N/A</definedName>
    <definedName name="BExGLTARRL0J772UD2TXEYAVPY6E" hidden="1">#N/A</definedName>
    <definedName name="BExGLVP1IU8K5A8J1340XFMYPR88" hidden="1">#N/A</definedName>
    <definedName name="BExGLYE6RZTAAWHJBG2QFJPTDS2Q" hidden="1">#N/A</definedName>
    <definedName name="BExGM4DZ65OAQP7MA4LN6QMYZOFF" hidden="1">#N/A</definedName>
    <definedName name="BExGMCXCWEC9XNUOEMZ61TMI6CUO" hidden="1">#N/A</definedName>
    <definedName name="BExGMJDGIH0MEPC2TUSFUCY2ROTB" hidden="1">#N/A</definedName>
    <definedName name="BExGMKPW2HPKN0M0XKF3AZ8YP0D6" hidden="1">#N/A</definedName>
    <definedName name="BExGMP2F175LGL6QVSJGP6GKYHHA" hidden="1">#N/A</definedName>
    <definedName name="BExGMPIIP8GKML2VVA8OEFL43NCS" hidden="1">#N/A</definedName>
    <definedName name="BExGMZ3SRIXLXMWBVOXXV3M4U4YL" hidden="1">#N/A</definedName>
    <definedName name="BExGMZ3UBN48IXU1ZEFYECEMZ1IM" hidden="1">#N/A</definedName>
    <definedName name="BExGN4I0QATXNZCLZJM1KH1OIJQH" hidden="1">#N/A</definedName>
    <definedName name="BExGN9FZ2RWCMSY1YOBJKZMNIM9R" hidden="1">#N/A</definedName>
    <definedName name="BExGNDSIMTHOCXXG6QOGR6DA8SGG" hidden="1">#N/A</definedName>
    <definedName name="BExGNN2YQ9BDAZXT2GLCSAPXKIM7" hidden="1">#N/A</definedName>
    <definedName name="BExGNSS0CKRPKHO25R3TDBEL2NHX" hidden="1">#N/A</definedName>
    <definedName name="BExGNYH0MO8NOVS85L15G0RWX4GW" hidden="1">#N/A</definedName>
    <definedName name="BExGNZO44DEG8CGIDYSEGDUQ531R" hidden="1">#N/A</definedName>
    <definedName name="BExGO2O0V6UYDY26AX8OSN72F77N" hidden="1">#N/A</definedName>
    <definedName name="BExGO2YUBOVLYHY1QSIHRE1KLAFV" hidden="1">#N/A</definedName>
    <definedName name="BExGO70E2O70LF46V8T26YFPL4V8" hidden="1">#N/A</definedName>
    <definedName name="BExGOB25QJMQCQE76MRW9X58OIOO" hidden="1">#N/A</definedName>
    <definedName name="BExGODAZKJ9EXMQZNQR5YDBSS525" hidden="1">#N/A</definedName>
    <definedName name="BExGODR8ZSMUC11I56QHSZ686XV5" hidden="1">#N/A</definedName>
    <definedName name="BExGOT6UXUX5FVTAYL9SOBZ1D0II" hidden="1">#N/A</definedName>
    <definedName name="BExGOXJDHUDPDT8I8IVGVW9J0R5Q" hidden="1">#N/A</definedName>
    <definedName name="BExGPG9NM1GD24B9DS3V4NFKFZEF" hidden="1">#N/A</definedName>
    <definedName name="BExGPHGT5KDOCMV2EFS4OVKTWBRD" hidden="1">#N/A</definedName>
    <definedName name="BExGPID72Y4Y619LWASUQZKZHJNC" hidden="1">#N/A</definedName>
    <definedName name="BExGPPENQIANVGLVQJ77DK5JPRTB" hidden="1">#N/A</definedName>
    <definedName name="BExGQ1ZU4967P72AHF4V1D0FOL5C" hidden="1">#N/A</definedName>
    <definedName name="BExGQ36ZOMR9GV8T05M605MMOY3Y" hidden="1">#N/A</definedName>
    <definedName name="BExGQ61DTJ0SBFMDFBAK3XZ9O0ZO" hidden="1">#N/A</definedName>
    <definedName name="BExGQ6SG9XEOD0VMBAR22YPZWSTA" hidden="1">#N/A</definedName>
    <definedName name="BExGQGJ1A7LNZUS8QSMOG8UNGLMK" hidden="1">#N/A</definedName>
    <definedName name="BExGQPO7ENFEQC0NC6MC9OZR2LHY" hidden="1">#N/A</definedName>
    <definedName name="BExGQX0H4EZMXBJTKJJE4ICJWN5O" hidden="1">#N/A</definedName>
    <definedName name="BExGR4CW3WRIID17GGX4MI9ZDHFE" hidden="1">#N/A</definedName>
    <definedName name="BExGR65GJX27MU2OL6NI5PB8XVB4" hidden="1">#N/A</definedName>
    <definedName name="BExGR6LQ97HETGS3CT96L4IK0JSH" hidden="1">#N/A</definedName>
    <definedName name="BExGR9ATP2LVT7B9OCPSLJ11H9SX" hidden="1">#N/A</definedName>
    <definedName name="BExGRUKVVKDL8483WI70VN2QZDGD" hidden="1">#N/A</definedName>
    <definedName name="BExGS2IWR5DUNJ1U9PAKIV8CMBNI" hidden="1">#N/A</definedName>
    <definedName name="BExGS69P9FFTEOPDS0MWFKF45G47" hidden="1">#N/A</definedName>
    <definedName name="BExGS6F1JFHM5MUJ1RFO50WP6D05" hidden="1">#N/A</definedName>
    <definedName name="BExGSA5YB5ZGE4NHDVCZ55TQAJTL" hidden="1">#N/A</definedName>
    <definedName name="BExGSCEUCQQVDEEKWJ677QTGUVTE" hidden="1">#N/A</definedName>
    <definedName name="BExGSQY65LH1PCKKM5WHDW83F35O" hidden="1">#N/A</definedName>
    <definedName name="BExGSYW1GKISF0PMUAK3XJK9PEW9" hidden="1">#N/A</definedName>
    <definedName name="BExGT0DZJB6LSF6L693UUB9EY1VQ" hidden="1">#N/A</definedName>
    <definedName name="BExGTGVFIF8HOQXR54SK065A8M4K" hidden="1">#N/A</definedName>
    <definedName name="BExGTIYX3OWPIINOGY1E4QQYSKHP" hidden="1">#N/A</definedName>
    <definedName name="BExGTKGUN0KUU3C0RL2LK98D8MEK" hidden="1">#N/A</definedName>
    <definedName name="BExGTZ046J7VMUG4YPKFN2K8TWB7" hidden="1">#N/A</definedName>
    <definedName name="BExGU2G9OPRZRIU9YGF6NX9FUW0J" hidden="1">#N/A</definedName>
    <definedName name="BExGU6HTKLRZO8UOI3DTAM5RFDBA" hidden="1">#N/A</definedName>
    <definedName name="BExGUDDZXFFQHAF4UZF8ZB1HO7H6" hidden="1">#N/A</definedName>
    <definedName name="BExGUIBXBRHGM97ZX6GBA4ZDQ79C" hidden="1">#N/A</definedName>
    <definedName name="BExGUM8D91UNPCOO4TKP9FGX85TF" hidden="1">#N/A</definedName>
    <definedName name="BExGUQF9N9FKI7S0H30WUAEB5LPD" hidden="1">#N/A</definedName>
    <definedName name="BExGUR6BA03XPBK60SQUW197GJ5X" hidden="1">#N/A</definedName>
    <definedName name="BExGUVIP60TA4B7X2PFGMBFUSKGX" hidden="1">#N/A</definedName>
    <definedName name="BExGUZKF06F209XL1IZWVJEQ82EE" hidden="1">#N/A</definedName>
    <definedName name="BExGV2EVT380QHD4AP2RL9MR8L5L" hidden="1">#N/A</definedName>
    <definedName name="BExGVV6OOLDQ3TXZK51TTF3YX0WN" hidden="1">#N/A</definedName>
    <definedName name="BExGW0KVS7U0C87XFZ78QW991IEV" hidden="1">#N/A</definedName>
    <definedName name="BExGW2Z7AMPG6H9EXA9ML6EZVGGA" hidden="1">#N/A</definedName>
    <definedName name="BExGWABG5VT5XO1A196RK61AXA8C" hidden="1">#N/A</definedName>
    <definedName name="BExGWEO0JDG84NYLEAV5NSOAGMJZ" hidden="1">#N/A</definedName>
    <definedName name="BExGWLEOC70Z8QAJTPT2PDHTNM4L" hidden="1">#N/A</definedName>
    <definedName name="BExGWNCXLCRTLBVMTXYJ5PHQI6SS" hidden="1">#N/A</definedName>
    <definedName name="BExGX6U988MCFIGDA1282F92U9AA" hidden="1">#N/A</definedName>
    <definedName name="BExGX7FTB1CKAT5HUW6H531FIY6I" hidden="1">#N/A</definedName>
    <definedName name="BExGX9DVACJQIZ4GH6YAD2A7F70O" hidden="1">#N/A</definedName>
    <definedName name="BExGXDVP2S2Y8Z8Q43I78RCIK3DD" hidden="1">#N/A</definedName>
    <definedName name="BExGXJ9W5JU7TT9S0BKL5Y6VVB39" hidden="1">#N/A</definedName>
    <definedName name="BExGXWB73RJ4BASBQTQ8EY0EC1EB" hidden="1">#N/A</definedName>
    <definedName name="BExGXZ0ABB43C7SMRKZHWOSU9EQX" hidden="1">#N/A</definedName>
    <definedName name="BExGY6SU3SYVCJ3AG2ITY59SAZ5A" hidden="1">#N/A</definedName>
    <definedName name="BExGY6YA4P5KMY2VHT0DYK3YTFAX" hidden="1">#N/A</definedName>
    <definedName name="BExGY8G88PVVRYHPHRPJZFSX6HSC" hidden="1">#N/A</definedName>
    <definedName name="BExGYC718HTZ80PNKYPVIYGRJVF6" hidden="1">#N/A</definedName>
    <definedName name="BExGYCNATXZY2FID93B17YWIPPRD" hidden="1">#N/A</definedName>
    <definedName name="BExGYGJJJ3BBCQAOA51WHP01HN73" hidden="1">#N/A</definedName>
    <definedName name="BExGYOS6TV2C72PLRFU8RP1I58GY" hidden="1">#N/A</definedName>
    <definedName name="BExGYYZ22N0UBZMJCAL672LPDZ5N" hidden="1">#N/A</definedName>
    <definedName name="BExGZ7NXZ0IBS44C2NZ9VMD6T6K2" hidden="1">#N/A</definedName>
    <definedName name="BExGZJ78ZWZCVHZ3BKEKFJZ6MAEO" hidden="1">#N/A</definedName>
    <definedName name="BExGZOLH2QV73J3M9IWDDPA62TP4" hidden="1">#N/A</definedName>
    <definedName name="BExGZP1PWGFKVVVN4YDIS22DZPCR" hidden="1">#N/A</definedName>
    <definedName name="BExH00L21GZX5YJJGVMOAWBERLP5" hidden="1">#N/A</definedName>
    <definedName name="BExH02ZD6VAY1KQLAQYBBI6WWIZB" hidden="1">#N/A</definedName>
    <definedName name="BExH08Z6LQCGGSGSAILMHX4X7JMD" hidden="1">#N/A</definedName>
    <definedName name="BExH0KT9Z8HEVRRQRGQ8YHXRLIJA" hidden="1">#N/A</definedName>
    <definedName name="BExH0M0FDN12YBOCKL3XL2Z7T7Y8" hidden="1">#N/A</definedName>
    <definedName name="BExH0O9G06YPZ5TN9RYT326I1CP2" hidden="1">#N/A</definedName>
    <definedName name="BExH0WNJAKTJRCKMTX8O4KNMIIJM" hidden="1">#N/A</definedName>
    <definedName name="BExH12Y4WX542WI3ZEM15AK4UM9J" hidden="1">#N/A</definedName>
    <definedName name="BExH1FDTQXR9QQ31WDB7OPXU7MPT" hidden="1">#N/A</definedName>
    <definedName name="BExH1FOMEUIJNIDJAUY0ZQFBJSY9" hidden="1">#N/A</definedName>
    <definedName name="BExH1JFFHEBFX9BWJMNIA3N66R3Z" hidden="1">#N/A</definedName>
    <definedName name="BExH1Z0GIUSVTF2H1G1I3PDGBNK2" hidden="1">#N/A</definedName>
    <definedName name="BExH225UTM6S9FW4MUDZS7F1PQSH" hidden="1">#N/A</definedName>
    <definedName name="BExH23271RF7AYZ542KHQTH68GQ7" hidden="1">#N/A</definedName>
    <definedName name="BExH2GJQR4JALNB314RY0LDI49VH" hidden="1">#N/A</definedName>
    <definedName name="BExH2JZR49T7644JFVE7B3N7RZM9" hidden="1">#N/A</definedName>
    <definedName name="BExH2UHF0QTJG107MULYB16WBJM9" hidden="1">#N/A</definedName>
    <definedName name="BExH2WKXV8X5S2GSBBTWGI0NLNAH" hidden="1">#N/A</definedName>
    <definedName name="BExH2XS1UFYFGU0S0EBXX90W2WE8" hidden="1">#N/A</definedName>
    <definedName name="BExH2XS2TND9SB0GC295R4FP6K5Y" hidden="1">#N/A</definedName>
    <definedName name="BExH2ZA0SZ4SSITL50NA8LZ3OEX6" hidden="1">#N/A</definedName>
    <definedName name="BExH31Z3JNVJPESWKXHILGXZHP2M" hidden="1">#N/A</definedName>
    <definedName name="BExH3E9HZ3QJCDZW7WI7YACFQCHE" hidden="1">#N/A</definedName>
    <definedName name="BExH3IRB6764RQ5HBYRLH6XCT29X" hidden="1">#N/A</definedName>
    <definedName name="BExH3J2593RB0I6TIEMI2MJ7ONOM" hidden="1">#N/A</definedName>
    <definedName name="BExIG2U8V6RSB47SXLCQG3Q68YRO" hidden="1">#N/A</definedName>
    <definedName name="BExIGJBO8R13LV7CZ7C1YCP974NN" hidden="1">#N/A</definedName>
    <definedName name="BExIGWT86FPOEYTI8GXCGU5Y3KGK" hidden="1">#N/A</definedName>
    <definedName name="BExIHBHXA7E7VUTBVHXXXCH3A5CL" hidden="1">#N/A</definedName>
    <definedName name="BExIHPQCQTGEW8QOJVIQ4VX0P6DX" hidden="1">#N/A</definedName>
    <definedName name="BExIHXTOF9TVS92WGZ1MHWCY2D4Q" hidden="1">#N/A</definedName>
    <definedName name="BExII1KN91Q7DLW0UB7W2TJ5ACT9" hidden="1">#N/A</definedName>
    <definedName name="BExII50LI8I0CDOOZEMIVHVA2V95" hidden="1">#N/A</definedName>
    <definedName name="BExIIXMY38TQD12CVV4S57L3I809" hidden="1">#N/A</definedName>
    <definedName name="BExIIY37NEVU2LGS1JE4VR9AN6W4" hidden="1">#N/A</definedName>
    <definedName name="BExIIYJAGXR8TPZ1KCYM7EGJ79UW" hidden="1">#N/A</definedName>
    <definedName name="BExIJ3160YCWGAVEU0208ZGXXG3P" hidden="1">#N/A</definedName>
    <definedName name="BExIJFGZJ5ED9D6KAY4PGQYLELAX" hidden="1">#N/A</definedName>
    <definedName name="BExIJQK80ZEKSTV62E59AYJYUNLI" hidden="1">#N/A</definedName>
    <definedName name="BExIJRLX3M0YQLU1D5Y9V7HM5QNM" hidden="1">#N/A</definedName>
    <definedName name="BExIJV22J0QA7286KNPMHO1ZUCB3" hidden="1">#N/A</definedName>
    <definedName name="BExIJVI6OC7B6ZE9V4PAOYZXKNER" hidden="1">#N/A</definedName>
    <definedName name="BExIJWK0NGTGQ4X7D5VIVXD14JHI" hidden="1">#N/A</definedName>
    <definedName name="BExIJWPCIYINEJUTXU74VK7WG031" hidden="1">#N/A</definedName>
    <definedName name="BExIKHTXPZR5A8OHB6HDP6QWDHAD" hidden="1">#N/A</definedName>
    <definedName name="BExIKMMJOETSAXJYY1SIKM58LMA2" hidden="1">#N/A</definedName>
    <definedName name="BExIKRF6AQ6VOO9KCIWSM6FY8M7D" hidden="1">#N/A</definedName>
    <definedName name="BExIKTYZESFT3LC0ASFMFKSE0D1X" hidden="1">#N/A</definedName>
    <definedName name="BExIKXVA6M8K0PTRYAGXS666L335" hidden="1">#N/A</definedName>
    <definedName name="BExIL0PMZ2SXK9R6MLP43KBU1J2P" hidden="1">#N/A</definedName>
    <definedName name="BExILAAXRTRAD18K74M6MGUEEPUM" hidden="1">#N/A</definedName>
    <definedName name="BExILG5F338C0FFLMVOKMKF8X5ZP" hidden="1">#N/A</definedName>
    <definedName name="BExILGQTQM0HOD0BJI90YO7GOIN3" hidden="1">#N/A</definedName>
    <definedName name="BExIM9DBUB7ZGF4B20FVUO9QGOX2" hidden="1">#N/A</definedName>
    <definedName name="BExIMGK9Z94TFPWWZFMD10HV0IF6" hidden="1">#N/A</definedName>
    <definedName name="BExIMPEGKG18TELVC33T4OQTNBWC" hidden="1">#N/A</definedName>
    <definedName name="BExIN4OR435DL1US13JQPOQK8GD5" hidden="1">#N/A</definedName>
    <definedName name="BExINI6A7H3KSFRFA6UBBDPKW37F" hidden="1">#N/A</definedName>
    <definedName name="BExINIMK8XC3JOBT2EXYFHHH52H0" hidden="1">#N/A</definedName>
    <definedName name="BExINLX401ZKEGWU168DS4JUM2J6" hidden="1">#N/A</definedName>
    <definedName name="BExINMYYJO1FTV1CZF6O5XCFAMQX" hidden="1">#N/A</definedName>
    <definedName name="BExINP2H4KI05FRFV5PKZFE00HKO" hidden="1">#N/A</definedName>
    <definedName name="BExINZELVWYGU876QUUZCIMXPBQC" hidden="1">#N/A</definedName>
    <definedName name="BExIOCQUQHKUU1KONGSDOLQTQEIC" hidden="1">#N/A</definedName>
    <definedName name="BExIOFL8Y5O61VLKTB4H20IJNWS1" hidden="1">#N/A</definedName>
    <definedName name="BExIOMBXRW5NS4ZPYX9G5QREZ5J6" hidden="1">#N/A</definedName>
    <definedName name="BExIORA3GK78T7C7SNBJJUONJ0LS" hidden="1">#N/A</definedName>
    <definedName name="BExIORFDXP4AVIEBLSTZ8ETSXMNM" hidden="1">#N/A</definedName>
    <definedName name="BExIOTZ5EFZ2NASVQ05RH15HRSW6" hidden="1">#N/A</definedName>
    <definedName name="BExIP1GVVZII3MXG581QPIQOI33O" hidden="1">#N/A</definedName>
    <definedName name="BExIP8YNN6UUE1GZ223SWH7DLGKO" hidden="1">#N/A</definedName>
    <definedName name="BExIPAB4AOL592OJCC1CFAXTLF1A" hidden="1">#N/A</definedName>
    <definedName name="BExIPB25DKX4S2ZCKQN7KWSC3JBF" hidden="1">#N/A</definedName>
    <definedName name="BExIPDLT8JYAMGE5HTN4D1YHZF3V" hidden="1">#N/A</definedName>
    <definedName name="BExIPG040Q08EWIWL6CAVR3GRI43" hidden="1">#N/A</definedName>
    <definedName name="BExIPKNFUDPDKOSH5GHDVNA8D66S" hidden="1">#N/A</definedName>
    <definedName name="BExIQ1VS9A2FHVD9TUHKG9K8EVVP" hidden="1">#N/A</definedName>
    <definedName name="BExIQ3J19L30PSQ2CXNT6IHW0I7V" hidden="1">#N/A</definedName>
    <definedName name="BExIQ3OJ7M04XCY276IO0LJA5XUK" hidden="1">#N/A</definedName>
    <definedName name="BExIQ5S19ITB0NDRUN4XV7B905ED" hidden="1">#N/A</definedName>
    <definedName name="BExIQ9TMQT2EIXSVQW7GVSOAW2VJ" hidden="1">#N/A</definedName>
    <definedName name="BExIQBMDE1L6J4H27K1FMSHQKDSE" hidden="1">#N/A</definedName>
    <definedName name="BExIQE65LVXUOF3UZFO7SDHFJH22" hidden="1">#N/A</definedName>
    <definedName name="BExIQG9OO2KKBOWTMD1OXY36TEGA" hidden="1">#N/A</definedName>
    <definedName name="BExIQX1XBB31HZTYEEVOBSE3C5A6" hidden="1">#N/A</definedName>
    <definedName name="BExIQYP5T1TPAQYW7QU1Q98BKX7W" hidden="1">#N/A</definedName>
    <definedName name="BExIR2ALYRP9FW99DK2084J7IIDC" hidden="1">#N/A</definedName>
    <definedName name="BExIR8FQETPTQYW37DBVDWG3J4JW" hidden="1">#N/A</definedName>
    <definedName name="BExIRRBGTY01OQOI3U5SW59RFDFI" hidden="1">#N/A</definedName>
    <definedName name="BExIS4T0DRF57HYO7OGG72KBOFOI" hidden="1">#N/A</definedName>
    <definedName name="BExIS77BJDDK18PGI9DSEYZPIL7P" hidden="1">#N/A</definedName>
    <definedName name="BExIS8USL1T3Z97CZ30HJ98E2GXQ" hidden="1">#N/A</definedName>
    <definedName name="BExISC5B700MZUBFTQ9K4IKTF7HR" hidden="1">#N/A</definedName>
    <definedName name="BExISDHXS49S1H56ENBPRF1NLD5C" hidden="1">#N/A</definedName>
    <definedName name="BExISM1JLV54A21A164IURMPGUMU" hidden="1">#N/A</definedName>
    <definedName name="BExISRFKJYUZ4AKW44IJF7RF9Y90" hidden="1">#N/A</definedName>
    <definedName name="BExIT1MK8TBAK3SNP36A8FKDQSOK" hidden="1">#N/A</definedName>
    <definedName name="BExITBNYANV2S8KD56GOGCKW393R" hidden="1">#N/A</definedName>
    <definedName name="BExIUD4OJGH65NFNQ4VMCE3R4J1X" hidden="1">#N/A</definedName>
    <definedName name="BExIUTB5OAAXYW0OFMP0PS40SPOB" hidden="1">#N/A</definedName>
    <definedName name="BExIUUT2MHIOV6R3WHA0DPM1KBKY" hidden="1">#N/A</definedName>
    <definedName name="BExIUYPDT1AM6MWGWQS646PIZIWC" hidden="1">#N/A</definedName>
    <definedName name="BExIV0I2O9F8D1UK1SI8AEYR6U0A" hidden="1">#N/A</definedName>
    <definedName name="BExIV2LM38XPLRTWT0R44TMQ59E5" hidden="1">#N/A</definedName>
    <definedName name="BExIV3HY4S0YRV1F7XEMF2YHAR2I" hidden="1">#N/A</definedName>
    <definedName name="BExIV6HUZFRIFLXW2SICKGTAH1PV" hidden="1">#N/A</definedName>
    <definedName name="BExIVC6WZMHRBRGIBUVX0CO2RK05" hidden="1">#N/A</definedName>
    <definedName name="BExIVCXWL6H5LD9DHDIA4F5U9TQL" hidden="1">#N/A</definedName>
    <definedName name="BExIVMOIPSEWSIHIDDLOXESQ28A0" hidden="1">#N/A</definedName>
    <definedName name="BExIVNVNJX9BYDLC88NG09YF5XQ6" hidden="1">#N/A</definedName>
    <definedName name="BExIVQVKLMGSRYT1LFZH0KUIA4OR" hidden="1">#N/A</definedName>
    <definedName name="BExIVYTFI35KNR2XSA6N8OJYUTUR" hidden="1">#N/A</definedName>
    <definedName name="BExIWB3SY3WRIVIOF988DNNODBOA" hidden="1">#N/A</definedName>
    <definedName name="BExIWB99CG0H52LRD6QWPN4L6DV2" hidden="1">#N/A</definedName>
    <definedName name="BExIWG1W7XP9DFYYSZAIOSHM0QLQ" hidden="1">#N/A</definedName>
    <definedName name="BExIWH3KUK94B7833DD4TB0Y6KP9" hidden="1">#N/A</definedName>
    <definedName name="BExIWKE9MGIDWORBI43AWTUNYFAN" hidden="1">#N/A</definedName>
    <definedName name="BExIX34PM5DBTRHRQWP6PL6WIX88" hidden="1">#N/A</definedName>
    <definedName name="BExIX5OAP9KSUE5SIZCW9P39Q4WE" hidden="1">#N/A</definedName>
    <definedName name="BExIXGRJPVJMUDGSG7IHPXPNO69B" hidden="1">#N/A</definedName>
    <definedName name="BExIXM5R87ZL3FHALWZXYCPHGX3E" hidden="1">#N/A</definedName>
    <definedName name="BExIXS036ZCKT2Z8XZKLZ8PFWQGL" hidden="1">#N/A</definedName>
    <definedName name="BExIXY5CF9PFM0P40AZ4U51TMWV0" hidden="1">#N/A</definedName>
    <definedName name="BExIYEXJBK8JDWIRSVV4RJSKZVV1" hidden="1">#N/A</definedName>
    <definedName name="BExIYI2RH0K4225XO970K2IQ1E79" hidden="1">#N/A</definedName>
    <definedName name="BExIYMPZ0KS2KOJFQAUQJ77L7701" hidden="1">#N/A</definedName>
    <definedName name="BExIYP9Q6FV9T0R9G3UDKLS4TTYX" hidden="1">#N/A</definedName>
    <definedName name="BExIYZGLDQ1TN7BIIN4RLDP31GIM" hidden="1">#N/A</definedName>
    <definedName name="BExIZ4K0EZJK6PW3L8SVKTJFSWW9" hidden="1">#N/A</definedName>
    <definedName name="BExIZAECOEZGBAO29QMV14E6XDIV" hidden="1">#N/A</definedName>
    <definedName name="BExIZKVXYD5O2JBU81F2UFJZLLSI" hidden="1">#N/A</definedName>
    <definedName name="BExIZPZDHC8HGER83WHCZAHOX7LK" hidden="1">#N/A</definedName>
    <definedName name="BExIZY2PUZ0OF9YKK1B13IW0VS6G" hidden="1">#N/A</definedName>
    <definedName name="BExJ08KBRR2XMWW3VZMPSQKXHZUH" hidden="1">#N/A</definedName>
    <definedName name="BExJ0DYJWXGE7DA39PYL3WM05U9O" hidden="1">#N/A</definedName>
    <definedName name="BExJ0MY8SY5J5V50H3UKE78ODTVB" hidden="1">#N/A</definedName>
    <definedName name="BExJ0YC98G37ML4N8FLP8D95EFRF" hidden="1">#N/A</definedName>
    <definedName name="BExKCDYKAEV45AFXHVHZZ62E5BM3" hidden="1">#N/A</definedName>
    <definedName name="BExKDKO0W4AGQO1V7K6Q4VM750FT" hidden="1">#N/A</definedName>
    <definedName name="BExKDLF10G7W77J87QWH3ZGLUCLW" hidden="1">#N/A</definedName>
    <definedName name="BExKEFE0I3MT6ZLC4T1L9465HKTN" hidden="1">#N/A</definedName>
    <definedName name="BExKEK6O5BVJP4VY02FY7JNAZ6BT" hidden="1">#N/A</definedName>
    <definedName name="BExKEKXK6E6QX339ELPXDIRZSJE0" hidden="1">#N/A</definedName>
    <definedName name="BExKEOOIBMP7N8033EY2CJYCBX6H" hidden="1">#N/A</definedName>
    <definedName name="BExKEW0RR5LA3VC46A2BEOOMQE56" hidden="1">#N/A</definedName>
    <definedName name="BExKFA3VI1CZK21SM0N3LZWT9LA1" hidden="1">#N/A</definedName>
    <definedName name="BExKFINBFV5J2NFRCL4YUO3YF0ZE" hidden="1">#N/A</definedName>
    <definedName name="BExKFISRBFACTAMJSALEYMY66F6X" hidden="1">#N/A</definedName>
    <definedName name="BExKFOSK5DJ151C4E8544UWMYTOC" hidden="1">#N/A</definedName>
    <definedName name="BExKFYJC4EVEV54F82K6VKP7Q3OU" hidden="1">#N/A</definedName>
    <definedName name="BExKG4IYHBKQQ8J8FN10GB2IKO33" hidden="1">#N/A</definedName>
    <definedName name="BExKGF0L44S78D33WMQ1A75TRKB9" hidden="1">#N/A</definedName>
    <definedName name="BExKGFRN31B3G20LMQ4LRF879J68" hidden="1">#N/A</definedName>
    <definedName name="BExKGJD3U3ADZILP20U3EURP0UQP" hidden="1">#N/A</definedName>
    <definedName name="BExKGNK5YGKP0YHHTAAOV17Z9EIM" hidden="1">#N/A</definedName>
    <definedName name="BExKGV77YH9YXIQTRKK2331QGYKF" hidden="1">#N/A</definedName>
    <definedName name="BExKH3FTZ5VGTB86W9M4AB39R0G8" hidden="1">#N/A</definedName>
    <definedName name="BExKH3FV5U5O6XZM7STS3NZKQFGJ" hidden="1">#N/A</definedName>
    <definedName name="BExKHAMUH8NR3HRV0V6FHJE3ROLN" hidden="1">#N/A</definedName>
    <definedName name="BExKHCFKOWFHO2WW0N7Y5XDXEWAO" hidden="1">#N/A</definedName>
    <definedName name="BExKHIVLONZ46HLMR50DEXKEUNEP" hidden="1">#N/A</definedName>
    <definedName name="BExKHKDK2PRBCUJS8TEDP8K3VODQ" hidden="1">#N/A</definedName>
    <definedName name="BExKHPM9XA0ADDK7TUR0N38EXWEP" hidden="1">#N/A</definedName>
    <definedName name="BExKI4076KXCDE5KXL79KT36OKLO" hidden="1">#N/A</definedName>
    <definedName name="BExKI7LO70WYISR7Q0Y1ZDWO9M3B" hidden="1">#N/A</definedName>
    <definedName name="BExKIGQV6TXIZG039HBOJU62WP2U" hidden="1">#N/A</definedName>
    <definedName name="BExKILE008SF3KTAN8WML3XKI1NZ" hidden="1">#N/A</definedName>
    <definedName name="BExKINSBB6RS7I489QHMCOMU4Z2X" hidden="1">#N/A</definedName>
    <definedName name="BExKIU87ZKSOC2DYZWFK6SAK9I8E" hidden="1">#N/A</definedName>
    <definedName name="BExKJ449HLYX2DJ9UF0H9GTPSQ73" hidden="1">#N/A</definedName>
    <definedName name="BExKJ79MJ4X2JPWSEE7UL9K7B7AV" hidden="1">#N/A</definedName>
    <definedName name="BExKJELX2RUC8UEC56IZPYYZXHA7" hidden="1">#N/A</definedName>
    <definedName name="BExKJINMXS61G2TZEXCJAWVV4F57" hidden="1">#N/A</definedName>
    <definedName name="BExKJK5ME8KB7HA0180L7OUZDDGV" hidden="1">#N/A</definedName>
    <definedName name="BExKJN5IF0VMDILJ5K8ZENF2QYV1" hidden="1">#N/A</definedName>
    <definedName name="BExKJUSJPFUIK20FTVAFJWR2OUYX" hidden="1">#N/A</definedName>
    <definedName name="BExKK8VP5RS3D0UXZVKA37C4SYBP" hidden="1">#N/A</definedName>
    <definedName name="BExKKIM9NPF6B3SPMPIQB27HQME4" hidden="1">#N/A</definedName>
    <definedName name="BExKKIX1BCBQ4R3K41QD8NTV0OV0" hidden="1">#N/A</definedName>
    <definedName name="BExKKQ3ZWADYV03YHMXDOAMU90EB" hidden="1">#N/A</definedName>
    <definedName name="BExKKUGD2HMJWQEYZ8H3X1BMXFS9" hidden="1">#N/A</definedName>
    <definedName name="BExKKX05KCZZZPKOR1NE5A8RGVT4" hidden="1">#N/A</definedName>
    <definedName name="BExKLD6S9L66QYREYHBE5J44OK7X" hidden="1">#N/A</definedName>
    <definedName name="BExKLEZK32L28GYJWVO63BZ5E1JD" hidden="1">#N/A</definedName>
    <definedName name="BExKLLKVVHT06LA55JB2FC871DC5" hidden="1">#N/A</definedName>
    <definedName name="BExKMWBX4EH3EYJ07UFEM08NB40Z" hidden="1">#N/A</definedName>
    <definedName name="BExKNBGV2IR3S7M0BX4810KZB4V3" hidden="1">#N/A</definedName>
    <definedName name="BExKNCTBZTSY3MO42VU5PLV6YUHZ" hidden="1">#N/A</definedName>
    <definedName name="BExKNGV2YY749C42AQ2T9QNIE5C3" hidden="1">#N/A</definedName>
    <definedName name="BExKNV8UOHVWEHDJWI2WMJ9X6QHZ" hidden="1">#N/A</definedName>
    <definedName name="BExKNZLD7UATC1MYRNJD8H2NH4KU" hidden="1">#N/A</definedName>
    <definedName name="BExKNZQUKQQG2Y97R74G4O4BJP1L" hidden="1">#N/A</definedName>
    <definedName name="BExKO06X0EAD3ABEG1E8PWLDWHBA" hidden="1">#N/A</definedName>
    <definedName name="BExKO2AHHSGNI1AZOIOW21KPXKPE" hidden="1">#N/A</definedName>
    <definedName name="BExKO2FXWJWC5IZLDN8JHYILQJ2N" hidden="1">#N/A</definedName>
    <definedName name="BExKO438WZ8FKOU00NURGFMOYXWN" hidden="1">#N/A</definedName>
    <definedName name="BExKODIZGWW2EQD0FEYW6WK6XLCM" hidden="1">#N/A</definedName>
    <definedName name="BExKOH4G6WIP8EKJSEO9HIWVORH7" hidden="1">#N/A</definedName>
    <definedName name="BExKOPO2HPWVQGAKW8LOZMPIDEFG" hidden="1">#N/A</definedName>
    <definedName name="BExKPEZP0QTKOTLIMMIFSVTHQEEK" hidden="1">#N/A</definedName>
    <definedName name="BExKPLQJX0HJ8OTXBXH9IC9J2V0W" hidden="1">#N/A</definedName>
    <definedName name="BExKPN8C7GN36ZJZHLOB74LU6KT0" hidden="1">#N/A</definedName>
    <definedName name="BExKPX9VZ1J5021Q98K60HMPJU58" hidden="1">#N/A</definedName>
    <definedName name="BExKQ27TLWTB9A5H0QYF2DM21VK9" hidden="1">#N/A</definedName>
    <definedName name="BExKQJGAAWNM3NT19E9I0CQDBTU0" hidden="1">#N/A</definedName>
    <definedName name="BExKQM5GJ1ZN5REKFE7YVBQ0KXWF" hidden="1">#N/A</definedName>
    <definedName name="BExKQOEA7HV9U5DH9C8JXFD62EKH" hidden="1">#N/A</definedName>
    <definedName name="BExKQQ71278061G7ZFYGPWOMOMY2" hidden="1">#N/A</definedName>
    <definedName name="BExKQTXRG3ECU8NT47UR7643LO5G" hidden="1">#N/A</definedName>
    <definedName name="BExKQVL7HPOIZ4FHANDFMVOJLEPR" hidden="1">#N/A</definedName>
    <definedName name="BExKR32XG1WY77WDT8KW9FJPGQTU" hidden="1">#N/A</definedName>
    <definedName name="BExKR7A0AGCI1UC3P4YGXKCK4JOK" hidden="1">#N/A</definedName>
    <definedName name="BExKR8RZSEHW184G0Z56B4EGNU72" hidden="1">#N/A</definedName>
    <definedName name="BExKRVUSQ6PA7ZYQSTEQL3X7PB9P" hidden="1">#N/A</definedName>
    <definedName name="BExKRY3KZ7F7RB2KH8HXSQ85IEQO" hidden="1">#N/A</definedName>
    <definedName name="BExKSA37DZTCK6H13HPIKR0ZFVL8" hidden="1">#N/A</definedName>
    <definedName name="BExKSFMOMSZYDE0WNC94F40S6636" hidden="1">#N/A</definedName>
    <definedName name="BExKSHQ9K79S8KYUWIV5M5LAHHF1" hidden="1">#N/A</definedName>
    <definedName name="BExKSIS3VA1NCEFCZZSIK8B3YIBZ" hidden="1">#N/A</definedName>
    <definedName name="BExKSJTWG9L3FCX8FLK4EMUJMF27" hidden="1">#N/A</definedName>
    <definedName name="BExKSU0MKNAVZYYPKCYTZDWQX4R8" hidden="1">#N/A</definedName>
    <definedName name="BExKSX60G1MUS689FXIGYP2F7C62" hidden="1">#N/A</definedName>
    <definedName name="BExKT2UZ7Y2VWF5NQE18SJRLD2RN" hidden="1">#N/A</definedName>
    <definedName name="BExKT3GJFNGAM09H5F615E36A38C" hidden="1">#N/A</definedName>
    <definedName name="BExKTQZGN8GI3XGSEXMPCCA3S19H" hidden="1">#N/A</definedName>
    <definedName name="BExKTUKYYU0F6TUW1RXV24LRAZFE" hidden="1">#N/A</definedName>
    <definedName name="BExKU3FBLHQBIUTN6XEZW5GC9OG1" hidden="1">#N/A</definedName>
    <definedName name="BExKU82I99FEUIZLODXJDOJC96CQ" hidden="1">#N/A</definedName>
    <definedName name="BExKUDM0DFSCM3D91SH0XLXJSL18" hidden="1">#N/A</definedName>
    <definedName name="BExKULEKJLA77AUQPDUHSM94Y76Z" hidden="1">#N/A</definedName>
    <definedName name="BExKV08R85MKI3MAX9E2HERNQUNL" hidden="1">#N/A</definedName>
    <definedName name="BExKV4AAUNNJL5JWD7PX6BFKVS6O" hidden="1">#N/A</definedName>
    <definedName name="BExKVDVK6HN74GQPTXICP9BFC8CF" hidden="1">#N/A</definedName>
    <definedName name="BExKVFZ3ZZGIC1QI8XN6BYFWN0ZY" hidden="1">#N/A</definedName>
    <definedName name="BExKVG4KGO28KPGTAFL1R8TTZ10N" hidden="1">#N/A</definedName>
    <definedName name="BExKW0CSH7DA02YSNV64PSEIXB2P" hidden="1">#N/A</definedName>
    <definedName name="BExM9NUG3Q31X01AI9ZJCZIX25CS" hidden="1">#N/A</definedName>
    <definedName name="BExM9OG182RP30MY23PG49LVPZ1C" hidden="1">#N/A</definedName>
    <definedName name="BExMA64MW1S18NH8DCKPCCEI5KCB" hidden="1">#N/A</definedName>
    <definedName name="BExMALEWFUEM8Y686IT03ECURUBR" hidden="1">#N/A</definedName>
    <definedName name="BExMAR3XSK6RSFLHP7ZX1EWGHASI" hidden="1">#N/A</definedName>
    <definedName name="BExMAXJS82ZJ8RS22VLE0V0LDUII" hidden="1">#N/A</definedName>
    <definedName name="BExMB4QRS0R3MTB4CMUHFZ84LNZQ" hidden="1">#N/A</definedName>
    <definedName name="BExMBC35WKQY5CWQJLV4D05O6971" hidden="1">#N/A</definedName>
    <definedName name="BExMBFTZV4Q1A5KG25C1N9PHQNSW" hidden="1">#N/A</definedName>
    <definedName name="BExMBK6ISK3U7KHZKUJXIDKGF6VW" hidden="1">#N/A</definedName>
    <definedName name="BExMBYPQDG9AYDQ5E8IECVFREPO6" hidden="1">#N/A</definedName>
    <definedName name="BExMC8AZUTX8LG89K2JJR7ZG62XX" hidden="1">#N/A</definedName>
    <definedName name="BExMCA96YR10V72G2R0SCIKPZLIZ" hidden="1">#N/A</definedName>
    <definedName name="BExMCB5JU5I2VQDUBS4O42BTEVKI" hidden="1">#N/A</definedName>
    <definedName name="BExMCFSQFSEMPY5IXDIRKZDASDBR" hidden="1">#N/A</definedName>
    <definedName name="BExMCMZOEYWVOOJ98TBHTTCS7XB8" hidden="1">#N/A</definedName>
    <definedName name="BExMCS8EF2W3FS9QADNKREYSI8P0" hidden="1">#N/A</definedName>
    <definedName name="BExMCUS7GSOM96J0HJ7EH0FFM2AC" hidden="1">#N/A</definedName>
    <definedName name="BExMCYTT6TVDWMJXO1NZANRTVNAN" hidden="1">#N/A</definedName>
    <definedName name="BExMD5F6IAV108XYJLXUO9HD0IT6" hidden="1">#N/A</definedName>
    <definedName name="BExMDANV66W9T3XAXID40XFJ0J93" hidden="1">#N/A</definedName>
    <definedName name="BExMDGD1KQP7NNR78X2ZX4FCBQ1S" hidden="1">#N/A</definedName>
    <definedName name="BExMDIRDK0DI8P86HB7WPH8QWLSQ" hidden="1">#N/A</definedName>
    <definedName name="BExMDPI2FVMORSWDDCVAJ85WYAYO" hidden="1">#N/A</definedName>
    <definedName name="BExMDUWB7VWHFFR266QXO46BNV2S" hidden="1">#N/A</definedName>
    <definedName name="BExME2U47N8LZG0BPJ49ANY5QVV2" hidden="1">#N/A</definedName>
    <definedName name="BExME88DH5DUKMUFI9FNVECXFD2E" hidden="1">#N/A</definedName>
    <definedName name="BExME9A7MOGAK7YTTQYXP5DL6VYA" hidden="1">#N/A</definedName>
    <definedName name="BExMEOV9YFRY5C3GDLU60GIX10BY" hidden="1">#N/A</definedName>
    <definedName name="BExMEY09ESM4H2YGKEQQRYUD114R" hidden="1">#N/A</definedName>
    <definedName name="BExMF4G4IUPQY1Y5GEY5N3E04CL6" hidden="1">#N/A</definedName>
    <definedName name="BExMF9UIGYMOAQK0ELUWP0S0HZZY" hidden="1">#N/A</definedName>
    <definedName name="BExMFDLBSWFMRDYJ2DZETI3EXKN2" hidden="1">#N/A</definedName>
    <definedName name="BExMFLDTMRTCHKA37LQW67BG8D5C" hidden="1">#N/A</definedName>
    <definedName name="BExMG73ZUQSF7VEJ8FIY1VE8KT4W" hidden="1">#N/A</definedName>
    <definedName name="BExMG9NSK30KD01QX0UBN2VNRTG4" hidden="1">#N/A</definedName>
    <definedName name="BExMGG3PFIHPHX7NXB7HDFI3N12L" hidden="1">#N/A</definedName>
    <definedName name="BExMH3H9TW5TJCNU5Z1EWXP3BAEP" hidden="1">#N/A</definedName>
    <definedName name="BExMHOWPB34KPZ76M2KIX2C9R2VB" hidden="1">#N/A</definedName>
    <definedName name="BExMHSSYC6KVHA3QDTSYPN92TWMI" hidden="1">#N/A</definedName>
    <definedName name="BExMI0WA793SF41LQ40A28U8OXQY" hidden="1">#N/A</definedName>
    <definedName name="BExMI3AJ9477KDL4T9DHET4LJJTW" hidden="1">#N/A</definedName>
    <definedName name="BExMI6L9KX05GAK523JFKICJMTA5" hidden="1">#N/A</definedName>
    <definedName name="BExMI6QQ20XHD0NWJUN741B37182" hidden="1">#N/A</definedName>
    <definedName name="BExMI8JB94SBD9EMNJEK7Y2T6GYU" hidden="1">#N/A</definedName>
    <definedName name="BExMI8OS85YTW3KYVE4YD0R7Z6UV" hidden="1">#N/A</definedName>
    <definedName name="BExMIBOOZU40JS3F89OMPSRCE9MM" hidden="1">#N/A</definedName>
    <definedName name="BExMIIQ5MBWSIHTFWAQADXMZC22Q" hidden="1">#N/A</definedName>
    <definedName name="BExMIL4I2GE866I25CR5JBLJWJ6A" hidden="1">#N/A</definedName>
    <definedName name="BExMIRKIPF27SNO82SPFSB3T5U17" hidden="1">#N/A</definedName>
    <definedName name="BExMIV0KC8555D5E42ZGWG15Y0MO" hidden="1">#N/A</definedName>
    <definedName name="BExMIZT6AN7E6YMW2S87CTCN2UXH" hidden="1">#N/A</definedName>
    <definedName name="BExMJ15T9F3475M0896SG60TN0SR" hidden="1">#N/A</definedName>
    <definedName name="BExMJNC8ZFB9DRFOJ961ZAJ8U3A8" hidden="1">#N/A</definedName>
    <definedName name="BExMJTBV8A3D31W2IQHP9RDFPPHQ" hidden="1">#N/A</definedName>
    <definedName name="BExMK2RTXN4QJWEUNX002XK8VQP8" hidden="1">#N/A</definedName>
    <definedName name="BExMKBGQDUZ8AWXYHA3QVMSDVZ3D" hidden="1">#N/A</definedName>
    <definedName name="BExMKBM1467553LDFZRRKVSHN374" hidden="1">#N/A</definedName>
    <definedName name="BExMKGK5FJUC0AU8MABRGDC5ZM70" hidden="1">#N/A</definedName>
    <definedName name="BExMKTW7R5SOV4PHAFGHU3W73DYE" hidden="1">#N/A</definedName>
    <definedName name="BExMKU7051J2W1RQXGZGE62NBRUZ" hidden="1">#N/A</definedName>
    <definedName name="BExMKUN3WPECJR2XRID2R7GZRGNX" hidden="1">#N/A</definedName>
    <definedName name="BExMKZ535P011X4TNV16GCOH4H21" hidden="1">#N/A</definedName>
    <definedName name="BExML3XQNDIMX55ZCHHXKUV3D6E6" hidden="1">#N/A</definedName>
    <definedName name="BExML5QGSWHLI18BGY4CGOTD3UWH" hidden="1">#N/A</definedName>
    <definedName name="BExMLO5Z61RE85X8HHX2G4IU3AZW" hidden="1">#N/A</definedName>
    <definedName name="BExMLVI7UORSHM9FMO8S2EI0TMTS" hidden="1">#N/A</definedName>
    <definedName name="BExMM5UCOT2HSSN0ZIPZW55GSOVO" hidden="1">#N/A</definedName>
    <definedName name="BExMM5UJOEW3J5OO03E5ABKNN86K" hidden="1">#N/A</definedName>
    <definedName name="BExMM8ZRS5RQ8H1H55RVPVTDL5NL" hidden="1">#N/A</definedName>
    <definedName name="BExMMH8EAZB09XXQ5X4LR0P4NHG9" hidden="1">#N/A</definedName>
    <definedName name="BExMMIQH5BABNZVCIQ7TBCQ10AY5" hidden="1">#N/A</definedName>
    <definedName name="BExMMNIZ2T7M22WECMUQXEF4NJ71" hidden="1">#N/A</definedName>
    <definedName name="BExMMPMIOU7BURTV0L1K6ACW9X73" hidden="1">#N/A</definedName>
    <definedName name="BExMMQ835AJDHS4B419SS645P67Q" hidden="1">#N/A</definedName>
    <definedName name="BExMMQIUVPCOBISTEJJYNCCLUCPY" hidden="1">#N/A</definedName>
    <definedName name="BExMMTIXETA5VAKBSOFDD5SRU887" hidden="1">#N/A</definedName>
    <definedName name="BExMMV0P6P5YS3C35G0JYYHI7992" hidden="1">#N/A</definedName>
    <definedName name="BExMNDR4V2VG5RFZDGTAGD3Q9PPG" hidden="1">#N/A</definedName>
    <definedName name="BExMNJLFWZBRN9PZF1IO9CYWV1B2" hidden="1">#N/A</definedName>
    <definedName name="BExMNKCJ0FA57YEUUAJE43U1QN5P" hidden="1">#N/A</definedName>
    <definedName name="BExMNKN5D1WEF2OOJVP6LZ6DLU3Y" hidden="1">#N/A</definedName>
    <definedName name="BExMNR38HMPLWAJRQ9MMS3ZAZ9IU" hidden="1">#N/A</definedName>
    <definedName name="BExMNRDZULKJMVY2VKIIRM2M5A1M" hidden="1">#N/A</definedName>
    <definedName name="BExMO9IOWKTWHO8LQJJQI5P3INWY" hidden="1">#N/A</definedName>
    <definedName name="BExMOI29DOEK5R1A5QZPUDKF7N6T" hidden="1">#N/A</definedName>
    <definedName name="BExMPAJ5AJAXGKGK3F6H3ODS6RF4" hidden="1">#N/A</definedName>
    <definedName name="BExMPD2X55FFBVJ6CBUKNPROIOEU" hidden="1">#N/A</definedName>
    <definedName name="BExMPGZ848E38FUH1JBQN97DGWAT" hidden="1">#N/A</definedName>
    <definedName name="BExMPMTICOSMQENOFKQ18K0ZT4S8" hidden="1">#N/A</definedName>
    <definedName name="BExMPMZ07II0R4KGWQQ7PGS3RZS4" hidden="1">#N/A</definedName>
    <definedName name="BExMPOBH04JMDO6Z8DMSEJZM4ANN" hidden="1">#N/A</definedName>
    <definedName name="BExMPSD77XQ3HA6A4FZOJK8G2JP3" hidden="1">#N/A</definedName>
    <definedName name="BExMQ4I3Q7F0BMPHSFMFW9TZ87UD" hidden="1">#N/A</definedName>
    <definedName name="BExMQ4SWDWI4N16AZ0T5CJ6HH8WC" hidden="1">#N/A</definedName>
    <definedName name="BExMQ71WHW50GVX45JU951AGPLFQ" hidden="1">#N/A</definedName>
    <definedName name="BExMQGXSLPT4A6N47LE6FBVHWBOF" hidden="1">#N/A</definedName>
    <definedName name="BExMQSBR7PL4KLB1Q4961QO45Y4G" hidden="1">#N/A</definedName>
    <definedName name="BExMR1MA4I1X77714ZEPUVC8W398" hidden="1">#N/A</definedName>
    <definedName name="BExMR8YQHA7N77HGHY4Y6R30I3XT" hidden="1">#N/A</definedName>
    <definedName name="BExMRENOIARWRYOIVPDIEBVNRDO7" hidden="1">#N/A</definedName>
    <definedName name="BExMRQHUEHGF2FS4LCB0THFELGDI" hidden="1">#N/A</definedName>
    <definedName name="BExMRRJNUMGRSDD5GGKKGEIZ6FTS" hidden="1">#N/A</definedName>
    <definedName name="BExMRU3ACIU0RD2BNWO55LH5U2BR" hidden="1">#N/A</definedName>
    <definedName name="BExMSQRCC40AP8BDUPL2I2DNC210" hidden="1">#N/A</definedName>
    <definedName name="BExO4J9LR712G00TVA82VNTG8O7H" hidden="1">#N/A</definedName>
    <definedName name="BExO4M9K2CBU94O8MQ66XTL8BVK4" hidden="1">#N/A</definedName>
    <definedName name="BExO55G2KVZ7MIJ30N827CLH0I2A" hidden="1">#N/A</definedName>
    <definedName name="BExO5A8PZD9EUHC5CMPU6N3SQ15L" hidden="1">#N/A</definedName>
    <definedName name="BExO5XMAHL7CY3X0B1OPKZ28DCJ5" hidden="1">#N/A</definedName>
    <definedName name="BExO66LZJKY4PTQVREELI6POS4AY" hidden="1">#N/A</definedName>
    <definedName name="BExO6LLHCYTF7CIVHKAO0NMET14Q" hidden="1">#N/A</definedName>
    <definedName name="BExO7OUQS3XTUQ2LDKGQ8AAQ3OJJ" hidden="1">#N/A</definedName>
    <definedName name="BExO7RUSODZC2NQZMT2AFSMV2ONF" hidden="1">#N/A</definedName>
    <definedName name="BExO85HMYXZJ7SONWBKKIAXMCI3C" hidden="1">#N/A</definedName>
    <definedName name="BExO863922O4PBGQMUNEQKGN3K96" hidden="1">#N/A</definedName>
    <definedName name="BExO89ZIOXN0HOKHY24F7HDZ87UT" hidden="1">#N/A</definedName>
    <definedName name="BExO8CDTBCABLEUD6PE2UM2EZ6C4" hidden="1">#N/A</definedName>
    <definedName name="BExO8IZ05ZG0XVOL3W41KBQE176A" hidden="1">#N/A</definedName>
    <definedName name="BExO8UTAGQWDBQZEEF4HUNMLQCVU" hidden="1">#N/A</definedName>
    <definedName name="BExO937E20IHMGQOZMECL3VZC7OX" hidden="1">#N/A</definedName>
    <definedName name="BExO94UTJKQQ7TJTTJRTSR70YVJC" hidden="1">#N/A</definedName>
    <definedName name="BExO9J3A438976RXIUX5U9SU5T55" hidden="1">#N/A</definedName>
    <definedName name="BExO9RS5RXFJ1911HL3CCK6M74EP" hidden="1">#N/A</definedName>
    <definedName name="BExO9SDRI1M6KMHXSG3AE5L0F2U3" hidden="1">#N/A</definedName>
    <definedName name="BExO9V2U2YXAY904GYYGU6TD8Y7M" hidden="1">#N/A</definedName>
    <definedName name="BExOAQ3GKCT7YZW1EMVU3EILSZL2" hidden="1">#N/A</definedName>
    <definedName name="BExOB9KT2THGV4SPLDVFTFXS4B14" hidden="1">#N/A</definedName>
    <definedName name="BExOBEZ0IE2WBEYY3D3CMRI72N1K" hidden="1">#N/A</definedName>
    <definedName name="BExOBIPU8760ITY0C8N27XZ3KWEF" hidden="1">#N/A</definedName>
    <definedName name="BExOBM0I5L0MZ1G4H9MGMD87SBMZ" hidden="1">#N/A</definedName>
    <definedName name="BExOBOUXMP88KJY2BX2JLUJH5N0K" hidden="1">#N/A</definedName>
    <definedName name="BExOBP0FKQ4SVR59FB48UNLKCOR6" hidden="1">#N/A</definedName>
    <definedName name="BExOBYAVUCQ0IGM0Y6A75QHP0Q1A" hidden="1">#N/A</definedName>
    <definedName name="BExOC3UEHB1CZNINSQHZANWJYKR8" hidden="1">#N/A</definedName>
    <definedName name="BExOCBSF3XGO9YJ23LX2H78VOUR7" hidden="1">#N/A</definedName>
    <definedName name="BExOCKXFMOW6WPFEVX1I7R7FNDSS" hidden="1">#N/A</definedName>
    <definedName name="BExOCYEXOB95DH5NOB0M5NOYX398" hidden="1">#N/A</definedName>
    <definedName name="BExOD4ERMDMFD8X1016N4EXOUR0S" hidden="1">#N/A</definedName>
    <definedName name="BExOD55RS7BQUHRQ6H3USVGKR0P7" hidden="1">#N/A</definedName>
    <definedName name="BExODEWDDEABM4ZY3XREJIBZ8IVP" hidden="1">#N/A</definedName>
    <definedName name="BExODNLAA1L7WQ9ZQX6A1ZOXK9VR" hidden="1">#N/A</definedName>
    <definedName name="BExODZFEIWV26E8RFU7XQYX1J458" hidden="1">#N/A</definedName>
    <definedName name="BExOEBKG55EROA2VL360A06LKASE" hidden="1">#N/A</definedName>
    <definedName name="BExOERG5LWXYYEN1DY1H2FWRJS9T" hidden="1">#N/A</definedName>
    <definedName name="BExOEV1S6JJVO5PP4BZ20SNGZR7D" hidden="1">#N/A</definedName>
    <definedName name="BExOFEDNCYI2TPTMQ8SJN3AW4YMF" hidden="1">#N/A</definedName>
    <definedName name="BExOFVLXVD6RVHSQO8KZOOACSV24" hidden="1">#N/A</definedName>
    <definedName name="BExOG1GGPOEJA8YA0I1O3W14XUEJ" hidden="1">#N/A</definedName>
    <definedName name="BExOG2SW3XOGP9VAPQ3THV3VWV12" hidden="1">#N/A</definedName>
    <definedName name="BExOG45J81K4OPA40KW5VQU54KY3" hidden="1">#N/A</definedName>
    <definedName name="BExOGFE2SCL8HHT4DFAXKLUTJZOG" hidden="1">#N/A</definedName>
    <definedName name="BExOGT6D0LJ3C22RDW8COECKB1J5" hidden="1">#N/A</definedName>
    <definedName name="BExOGTMI1HT31M1RGWVRAVHAK7DE" hidden="1">#N/A</definedName>
    <definedName name="BExOGXO9JE5XSE9GC3I6O21UEKAO" hidden="1">#N/A</definedName>
    <definedName name="BExOH9ICZ13C1LAW8OTYTR9S7ZP3" hidden="1">#N/A</definedName>
    <definedName name="BExOHL75H3OT4WAKKPUXIVXWFVDS" hidden="1">#N/A</definedName>
    <definedName name="BExOHLHXXJL6363CC082M9M5VVXQ" hidden="1">#N/A</definedName>
    <definedName name="BExOHNAO5UDXSO73BK2ARHWKS90Y" hidden="1">#N/A</definedName>
    <definedName name="BExOHR1G1I9A9CI1HG94EWBLWNM2" hidden="1">#N/A</definedName>
    <definedName name="BExOHTQPP8LQ98L6PYUI6QW08YID" hidden="1">#N/A</definedName>
    <definedName name="BExOHX6Q6NJI793PGX59O5EKTP4G" hidden="1">#N/A</definedName>
    <definedName name="BExOI5VMTHH7Y8MQQ1N635CHYI0P" hidden="1">#N/A</definedName>
    <definedName name="BExOIEVCP4Y6VDS23AK84MCYYHRT" hidden="1">#N/A</definedName>
    <definedName name="BExOIHPQIXR0NDR5WD01BZKPKEO3" hidden="1">#N/A</definedName>
    <definedName name="BExOIM7L0Z3LSII9P7ZTV4KJ8RMA" hidden="1">#N/A</definedName>
    <definedName name="BExOIWJVMJ6MG6JC4SPD1L00OHU1" hidden="1">#N/A</definedName>
    <definedName name="BExOIYCN8Z4JK3OOG86KYUCV0ME8" hidden="1">#N/A</definedName>
    <definedName name="BExOJ3AKZ9BCBZT3KD8WMSLK6MN2" hidden="1">#N/A</definedName>
    <definedName name="BExOJ7XQK71I4YZDD29AKOOWZ47E" hidden="1">#N/A</definedName>
    <definedName name="BExOJM0W6XGSW5MXPTTX0GNF6SFT" hidden="1">#N/A</definedName>
    <definedName name="BExOJXEUJJ9SYRJXKYYV2NCCDT2R" hidden="1">#N/A</definedName>
    <definedName name="BExOK0EQYM9JUMAGWOUN7QDH7VMZ" hidden="1">#N/A</definedName>
    <definedName name="BExOK4WM9O7QNG6O57FOASI5QSN1" hidden="1">#N/A</definedName>
    <definedName name="BExOKKHOPWUVRJGQJ5ONR2U40JX8" hidden="1">#N/A</definedName>
    <definedName name="BExOKTXMJP351VXKH8VT6SXUNIMF" hidden="1">#N/A</definedName>
    <definedName name="BExOKU8GMLOCNVORDE329819XN67" hidden="1">#N/A</definedName>
    <definedName name="BExOL0Z3Z7IAMHPB91EO2MF49U57" hidden="1">#N/A</definedName>
    <definedName name="BExOL7KH12VAR0LG741SIOJTLWFD" hidden="1">#N/A</definedName>
    <definedName name="BExOLICXFHJLILCJVFMJE5MGGWKR" hidden="1">#N/A</definedName>
    <definedName name="BExOLOI0WJS3QC12I3ISL0D9AWOF" hidden="1">#N/A</definedName>
    <definedName name="BExOLYZNG5RBD0BTS1OEZJNU92Q5" hidden="1">#N/A</definedName>
    <definedName name="BExOM3HIJ3UZPOKJI68KPBJAHPDC" hidden="1">#N/A</definedName>
    <definedName name="BExOMKPURE33YQ3K1JG9NVQD4W49" hidden="1">#N/A</definedName>
    <definedName name="BExOMP7NGCLUNFK50QD2LPKRG078" hidden="1">#N/A</definedName>
    <definedName name="BExOMU0A6XMY48SZRYL4WQZD13BI" hidden="1">#N/A</definedName>
    <definedName name="BExOMVT0HSNC59DJP4CLISASGHKL" hidden="1">#N/A</definedName>
    <definedName name="BExON0AX35F2SI0UCVMGWGVIUNI3" hidden="1">#N/A</definedName>
    <definedName name="BExON41U4296DV3DPG6I5EF3OEYF" hidden="1">#N/A</definedName>
    <definedName name="BExONB3A7CO4YD8RB41PHC93BQ9M" hidden="1">#N/A</definedName>
    <definedName name="BExONFQH6UUXF8V0GI4BRIST9RFO" hidden="1">#N/A</definedName>
    <definedName name="BExONIL31DZWU7IFVN3VV0XTXJA1" hidden="1">#N/A</definedName>
    <definedName name="BExONJ1BU17R0F5A2UP1UGJBOGKS" hidden="1">#N/A</definedName>
    <definedName name="BExONNZ9VMHVX3J6NLNJY7KZA61O" hidden="1">#N/A</definedName>
    <definedName name="BExONRQ1BAA4F3TXP2MYQ4YCZ09S" hidden="1">#N/A</definedName>
    <definedName name="BExOO1WWIZSGB0YTGKESB45TSVMZ" hidden="1">#N/A</definedName>
    <definedName name="BExOO4B8FPAFYPHCTYTX37P1TQM5" hidden="1">#N/A</definedName>
    <definedName name="BExOOIULUDOJRMYABWV5CCL906X6" hidden="1">#N/A</definedName>
    <definedName name="BExOOTN0KTXJCL7E476XBN1CJ553" hidden="1">#N/A</definedName>
    <definedName name="BExOP9DEBV5W5P4Q25J3XCJBP5S9" hidden="1">#N/A</definedName>
    <definedName name="BExOPFNYRBL0BFM23LZBJTADNOE4" hidden="1">#N/A</definedName>
    <definedName name="BExOPINVFSIZMCVT9YGT2AODVCX3" hidden="1">#N/A</definedName>
    <definedName name="BExOQ1JN4SAC44RTMZIGHSW023WA" hidden="1">#N/A</definedName>
    <definedName name="BExOQ256YMF115DJL3KBPNKABJ90" hidden="1">#N/A</definedName>
    <definedName name="BExQ19DEUOLC11IW32E2AMVZLFF1" hidden="1">#N/A</definedName>
    <definedName name="BExQ1FD6KISGYU1JWEQ4G243ZPVD" hidden="1">#N/A</definedName>
    <definedName name="BExQ29C73XR33S3668YYSYZAIHTG" hidden="1">#N/A</definedName>
    <definedName name="BExQ2FS228IUDUP2023RA1D4AO4C" hidden="1">#N/A</definedName>
    <definedName name="BExQ2L0XYWLY9VPZWXYYFRIRQRJ1" hidden="1">#N/A</definedName>
    <definedName name="BExQ2M841F5Z1BQYR8DG5FKK0LIU" hidden="1">#N/A</definedName>
    <definedName name="BExQ2MIWLHNKYN9O70NCBXLZ58CB" hidden="1">#N/A</definedName>
    <definedName name="BExQ300G8I8TK45A0MVHV15422EU" hidden="1">#N/A</definedName>
    <definedName name="BExQ39R28MXSG2SEV956F0KZ20AN" hidden="1">#N/A</definedName>
    <definedName name="BExQ3D1P3M5Z3HLMEZ17E0BLEE4U" hidden="1">#N/A</definedName>
    <definedName name="BExQ3O4W7QF8BOXTUT4IOGF6YKUD" hidden="1">#N/A</definedName>
    <definedName name="BExQ3PXOWSN8561ZR8IEY8ZASI3B" hidden="1">#N/A</definedName>
    <definedName name="BExQ3TZF04IPY0B0UG9CQQ5736UA" hidden="1">#N/A</definedName>
    <definedName name="BExQ42IU9MNDYLODP41DL6YTZMAR" hidden="1">#N/A</definedName>
    <definedName name="BExQ452HF7N1HYPXJXQ8WD6SOWUV" hidden="1">#N/A</definedName>
    <definedName name="BExQ499KBJ5W7A1G293A0K14EVQB" hidden="1">#N/A</definedName>
    <definedName name="BExQ4BTBSHPHVEDRCXC2ROW8PLFC" hidden="1">#N/A</definedName>
    <definedName name="BExQ4DGKF54SRKQUTUT4B1CZSS62" hidden="1">#N/A</definedName>
    <definedName name="BExQ4T74LQ5PYTV1MUQUW75A4BDY" hidden="1">#N/A</definedName>
    <definedName name="BExQ4XJHD7EJCNH7S1MJDZJ2MNWG" hidden="1">#N/A</definedName>
    <definedName name="BExQ5039ZCEWBUJHU682G4S89J03" hidden="1">#N/A</definedName>
    <definedName name="BExQ56Z9W6YHZHRXOFFI8EFA7CDI" hidden="1">#N/A</definedName>
    <definedName name="BExQ5KX3Z668H1KUCKZ9J24HUQ1F" hidden="1">#N/A</definedName>
    <definedName name="BExQ5SPMSOCJYLAY20NB5A6O32RE" hidden="1">#N/A</definedName>
    <definedName name="BExQ5UICMGTMK790KTLK49MAGXRC" hidden="1">#N/A</definedName>
    <definedName name="BExQ5VEQEIJO7YY80OJTA3XRQYJ9" hidden="1">#N/A</definedName>
    <definedName name="BExQ5YUUK9FD0QGTY4WD0W90O7OL" hidden="1">#N/A</definedName>
    <definedName name="BExQ63793YQ9BH7JLCNRIATIGTRG" hidden="1">#N/A</definedName>
    <definedName name="BExQ6CN1EF2UPZ57ZYMGK8TUJQSS" hidden="1">#N/A</definedName>
    <definedName name="BExQ6M2YXJ8AMRJF3QGHC40ADAHZ" hidden="1">#N/A</definedName>
    <definedName name="BExQ6M8B0X44N9TV56ATUVHGDI00" hidden="1">#N/A</definedName>
    <definedName name="BExQ6POH065GV0I74XXVD0VUPBJW" hidden="1">#N/A</definedName>
    <definedName name="BExQ6WV9KPSMXPPLGZ3KK4WNYTHU" hidden="1">#N/A</definedName>
    <definedName name="BExQ783XTMM2A9I3UKCFWJH1PP2N" hidden="1">#N/A</definedName>
    <definedName name="BExQ79LX01ZPQB8EGD1ZHR2VK2H3" hidden="1">#N/A</definedName>
    <definedName name="BExQ7B3V9MGDK2OIJ61XXFBFLJFZ" hidden="1">#N/A</definedName>
    <definedName name="BExQ7CB046NVPF9ZXDGA7OXOLSLX" hidden="1">#N/A</definedName>
    <definedName name="BExQ7IWDCGGOO1HTJ97YGO1CK3R9" hidden="1">#N/A</definedName>
    <definedName name="BExQ7JNFIEGS2HKNBALH3Q2N5G7Z" hidden="1">#N/A</definedName>
    <definedName name="BExQ7MY3U2Z1IZ71U5LJUD00VVB4" hidden="1">#N/A</definedName>
    <definedName name="BExQ7XL1FIYPP42CTVM2GJQR8ODN" hidden="1">#N/A</definedName>
    <definedName name="BExQ7XL2Q1GVUFL1F9KK0K0EXMWG" hidden="1">#N/A</definedName>
    <definedName name="BExQ8469L3ZRZ3KYZPYMSJIDL7Y5" hidden="1">#N/A</definedName>
    <definedName name="BExQ84MJB94HL3BWRN50M4NCB6Z0" hidden="1">#N/A</definedName>
    <definedName name="BExQ8583ZE00NW7T9OF11OT9IA14" hidden="1">#N/A</definedName>
    <definedName name="BExQ8A0RPE3IMIFIZLUE7KD2N21W" hidden="1">#N/A</definedName>
    <definedName name="BExQ8ABK6H1ADV2R2OYT8NFFYG2N" hidden="1">#N/A</definedName>
    <definedName name="BExQ8DM90XJ6GCJIK9LC5O82I2TJ" hidden="1">#N/A</definedName>
    <definedName name="BExQ8G0K46ZORA0QVQTDI7Z8LXGF" hidden="1">#N/A</definedName>
    <definedName name="BExQ8O3WEU8HNTTGKTW5T0QSKCLP" hidden="1">#N/A</definedName>
    <definedName name="BExQ8ZCEDBOBJA3D9LDP5TU2WYGR" hidden="1">#N/A</definedName>
    <definedName name="BExQ94LAW6MAQBWY25WTBFV5PPZJ" hidden="1">#N/A</definedName>
    <definedName name="BExQ97QIPOSSRK978N8P234Y1XA4" hidden="1">#N/A</definedName>
    <definedName name="BExQ9E6FBAXTHGF3RXANFIA77GXP" hidden="1">#N/A</definedName>
    <definedName name="BExQ9F2YH4UUCCMQITJ475B3S3NP" hidden="1">#N/A</definedName>
    <definedName name="BExQ9KX9734KIAK7IMRLHCPYDHO2" hidden="1">#N/A</definedName>
    <definedName name="BExQ9L81FF4I7816VTPFBDWVU4CW" hidden="1">#N/A</definedName>
    <definedName name="BExQ9M4E2ACZOWWWP1JJIQO8AHUM" hidden="1">#N/A</definedName>
    <definedName name="BExQ9UTANMJCK7LJ4OQMD6F2Q01L" hidden="1">#N/A</definedName>
    <definedName name="BExQ9ZLYHWABXAA9NJDW8ZS0UQ9P" hidden="1">#N/A</definedName>
    <definedName name="BExQA324HSCK40ENJUT9CS9EC71B" hidden="1">#N/A</definedName>
    <definedName name="BExQA55GY0STSNBWQCWN8E31ZXCS" hidden="1">#N/A</definedName>
    <definedName name="BExQA9HZIN9XEMHEEVHT99UU9Z82" hidden="1">#N/A</definedName>
    <definedName name="BExQAELFYH92K8CJL155181UDORO" hidden="1">#N/A</definedName>
    <definedName name="BExQAG8PP8R5NJKNQD1U4QOSD6X5" hidden="1">#N/A</definedName>
    <definedName name="BExQB6WYCJ2NAEL801BCC8P9XGS4" hidden="1">#N/A</definedName>
    <definedName name="BExQBDICMZTSA1X73TMHNO4JSFLN" hidden="1">#N/A</definedName>
    <definedName name="BExQBEER6CRCRPSSL61S0OMH57ZA" hidden="1">#N/A</definedName>
    <definedName name="BExQBIGGY5TXI2FJVVZSLZ0LTZYH" hidden="1">#N/A</definedName>
    <definedName name="BExQBM1RUSIQ85LLMM2159BYDPIP" hidden="1">#N/A</definedName>
    <definedName name="BExQBPSOZ47V81YAEURP0NQJNTJH" hidden="1">#N/A</definedName>
    <definedName name="BExQC5TWT21CGBKD0IHAXTIN2QB8" hidden="1">#N/A</definedName>
    <definedName name="BExQC94JL9F5GW4S8DQCAF4WB2DA" hidden="1">#N/A</definedName>
    <definedName name="BExQCKTD8AT0824LGWREXM1B5D1X" hidden="1">#N/A</definedName>
    <definedName name="BExQD571YWOXKR2SX85K5MKQ0AO2" hidden="1">#N/A</definedName>
    <definedName name="BExQDB6VCHN8PNX8EA6JNIEQ2JC2" hidden="1">#N/A</definedName>
    <definedName name="BExQDE1B6U2Q9B73KBENABP71YM1" hidden="1">#N/A</definedName>
    <definedName name="BExQDGQCN7ZW41QDUHOBJUGQAX40" hidden="1">#N/A</definedName>
    <definedName name="BExQEC7BRIJ30PTU3UPFOIP2HPE3" hidden="1">#N/A</definedName>
    <definedName name="BExQEMUA4HEFM4OVO8M8MA8PIAW1" hidden="1">#N/A</definedName>
    <definedName name="BExQEQ4XZQFIKUXNU9H7WE7AMZ1U" hidden="1">#N/A</definedName>
    <definedName name="BExQF1OEB07CRAP6ALNNMJNJ3P2D" hidden="1">#N/A</definedName>
    <definedName name="BExQF9X2AQPFJZTCHTU5PTTR0JAH" hidden="1">#N/A</definedName>
    <definedName name="BExQFC0M9KKFMQKPLPEO2RQDB7MM" hidden="1">#N/A</definedName>
    <definedName name="BExQFEEV7627R8TYZCM28C6V6WHE" hidden="1">#N/A</definedName>
    <definedName name="BExQFEK8NUD04X2OBRA275ADPSDL" hidden="1">#N/A</definedName>
    <definedName name="BExQFGYIWDR4W0YF7XR6E4EWWJ02" hidden="1">#N/A</definedName>
    <definedName name="BExQFPNFKA36IAPS22LAUMBDI4KE" hidden="1">#N/A</definedName>
    <definedName name="BExQFPSWEMA8WBUZ4WK20LR13VSU" hidden="1">#N/A</definedName>
    <definedName name="BExQFVSPOSCCPF1TLJPIWYWYB8A9" hidden="1">#N/A</definedName>
    <definedName name="BExQFWJQXNQAW6LUMOEDS6KMJMYL" hidden="1">#N/A</definedName>
    <definedName name="BExQG8TYRD2G42UA5ZPCRLNKUDMX" hidden="1">#N/A</definedName>
    <definedName name="BExQGO48J9MPCDQ96RBB9UN9AIGT" hidden="1">#N/A</definedName>
    <definedName name="BExQGSBB6MJWDW7AYWA0MSFTXKRR" hidden="1">#N/A</definedName>
    <definedName name="BExQH0UURAJ13AVO5UI04HSRGVYW" hidden="1">#N/A</definedName>
    <definedName name="BExQH6ZZY0NR8SE48PSI9D0CU1TC" hidden="1">#N/A</definedName>
    <definedName name="BExQH9P2MCXAJOVEO4GFQT6MNW22" hidden="1">#N/A</definedName>
    <definedName name="BExQHCZSBYUY8OKKJXFYWKBBM6AH" hidden="1">#N/A</definedName>
    <definedName name="BExQHPKXZ1K33V2F90NZIQRZYIAW" hidden="1">#N/A</definedName>
    <definedName name="BExQHVF9KD06AG2RXUQJ9X4PVGX4" hidden="1">#N/A</definedName>
    <definedName name="BExQHZBHVN2L4HC7ACTR73T5OCV0" hidden="1">#N/A</definedName>
    <definedName name="BExQI85V9TNLDJT5LTRZS10Y26SG" hidden="1">#N/A</definedName>
    <definedName name="BExQIAPKHVEV8CU1L3TTHJW67FJ5" hidden="1">#N/A</definedName>
    <definedName name="BExQIBB4I3Z6AUU0HYV1DHRS13M4" hidden="1">#N/A</definedName>
    <definedName name="BExQIBWPAXU7HJZLKGJZY3EB7MIS" hidden="1">#N/A</definedName>
    <definedName name="BExQIS8O6R36CI01XRY9ISM99TW9" hidden="1">#N/A</definedName>
    <definedName name="BExQIVJAYBEPPWN5GDBOQ6IJLZ9L" hidden="1">#N/A</definedName>
    <definedName name="BExQIVJB9MJ25NDUHTCVMSODJY2C" hidden="1">#N/A</definedName>
    <definedName name="BExQJBF7LAX128WR7VTMJC88ZLPG" hidden="1">#N/A</definedName>
    <definedName name="BExQJEVCKX6KZHNCLYXY7D0MX5KN" hidden="1">#N/A</definedName>
    <definedName name="BExQJJYSDX8B0J1QGF2HL071KKA3" hidden="1">#N/A</definedName>
    <definedName name="BExQK1HV6SQQ7CP8H8IUKI9TYXTD" hidden="1">#N/A</definedName>
    <definedName name="BExQK3LE5CSBW1E4H4KHW548FL2R" hidden="1">#N/A</definedName>
    <definedName name="BExQKG6LD6PLNDGNGO9DJXY865BR" hidden="1">#N/A</definedName>
    <definedName name="BExQLE1TOW3A287TQB0AVWENT8O1" hidden="1">#N/A</definedName>
    <definedName name="BExRYOYB4A3E5F6MTROY69LR0PMG" hidden="1">#N/A</definedName>
    <definedName name="BExRYZLA9EW71H4SXQR525S72LLP" hidden="1">#N/A</definedName>
    <definedName name="BExRZ66M8G9FQ0VFP077QSZBSOA5" hidden="1">#N/A</definedName>
    <definedName name="BExRZ8FMQQL46I8AQWU17LRNZD5T" hidden="1">#N/A</definedName>
    <definedName name="BExRZIRRIXRUMZ5GOO95S7460BMP" hidden="1">#N/A</definedName>
    <definedName name="BExRZK9RAHMM0ZLTNSK7A4LDC42D" hidden="1">#N/A</definedName>
    <definedName name="BExRZOGSR69INI6GAEPHDWSNK5Q4" hidden="1">#N/A</definedName>
    <definedName name="BExS0ASQBKRTPDWFK0KUDFOS9LE5" hidden="1">#N/A</definedName>
    <definedName name="BExS0GHQUF6YT0RU3TKDEO8CSJYB" hidden="1">#N/A</definedName>
    <definedName name="BExS0K8IHC45I78DMZBOJ1P13KQA" hidden="1">#N/A</definedName>
    <definedName name="BExS0TZ3GC94JCVS6J3QMVQ11SP8" hidden="1">#N/A</definedName>
    <definedName name="BExS152B2LFCRAUHSLI5T6QRNII0" hidden="1">#N/A</definedName>
    <definedName name="BExS15IJV0WW662NXQUVT3FGP4ST" hidden="1">#N/A</definedName>
    <definedName name="BExS194110MR25BYJI3CJ2EGZ8XT" hidden="1">#N/A</definedName>
    <definedName name="BExS1BNVGNSGD4EP90QL8WXYWZ66" hidden="1">#N/A</definedName>
    <definedName name="BExS1UE39N6NCND7MAARSBWXS6HU" hidden="1">#N/A</definedName>
    <definedName name="BExS226HTWL5WVC76MP5A1IBI8WD" hidden="1">#N/A</definedName>
    <definedName name="BExS26OI2QNNAH2WMDD95Z400048" hidden="1">#N/A</definedName>
    <definedName name="BExS2DF6B4ZUF3VZLI4G6LJ3BF38" hidden="1">#N/A</definedName>
    <definedName name="BExS2QB5FS5LYTFYO4BROTWG3OV5" hidden="1">#N/A</definedName>
    <definedName name="BExS2TLU1HONYV6S3ZD9T12D7CIG" hidden="1">#N/A</definedName>
    <definedName name="BExS318UV9I2FXPQQWUKKX00QLPJ" hidden="1">#N/A</definedName>
    <definedName name="BExS3LBS0SMTHALVM4NRI1BAV1NP" hidden="1">#N/A</definedName>
    <definedName name="BExS3MTQ75VBXDGEBURP6YT8RROE" hidden="1">#N/A</definedName>
    <definedName name="BExS3OMGYO0DFN5186UFKEXZ2RX3" hidden="1">#N/A</definedName>
    <definedName name="BExS3SDERJ27OER67TIGOVZU13A2" hidden="1">#N/A</definedName>
    <definedName name="BExS46R5WDNU5KL04FKY5LHJUCB8" hidden="1">#N/A</definedName>
    <definedName name="BExS4ASWKM93XA275AXHYP8AG6SU" hidden="1">#N/A</definedName>
    <definedName name="BExS4JN3Y6SVBKILQK0R9HS45Y52" hidden="1">#N/A</definedName>
    <definedName name="BExS4P6S41O6Z6BED77U3GD9PNH1" hidden="1">#N/A</definedName>
    <definedName name="BExS51H0N51UT0FZOPZRCF1GU063" hidden="1">#N/A</definedName>
    <definedName name="BExS54X72TJFC41FJK72MLRR2OO7" hidden="1">#N/A</definedName>
    <definedName name="BExS59F0PA1V2ZC7S5TN6IT41SXP" hidden="1">#N/A</definedName>
    <definedName name="BExS5DRER9US6NXY9ATYT41KZII3" hidden="1">#N/A</definedName>
    <definedName name="BExS5L3TGB8JVW9ROYWTKYTUPW27" hidden="1">#N/A</definedName>
    <definedName name="BExS6GKQ96EHVLYWNJDWXZXUZW90" hidden="1">#N/A</definedName>
    <definedName name="BExS6ITKSZFRR01YD5B0F676SYN7" hidden="1">#N/A</definedName>
    <definedName name="BExS6N0LI574IAC89EFW6CLTCQ33" hidden="1">#N/A</definedName>
    <definedName name="BExS6WRDBF3ST86ZOBBUL3GTCR11" hidden="1">#N/A</definedName>
    <definedName name="BExS6XNRKR0C3MTA0LV5B60UB908" hidden="1">#N/A</definedName>
    <definedName name="BExS7TKQYLRZGM93UY3ZJZJBQNFJ" hidden="1">#N/A</definedName>
    <definedName name="BExS7Y2LNGVHSIBKC7C3R6X4LDR6" hidden="1">#N/A</definedName>
    <definedName name="BExS81TE0EY44Y3W2M4Z4MGNP5OM" hidden="1">#N/A</definedName>
    <definedName name="BExS81YPDZDVJJVS15HV2HDXAC3Y" hidden="1">#N/A</definedName>
    <definedName name="BExS82PRVNUTEKQZS56YT2DVF6C2" hidden="1">#N/A</definedName>
    <definedName name="BExS8BPG5A0GR5AO1U951NDGGR0L" hidden="1">#N/A</definedName>
    <definedName name="BExS8GSUS17UY50TEM2AWF36BR9Z" hidden="1">#N/A</definedName>
    <definedName name="BExS8HJRBVG0XI6PWA9KTMJZMQXK" hidden="1">#N/A</definedName>
    <definedName name="BExS8R51C8RM2FS6V6IRTYO9GA4A" hidden="1">#N/A</definedName>
    <definedName name="BExS8WDX408F60MH1X9B9UZ2H4R7" hidden="1">#N/A</definedName>
    <definedName name="BExS8Z2W2QEC3MH0BZIYLDFQNUIP" hidden="1">#N/A</definedName>
    <definedName name="BExS92DKGRFFCIA9C0IXDOLO57EP" hidden="1">#N/A</definedName>
    <definedName name="BExS98OB4321YCHLCQ022PXKTT2W" hidden="1">#N/A</definedName>
    <definedName name="BExS9C9N8GFISC6HUERJ0EI06GB2" hidden="1">#N/A</definedName>
    <definedName name="BExS9DX13CACP3J8JDREK30JB1SQ" hidden="1">#N/A</definedName>
    <definedName name="BExS9FPRS2KRRCS33SE6WFNF5GYL" hidden="1">#N/A</definedName>
    <definedName name="BExS9WI0A6PSEB8N9GPXF2Z7MWHM" hidden="1">#N/A</definedName>
    <definedName name="BExSA5HP306TN9XJS0TU619DLRR7" hidden="1">#N/A</definedName>
    <definedName name="BExSAAVWQOOIA6B3JHQVGP08HFEM" hidden="1">#N/A</definedName>
    <definedName name="BExSAFJ3IICU2M7QPVE4ARYMXZKX" hidden="1">#N/A</definedName>
    <definedName name="BExSAH6ID8OHX379UXVNGFO8J6KQ" hidden="1">#N/A</definedName>
    <definedName name="BExSAQBHIXGQRNIRGCJMBXUPCZQA" hidden="1">#N/A</definedName>
    <definedName name="BExSAUTCT4P7JP57NOR9MTX33QJZ" hidden="1">#N/A</definedName>
    <definedName name="BExSAY9CA9TFXQ9M9FBJRGJO9T9E" hidden="1">#N/A</definedName>
    <definedName name="BExSB4JYKQ3MINI7RAYK5M8BLJDC" hidden="1">#N/A</definedName>
    <definedName name="BExSBMOS41ZRLWYLOU29V6Y7YORR" hidden="1">#N/A</definedName>
    <definedName name="BExSBRBXXQMBU1TYDW1BXTEVEPRU" hidden="1">#N/A</definedName>
    <definedName name="BExSC54998WTZ21DSL0R8UN0Y9JH" hidden="1">#N/A</definedName>
    <definedName name="BExSC60N7WR9PJSNC9B7ORCX9NGY" hidden="1">#N/A</definedName>
    <definedName name="BExSCE99EZTILTTCE4NJJF96OYYM" hidden="1">#N/A</definedName>
    <definedName name="BExSCHUQZ2HFEWS54X67DIS8OSXZ" hidden="1">#N/A</definedName>
    <definedName name="BExSCOG41SKKG4GYU76WRWW1CTE6" hidden="1">#N/A</definedName>
    <definedName name="BExSCVC9P86YVFMRKKUVRV29MZXZ" hidden="1">#N/A</definedName>
    <definedName name="BExSD233CH4MU9ZMGNRF97ZV7KWU" hidden="1">#N/A</definedName>
    <definedName name="BExSD2U0F3BN6IN9N4R2DTTJG15H" hidden="1">#N/A</definedName>
    <definedName name="BExSD6A6NY15YSMFH51ST6XJY429" hidden="1">#N/A</definedName>
    <definedName name="BExSD9VH6PF6RQ135VOEE08YXPAW" hidden="1">#N/A</definedName>
    <definedName name="BExSDP5Y04WWMX2WWRITWOX8R5I9" hidden="1">#N/A</definedName>
    <definedName name="BExSDSGM203BJTNS9MKCBX453HMD" hidden="1">#N/A</definedName>
    <definedName name="BExSDT20XUFXTDM37M148AXAP7HN" hidden="1">#N/A</definedName>
    <definedName name="BExSEEHK1VLWD7JBV9SVVVIKQZ3I" hidden="1">#N/A</definedName>
    <definedName name="BExSEJKZLX37P3V33TRTFJ30BFRK" hidden="1">#N/A</definedName>
    <definedName name="BExSEP9UVOAI6TMXKNK587PQ3328" hidden="1">#N/A</definedName>
    <definedName name="BExSERZ34ETZF8OI93MYIVZX4RDV" hidden="1">#N/A</definedName>
    <definedName name="BExSF07QFLZCO4P6K6QF05XG7PH1" hidden="1">#N/A</definedName>
    <definedName name="BExSFELNPJYUZX393PKWKNNZYV1N" hidden="1">#N/A</definedName>
    <definedName name="BExSFJ8ZAGQ63A4MVMZRQWLVRGQ5" hidden="1">#N/A</definedName>
    <definedName name="BExSFKQRST2S9KXWWLCXYLKSF4G1" hidden="1">#N/A</definedName>
    <definedName name="BExSFYDRRTAZVPXRWUF5PDQ97WFF" hidden="1">#N/A</definedName>
    <definedName name="BExSFZVPFTXA3F0IJ2NGH1GXX9R7" hidden="1">#N/A</definedName>
    <definedName name="BExSG90Q4ZUU2IPGDYOM169NJV9S" hidden="1">#N/A</definedName>
    <definedName name="BExSG9X3DU845PNXYJGGLBQY2UHG" hidden="1">#N/A</definedName>
    <definedName name="BExSGE45J27MDUUNXW7Z8Q33UAON" hidden="1">#N/A</definedName>
    <definedName name="BExSGE9LY91Q0URHB4YAMX0UAMYI" hidden="1">#N/A</definedName>
    <definedName name="BExSGLB2URTLBCKBB4Y885W925F2" hidden="1">#N/A</definedName>
    <definedName name="BExSGOAYG73SFWOPAQV80P710GID" hidden="1">#N/A</definedName>
    <definedName name="BExSGOWJHRW7FWKLO2EHUOOGHNAF" hidden="1">#N/A</definedName>
    <definedName name="BExSGOWJTAP41ZV5Q23H7MI9C76W" hidden="1">#N/A</definedName>
    <definedName name="BExSGR5JQVX2HQ0PKCGZNSSUM1RV" hidden="1">#N/A</definedName>
    <definedName name="BExSGVHX69GJZHD99DKE4RZ042B1" hidden="1">#N/A</definedName>
    <definedName name="BExSGZJO4J4ZO04E2N2ECVYS9DEZ" hidden="1">#N/A</definedName>
    <definedName name="BExSHAHFHS7MMNJR8JPVABRGBVIT" hidden="1">#N/A</definedName>
    <definedName name="BExSHGH88QZWW4RNAX4YKAZ5JEBL" hidden="1">#N/A</definedName>
    <definedName name="BExSHOKK1OO3CX9Z28C58E5J1D9W" hidden="1">#N/A</definedName>
    <definedName name="BExSHQD8KYLTQGDXIRKCHQQ7MKIH" hidden="1">#N/A</definedName>
    <definedName name="BExSHVGPIAHXI97UBLI9G4I4M29F" hidden="1">#N/A</definedName>
    <definedName name="BExSI0K2YL3HTCQAD8A7TR4QCUR6" hidden="1">#N/A</definedName>
    <definedName name="BExSIFUDNRWXWIWNGCCFOOD8WIAZ" hidden="1">#N/A</definedName>
    <definedName name="BExTTWD2PGX3Y9FR5F2MRNLY1DIY" hidden="1">#N/A</definedName>
    <definedName name="BExTTZNS2PBCR93C9IUW49UZ4I6T" hidden="1">#N/A</definedName>
    <definedName name="BExTU2YFQ25JQ6MEMRHHN66VLTPJ" hidden="1">#N/A</definedName>
    <definedName name="BExTU75IOII1V5O0C9X2VAYYVJUG" hidden="1">#N/A</definedName>
    <definedName name="BExTUA5F7V4LUIIAM17J3A8XF3JE" hidden="1">#N/A</definedName>
    <definedName name="BExTUJ53ANGZ3H1KDK4CR4Q0OD6P" hidden="1">#N/A</definedName>
    <definedName name="BExTUKXSZBM7C57G6NGLWGU4WOHY" hidden="1">#N/A</definedName>
    <definedName name="BExTUSQCFFYZCDNHWHADBC2E1ZP1" hidden="1">#N/A</definedName>
    <definedName name="BExTUVFGOJEYS28JURA5KHQFDU5J" hidden="1">#N/A</definedName>
    <definedName name="BExTUW10U40QCYGHM5NJ3YR1O5SP" hidden="1">#N/A</definedName>
    <definedName name="BExTUWXFQHINU66YG82BI20ATMB5" hidden="1">#N/A</definedName>
    <definedName name="BExTUY9WNSJ91GV8CP0SKJTEIV82" hidden="1">#N/A</definedName>
    <definedName name="BExTV67VIM8PV6KO253M4DUBJQLC" hidden="1">#N/A</definedName>
    <definedName name="BExTVELZCF2YA5L6F23BYZZR6WHF" hidden="1">#N/A</definedName>
    <definedName name="BExTVGPIQZ99YFXUC8OONUX5BD42" hidden="1">#N/A</definedName>
    <definedName name="BExTVZQLP9VFLEYQ9280W13X7E8K" hidden="1">#N/A</definedName>
    <definedName name="BExTWB4LA1PODQOH4LDTHQKBN16K" hidden="1">#N/A</definedName>
    <definedName name="BExTWI0Q8AWXUA3ZN7I5V3QK2KM1" hidden="1">#N/A</definedName>
    <definedName name="BExTWJTIA3WUW1PUWXAOP9O8NKLZ" hidden="1">#N/A</definedName>
    <definedName name="BExTWW95OX07FNA01WF5MSSSFQLX" hidden="1">#N/A</definedName>
    <definedName name="BExTX476KI0RNB71XI5TYMANSGBG" hidden="1">#N/A</definedName>
    <definedName name="BExTXJ6HBAIXMMWKZTJNFDYVZCAY" hidden="1">#N/A</definedName>
    <definedName name="BExTXT812NQT8GAEGH738U29BI0D" hidden="1">#N/A</definedName>
    <definedName name="BExTXWIP2TFPTQ76NHFOB72NICRZ" hidden="1">#N/A</definedName>
    <definedName name="BExTY5T62H651VC86QM4X7E28JVA" hidden="1">#N/A</definedName>
    <definedName name="BExTYHCJJ2NWRM1RV59FYR41534U" hidden="1">#N/A</definedName>
    <definedName name="BExTYKCEFJ83LZM95M1V7CSFQVEA" hidden="1">#N/A</definedName>
    <definedName name="BExTYPLA9N640MFRJJQPKXT7P88M" hidden="1">#N/A</definedName>
    <definedName name="BExTZ7F71SNTOX4LLZCK5R9VUMIJ" hidden="1">#N/A</definedName>
    <definedName name="BExTZ8X5G9S3PA4FPSNK7T69W7QT" hidden="1">#N/A</definedName>
    <definedName name="BExTZ97Y0RMR8V5BI9F2H4MFB77O" hidden="1">#N/A</definedName>
    <definedName name="BExTZK5PMCAXJL4DUIGL6H9Y8U4C" hidden="1">#N/A</definedName>
    <definedName name="BExTZKB6L5SXV5UN71YVTCBEIGWY" hidden="1">#N/A</definedName>
    <definedName name="BExTZLICVKK4NBJFEGL270GJ2VQO" hidden="1">#N/A</definedName>
    <definedName name="BExTZO2596CBZKPI7YNA1QQNPAIJ" hidden="1">#N/A</definedName>
    <definedName name="BExTZPEM8EH8CIO6VUZGLP3N5CD7" hidden="1">#N/A</definedName>
    <definedName name="BExTZWG2IY38WXV9B5G0FO8I1U34" hidden="1">#N/A</definedName>
    <definedName name="BExTZY8TDV4U7FQL7O10G6VKWKPJ" hidden="1">#N/A</definedName>
    <definedName name="BExU02QNT4LT7H9JPUC4FXTLVGZT" hidden="1">#N/A</definedName>
    <definedName name="BExU0BFJJQO1HJZKI14QGOQ6JROO" hidden="1">#N/A</definedName>
    <definedName name="BExU0FH5WTGW8MRFUFMDDSMJ6YQ5" hidden="1">#N/A</definedName>
    <definedName name="BExU0GDOIL9U33QGU9ZU3YX3V1I4" hidden="1">#N/A</definedName>
    <definedName name="BExU0HKTO8WJDQDWRTUK5TETM3HS" hidden="1">#N/A</definedName>
    <definedName name="BExU0MTJQPE041ZN7H8UKGV6MZT7" hidden="1">#N/A</definedName>
    <definedName name="BExU0XB6XCXI4SZ92YEUFMW4TAXF" hidden="1">#N/A</definedName>
    <definedName name="BExU0ZUUFYHLUK4M4E8GLGIBBNT0" hidden="1">#N/A</definedName>
    <definedName name="BExU147D6RPG6ZVTSXRKFSVRHSBG" hidden="1">#N/A</definedName>
    <definedName name="BExU16R10W1SOAPNG4CDJ01T7JRE" hidden="1">#N/A</definedName>
    <definedName name="BExU17CKOR3GNIHDNVLH9L1IOJS9" hidden="1">#N/A</definedName>
    <definedName name="BExU1GXUTLRPJN4MRINLAPHSZQFG" hidden="1">#N/A</definedName>
    <definedName name="BExU1IL9AOHFO85BZB6S60DK3N8H" hidden="1">#N/A</definedName>
    <definedName name="BExU1NOPS09CLFZL1O31RAF9BQNQ" hidden="1">#N/A</definedName>
    <definedName name="BExU1PH9MOEX1JZVZ3D5M9DXB191" hidden="1">#N/A</definedName>
    <definedName name="BExU1QZEEKJA35IMEOLOJ3ODX0ZA" hidden="1">#N/A</definedName>
    <definedName name="BExU1VRURIWWVJ95O40WA23LMTJD" hidden="1">#N/A</definedName>
    <definedName name="BExU2M5CK6XK55UIHDVYRXJJJRI4" hidden="1">#N/A</definedName>
    <definedName name="BExU2TXVT25ZTOFQAF6CM53Z1RLF" hidden="1">#N/A</definedName>
    <definedName name="BExU2XZLYIU19G7358W5T9E87AFR" hidden="1">#N/A</definedName>
    <definedName name="BExU3B66MCKJFSKT3HL8B5EJGVX0" hidden="1">#N/A</definedName>
    <definedName name="BExU3UNI9NR1RNZR07NSLSZMDOQQ" hidden="1">#N/A</definedName>
    <definedName name="BExU401R18N6XKZKL7CNFOZQCM14" hidden="1">#N/A</definedName>
    <definedName name="BExU42QVGY7TK39W1BIN6CDRG2OE" hidden="1">#N/A</definedName>
    <definedName name="BExU44P2AEX6PD8VC4ISCROUCQSP" hidden="1">#N/A</definedName>
    <definedName name="BExU47OZMS6TCWMEHHF0UCSFLLPI" hidden="1">#N/A</definedName>
    <definedName name="BExU4D36E8TXN0M8KSNGEAFYP4DQ" hidden="1">#N/A</definedName>
    <definedName name="BExU4G31RRVLJ3AC6E1FNEFMXM3O" hidden="1">#N/A</definedName>
    <definedName name="BExU4GDVLPUEWBA4MRYRTQAUNO7B" hidden="1">#N/A</definedName>
    <definedName name="BExU4I148DA7PRCCISLWQ6ABXFK6" hidden="1">#N/A</definedName>
    <definedName name="BExU4L101H2KQHVKCKQ4PBAWZV6K" hidden="1">#N/A</definedName>
    <definedName name="BExU4NA00RRRBGRT6TOB0MXZRCRZ" hidden="1">#N/A</definedName>
    <definedName name="BExU51IFNZXPBDES28457LR8X60M" hidden="1">#N/A</definedName>
    <definedName name="BExU529I6YHVOG83TJHWSILIQU1S" hidden="1">#N/A</definedName>
    <definedName name="BExU57YCIKPRD8QWL6EU0YR3NG3J" hidden="1">#N/A</definedName>
    <definedName name="BExU5DSTBWXLN6E59B757KRWRI6E" hidden="1">#N/A</definedName>
    <definedName name="BExU5GHXELYT04RGYBR3TYVLLUYB" hidden="1">#N/A</definedName>
    <definedName name="BExU5RVXC6OM8W2ZWGYXVJVHX11T" hidden="1">#N/A</definedName>
    <definedName name="BExU5TDWM8NNDHYPQ7OQODTQ368A" hidden="1">#N/A</definedName>
    <definedName name="BExU5X4OX1V1XHS6WSSORVQPP6Z3" hidden="1">#N/A</definedName>
    <definedName name="BExU5XVPARTFMRYHNUTBKDIL4UJN" hidden="1">#N/A</definedName>
    <definedName name="BExU66KMFBAP8JCVG9VM1RD1TNFF" hidden="1">#N/A</definedName>
    <definedName name="BExU68IOM3CB3TACNAE9565TW7SH" hidden="1">#N/A</definedName>
    <definedName name="BExU6AM82KN21E82HMWVP3LWP9IL" hidden="1">#N/A</definedName>
    <definedName name="BExU6FEU1MRHU98R9YOJC5OKUJ6L" hidden="1">#N/A</definedName>
    <definedName name="BExU6KIAJ663Y8W8QMU4HCF183DF" hidden="1">#N/A</definedName>
    <definedName name="BExU6KT19B4PG6SHXFBGBPLM66KT" hidden="1">#N/A</definedName>
    <definedName name="BExU6PAVKIOAIMQ9XQIHHF1SUAGO" hidden="1">#N/A</definedName>
    <definedName name="BExU6WXXC7SSQDMHSLUN5C2V4IYX" hidden="1">#N/A</definedName>
    <definedName name="BExU73387E74XE8A9UKZLZNJYY65" hidden="1">#N/A</definedName>
    <definedName name="BExU76ZHCJM8I7VSICCMSTC33O6U" hidden="1">#N/A</definedName>
    <definedName name="BExU7BBTUF8BQ42DSGM94X5TG5GF" hidden="1">#N/A</definedName>
    <definedName name="BExU7HH4EAHFQHT4AXKGWAWZP3I0" hidden="1">#N/A</definedName>
    <definedName name="BExU7MF1ZVPDHOSMCAXOSYICHZ4I" hidden="1">#N/A</definedName>
    <definedName name="BExU7O2BJ6D5YCKEL6FD2EFCWYRX" hidden="1">#N/A</definedName>
    <definedName name="BExU7Q0JS9YIUKUPNSSAIDK2KJAV" hidden="1">#N/A</definedName>
    <definedName name="BExU80I6AE5OU7P7F5V7HWIZBJ4P" hidden="1">#N/A</definedName>
    <definedName name="BExU86NB26MCPYIISZ36HADONGT2" hidden="1">#N/A</definedName>
    <definedName name="BExU885EZZNSZV3GP298UJ8LB7OL" hidden="1">#N/A</definedName>
    <definedName name="BExU8FSAUP9TUZ1NO9WXK80QPHWV" hidden="1">#N/A</definedName>
    <definedName name="BExU8KFLAN778MBN93NYZB0FV30G" hidden="1">#N/A</definedName>
    <definedName name="BExU8UX9JX3XLB47YZ8GFXE0V7R2" hidden="1">#N/A</definedName>
    <definedName name="BExU91DC3DGKPZD6LTER2IRTF89C" hidden="1">#N/A</definedName>
    <definedName name="BExU96M1J7P9DZQ3S9H0C12KGYTW" hidden="1">#N/A</definedName>
    <definedName name="BExU9F05OR1GZ3057R6UL3WPEIYI" hidden="1">#N/A</definedName>
    <definedName name="BExU9GCSO5YILIKG6VAHN13DL75K" hidden="1">#N/A</definedName>
    <definedName name="BExU9KJOZLO15N11MJVN782NFGJ0" hidden="1">#N/A</definedName>
    <definedName name="BExU9LG29XU2K1GNKRO4438JYQZE" hidden="1">#N/A</definedName>
    <definedName name="BExU9RW36I5Z6JIXUIUB3PJH86LT" hidden="1">#N/A</definedName>
    <definedName name="BExUA28AO7OWDG3H23Q0CL4B7BHW" hidden="1">#N/A</definedName>
    <definedName name="BExUA5O923FFNEBY8BPO1TU3QGBM" hidden="1">#N/A</definedName>
    <definedName name="BExUA6Q4K25VH452AQ3ZIRBCMS61" hidden="1">#N/A</definedName>
    <definedName name="BExUAFV4JMBSM2SKBQL9NHL0NIBS" hidden="1">#N/A</definedName>
    <definedName name="BExUAMWQODKBXMRH1QCMJLJBF8M7" hidden="1">#N/A</definedName>
    <definedName name="BExUAX8WS5OPVLCDXRGKTU2QMTFO" hidden="1">#N/A</definedName>
    <definedName name="BExUB8HLEXSBVPZ5AXNQEK96F1N4" hidden="1">#N/A</definedName>
    <definedName name="BExUBCDVZIEA7YT0LPSMHL5ZSERQ" hidden="1">#N/A</definedName>
    <definedName name="BExUBKXBUCN760QYU7Q8GESBWOQH" hidden="1">#N/A</definedName>
    <definedName name="BExUBL83ED0P076RN9RJ8P1MZ299" hidden="1">#N/A</definedName>
    <definedName name="BExUC623BDYEODBN0N4DO6PJQ7NU" hidden="1">#N/A</definedName>
    <definedName name="BExUC8WH8TCKBB5313JGYYQ1WFLT" hidden="1">#N/A</definedName>
    <definedName name="BExUCFCDK6SPH86I6STXX8X3WMC4" hidden="1">#N/A</definedName>
    <definedName name="BExUCLC6AQ5KR6LXSAXV4QQ8ASVG" hidden="1">#N/A</definedName>
    <definedName name="BExUD4IOJ12X3PJG5WXNNGDRCKAP" hidden="1">#N/A</definedName>
    <definedName name="BExUD9WX9BWK72UWVSLYZJLAY5VY" hidden="1">#N/A</definedName>
    <definedName name="BExUDBEUJH9IACZDBL1VAUWPG0QW" hidden="1">#N/A</definedName>
    <definedName name="BExUDEV0CYVO7Y5IQQBEJ6FUY9S6" hidden="1">#N/A</definedName>
    <definedName name="BExUDWOXQGIZW0EAIIYLQUPXF8YV" hidden="1">#N/A</definedName>
    <definedName name="BExUDXAIC17W1FUU8Z10XUAVB7CS" hidden="1">#N/A</definedName>
    <definedName name="BExUE5OMY7OAJQ9WR8C8HG311ORP" hidden="1">#N/A</definedName>
    <definedName name="BExUEFKOQWXXGRNLAOJV2BJ66UB8" hidden="1">#N/A</definedName>
    <definedName name="BExUEJGX3OQQP5KFRJSRCZ70EI9V" hidden="1">#N/A</definedName>
    <definedName name="BExUEYR71COFS2X8PDNU21IPMQEU" hidden="1">#N/A</definedName>
    <definedName name="BExVPRLJ9I6RX45EDVFSQGCPJSOK" hidden="1">#N/A</definedName>
    <definedName name="BExVSL787C8E4HFQZ2NVLT35I2XV" hidden="1">#N/A</definedName>
    <definedName name="BExVSTFTVV14SFGHQUOJL5SQ5TX9" hidden="1">#N/A</definedName>
    <definedName name="BExVT3MPE8LQ5JFN3HQIFKSQ80U4" hidden="1">#N/A</definedName>
    <definedName name="BExVT7TRK3NZHPME2TFBXOF1WBR9" hidden="1">#N/A</definedName>
    <definedName name="BExVT9H0R0T7WGQAAC0HABMG54YM" hidden="1">#N/A</definedName>
    <definedName name="BExVTCMDDEDGLUIMUU6BSFHEWTOP" hidden="1">#N/A</definedName>
    <definedName name="BExVTCMDQMLKRA2NQR72XU6Y54IK" hidden="1">#N/A</definedName>
    <definedName name="BExVTCRV8FQ5U9OYWWL44N6KFNHU" hidden="1">#N/A</definedName>
    <definedName name="BExVTNESHPVG0A0KZ7BRX26MS0PF" hidden="1">#N/A</definedName>
    <definedName name="BExVTTJVTNRSBHBTUZ78WG2JM5MK" hidden="1">#N/A</definedName>
    <definedName name="BExVTXLMYR87BC04D1ERALPUFVPG" hidden="1">#N/A</definedName>
    <definedName name="BExVUL9V3H8ZF6Y72LQBBN639YAA" hidden="1">#N/A</definedName>
    <definedName name="BExVV5T14N2HZIK7HQ4P2KG09U0J" hidden="1">#N/A</definedName>
    <definedName name="BExVV7R410VYLADLX9LNG63ID6H1" hidden="1">#N/A</definedName>
    <definedName name="BExVVA03RCXYOCRVTNOLNEYWHIKZ" hidden="1">#N/A</definedName>
    <definedName name="BExVVCEED4JEKF59OV0G3T4XFMFO" hidden="1">#N/A</definedName>
    <definedName name="BExVVPFO2J7FMSRPD36909HN4BZJ" hidden="1">#N/A</definedName>
    <definedName name="BExVVQ19AQ3VCARJOC38SF7OYE9Y" hidden="1">#N/A</definedName>
    <definedName name="BExVVQ19TAECID45CS4HXT1RD3AQ" hidden="1">#N/A</definedName>
    <definedName name="BExVW3YV5XGIVJ97UUPDJGJ2P15B" hidden="1">#N/A</definedName>
    <definedName name="BExVW5X571GEYR5SCU1Z2DHKWM79" hidden="1">#N/A</definedName>
    <definedName name="BExVW6YTKA098AF57M4PHNQ54XMH" hidden="1">#N/A</definedName>
    <definedName name="BExVWINKCH0V0NUWH363SMXAZE62" hidden="1">#N/A</definedName>
    <definedName name="BExVWY3CO5X3NWO843J86GA3IJYS" hidden="1">#N/A</definedName>
    <definedName name="BExVWYU8EK669NP172GEIGCTVPPA" hidden="1">#N/A</definedName>
    <definedName name="BExVX3MVJ0GHWPP1EL59ZQNKMX0B" hidden="1">#N/A</definedName>
    <definedName name="BExVX3XN2DRJKL8EDBIG58RYQ36R" hidden="1">#N/A</definedName>
    <definedName name="BExVX48G0J7DY5O1U4DZPG8QY3H0" hidden="1">#N/A</definedName>
    <definedName name="BExVXDZ63PUART77BBR5SI63TPC6" hidden="1">#N/A</definedName>
    <definedName name="BExVXHKI6LFYMGWISMPACMO247HL" hidden="1">#N/A</definedName>
    <definedName name="BExVXLX2BZ5EF2X6R41BTKRJR1NM" hidden="1">#N/A</definedName>
    <definedName name="BExVY11V7U1SAY4QKYE0PBSPD7LW" hidden="1">#N/A</definedName>
    <definedName name="BExVY1SV37DL5YU59HS4IG3VBCP4" hidden="1">#N/A</definedName>
    <definedName name="BExVY3WFGJKSQA08UF9NCMST928Y" hidden="1">#N/A</definedName>
    <definedName name="BExVY954UOEVQEIC5OFO4NEWVKAQ" hidden="1">#N/A</definedName>
    <definedName name="BExVYHDYIV5397LC02V4FEP8VD6W" hidden="1">#N/A</definedName>
    <definedName name="BExVYOVIZDA18YIQ0A30Q052PCAK" hidden="1">#N/A</definedName>
    <definedName name="BExVYQIXPEM6J4JVP78BRHIC05PV" hidden="1">#N/A</definedName>
    <definedName name="BExVYVGWN7SONLVDH9WJ2F1JS264" hidden="1">#N/A</definedName>
    <definedName name="BExVZ9EO732IK6MNMG17Y1EFTJQC" hidden="1">#N/A</definedName>
    <definedName name="BExVZB1Y5J4UL2LKK0363EU7GIJ1" hidden="1">#N/A</definedName>
    <definedName name="BExVZJQVO5LQ0BJH5JEN5NOBIAF6" hidden="1">#N/A</definedName>
    <definedName name="BExVZNXWS91RD7NXV5NE2R3C8WW7" hidden="1">#N/A</definedName>
    <definedName name="BExW0386REQRCQCVT9BCX80UPTRY" hidden="1">#N/A</definedName>
    <definedName name="BExW0FYP4WXY71CYUG40SUBG9UWU" hidden="1">#N/A</definedName>
    <definedName name="BExW0RI61B4VV0ARXTFVBAWRA1C5" hidden="1">#N/A</definedName>
    <definedName name="BExW1BVUYQTKMOR56MW7RVRX4L1L" hidden="1">#N/A</definedName>
    <definedName name="BExW1F1220628FOMTW5UAATHRJHK" hidden="1">#N/A</definedName>
    <definedName name="BExW1TKA0Z9OP2DTG50GZR5EG8C7" hidden="1">#N/A</definedName>
    <definedName name="BExW1U0JLKQ094DW5MMOI8UHO09V" hidden="1">#N/A</definedName>
    <definedName name="BExW283NP9D366XFPXLGSCI5UB0L" hidden="1">#N/A</definedName>
    <definedName name="BExW2H3C8WJSBW5FGTFKVDVJC4CL" hidden="1">#N/A</definedName>
    <definedName name="BExW2MSCKPGF5K3I7TL4KF5ISUOL" hidden="1">#N/A</definedName>
    <definedName name="BExW2SMO90FU9W8DVVES6Q4E6BZR" hidden="1">#N/A</definedName>
    <definedName name="BExW36V9N91OHCUMGWJQL3I5P4JK" hidden="1">#N/A</definedName>
    <definedName name="BExW3EIBA1J9Q9NA9VCGZGRS8WV7" hidden="1">#N/A</definedName>
    <definedName name="BExW3FEO8FI8N6AGQKYEG4SQVJWB" hidden="1">#N/A</definedName>
    <definedName name="BExW3GB28STOMJUSZEIA7YKYNS4Y" hidden="1">#N/A</definedName>
    <definedName name="BExW3T1K638HT5E0Y8MMK108P5JT" hidden="1">#N/A</definedName>
    <definedName name="BExW4217ZHL9VO39POSTJOD090WU" hidden="1">#N/A</definedName>
    <definedName name="BExW4GPW71EBF8XPS2QGVQHBCDX3" hidden="1">#N/A</definedName>
    <definedName name="BExW4JKC5837JBPCOJV337ZVYYY3" hidden="1">#N/A</definedName>
    <definedName name="BExW4QR9FV9MP5K610THBSM51RYO" hidden="1">#N/A</definedName>
    <definedName name="BExW4Z029R9E19ZENN3WEA3VDAD1" hidden="1">#N/A</definedName>
    <definedName name="BExW5AZNT6IAZGNF2C879ODHY1B8" hidden="1">#N/A</definedName>
    <definedName name="BExW5WPU27WD4NWZOT0ZEJIDLX5J" hidden="1">#N/A</definedName>
    <definedName name="BExW660AV1TUV2XNUPD65RZR3QOO" hidden="1">#N/A</definedName>
    <definedName name="BExW66LVVZK656PQY1257QMHP2AY" hidden="1">#N/A</definedName>
    <definedName name="BExW6EJPHAP1TWT380AZLXNHR22P" hidden="1">#N/A</definedName>
    <definedName name="BExW6G1PJ38H10DVLL8WPQ736OEB" hidden="1">#N/A</definedName>
    <definedName name="BExW794A74Z5F2K8LVQLD6VSKXUE" hidden="1">#N/A</definedName>
    <definedName name="BExW8K0SSIPSKBVP06IJ71600HJZ" hidden="1">#N/A</definedName>
    <definedName name="BExW8NM8DJJESE7GF7VGTO2XO6P1" hidden="1">#N/A</definedName>
    <definedName name="BExW8T0GVY3ZYO4ACSBLHS8SH895" hidden="1">#N/A</definedName>
    <definedName name="BExW8YEP73JMMU9HZ08PM4WHJQZ4" hidden="1">#N/A</definedName>
    <definedName name="BExW937AT53OZQRHNWQZ5BVH24IE" hidden="1">#N/A</definedName>
    <definedName name="BExW95LN5N0LYFFVP7GJEGDVDLF0" hidden="1">#N/A</definedName>
    <definedName name="BExW967733Q8RAJOHR2GJ3HO8JIW" hidden="1">#N/A</definedName>
    <definedName name="BExW9POK1KIOI0ALS5MZIKTDIYMA" hidden="1">#N/A</definedName>
    <definedName name="BExW9TVLB7OIHTG98I7I4EXBL61S" hidden="1">#N/A</definedName>
    <definedName name="BExXLDE6PN4ESWT3LXJNQCY94NE4" hidden="1">#N/A</definedName>
    <definedName name="BExXLQVPK2H3IF0NDDA5CT612EUK" hidden="1">#N/A</definedName>
    <definedName name="BExXLR6IO70TYTACKQH9M5PGV24J" hidden="1">#N/A</definedName>
    <definedName name="BExXM065WOLYRYHGHOJE0OOFXA4M" hidden="1">#N/A</definedName>
    <definedName name="BExXM3GUNXVDM82KUR17NNUMQCNI" hidden="1">#N/A</definedName>
    <definedName name="BExXMA28M8SH7MKIGETSDA72WUIZ" hidden="1">#N/A</definedName>
    <definedName name="BExXMOLHIAHDLFSA31PUB36SC3I9" hidden="1">#N/A</definedName>
    <definedName name="BExXMT8T5Z3M2JBQN65X2LKH0YQI" hidden="1">#N/A</definedName>
    <definedName name="BExXN1XNO7H60M9X1E7EVWFJDM5N" hidden="1">#N/A</definedName>
    <definedName name="BExXN22ZOTIW49GPLWFYKVM90FNZ" hidden="1">#N/A</definedName>
    <definedName name="BExXN4C031W9DK73MJHKL8YT1QA8" hidden="1">#N/A</definedName>
    <definedName name="BExXN6QAP8UJQVN4R4BQKPP4QK35" hidden="1">#N/A</definedName>
    <definedName name="BExXNBOA39T2X6Y5Y5GZ5DDNA1AX" hidden="1">#N/A</definedName>
    <definedName name="BExXND6872VJ3M2PGT056WQMWBHD" hidden="1">#N/A</definedName>
    <definedName name="BExXNPM24UN2PGVL9D1TUBFRIKR4" hidden="1">#N/A</definedName>
    <definedName name="BExXNWYB165VO9MHARCL5WLCHWS0" hidden="1">#N/A</definedName>
    <definedName name="BExXO278QHQN8JDK5425EJ615ECC" hidden="1">#N/A</definedName>
    <definedName name="BExXOBHOP0WGFHI2Y9AO4L440UVQ" hidden="1">#N/A</definedName>
    <definedName name="BExXOHSAD2NSHOLLMZ2JWA4I3I1R" hidden="1">#N/A</definedName>
    <definedName name="BExXP80B5FGA00JCM7UXKPI3PB7Y" hidden="1">#N/A</definedName>
    <definedName name="BExXP85M4WXYVN1UVHUTOEKEG5XS" hidden="1">#N/A</definedName>
    <definedName name="BExXPELOTHOAG0OWILLAH94OZV5J" hidden="1">#N/A</definedName>
    <definedName name="BExXPS31W1VD2NMIE4E37LHVDF0L" hidden="1">#N/A</definedName>
    <definedName name="BExXPZKYEMVF5JOC14HYOOYQK6JK" hidden="1">#N/A</definedName>
    <definedName name="BExXQ89PA10X79WBWOEP1AJX1OQM" hidden="1">#N/A</definedName>
    <definedName name="BExXQCGQGGYSI0LTRVR73MUO50AW" hidden="1">#N/A</definedName>
    <definedName name="BExXQEEXFHDQ8DSRAJSB5ET6J004" hidden="1">#N/A</definedName>
    <definedName name="BExXQH41O5HZAH8BO6HCFY8YC3TU" hidden="1">#N/A</definedName>
    <definedName name="BExXQIRBLQSLAJTFL7224FCFUTKH" hidden="1">#N/A</definedName>
    <definedName name="BExXQJIEF5R3QQ6D8HO3NGPU0IQC" hidden="1">#N/A</definedName>
    <definedName name="BExXQU00K9ER4I1WM7T9J0W1E7ZC" hidden="1">#N/A</definedName>
    <definedName name="BExXQU00KOR7XLM8B13DGJ1MIQDY" hidden="1">#N/A</definedName>
    <definedName name="BExXQXG18PS8HGBOS03OSTQ0KEYC" hidden="1">#N/A</definedName>
    <definedName name="BExXQXQT4OAFQT5B0YB3USDJOJOB" hidden="1">#N/A</definedName>
    <definedName name="BExXR3FSEXAHSXEQNJORWFCPX86N" hidden="1">#N/A</definedName>
    <definedName name="BExXR3W3FKYQBLR299HO9RZ70C43" hidden="1">#N/A</definedName>
    <definedName name="BExXR46U23CRRBV6IZT982MAEQKI" hidden="1">#N/A</definedName>
    <definedName name="BExXR8OKAVX7O70V5IYG2PRKXSTI" hidden="1">#N/A</definedName>
    <definedName name="BExXRA6N6XCLQM6XDV724ZIH6G93" hidden="1">#N/A</definedName>
    <definedName name="BExXRABZ1CNKCG6K1MR6OUFHF7J9" hidden="1">#N/A</definedName>
    <definedName name="BExXRBOFETC0OTJ6WY3VPMFH03VB" hidden="1">#N/A</definedName>
    <definedName name="BExXRD13K1S9Y3JGR7CXSONT7RJZ" hidden="1">#N/A</definedName>
    <definedName name="BExXRIFB4QQ87QIGA9AG0NXP577K" hidden="1">#N/A</definedName>
    <definedName name="BExXRIQ2JF2CVTRDQX2D9SPH7FTN" hidden="1">#N/A</definedName>
    <definedName name="BExXRO4A6VUH1F4XV8N1BRJ4896W" hidden="1">#N/A</definedName>
    <definedName name="BExXRO9N1SNJZGKD90P4K7FU1J0P" hidden="1">#N/A</definedName>
    <definedName name="BExXRV5QP3Z0KAQ1EQT9JYT2FV0L" hidden="1">#N/A</definedName>
    <definedName name="BExXRZ20LZZCW8LVGDK0XETOTSAI" hidden="1">#N/A</definedName>
    <definedName name="BExXRZNM651EJ5HJPGKGTVYLAZQ1" hidden="1">#N/A</definedName>
    <definedName name="BExXS63O4OMWMNXXAODZQFSDG33N" hidden="1">#N/A</definedName>
    <definedName name="BExXSBSP1TOY051HSPEPM0AEIO2M" hidden="1">#N/A</definedName>
    <definedName name="BExXSC8RFK5D68FJD2HI4K66SA6I" hidden="1">#N/A</definedName>
    <definedName name="BExXSNHC88W4UMXEOIOOATJAIKZO" hidden="1">#N/A</definedName>
    <definedName name="BExXSTBS08WIA9TLALV3UQ2Z3MRG" hidden="1">#N/A</definedName>
    <definedName name="BExXSVQ2WOJJ73YEO8Q2FK60V4G8" hidden="1">#N/A</definedName>
    <definedName name="BExXTHLRNL82GN7KZY3TOLO508N7" hidden="1">#N/A</definedName>
    <definedName name="BExXTL72MKEQSQH9L2OTFLU8DM2B" hidden="1">#N/A</definedName>
    <definedName name="BExXTM3M4RTCRSX7VGAXGQNPP668" hidden="1">#N/A</definedName>
    <definedName name="BExXTOCF78J7WY6FOVBRY1N2RBBR" hidden="1">#N/A</definedName>
    <definedName name="BExXTP3GYO6Z9RTKKT10XA0UTV3T" hidden="1">#N/A</definedName>
    <definedName name="BExXTZKZ4CG92ZQLIRKEXXH9BFIR" hidden="1">#N/A</definedName>
    <definedName name="BExXU4J2BM2964GD5UZHM752Q4NS" hidden="1">#N/A</definedName>
    <definedName name="BExXU6XDTT7RM93KILIDEYPA9XKF" hidden="1">#N/A</definedName>
    <definedName name="BExXU8VLZA7WLPZ3RAQZGNERUD26" hidden="1">#N/A</definedName>
    <definedName name="BExXUB9RSLSCNN5ETLXY72DAPZZM" hidden="1">#N/A</definedName>
    <definedName name="BExXUFRM82XQIN2T8KGLDQL1IBQW" hidden="1">#N/A</definedName>
    <definedName name="BExXUQEQBF6FI240ZGIF9YXZSRAU" hidden="1">#N/A</definedName>
    <definedName name="BExXUYND6EJO7CJ5KRICV4O1JNWK" hidden="1">#N/A</definedName>
    <definedName name="BExXV6FWG4H3S2QEUJZYIXILNGJ7" hidden="1">#N/A</definedName>
    <definedName name="BExXVK87BMMO6LHKV0CFDNIQVIBS" hidden="1">#N/A</definedName>
    <definedName name="BExXVKZ9WXPGL6IVY6T61IDD771I" hidden="1">#N/A</definedName>
    <definedName name="BExXW0K72T1Y8K1I4VZT87UY9S2G" hidden="1">#N/A</definedName>
    <definedName name="BExXW27MMXHXUXX78SDTBE1JYTHT" hidden="1">#N/A</definedName>
    <definedName name="BExXW2YIM2MYBSHRIX0RP9D4PRMN" hidden="1">#N/A</definedName>
    <definedName name="BExXWBNE4KTFSXKVSRF6WX039WPB" hidden="1">#N/A</definedName>
    <definedName name="BExXWFP5AYE7EHYTJWBZSQ8PQ0YX" hidden="1">#N/A</definedName>
    <definedName name="BExXWVFIBQT8OY1O41FRFPFGXQHK" hidden="1">#N/A</definedName>
    <definedName name="BExXWWXHBZHA9J3N8K47F84X0M0L" hidden="1">#N/A</definedName>
    <definedName name="BExXXBM521DL8R4ZX7NZ3DBCUOR5" hidden="1">#N/A</definedName>
    <definedName name="BExXXC7OZI33XZ03NRMEP7VRLQK4" hidden="1">#N/A</definedName>
    <definedName name="BExXXH5N3NKBQ7BCJPJTBF8CYM2Q" hidden="1">#N/A</definedName>
    <definedName name="BExXXKWLM4D541BH6O8GOJMHFHMW" hidden="1">#N/A</definedName>
    <definedName name="BExXXPPA1Q87XPI97X0OXCPBPDON" hidden="1">#N/A</definedName>
    <definedName name="BExXXVUDA98IZTQ6MANKU4MTTDVR" hidden="1">#N/A</definedName>
    <definedName name="BExXXZQNZY6IZI45DJXJK0MQZWA7" hidden="1">#N/A</definedName>
    <definedName name="BExXY5QFG6QP94SFT3935OBM8Y4K" hidden="1">#N/A</definedName>
    <definedName name="BExXY7TYEBFXRYUYIFHTN65RJ8EW" hidden="1">#N/A</definedName>
    <definedName name="BExXYLBHANUXC5FCTDDTGOVD3GQS" hidden="1">#N/A</definedName>
    <definedName name="BExXYMNYAYH3WA2ZCFAYKZID9ZCI" hidden="1">#N/A</definedName>
    <definedName name="BExXYYT12SVN2VDMLVNV4P3ISD8T" hidden="1">#N/A</definedName>
    <definedName name="BExXZEDWUYH25UZMW2QU2RXFILJE" hidden="1">#N/A</definedName>
    <definedName name="BExXZFVV4YB42AZ3H1I40YG3JAPU" hidden="1">#N/A</definedName>
    <definedName name="BExXZHJ9T2JELF12CHHGD54J1B0C" hidden="1">#N/A</definedName>
    <definedName name="BExXZNJ2X1TK2LRK5ZY3MX49H5T7" hidden="1">#N/A</definedName>
    <definedName name="BExXZOVPCEP495TQSON6PSRQ8XCY" hidden="1">#N/A</definedName>
    <definedName name="BExXZXKH7NBARQQAZM69Z57IH1MM" hidden="1">#N/A</definedName>
    <definedName name="BExY07WSDH5QEVM7BJXJK2ZRAI1O" hidden="1">#N/A</definedName>
    <definedName name="BExY0C3UBVC4M59JIRXVQ8OWAJC1" hidden="1">#N/A</definedName>
    <definedName name="BExY0OE8GFHMLLTEAFIOQTOPEVPB" hidden="1">#N/A</definedName>
    <definedName name="BExY0OJHW85S0VKBA8T4HTYPYBOS" hidden="1">#N/A</definedName>
    <definedName name="BExY0T1E034D7XAXNC6F7540LLIE" hidden="1">#N/A</definedName>
    <definedName name="BExY0XTZLHN49J2JH94BYTKBJLT3" hidden="1">#N/A</definedName>
    <definedName name="BExY11FH9TXHERUYGG8FE50U7H7J" hidden="1">#N/A</definedName>
    <definedName name="BExY180UKNW5NIAWD6ZUYTFEH8QS" hidden="1">#N/A</definedName>
    <definedName name="BExY1DPTV4LSY9MEOUGXF8X052NA" hidden="1">#N/A</definedName>
    <definedName name="BExY1GK9ELBEKDD7O6HR6DUO8YGO" hidden="1">#N/A</definedName>
    <definedName name="BExY1NWOXXFV9GGZ3PX444LZ8TVX" hidden="1">#N/A</definedName>
    <definedName name="BExY1UCL0RND63LLSM9X5SFRG117" hidden="1">#N/A</definedName>
    <definedName name="BExY1WAT3937L08HLHIRQHMP2A3H" hidden="1">#N/A</definedName>
    <definedName name="BExY1YEBOSLMID7LURP8QB46AI91" hidden="1">#N/A</definedName>
    <definedName name="BExY2FS4LFX9OHOTQT7SJ2PXAC25" hidden="1">#N/A</definedName>
    <definedName name="BExY2GDPCZPVU0IQ6IJIB1YQQRQ6" hidden="1">#N/A</definedName>
    <definedName name="BExY2GTSZ3VA9TXLY7KW1LIAKJ61" hidden="1">#N/A</definedName>
    <definedName name="BExY2IXBR1SGYZH08T7QHKEFS8HA" hidden="1">#N/A</definedName>
    <definedName name="BExY2Q4B5FUDA5VU4VRUHX327QN0" hidden="1">#N/A</definedName>
    <definedName name="BExY3HOSK7YI364K15OX70AVR6F1" hidden="1">#N/A</definedName>
    <definedName name="BExY3T89AUR83SOAZZ3OMDEJDQ39" hidden="1">#N/A</definedName>
    <definedName name="BExY4MG771JQ84EMIVB6HQGGHZY7" hidden="1">#N/A</definedName>
    <definedName name="BExY4PWCSFB8P3J3TBQB2MD67263" hidden="1">#N/A</definedName>
    <definedName name="BExY4RZW3KK11JLYBA4DWZ92M6LQ" hidden="1">#N/A</definedName>
    <definedName name="BExY4XOVTTNVZ577RLIEC7NZQFIX" hidden="1">#N/A</definedName>
    <definedName name="BExY50JAF5CG01GTHAUS7I4ZLUDC" hidden="1">#N/A</definedName>
    <definedName name="BExY53J7EXFEOFTRNAHLK7IH3ACB" hidden="1">#N/A</definedName>
    <definedName name="BExY5515SJTJS3VM80M3YYR0WF37" hidden="1">#N/A</definedName>
    <definedName name="BExY5515WE39FQ3EG5QHG67V9C0O" hidden="1">#N/A</definedName>
    <definedName name="BExY5986WNAD8NFCPXC9TVLBU4FG" hidden="1">#N/A</definedName>
    <definedName name="BExY5DF9MS25IFNWGJ1YAS5MDN8R" hidden="1">#N/A</definedName>
    <definedName name="BExY5ERVGL3UM2MGT8LJ0XPKTZEK" hidden="1">#N/A</definedName>
    <definedName name="BExY5EX6NJFK8W754ZVZDN5DS04K" hidden="1">#N/A</definedName>
    <definedName name="BExY5S3XD1NJT109CV54IFOHVLQ6" hidden="1">#N/A</definedName>
    <definedName name="BExY5TB2VAI3GHKCPXMCVIOM8B8W" hidden="1">#N/A</definedName>
    <definedName name="BExY6KVS1MMZ2R34PGEFR2BMTU9W" hidden="1">#N/A</definedName>
    <definedName name="BExY6Q9YY7LW745GP7CYOGGSPHGE" hidden="1">#N/A</definedName>
    <definedName name="BExZIA3C8LKJTEH3MKQ57KJH5TA2" hidden="1">#N/A</definedName>
    <definedName name="BExZIIHH3QNQE3GFMHEE4UMHY6WQ" hidden="1">#N/A</definedName>
    <definedName name="BExZIYO22G5UXOB42GDLYGVRJ6U7" hidden="1">#N/A</definedName>
    <definedName name="BExZJ7I9T8XU4MZRKJ1VVU76V2LZ" hidden="1">#N/A</definedName>
    <definedName name="BExZJMY170JCUU1RWASNZ1HJPRTA" hidden="1">#N/A</definedName>
    <definedName name="BExZJOQR77H0P4SUKVYACDCFBBXO" hidden="1">#N/A</definedName>
    <definedName name="BExZJS6RG34ODDY9HMZ0O34MEMSB" hidden="1">#N/A</definedName>
    <definedName name="BExZK34NR4BAD7HJAP7SQ926UQP3" hidden="1">#N/A</definedName>
    <definedName name="BExZK3FGPHH5H771U7D5XY7XBS6E" hidden="1">#N/A</definedName>
    <definedName name="BExZKHYORG3O8C772XPFHM1N8T80" hidden="1">#N/A</definedName>
    <definedName name="BExZKJRF2IRR57DG9CLC7MSHWNNN" hidden="1">#N/A</definedName>
    <definedName name="BExZKV5GYXO0X760SBD9TWTIQHGI" hidden="1">#N/A</definedName>
    <definedName name="BExZL6E4YVXRUN7ZGF2BIGIXFR8K" hidden="1">#N/A</definedName>
    <definedName name="BExZL86OPAG90V0ZDTTEQBWIWATW" hidden="1">#N/A</definedName>
    <definedName name="BExZLGVLMKTPFXG42QYT0PO81G7F" hidden="1">#N/A</definedName>
    <definedName name="BExZLKMK7LRK14S09WLMH7MXSQXM" hidden="1">#N/A</definedName>
    <definedName name="BExZM7JVLG0W8EG5RBU915U3SKBY" hidden="1">#N/A</definedName>
    <definedName name="BExZM85FOVUFF110XMQ9O2ODSJUK" hidden="1">#N/A</definedName>
    <definedName name="BExZMF1MMTZ1TA14PZ8ASSU2CBSP" hidden="1">#N/A</definedName>
    <definedName name="BExZMKL5YQZD7F0FUCSVFGLPFK52" hidden="1">#N/A</definedName>
    <definedName name="BExZMOC3VNZALJM71X2T6FV91GTB" hidden="1">#N/A</definedName>
    <definedName name="BExZMXH39OB0I43XEL3K11U3G9PM" hidden="1">#N/A</definedName>
    <definedName name="BExZMZQ3RBKDHT5GLFNLS52OSJA0" hidden="1">#N/A</definedName>
    <definedName name="BExZN2F7Y2J2L2LN5WZRG949MS4A" hidden="1">#N/A</definedName>
    <definedName name="BExZN847WUWKRYTZWG9TCQZJS3OL" hidden="1">#N/A</definedName>
    <definedName name="BExZNH3VISFF4NQI11BZDP5IQ7VG" hidden="1">#N/A</definedName>
    <definedName name="BExZNJYCFYVMAOI62GB2BABK1ELE" hidden="1">#N/A</definedName>
    <definedName name="BExZNV707LIU6Z5H6QI6H67LHTI1" hidden="1">#N/A</definedName>
    <definedName name="BExZNVCBKB930QQ9QW7KSGOZ0V1M" hidden="1">#N/A</definedName>
    <definedName name="BExZNW8QJ18X0RSGFDWAE9ZSDX39" hidden="1">#N/A</definedName>
    <definedName name="BExZNZDWRS6Q40L8OCWFEIVI0A1O" hidden="1">#N/A</definedName>
    <definedName name="BExZOBO9NYLGVJQ31LVQ9XS2ZT4N" hidden="1">#N/A</definedName>
    <definedName name="BExZOETNB1CJ3Y2RKLI1ZK0S8Z6H" hidden="1">#N/A</definedName>
    <definedName name="BExZOL9K1RUXBTLZ6FJ65BIE9G5R" hidden="1">#N/A</definedName>
    <definedName name="BExZOREMVSK4E5VSWM838KHUB8AI" hidden="1">#N/A</definedName>
    <definedName name="BExZOVR745T5P1KS9NV2PXZPZVRG" hidden="1">#N/A</definedName>
    <definedName name="BExZOZSWGLSY2XYVRIS6VSNJDSGD" hidden="1">#N/A</definedName>
    <definedName name="BExZP7AIJKLM6C6CSUIIFAHFBNX2" hidden="1">#N/A</definedName>
    <definedName name="BExZPQ0XY507N8FJMVPKCTK8HC9H" hidden="1">#N/A</definedName>
    <definedName name="BExZQ37OVBR25U32CO2YYVPZOMR5" hidden="1">#N/A</definedName>
    <definedName name="BExZQ3IHNAFF2HI20IH754T349LH" hidden="1">#N/A</definedName>
    <definedName name="BExZQ3NT7H06VO0AR48WHZULZB93" hidden="1">#N/A</definedName>
    <definedName name="BExZQ7PJU07SEJMDX18U9YVDC2GU" hidden="1">#N/A</definedName>
    <definedName name="BExZQIHTGHK7OOI2Y2PN3JYBY82I" hidden="1">#N/A</definedName>
    <definedName name="BExZQJJMGU5MHQOILGXGJPAQI5XI" hidden="1">#N/A</definedName>
    <definedName name="BExZQXBYEBN28QUH1KOVW6KKA5UM" hidden="1">#N/A</definedName>
    <definedName name="BExZQZKT146WEN8FTVZ7Y5TSB8L5" hidden="1">#N/A</definedName>
    <definedName name="BExZR485AKBH93YZ08CMUC3WROED" hidden="1">#N/A</definedName>
    <definedName name="BExZR7TL98P2PPUVGIZYR5873DWW" hidden="1">#N/A</definedName>
    <definedName name="BExZRGD1603X5ACFALUUDKCD7X48" hidden="1">#N/A</definedName>
    <definedName name="BExZRP1X6UVLN1UOLHH5VF4STP1O" hidden="1">#N/A</definedName>
    <definedName name="BExZRQ930U6OCYNV00CH5I0Q4LPE" hidden="1">#N/A</definedName>
    <definedName name="BExZRW8W514W8OZ72YBONYJ64GXF" hidden="1">#N/A</definedName>
    <definedName name="BExZRWJP2BUVFJPO8U8ATQEP0LZU" hidden="1">#N/A</definedName>
    <definedName name="BExZS2OY9JTSSP01ZQ6V2T2LO5R9" hidden="1">#N/A</definedName>
    <definedName name="BExZSI9USDLZAN8LI8M4YYQL24GZ" hidden="1">#N/A</definedName>
    <definedName name="BExZSS0LA2JY4ZLJ1Z5YCMLJJZCH" hidden="1">#N/A</definedName>
    <definedName name="BExZTAQV2QVSZY5Y3VCCWUBSBW9P" hidden="1">#N/A</definedName>
    <definedName name="BExZTHSI2FX56PWRSNX9H5EWTZFO" hidden="1">#N/A</definedName>
    <definedName name="BExZTJL3HVBFY139H6CJHEQCT1EL" hidden="1">#N/A</definedName>
    <definedName name="BExZTLOL8OPABZI453E0KVNA1GJS" hidden="1">#N/A</definedName>
    <definedName name="BExZTT6J3X0TOX0ZY6YPLUVMCW9X" hidden="1">#N/A</definedName>
    <definedName name="BExZTW6ECBRA0BBITWBQ8R93RMCL" hidden="1">#N/A</definedName>
    <definedName name="BExZU2BHYAOKSCBM3C5014ZF6IXS" hidden="1">#N/A</definedName>
    <definedName name="BExZU2RMJTXOCS0ROPMYPE6WTD87" hidden="1">#N/A</definedName>
    <definedName name="BExZUF7G8FENTJKH9R1XUWXM6CWD" hidden="1">#N/A</definedName>
    <definedName name="BExZUNARUJBIZ08VCAV3GEVBIR3D" hidden="1">#N/A</definedName>
    <definedName name="BExZUSZT5496UMBP4LFSLTR1GVEW" hidden="1">#N/A</definedName>
    <definedName name="BExZUT54340I38GVCV79EL116WR0" hidden="1">#N/A</definedName>
    <definedName name="BExZUYDULCX65H9OZ9JHPBNKF3MI" hidden="1">#N/A</definedName>
    <definedName name="BExZV2QD5ZDK3AGDRULLA7JB46C3" hidden="1">#N/A</definedName>
    <definedName name="BExZVBQ29OM0V8XAL3HL0JIM0MMU" hidden="1">#N/A</definedName>
    <definedName name="BExZVEPYS6HYXG8RN9GMWZTHDEMK" hidden="1">#N/A</definedName>
    <definedName name="BExZVLM4T9ORS4ZWHME46U4Q103C" hidden="1">#N/A</definedName>
    <definedName name="BExZVM7OZWPPRH5YQW50EYMMIW1A" hidden="1">#N/A</definedName>
    <definedName name="BExZVPYGX2C5OSHMZ6F0KBKZ6B1S" hidden="1">#N/A</definedName>
    <definedName name="BExZW5UARC8W9AQNLJX2I5WQWS5F" hidden="1">#N/A</definedName>
    <definedName name="BExZW7HRGN6A9YS41KI2B2UUMJ7X" hidden="1">#N/A</definedName>
    <definedName name="BExZW8ZPNV43UXGOT98FDNIBQHZY" hidden="1">#N/A</definedName>
    <definedName name="BExZWKZ5N3RDXU8MZ8HQVYYD8O0F" hidden="1">#N/A</definedName>
    <definedName name="BExZWSMC9T48W74GFGQCIUJ8ZPP3" hidden="1">#N/A</definedName>
    <definedName name="BExZWSRO5IH95ZIQHYWYAIR2KTHZ" hidden="1">#N/A</definedName>
    <definedName name="BExZWUF2V4HY3HI8JN9ZVPRWK1H3" hidden="1">#N/A</definedName>
    <definedName name="BExZWX45URTK9KYDJHEXL1OTZ833" hidden="1">#N/A</definedName>
    <definedName name="BExZX0EWQEZO86WDAD9A4EAEZ012" hidden="1">#N/A</definedName>
    <definedName name="BExZX2T6ZT2DZLYSDJJBPVIT5OK2" hidden="1">#N/A</definedName>
    <definedName name="BExZXIZTDXSZH0SBRX0VGUUXA1QO" hidden="1">#N/A</definedName>
    <definedName name="BExZXOJDELULNLEH7WG0OYJT0NJ4" hidden="1">#N/A</definedName>
    <definedName name="BExZXOOTRNUK8LGEAZ8ZCFW9KXQ1" hidden="1">#N/A</definedName>
    <definedName name="BExZXT6JOXNKEDU23DKL8XZAJZIH" hidden="1">#N/A</definedName>
    <definedName name="BExZXUTYW1HWEEZ1LIX4OQWC7HL1" hidden="1">#N/A</definedName>
    <definedName name="BExZXY4NKQL9QD76YMQJ15U1C2G8" hidden="1">#N/A</definedName>
    <definedName name="BExZXYQ7U5G08FQGUIGYT14QCBOF" hidden="1">#N/A</definedName>
    <definedName name="BExZY02V77YJBMODJSWZOYCMPS5X" hidden="1">#N/A</definedName>
    <definedName name="BExZY49QRZIR6CA41LFA9LM6EULU" hidden="1">#N/A</definedName>
    <definedName name="BExZY9NZ9415O79KFHWAJHGK3BE6" hidden="1">#N/A</definedName>
    <definedName name="BExZZ2FQA9A8C7CJKMEFQ9VPSLCE" hidden="1">#N/A</definedName>
    <definedName name="BExZZCHAVHW8C2H649KRGVQ0WVRT" hidden="1">#N/A</definedName>
    <definedName name="BExZZTK54OTLF2YB68BHGOS27GEN" hidden="1">#N/A</definedName>
    <definedName name="BExZZXB3JQQG4SIZS4MRU6NNW7HI" hidden="1">#N/A</definedName>
    <definedName name="BExZZZEMIIFKMLLV4DJKX5TB9R5V" hidden="1">#N/A</definedName>
    <definedName name="bg" localSheetId="12" hidden="1">{#N/A,#N/A,TRUE,"Summary - 1";#N/A,#N/A,TRUE,"Summary - 2";#N/A,#N/A,TRUE,"Group Analysis";#N/A,#N/A,TRUE,"FM Analysis";#N/A,#N/A,TRUE,"T&amp;M-Onsite";#N/A,#N/A,TRUE,"FP-Onsite";#N/A,#N/A,TRUE,"NB-Onsite";#N/A,#N/A,TRUE,"T&amp;M-Offshore";#N/A,#N/A,TRUE,"FP-Offshore";#N/A,#N/A,TRUE,"Appendix-A";#N/A,#N/A,TRUE,"Appendix-B"}</definedName>
    <definedName name="bg" localSheetId="19" hidden="1">{#N/A,#N/A,TRUE,"Summary - 1";#N/A,#N/A,TRUE,"Summary - 2";#N/A,#N/A,TRUE,"Group Analysis";#N/A,#N/A,TRUE,"FM Analysis";#N/A,#N/A,TRUE,"T&amp;M-Onsite";#N/A,#N/A,TRUE,"FP-Onsite";#N/A,#N/A,TRUE,"NB-Onsite";#N/A,#N/A,TRUE,"T&amp;M-Offshore";#N/A,#N/A,TRUE,"FP-Offshore";#N/A,#N/A,TRUE,"Appendix-A";#N/A,#N/A,TRUE,"Appendix-B"}</definedName>
    <definedName name="bg" localSheetId="11" hidden="1">{#N/A,#N/A,TRUE,"Summary - 1";#N/A,#N/A,TRUE,"Summary - 2";#N/A,#N/A,TRUE,"Group Analysis";#N/A,#N/A,TRUE,"FM Analysis";#N/A,#N/A,TRUE,"T&amp;M-Onsite";#N/A,#N/A,TRUE,"FP-Onsite";#N/A,#N/A,TRUE,"NB-Onsite";#N/A,#N/A,TRUE,"T&amp;M-Offshore";#N/A,#N/A,TRUE,"FP-Offshore";#N/A,#N/A,TRUE,"Appendix-A";#N/A,#N/A,TRUE,"Appendix-B"}</definedName>
    <definedName name="bg" localSheetId="32" hidden="1">{#N/A,#N/A,TRUE,"Summary - 1";#N/A,#N/A,TRUE,"Summary - 2";#N/A,#N/A,TRUE,"Group Analysis";#N/A,#N/A,TRUE,"FM Analysis";#N/A,#N/A,TRUE,"T&amp;M-Onsite";#N/A,#N/A,TRUE,"FP-Onsite";#N/A,#N/A,TRUE,"NB-Onsite";#N/A,#N/A,TRUE,"T&amp;M-Offshore";#N/A,#N/A,TRUE,"FP-Offshore";#N/A,#N/A,TRUE,"Appendix-A";#N/A,#N/A,TRUE,"Appendix-B"}</definedName>
    <definedName name="bg" hidden="1">{#N/A,#N/A,TRUE,"Summary - 1";#N/A,#N/A,TRUE,"Summary - 2";#N/A,#N/A,TRUE,"Group Analysis";#N/A,#N/A,TRUE,"FM Analysis";#N/A,#N/A,TRUE,"T&amp;M-Onsite";#N/A,#N/A,TRUE,"FP-Onsite";#N/A,#N/A,TRUE,"NB-Onsite";#N/A,#N/A,TRUE,"T&amp;M-Offshore";#N/A,#N/A,TRUE,"FP-Offshore";#N/A,#N/A,TRUE,"Appendix-A";#N/A,#N/A,TRUE,"Appendix-B"}</definedName>
    <definedName name="BG_Del" hidden="1">15</definedName>
    <definedName name="BG_Ins" hidden="1">4</definedName>
    <definedName name="BG_Mod" hidden="1">6</definedName>
    <definedName name="bg3sheet" localSheetId="12" hidden="1">{#N/A,#N/A,TRUE,"Summary - 1";#N/A,#N/A,TRUE,"Summary - 2";#N/A,#N/A,TRUE,"Group Analysis";#N/A,#N/A,TRUE,"FM Analysis";#N/A,#N/A,TRUE,"T&amp;M-Onsite";#N/A,#N/A,TRUE,"FP-Onsite";#N/A,#N/A,TRUE,"NB-Onsite";#N/A,#N/A,TRUE,"T&amp;M-Offshore";#N/A,#N/A,TRUE,"FP-Offshore";#N/A,#N/A,TRUE,"Appendix-A";#N/A,#N/A,TRUE,"Appendix-B"}</definedName>
    <definedName name="bg3sheet" localSheetId="19" hidden="1">{#N/A,#N/A,TRUE,"Summary - 1";#N/A,#N/A,TRUE,"Summary - 2";#N/A,#N/A,TRUE,"Group Analysis";#N/A,#N/A,TRUE,"FM Analysis";#N/A,#N/A,TRUE,"T&amp;M-Onsite";#N/A,#N/A,TRUE,"FP-Onsite";#N/A,#N/A,TRUE,"NB-Onsite";#N/A,#N/A,TRUE,"T&amp;M-Offshore";#N/A,#N/A,TRUE,"FP-Offshore";#N/A,#N/A,TRUE,"Appendix-A";#N/A,#N/A,TRUE,"Appendix-B"}</definedName>
    <definedName name="bg3sheet" localSheetId="11" hidden="1">{#N/A,#N/A,TRUE,"Summary - 1";#N/A,#N/A,TRUE,"Summary - 2";#N/A,#N/A,TRUE,"Group Analysis";#N/A,#N/A,TRUE,"FM Analysis";#N/A,#N/A,TRUE,"T&amp;M-Onsite";#N/A,#N/A,TRUE,"FP-Onsite";#N/A,#N/A,TRUE,"NB-Onsite";#N/A,#N/A,TRUE,"T&amp;M-Offshore";#N/A,#N/A,TRUE,"FP-Offshore";#N/A,#N/A,TRUE,"Appendix-A";#N/A,#N/A,TRUE,"Appendix-B"}</definedName>
    <definedName name="bg3sheet" localSheetId="32" hidden="1">{#N/A,#N/A,TRUE,"Summary - 1";#N/A,#N/A,TRUE,"Summary - 2";#N/A,#N/A,TRUE,"Group Analysis";#N/A,#N/A,TRUE,"FM Analysis";#N/A,#N/A,TRUE,"T&amp;M-Onsite";#N/A,#N/A,TRUE,"FP-Onsite";#N/A,#N/A,TRUE,"NB-Onsite";#N/A,#N/A,TRUE,"T&amp;M-Offshore";#N/A,#N/A,TRUE,"FP-Offshore";#N/A,#N/A,TRUE,"Appendix-A";#N/A,#N/A,TRUE,"Appendix-B"}</definedName>
    <definedName name="bg3sheet" hidden="1">{#N/A,#N/A,TRUE,"Summary - 1";#N/A,#N/A,TRUE,"Summary - 2";#N/A,#N/A,TRUE,"Group Analysis";#N/A,#N/A,TRUE,"FM Analysis";#N/A,#N/A,TRUE,"T&amp;M-Onsite";#N/A,#N/A,TRUE,"FP-Onsite";#N/A,#N/A,TRUE,"NB-Onsite";#N/A,#N/A,TRUE,"T&amp;M-Offshore";#N/A,#N/A,TRUE,"FP-Offshore";#N/A,#N/A,TRUE,"Appendix-A";#N/A,#N/A,TRUE,"Appendix-B"}</definedName>
    <definedName name="bgf" localSheetId="12" hidden="1">{TRUE,FALSE,-1.25,-15.5,484.5,293.25,FALSE,TRUE,TRUE,TRUE,0,1,3,329,#N/A,1,21.8823529411765,2,TRUE,FALSE,3,TRUE,1,TRUE,100,"Swvu.a.","ACwvu.a.",#N/A,FALSE,FALSE,0.1,2.66,1.35,0,2,"","",TRUE,FALSE,FALSE,TRUE,1,87,#N/A,#N/A,"=R354C1:R476C10",FALSE,FALSE,FALSE,FALSE,FALSE,FALSE,5,300,300,FALSE,FALSE,TRUE,TRUE,TRUE}</definedName>
    <definedName name="bgf" localSheetId="11" hidden="1">{TRUE,FALSE,-1.25,-15.5,484.5,293.25,FALSE,TRUE,TRUE,TRUE,0,1,3,329,#N/A,1,21.8823529411765,2,TRUE,FALSE,3,TRUE,1,TRUE,100,"Swvu.a.","ACwvu.a.",#N/A,FALSE,FALSE,0.1,2.66,1.35,0,2,"","",TRUE,FALSE,FALSE,TRUE,1,87,#N/A,#N/A,"=R354C1:R476C10",FALSE,FALSE,FALSE,FALSE,FALSE,FALSE,5,300,300,FALSE,FALSE,TRUE,TRUE,TRUE}</definedName>
    <definedName name="bgf" hidden="1">{TRUE,FALSE,-1.25,-15.5,484.5,293.25,FALSE,TRUE,TRUE,TRUE,0,1,3,329,#N/A,1,21.8823529411765,2,TRUE,FALSE,3,TRUE,1,TRUE,100,"Swvu.a.","ACwvu.a.",#N/A,FALSE,FALSE,0.1,2.66,1.35,0,2,"","",TRUE,FALSE,FALSE,TRUE,1,87,#N/A,#N/A,"=R354C1:R476C10",FALSE,FALSE,FALSE,FALSE,FALSE,FALSE,5,300,300,FALSE,FALSE,TRUE,TRUE,TRUE}</definedName>
    <definedName name="bgisheet" localSheetId="12" hidden="1">{#N/A,#N/A,TRUE,"Summary - 1";#N/A,#N/A,TRUE,"Summary - 2";#N/A,#N/A,TRUE,"Group Analysis";#N/A,#N/A,TRUE,"FM Analysis";#N/A,#N/A,TRUE,"T&amp;M-Onsite";#N/A,#N/A,TRUE,"FP-Onsite";#N/A,#N/A,TRUE,"NB-Onsite";#N/A,#N/A,TRUE,"T&amp;M-Offshore";#N/A,#N/A,TRUE,"FP-Offshore";#N/A,#N/A,TRUE,"Appendix-A";#N/A,#N/A,TRUE,"Appendix-B"}</definedName>
    <definedName name="bgisheet" localSheetId="19" hidden="1">{#N/A,#N/A,TRUE,"Summary - 1";#N/A,#N/A,TRUE,"Summary - 2";#N/A,#N/A,TRUE,"Group Analysis";#N/A,#N/A,TRUE,"FM Analysis";#N/A,#N/A,TRUE,"T&amp;M-Onsite";#N/A,#N/A,TRUE,"FP-Onsite";#N/A,#N/A,TRUE,"NB-Onsite";#N/A,#N/A,TRUE,"T&amp;M-Offshore";#N/A,#N/A,TRUE,"FP-Offshore";#N/A,#N/A,TRUE,"Appendix-A";#N/A,#N/A,TRUE,"Appendix-B"}</definedName>
    <definedName name="bgisheet" localSheetId="11" hidden="1">{#N/A,#N/A,TRUE,"Summary - 1";#N/A,#N/A,TRUE,"Summary - 2";#N/A,#N/A,TRUE,"Group Analysis";#N/A,#N/A,TRUE,"FM Analysis";#N/A,#N/A,TRUE,"T&amp;M-Onsite";#N/A,#N/A,TRUE,"FP-Onsite";#N/A,#N/A,TRUE,"NB-Onsite";#N/A,#N/A,TRUE,"T&amp;M-Offshore";#N/A,#N/A,TRUE,"FP-Offshore";#N/A,#N/A,TRUE,"Appendix-A";#N/A,#N/A,TRUE,"Appendix-B"}</definedName>
    <definedName name="bgisheet" localSheetId="32" hidden="1">{#N/A,#N/A,TRUE,"Summary - 1";#N/A,#N/A,TRUE,"Summary - 2";#N/A,#N/A,TRUE,"Group Analysis";#N/A,#N/A,TRUE,"FM Analysis";#N/A,#N/A,TRUE,"T&amp;M-Onsite";#N/A,#N/A,TRUE,"FP-Onsite";#N/A,#N/A,TRUE,"NB-Onsite";#N/A,#N/A,TRUE,"T&amp;M-Offshore";#N/A,#N/A,TRUE,"FP-Offshore";#N/A,#N/A,TRUE,"Appendix-A";#N/A,#N/A,TRUE,"Appendix-B"}</definedName>
    <definedName name="bgisheet" hidden="1">{#N/A,#N/A,TRUE,"Summary - 1";#N/A,#N/A,TRUE,"Summary - 2";#N/A,#N/A,TRUE,"Group Analysis";#N/A,#N/A,TRUE,"FM Analysis";#N/A,#N/A,TRUE,"T&amp;M-Onsite";#N/A,#N/A,TRUE,"FP-Onsite";#N/A,#N/A,TRUE,"NB-Onsite";#N/A,#N/A,TRUE,"T&amp;M-Offshore";#N/A,#N/A,TRUE,"FP-Offshore";#N/A,#N/A,TRUE,"Appendix-A";#N/A,#N/A,TRUE,"Appendix-B"}</definedName>
    <definedName name="bjf" localSheetId="12" hidden="1">'[27]key-ind'!#REF!</definedName>
    <definedName name="bjf" localSheetId="11" hidden="1">'[27]key-ind'!#REF!</definedName>
    <definedName name="bjf" localSheetId="20" hidden="1">'[27]key-ind'!#REF!</definedName>
    <definedName name="bjf" hidden="1">'[27]key-ind'!#REF!</definedName>
    <definedName name="BLPH1" localSheetId="12" hidden="1">#REF!</definedName>
    <definedName name="BLPH1" localSheetId="19" hidden="1">#REF!</definedName>
    <definedName name="BLPH1" localSheetId="11" hidden="1">#REF!</definedName>
    <definedName name="BLPH1" localSheetId="32" hidden="1">#REF!</definedName>
    <definedName name="BLPH1" localSheetId="20" hidden="1">#REF!</definedName>
    <definedName name="BLPH1" hidden="1">#REF!</definedName>
    <definedName name="BLPH10" localSheetId="12" hidden="1">[28]Historical!#REF!</definedName>
    <definedName name="BLPH10" localSheetId="19" hidden="1">[29]Historical!#REF!</definedName>
    <definedName name="BLPH10" localSheetId="11" hidden="1">[29]Historical!#REF!</definedName>
    <definedName name="BLPH10" localSheetId="32" hidden="1">[29]Historical!#REF!</definedName>
    <definedName name="BLPH10" localSheetId="20" hidden="1">[28]Historical!#REF!</definedName>
    <definedName name="BLPH10" hidden="1">[28]Historical!#REF!</definedName>
    <definedName name="BLPH11" localSheetId="12" hidden="1">#REF!</definedName>
    <definedName name="BLPH11" localSheetId="19" hidden="1">#REF!</definedName>
    <definedName name="BLPH11" localSheetId="11" hidden="1">#REF!</definedName>
    <definedName name="BLPH11" localSheetId="32" hidden="1">#REF!</definedName>
    <definedName name="BLPH11" localSheetId="20" hidden="1">#REF!</definedName>
    <definedName name="BLPH11" hidden="1">#REF!</definedName>
    <definedName name="BLPH12" localSheetId="12" hidden="1">#REF!</definedName>
    <definedName name="BLPH12" localSheetId="19" hidden="1">#REF!</definedName>
    <definedName name="BLPH12" localSheetId="11" hidden="1">#REF!</definedName>
    <definedName name="BLPH12" localSheetId="32" hidden="1">#REF!</definedName>
    <definedName name="BLPH12" localSheetId="20" hidden="1">#REF!</definedName>
    <definedName name="BLPH12" hidden="1">#REF!</definedName>
    <definedName name="BLPH13" localSheetId="12" hidden="1">#REF!</definedName>
    <definedName name="BLPH13" localSheetId="19" hidden="1">#REF!</definedName>
    <definedName name="BLPH13" localSheetId="11" hidden="1">#REF!</definedName>
    <definedName name="BLPH13" localSheetId="32" hidden="1">#REF!</definedName>
    <definedName name="BLPH13" localSheetId="20" hidden="1">#REF!</definedName>
    <definedName name="BLPH13" hidden="1">#REF!</definedName>
    <definedName name="BLPH14" localSheetId="12" hidden="1">#REF!</definedName>
    <definedName name="BLPH14" localSheetId="19" hidden="1">#REF!</definedName>
    <definedName name="BLPH14" localSheetId="11" hidden="1">#REF!</definedName>
    <definedName name="BLPH14" localSheetId="32" hidden="1">#REF!</definedName>
    <definedName name="BLPH14" localSheetId="20" hidden="1">#REF!</definedName>
    <definedName name="BLPH14" hidden="1">#REF!</definedName>
    <definedName name="BLPH15" localSheetId="12" hidden="1">#REF!</definedName>
    <definedName name="BLPH15" localSheetId="19" hidden="1">#REF!</definedName>
    <definedName name="BLPH15" localSheetId="11" hidden="1">#REF!</definedName>
    <definedName name="BLPH15" localSheetId="32" hidden="1">#REF!</definedName>
    <definedName name="BLPH15" localSheetId="20" hidden="1">#REF!</definedName>
    <definedName name="BLPH15" hidden="1">#REF!</definedName>
    <definedName name="BLPH16" localSheetId="12" hidden="1">#REF!</definedName>
    <definedName name="BLPH16" localSheetId="19" hidden="1">#REF!</definedName>
    <definedName name="BLPH16" localSheetId="11" hidden="1">#REF!</definedName>
    <definedName name="BLPH16" localSheetId="32" hidden="1">#REF!</definedName>
    <definedName name="BLPH16" localSheetId="20" hidden="1">#REF!</definedName>
    <definedName name="BLPH16" hidden="1">#REF!</definedName>
    <definedName name="BLPH17" localSheetId="12" hidden="1">#REF!</definedName>
    <definedName name="BLPH17" localSheetId="19" hidden="1">#REF!</definedName>
    <definedName name="BLPH17" localSheetId="11" hidden="1">#REF!</definedName>
    <definedName name="BLPH17" localSheetId="32" hidden="1">#REF!</definedName>
    <definedName name="BLPH17" localSheetId="20" hidden="1">#REF!</definedName>
    <definedName name="BLPH17" hidden="1">#REF!</definedName>
    <definedName name="BLPH18" localSheetId="12" hidden="1">#REF!</definedName>
    <definedName name="BLPH18" localSheetId="19" hidden="1">#REF!</definedName>
    <definedName name="BLPH18" localSheetId="11" hidden="1">#REF!</definedName>
    <definedName name="BLPH18" localSheetId="32" hidden="1">#REF!</definedName>
    <definedName name="BLPH18" localSheetId="20" hidden="1">#REF!</definedName>
    <definedName name="BLPH18" hidden="1">#REF!</definedName>
    <definedName name="BLPH19" localSheetId="12" hidden="1">#REF!</definedName>
    <definedName name="BLPH19" localSheetId="19" hidden="1">#REF!</definedName>
    <definedName name="BLPH19" localSheetId="11" hidden="1">#REF!</definedName>
    <definedName name="BLPH19" localSheetId="32" hidden="1">#REF!</definedName>
    <definedName name="BLPH19" localSheetId="20" hidden="1">#REF!</definedName>
    <definedName name="BLPH19" hidden="1">#REF!</definedName>
    <definedName name="BLPH2" localSheetId="12" hidden="1">#REF!</definedName>
    <definedName name="BLPH2" localSheetId="19" hidden="1">#REF!</definedName>
    <definedName name="BLPH2" localSheetId="11" hidden="1">#REF!</definedName>
    <definedName name="BLPH2" localSheetId="32" hidden="1">#REF!</definedName>
    <definedName name="BLPH2" localSheetId="20" hidden="1">#REF!</definedName>
    <definedName name="BLPH2" hidden="1">#REF!</definedName>
    <definedName name="BLPH20" localSheetId="12" hidden="1">#REF!</definedName>
    <definedName name="BLPH20" localSheetId="19" hidden="1">#REF!</definedName>
    <definedName name="BLPH20" localSheetId="11" hidden="1">#REF!</definedName>
    <definedName name="BLPH20" localSheetId="32" hidden="1">#REF!</definedName>
    <definedName name="BLPH20" localSheetId="20" hidden="1">#REF!</definedName>
    <definedName name="BLPH20" hidden="1">#REF!</definedName>
    <definedName name="BLPH21" localSheetId="12" hidden="1">#REF!</definedName>
    <definedName name="BLPH21" localSheetId="19" hidden="1">#REF!</definedName>
    <definedName name="BLPH21" localSheetId="11" hidden="1">#REF!</definedName>
    <definedName name="BLPH21" localSheetId="32" hidden="1">#REF!</definedName>
    <definedName name="BLPH21" localSheetId="20" hidden="1">#REF!</definedName>
    <definedName name="BLPH21" hidden="1">#REF!</definedName>
    <definedName name="BLPH22" localSheetId="12" hidden="1">#REF!</definedName>
    <definedName name="BLPH22" localSheetId="19" hidden="1">#REF!</definedName>
    <definedName name="BLPH22" localSheetId="11" hidden="1">#REF!</definedName>
    <definedName name="BLPH22" localSheetId="32" hidden="1">#REF!</definedName>
    <definedName name="BLPH22" localSheetId="20" hidden="1">#REF!</definedName>
    <definedName name="BLPH22" hidden="1">#REF!</definedName>
    <definedName name="BLPH23" localSheetId="12" hidden="1">#REF!</definedName>
    <definedName name="BLPH23" localSheetId="19" hidden="1">#REF!</definedName>
    <definedName name="BLPH23" localSheetId="11" hidden="1">#REF!</definedName>
    <definedName name="BLPH23" localSheetId="32" hidden="1">#REF!</definedName>
    <definedName name="BLPH23" localSheetId="20" hidden="1">#REF!</definedName>
    <definedName name="BLPH23" hidden="1">#REF!</definedName>
    <definedName name="BLPH24" localSheetId="12" hidden="1">#REF!</definedName>
    <definedName name="BLPH24" localSheetId="19" hidden="1">#REF!</definedName>
    <definedName name="BLPH24" localSheetId="11" hidden="1">#REF!</definedName>
    <definedName name="BLPH24" localSheetId="32" hidden="1">#REF!</definedName>
    <definedName name="BLPH24" localSheetId="20" hidden="1">#REF!</definedName>
    <definedName name="BLPH24" hidden="1">#REF!</definedName>
    <definedName name="BLPH3" localSheetId="12" hidden="1">#REF!</definedName>
    <definedName name="BLPH3" localSheetId="19" hidden="1">#REF!</definedName>
    <definedName name="BLPH3" localSheetId="11" hidden="1">#REF!</definedName>
    <definedName name="BLPH3" localSheetId="32" hidden="1">#REF!</definedName>
    <definedName name="BLPH3" localSheetId="20" hidden="1">#REF!</definedName>
    <definedName name="BLPH3" hidden="1">#REF!</definedName>
    <definedName name="BLPH4" localSheetId="12" hidden="1">#REF!</definedName>
    <definedName name="BLPH4" localSheetId="19" hidden="1">#REF!</definedName>
    <definedName name="BLPH4" localSheetId="11" hidden="1">#REF!</definedName>
    <definedName name="BLPH4" localSheetId="32" hidden="1">#REF!</definedName>
    <definedName name="BLPH4" localSheetId="20" hidden="1">#REF!</definedName>
    <definedName name="BLPH4" hidden="1">#REF!</definedName>
    <definedName name="BLPH5" localSheetId="12" hidden="1">#REF!</definedName>
    <definedName name="BLPH5" localSheetId="19" hidden="1">#REF!</definedName>
    <definedName name="BLPH5" localSheetId="11" hidden="1">#REF!</definedName>
    <definedName name="BLPH5" localSheetId="32" hidden="1">#REF!</definedName>
    <definedName name="BLPH5" localSheetId="20" hidden="1">#REF!</definedName>
    <definedName name="BLPH5" hidden="1">#REF!</definedName>
    <definedName name="BLPH58" localSheetId="12" hidden="1">[30]Indian_Second_hist!#REF!</definedName>
    <definedName name="BLPH58" localSheetId="19" hidden="1">[31]Indian_Second_hist!#REF!</definedName>
    <definedName name="BLPH58" localSheetId="11" hidden="1">[31]Indian_Second_hist!#REF!</definedName>
    <definedName name="BLPH58" localSheetId="32" hidden="1">[31]Indian_Second_hist!#REF!</definedName>
    <definedName name="BLPH58" localSheetId="20" hidden="1">[30]Indian_Second_hist!#REF!</definedName>
    <definedName name="BLPH58" hidden="1">[30]Indian_Second_hist!#REF!</definedName>
    <definedName name="BLPH59" localSheetId="12" hidden="1">[30]Indian_Second_hist!#REF!</definedName>
    <definedName name="BLPH59" localSheetId="19" hidden="1">[31]Indian_Second_hist!#REF!</definedName>
    <definedName name="BLPH59" localSheetId="11" hidden="1">[31]Indian_Second_hist!#REF!</definedName>
    <definedName name="BLPH59" localSheetId="32" hidden="1">[31]Indian_Second_hist!#REF!</definedName>
    <definedName name="BLPH59" localSheetId="20" hidden="1">[30]Indian_Second_hist!#REF!</definedName>
    <definedName name="BLPH59" hidden="1">[30]Indian_Second_hist!#REF!</definedName>
    <definedName name="BLPH6" localSheetId="12" hidden="1">[28]Historical!#REF!</definedName>
    <definedName name="BLPH6" localSheetId="19" hidden="1">[29]Historical!#REF!</definedName>
    <definedName name="BLPH6" localSheetId="11" hidden="1">[29]Historical!#REF!</definedName>
    <definedName name="BLPH6" localSheetId="32" hidden="1">[29]Historical!#REF!</definedName>
    <definedName name="BLPH6" localSheetId="20" hidden="1">[28]Historical!#REF!</definedName>
    <definedName name="BLPH6" hidden="1">[28]Historical!#REF!</definedName>
    <definedName name="BLPH60" localSheetId="12" hidden="1">[30]Indian_Second_hist!#REF!</definedName>
    <definedName name="BLPH60" localSheetId="19" hidden="1">[31]Indian_Second_hist!#REF!</definedName>
    <definedName name="BLPH60" localSheetId="11" hidden="1">[31]Indian_Second_hist!#REF!</definedName>
    <definedName name="BLPH60" localSheetId="32" hidden="1">[31]Indian_Second_hist!#REF!</definedName>
    <definedName name="BLPH60" localSheetId="20" hidden="1">[30]Indian_Second_hist!#REF!</definedName>
    <definedName name="BLPH60" hidden="1">[30]Indian_Second_hist!#REF!</definedName>
    <definedName name="BLPH62" localSheetId="12" hidden="1">[30]Indian_Second_hist!#REF!</definedName>
    <definedName name="BLPH62" localSheetId="19" hidden="1">[31]Indian_Second_hist!#REF!</definedName>
    <definedName name="BLPH62" localSheetId="11" hidden="1">[31]Indian_Second_hist!#REF!</definedName>
    <definedName name="BLPH62" localSheetId="32" hidden="1">[31]Indian_Second_hist!#REF!</definedName>
    <definedName name="BLPH62" localSheetId="20" hidden="1">[30]Indian_Second_hist!#REF!</definedName>
    <definedName name="BLPH62" hidden="1">[30]Indian_Second_hist!#REF!</definedName>
    <definedName name="BLPH63" localSheetId="12" hidden="1">[30]Indian_Second_hist!#REF!</definedName>
    <definedName name="BLPH63" localSheetId="19" hidden="1">[31]Indian_Second_hist!#REF!</definedName>
    <definedName name="BLPH63" localSheetId="11" hidden="1">[31]Indian_Second_hist!#REF!</definedName>
    <definedName name="BLPH63" localSheetId="32" hidden="1">[31]Indian_Second_hist!#REF!</definedName>
    <definedName name="BLPH63" localSheetId="20" hidden="1">[30]Indian_Second_hist!#REF!</definedName>
    <definedName name="BLPH63" hidden="1">[30]Indian_Second_hist!#REF!</definedName>
    <definedName name="BLPH64" localSheetId="12" hidden="1">[30]Indian_Second_hist!#REF!</definedName>
    <definedName name="BLPH64" localSheetId="19" hidden="1">[31]Indian_Second_hist!#REF!</definedName>
    <definedName name="BLPH64" localSheetId="11" hidden="1">[31]Indian_Second_hist!#REF!</definedName>
    <definedName name="BLPH64" localSheetId="32" hidden="1">[31]Indian_Second_hist!#REF!</definedName>
    <definedName name="BLPH64" localSheetId="20" hidden="1">[30]Indian_Second_hist!#REF!</definedName>
    <definedName name="BLPH64" hidden="1">[30]Indian_Second_hist!#REF!</definedName>
    <definedName name="BLPH65" localSheetId="12" hidden="1">[30]Indian_Second_hist!#REF!</definedName>
    <definedName name="BLPH65" localSheetId="19" hidden="1">[31]Indian_Second_hist!#REF!</definedName>
    <definedName name="BLPH65" localSheetId="11" hidden="1">[31]Indian_Second_hist!#REF!</definedName>
    <definedName name="BLPH65" localSheetId="32" hidden="1">[31]Indian_Second_hist!#REF!</definedName>
    <definedName name="BLPH65" localSheetId="20" hidden="1">[30]Indian_Second_hist!#REF!</definedName>
    <definedName name="BLPH65" hidden="1">[30]Indian_Second_hist!#REF!</definedName>
    <definedName name="BLPH67" localSheetId="12" hidden="1">[30]Indian_Second_hist!#REF!</definedName>
    <definedName name="BLPH67" localSheetId="19" hidden="1">[31]Indian_Second_hist!#REF!</definedName>
    <definedName name="BLPH67" localSheetId="11" hidden="1">[31]Indian_Second_hist!#REF!</definedName>
    <definedName name="BLPH67" localSheetId="32" hidden="1">[31]Indian_Second_hist!#REF!</definedName>
    <definedName name="BLPH67" localSheetId="20" hidden="1">[30]Indian_Second_hist!#REF!</definedName>
    <definedName name="BLPH67" hidden="1">[30]Indian_Second_hist!#REF!</definedName>
    <definedName name="BLPH7" localSheetId="12" hidden="1">[28]Historical!#REF!</definedName>
    <definedName name="BLPH7" localSheetId="19" hidden="1">[29]Historical!#REF!</definedName>
    <definedName name="BLPH7" localSheetId="11" hidden="1">[29]Historical!#REF!</definedName>
    <definedName name="BLPH7" localSheetId="32" hidden="1">[29]Historical!#REF!</definedName>
    <definedName name="BLPH7" localSheetId="20" hidden="1">[28]Historical!#REF!</definedName>
    <definedName name="BLPH7" hidden="1">[28]Historical!#REF!</definedName>
    <definedName name="BLPH8" localSheetId="12" hidden="1">[28]Historical!#REF!</definedName>
    <definedName name="BLPH8" localSheetId="19" hidden="1">[29]Historical!#REF!</definedName>
    <definedName name="BLPH8" localSheetId="11" hidden="1">[29]Historical!#REF!</definedName>
    <definedName name="BLPH8" localSheetId="32" hidden="1">[29]Historical!#REF!</definedName>
    <definedName name="BLPH8" localSheetId="20" hidden="1">[28]Historical!#REF!</definedName>
    <definedName name="BLPH8" hidden="1">[28]Historical!#REF!</definedName>
    <definedName name="BLPH9" localSheetId="12" hidden="1">[28]Historical!#REF!</definedName>
    <definedName name="BLPH9" localSheetId="19" hidden="1">[29]Historical!#REF!</definedName>
    <definedName name="BLPH9" localSheetId="11" hidden="1">[29]Historical!#REF!</definedName>
    <definedName name="BLPH9" localSheetId="32" hidden="1">[29]Historical!#REF!</definedName>
    <definedName name="BLPH9" localSheetId="20" hidden="1">[28]Historical!#REF!</definedName>
    <definedName name="BLPH9" hidden="1">[28]Historical!#REF!</definedName>
    <definedName name="BLTable">'[32]BL-Bud'!$A$11:$Y$133</definedName>
    <definedName name="bookdepr" localSheetId="12">#REF!</definedName>
    <definedName name="bookdepr" localSheetId="26">#REF!</definedName>
    <definedName name="bookdepr" localSheetId="11">#REF!</definedName>
    <definedName name="bookdepr" localSheetId="20">#REF!</definedName>
    <definedName name="bookdepr">#REF!</definedName>
    <definedName name="bs" localSheetId="12">#REF!</definedName>
    <definedName name="bs" localSheetId="26">#REF!</definedName>
    <definedName name="bs" localSheetId="11">#REF!</definedName>
    <definedName name="bs" localSheetId="20">#REF!</definedName>
    <definedName name="bs">#REF!</definedName>
    <definedName name="BSDEC02" localSheetId="1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localSheetId="11"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s" localSheetId="1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s" localSheetId="11"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s"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Table">'[32]BS-Bud'!$A$11:$Y$133</definedName>
    <definedName name="btrh"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trh"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trh"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u" localSheetId="12" hidden="1">{TRUE,FALSE,-1.25,-15.5,484.5,293.25,FALSE,TRUE,TRUE,TRUE,0,1,3,329,#N/A,1,21.8823529411765,2,TRUE,FALSE,3,TRUE,1,TRUE,100,"Swvu.a.","ACwvu.a.",#N/A,FALSE,FALSE,0.1,2.66,1.35,0,2,"","",TRUE,FALSE,FALSE,TRUE,1,87,#N/A,#N/A,"=R354C1:R476C10",FALSE,FALSE,FALSE,FALSE,FALSE,FALSE,5,300,300,FALSE,FALSE,TRUE,TRUE,TRUE}</definedName>
    <definedName name="bu" localSheetId="19">#REF!</definedName>
    <definedName name="bu" localSheetId="26">#REF!</definedName>
    <definedName name="bu" localSheetId="11" hidden="1">{TRUE,FALSE,-1.25,-15.5,484.5,293.25,FALSE,TRUE,TRUE,TRUE,0,1,3,329,#N/A,1,21.8823529411765,2,TRUE,FALSE,3,TRUE,1,TRUE,100,"Swvu.a.","ACwvu.a.",#N/A,FALSE,FALSE,0.1,2.66,1.35,0,2,"","",TRUE,FALSE,FALSE,TRUE,1,87,#N/A,#N/A,"=R354C1:R476C10",FALSE,FALSE,FALSE,FALSE,FALSE,FALSE,5,300,300,FALSE,FALSE,TRUE,TRUE,TRUE}</definedName>
    <definedName name="bu" hidden="1">{TRUE,FALSE,-1.25,-15.5,484.5,293.25,FALSE,TRUE,TRUE,TRUE,0,1,3,329,#N/A,1,21.8823529411765,2,TRUE,FALSE,3,TRUE,1,TRUE,100,"Swvu.a.","ACwvu.a.",#N/A,FALSE,FALSE,0.1,2.66,1.35,0,2,"","",TRUE,FALSE,FALSE,TRUE,1,87,#N/A,#N/A,"=R354C1:R476C10",FALSE,FALSE,FALSE,FALSE,FALSE,FALSE,5,300,300,FALSE,FALSE,TRUE,TRUE,TRUE}</definedName>
    <definedName name="Buyerwise1" localSheetId="12" hidden="1">#REF!</definedName>
    <definedName name="Buyerwise1" localSheetId="19" hidden="1">#REF!</definedName>
    <definedName name="Buyerwise1" localSheetId="11" hidden="1">#REF!</definedName>
    <definedName name="Buyerwise1" localSheetId="32" hidden="1">#REF!</definedName>
    <definedName name="Buyerwise1" localSheetId="20" hidden="1">#REF!</definedName>
    <definedName name="Buyerwise1" hidden="1">#REF!</definedName>
    <definedName name="cbu" localSheetId="12" hidden="1">{#N/A,#N/A,FALSE,"COVER.XLS";#N/A,#N/A,FALSE,"RACT1.XLS";#N/A,#N/A,FALSE,"RACT2.XLS";#N/A,#N/A,FALSE,"ECCMP";#N/A,#N/A,FALSE,"WELDER.XLS"}</definedName>
    <definedName name="cbu" localSheetId="11" hidden="1">{#N/A,#N/A,FALSE,"COVER.XLS";#N/A,#N/A,FALSE,"RACT1.XLS";#N/A,#N/A,FALSE,"RACT2.XLS";#N/A,#N/A,FALSE,"ECCMP";#N/A,#N/A,FALSE,"WELDER.XLS"}</definedName>
    <definedName name="cbu" hidden="1">{#N/A,#N/A,FALSE,"COVER.XLS";#N/A,#N/A,FALSE,"RACT1.XLS";#N/A,#N/A,FALSE,"RACT2.XLS";#N/A,#N/A,FALSE,"ECCMP";#N/A,#N/A,FALSE,"WELDER.XLS"}</definedName>
    <definedName name="cdu" localSheetId="12" hidden="1">{#N/A,#N/A,FALSE,"COVER.XLS";#N/A,#N/A,FALSE,"RACT1.XLS";#N/A,#N/A,FALSE,"RACT2.XLS";#N/A,#N/A,FALSE,"ECCMP";#N/A,#N/A,FALSE,"WELDER.XLS"}</definedName>
    <definedName name="cdu" localSheetId="11" hidden="1">{#N/A,#N/A,FALSE,"COVER.XLS";#N/A,#N/A,FALSE,"RACT1.XLS";#N/A,#N/A,FALSE,"RACT2.XLS";#N/A,#N/A,FALSE,"ECCMP";#N/A,#N/A,FALSE,"WELDER.XLS"}</definedName>
    <definedName name="cdu" hidden="1">{#N/A,#N/A,FALSE,"COVER.XLS";#N/A,#N/A,FALSE,"RACT1.XLS";#N/A,#N/A,FALSE,"RACT2.XLS";#N/A,#N/A,FALSE,"ECCMP";#N/A,#N/A,FALSE,"WELDER.XLS"}</definedName>
    <definedName name="cf" localSheetId="12">#REF!</definedName>
    <definedName name="cf" localSheetId="26">#REF!</definedName>
    <definedName name="cf" localSheetId="11">#REF!</definedName>
    <definedName name="cf" localSheetId="20">#REF!</definedName>
    <definedName name="cf">#REF!</definedName>
    <definedName name="CIQWBGuid" hidden="1">"2cd8126d-26c3-430c-b7fa-a069e3a1fc62"</definedName>
    <definedName name="Civil1" localSheetId="12">#REF!</definedName>
    <definedName name="Civil1" localSheetId="26">#REF!</definedName>
    <definedName name="Civil1" localSheetId="11">#REF!</definedName>
    <definedName name="Civil1" localSheetId="20">#REF!</definedName>
    <definedName name="Civil1">#REF!</definedName>
    <definedName name="civil2" localSheetId="12">'[33]pending indent'!#REF!</definedName>
    <definedName name="civil2" localSheetId="26">'[33]pending indent'!#REF!</definedName>
    <definedName name="civil2" localSheetId="11">'[33]pending indent'!#REF!</definedName>
    <definedName name="civil2" localSheetId="20">'[33]pending indent'!#REF!</definedName>
    <definedName name="civil2">'[33]pending indent'!#REF!</definedName>
    <definedName name="civil2007" localSheetId="12">'[33]pending indent'!#REF!</definedName>
    <definedName name="civil2007" localSheetId="26">'[33]pending indent'!#REF!</definedName>
    <definedName name="civil2007" localSheetId="11">'[33]pending indent'!#REF!</definedName>
    <definedName name="civil2007" localSheetId="20">'[33]pending indent'!#REF!</definedName>
    <definedName name="civil2007">'[33]pending indent'!#REF!</definedName>
    <definedName name="cl_debt" localSheetId="12">'[34]debt schedule'!#REF!</definedName>
    <definedName name="cl_debt" localSheetId="26">'[34]debt schedule'!#REF!</definedName>
    <definedName name="cl_debt" localSheetId="11">'[34]debt schedule'!#REF!</definedName>
    <definedName name="cl_debt" localSheetId="20">'[34]debt schedule'!#REF!</definedName>
    <definedName name="cl_debt">'[34]debt schedule'!#REF!</definedName>
    <definedName name="CLUBS" localSheetId="12">#REF!</definedName>
    <definedName name="CLUBS" localSheetId="26">#REF!</definedName>
    <definedName name="CLUBS" localSheetId="11">#REF!</definedName>
    <definedName name="CLUBS" localSheetId="20">#REF!</definedName>
    <definedName name="CLUBS">#REF!</definedName>
    <definedName name="Code" localSheetId="12" hidden="1">#REF!</definedName>
    <definedName name="Code" localSheetId="11" hidden="1">#REF!</definedName>
    <definedName name="Code" localSheetId="20" hidden="1">#REF!</definedName>
    <definedName name="Code" hidden="1">#REF!</definedName>
    <definedName name="combined" localSheetId="12" hidden="1">{TRUE,TRUE,7.75,2.5,467.25,234,FALSE,TRUE,TRUE,TRUE,0,32,#N/A,69,#N/A,4.55555555555556,9.21428571428571,1,FALSE,FALSE,1,TRUE,1,FALSE,100,"Swvu.TOTAL.","ACwvu.TOTAL.",#N/A,FALSE,FALSE,0.5,0.75,0.5,0.5,2,"","",TRUE,TRUE,FALSE,FALSE,1,#N/A,1,1,"=R2C1:R75C2",FALSE,"Rwvu.TOTAL.",#N/A,FALSE,FALSE,FALSE,8,180,180,FALSE,FALSE,TRUE,TRUE,TRUE}</definedName>
    <definedName name="combined" localSheetId="19" hidden="1">{TRUE,TRUE,7.75,2.5,467.25,234,FALSE,TRUE,TRUE,TRUE,0,32,#N/A,69,#N/A,4.55555555555556,9.21428571428571,1,FALSE,FALSE,1,TRUE,1,FALSE,100,"Swvu.TOTAL.","ACwvu.TOTAL.",#N/A,FALSE,FALSE,0.5,0.75,0.5,0.5,2,"","",TRUE,TRUE,FALSE,FALSE,1,#N/A,1,1,"=R2C1:R75C2",FALSE,"Rwvu.TOTAL.",#N/A,FALSE,FALSE,FALSE,8,180,180,FALSE,FALSE,TRUE,TRUE,TRUE}</definedName>
    <definedName name="combined" localSheetId="11" hidden="1">{TRUE,TRUE,7.75,2.5,467.25,234,FALSE,TRUE,TRUE,TRUE,0,32,#N/A,69,#N/A,4.55555555555556,9.21428571428571,1,FALSE,FALSE,1,TRUE,1,FALSE,100,"Swvu.TOTAL.","ACwvu.TOTAL.",#N/A,FALSE,FALSE,0.5,0.75,0.5,0.5,2,"","",TRUE,TRUE,FALSE,FALSE,1,#N/A,1,1,"=R2C1:R75C2",FALSE,"Rwvu.TOTAL.",#N/A,FALSE,FALSE,FALSE,8,180,180,FALSE,FALSE,TRUE,TRUE,TRUE}</definedName>
    <definedName name="combined" localSheetId="32" hidden="1">{TRUE,TRUE,7.75,2.5,467.25,234,FALSE,TRUE,TRUE,TRUE,0,32,#N/A,69,#N/A,4.55555555555556,9.21428571428571,1,FALSE,FALSE,1,TRUE,1,FALSE,100,"Swvu.TOTAL.","ACwvu.TOTAL.",#N/A,FALSE,FALSE,0.5,0.75,0.5,0.5,2,"","",TRUE,TRUE,FALSE,FALSE,1,#N/A,1,1,"=R2C1:R75C2",FALSE,"Rwvu.TOTAL.",#N/A,FALSE,FALSE,FALSE,8,180,180,FALSE,FALSE,TRUE,TRUE,TRUE}</definedName>
    <definedName name="combined" hidden="1">{TRUE,TRUE,7.75,2.5,467.25,234,FALSE,TRUE,TRUE,TRUE,0,32,#N/A,69,#N/A,4.55555555555556,9.21428571428571,1,FALSE,FALSE,1,TRUE,1,FALSE,100,"Swvu.TOTAL.","ACwvu.TOTAL.",#N/A,FALSE,FALSE,0.5,0.75,0.5,0.5,2,"","",TRUE,TRUE,FALSE,FALSE,1,#N/A,1,1,"=R2C1:R75C2",FALSE,"Rwvu.TOTAL.",#N/A,FALSE,FALSE,FALSE,8,180,180,FALSE,FALSE,TRUE,TRUE,TRUE}</definedName>
    <definedName name="comp2003" localSheetId="1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localSheetId="11"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rator"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mparator"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mparator"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mparator"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mparator"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mparator"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mparator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mparator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mparator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mparator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mparator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mparator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CONSTR" localSheetId="12">#REF!</definedName>
    <definedName name="CONSTR" localSheetId="26">#REF!</definedName>
    <definedName name="CONSTR" localSheetId="11">#REF!</definedName>
    <definedName name="CONSTR" localSheetId="20">#REF!</definedName>
    <definedName name="CONSTR">#REF!</definedName>
    <definedName name="CORPORATE">[8]Input_B_V!$A$5</definedName>
    <definedName name="Cos_input_table">[35]sortpart!$K$4:$CV$148</definedName>
    <definedName name="Cost_table">[35]CostDetails!$K$4:$CV$139</definedName>
    <definedName name="cotton" localSheetId="12" hidden="1">{#N/A,#N/A,TRUE,"Cover sheet";#N/A,#N/A,TRUE,"Summary";#N/A,#N/A,TRUE,"Key Assumptions";#N/A,#N/A,TRUE,"Profit &amp; Loss";#N/A,#N/A,TRUE,"Balance Sheet";#N/A,#N/A,TRUE,"Cashflow";#N/A,#N/A,TRUE,"IRR";#N/A,#N/A,TRUE,"Ratios";#N/A,#N/A,TRUE,"Debt analysis"}</definedName>
    <definedName name="cotton" localSheetId="19" hidden="1">{#N/A,#N/A,TRUE,"Cover sheet";#N/A,#N/A,TRUE,"Summary";#N/A,#N/A,TRUE,"Key Assumptions";#N/A,#N/A,TRUE,"Profit &amp; Loss";#N/A,#N/A,TRUE,"Balance Sheet";#N/A,#N/A,TRUE,"Cashflow";#N/A,#N/A,TRUE,"IRR";#N/A,#N/A,TRUE,"Ratios";#N/A,#N/A,TRUE,"Debt analysis"}</definedName>
    <definedName name="cotton" localSheetId="11" hidden="1">{#N/A,#N/A,TRUE,"Cover sheet";#N/A,#N/A,TRUE,"Summary";#N/A,#N/A,TRUE,"Key Assumptions";#N/A,#N/A,TRUE,"Profit &amp; Loss";#N/A,#N/A,TRUE,"Balance Sheet";#N/A,#N/A,TRUE,"Cashflow";#N/A,#N/A,TRUE,"IRR";#N/A,#N/A,TRUE,"Ratios";#N/A,#N/A,TRUE,"Debt analysis"}</definedName>
    <definedName name="cotton" localSheetId="32" hidden="1">{#N/A,#N/A,TRUE,"Cover sheet";#N/A,#N/A,TRUE,"Summary";#N/A,#N/A,TRUE,"Key Assumptions";#N/A,#N/A,TRUE,"Profit &amp; Loss";#N/A,#N/A,TRUE,"Balance Sheet";#N/A,#N/A,TRUE,"Cashflow";#N/A,#N/A,TRUE,"IRR";#N/A,#N/A,TRUE,"Ratios";#N/A,#N/A,TRUE,"Debt analysis"}</definedName>
    <definedName name="cotton" hidden="1">{#N/A,#N/A,TRUE,"Cover sheet";#N/A,#N/A,TRUE,"Summary";#N/A,#N/A,TRUE,"Key Assumptions";#N/A,#N/A,TRUE,"Profit &amp; Loss";#N/A,#N/A,TRUE,"Balance Sheet";#N/A,#N/A,TRUE,"Cashflow";#N/A,#N/A,TRUE,"IRR";#N/A,#N/A,TRUE,"Ratios";#N/A,#N/A,TRUE,"Debt analysis"}</definedName>
    <definedName name="CRIT" localSheetId="12" hidden="1">{#N/A,#N/A,FALSE,"consu_cover";#N/A,#N/A,FALSE,"consu_strategy";#N/A,#N/A,FALSE,"consu_flow";#N/A,#N/A,FALSE,"Summary_reqmt";#N/A,#N/A,FALSE,"field_ppg";#N/A,#N/A,FALSE,"ppg_shop";#N/A,#N/A,FALSE,"strl";#N/A,#N/A,FALSE,"tankages";#N/A,#N/A,FALSE,"gases"}</definedName>
    <definedName name="CRIT" localSheetId="11"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ICAL" localSheetId="12" hidden="1">{#N/A,#N/A,FALSE,"consu_cover";#N/A,#N/A,FALSE,"consu_strategy";#N/A,#N/A,FALSE,"consu_flow";#N/A,#N/A,FALSE,"Summary_reqmt";#N/A,#N/A,FALSE,"field_ppg";#N/A,#N/A,FALSE,"ppg_shop";#N/A,#N/A,FALSE,"strl";#N/A,#N/A,FALSE,"tankages";#N/A,#N/A,FALSE,"gases"}</definedName>
    <definedName name="CRITICAL" localSheetId="11"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sdfs" localSheetId="1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localSheetId="11"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urrent" localSheetId="12" hidden="1">{TRUE,FALSE,-1.25,-15.5,484.5,293.25,FALSE,TRUE,TRUE,TRUE,0,1,3,329,#N/A,1,21.8823529411765,2,TRUE,FALSE,3,TRUE,1,TRUE,100,"Swvu.a.","ACwvu.a.",#N/A,FALSE,FALSE,0.1,2.66,1.35,0,2,"","",TRUE,FALSE,FALSE,TRUE,1,87,#N/A,#N/A,"=R354C1:R476C10",FALSE,FALSE,FALSE,FALSE,FALSE,FALSE,5,300,300,FALSE,FALSE,TRUE,TRUE,TRUE}</definedName>
    <definedName name="Current" localSheetId="11" hidden="1">{TRUE,FALSE,-1.25,-15.5,484.5,293.25,FALSE,TRUE,TRUE,TRUE,0,1,3,329,#N/A,1,21.8823529411765,2,TRUE,FALSE,3,TRUE,1,TRUE,100,"Swvu.a.","ACwvu.a.",#N/A,FALSE,FALSE,0.1,2.66,1.35,0,2,"","",TRUE,FALSE,FALSE,TRUE,1,87,#N/A,#N/A,"=R354C1:R476C10",FALSE,FALSE,FALSE,FALSE,FALSE,FALSE,5,300,300,FALSE,FALSE,TRUE,TRUE,TRUE}</definedName>
    <definedName name="Current" hidden="1">{TRUE,FALSE,-1.25,-15.5,484.5,293.25,FALSE,TRUE,TRUE,TRUE,0,1,3,329,#N/A,1,21.8823529411765,2,TRUE,FALSE,3,TRUE,1,TRUE,100,"Swvu.a.","ACwvu.a.",#N/A,FALSE,FALSE,0.1,2.66,1.35,0,2,"","",TRUE,FALSE,FALSE,TRUE,1,87,#N/A,#N/A,"=R354C1:R476C10",FALSE,FALSE,FALSE,FALSE,FALSE,FALSE,5,300,300,FALSE,FALSE,TRUE,TRUE,TRUE}</definedName>
    <definedName name="CURVE" localSheetId="12" hidden="1">{#N/A,#N/A,FALSE,"COVER1.XLS ";#N/A,#N/A,FALSE,"RACT1.XLS";#N/A,#N/A,FALSE,"RACT2.XLS";#N/A,#N/A,FALSE,"ECCMP";#N/A,#N/A,FALSE,"WELDER.XLS"}</definedName>
    <definedName name="CURVE" localSheetId="11" hidden="1">{#N/A,#N/A,FALSE,"COVER1.XLS ";#N/A,#N/A,FALSE,"RACT1.XLS";#N/A,#N/A,FALSE,"RACT2.XLS";#N/A,#N/A,FALSE,"ECCMP";#N/A,#N/A,FALSE,"WELDER.XLS"}</definedName>
    <definedName name="CURVE" hidden="1">{#N/A,#N/A,FALSE,"COVER1.XLS ";#N/A,#N/A,FALSE,"RACT1.XLS";#N/A,#N/A,FALSE,"RACT2.XLS";#N/A,#N/A,FALSE,"ECCMP";#N/A,#N/A,FALSE,"WELDER.XLS"}</definedName>
    <definedName name="CX" localSheetId="12">#REF!</definedName>
    <definedName name="CX" localSheetId="26">#REF!</definedName>
    <definedName name="CX" localSheetId="11">#REF!</definedName>
    <definedName name="CX" localSheetId="20">#REF!</definedName>
    <definedName name="CX">#REF!</definedName>
    <definedName name="DAD" localSheetId="12" hidden="1">#REF!</definedName>
    <definedName name="DAD" localSheetId="26" hidden="1">#REF!</definedName>
    <definedName name="DAD" localSheetId="11" hidden="1">#REF!</definedName>
    <definedName name="DAD" localSheetId="20" hidden="1">#REF!</definedName>
    <definedName name="DAD" hidden="1">#REF!</definedName>
    <definedName name="dark"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TA11" localSheetId="12">#REF!</definedName>
    <definedName name="DATA11" localSheetId="26">#REF!</definedName>
    <definedName name="DATA11" localSheetId="11">#REF!</definedName>
    <definedName name="DATA11" localSheetId="20">#REF!</definedName>
    <definedName name="DATA11">#REF!</definedName>
    <definedName name="DATA12" localSheetId="12">#REF!</definedName>
    <definedName name="DATA12" localSheetId="26">#REF!</definedName>
    <definedName name="DATA12" localSheetId="11">#REF!</definedName>
    <definedName name="DATA12" localSheetId="20">#REF!</definedName>
    <definedName name="DATA12">#REF!</definedName>
    <definedName name="DATA13" localSheetId="12">#REF!</definedName>
    <definedName name="DATA13" localSheetId="26">#REF!</definedName>
    <definedName name="DATA13" localSheetId="11">#REF!</definedName>
    <definedName name="DATA13" localSheetId="20">#REF!</definedName>
    <definedName name="DATA13">#REF!</definedName>
    <definedName name="DATA14" localSheetId="12">#REF!</definedName>
    <definedName name="DATA14" localSheetId="26">#REF!</definedName>
    <definedName name="DATA14" localSheetId="11">#REF!</definedName>
    <definedName name="DATA14" localSheetId="20">#REF!</definedName>
    <definedName name="DATA14">#REF!</definedName>
    <definedName name="DATA15" localSheetId="12">#REF!</definedName>
    <definedName name="DATA15" localSheetId="26">#REF!</definedName>
    <definedName name="DATA15" localSheetId="11">#REF!</definedName>
    <definedName name="DATA15" localSheetId="20">#REF!</definedName>
    <definedName name="DATA15">#REF!</definedName>
    <definedName name="DATA16" localSheetId="12">#REF!</definedName>
    <definedName name="DATA16" localSheetId="26">#REF!</definedName>
    <definedName name="DATA16" localSheetId="11">#REF!</definedName>
    <definedName name="DATA16" localSheetId="20">#REF!</definedName>
    <definedName name="DATA16">#REF!</definedName>
    <definedName name="DATA17" localSheetId="12">'[36]Sheet1 (2)'!#REF!</definedName>
    <definedName name="DATA17" localSheetId="26">'[36]Sheet1 (2)'!#REF!</definedName>
    <definedName name="DATA17" localSheetId="11">'[36]Sheet1 (2)'!#REF!</definedName>
    <definedName name="DATA17" localSheetId="20">'[36]Sheet1 (2)'!#REF!</definedName>
    <definedName name="DATA17">'[36]Sheet1 (2)'!#REF!</definedName>
    <definedName name="DATA18" localSheetId="12">'[36]Sheet1 (2)'!#REF!</definedName>
    <definedName name="DATA18" localSheetId="26">'[36]Sheet1 (2)'!#REF!</definedName>
    <definedName name="DATA18" localSheetId="11">'[36]Sheet1 (2)'!#REF!</definedName>
    <definedName name="DATA18" localSheetId="20">'[36]Sheet1 (2)'!#REF!</definedName>
    <definedName name="DATA18">'[36]Sheet1 (2)'!#REF!</definedName>
    <definedName name="DATA19" localSheetId="12">[37]Original!#REF!</definedName>
    <definedName name="DATA19" localSheetId="26">[37]Original!#REF!</definedName>
    <definedName name="DATA19" localSheetId="11">[37]Original!#REF!</definedName>
    <definedName name="DATA19" localSheetId="20">[37]Original!#REF!</definedName>
    <definedName name="DATA19">[37]Original!#REF!</definedName>
    <definedName name="DATA2" localSheetId="12">#REF!</definedName>
    <definedName name="DATA2" localSheetId="26">#REF!</definedName>
    <definedName name="DATA2" localSheetId="11">#REF!</definedName>
    <definedName name="DATA2" localSheetId="20">#REF!</definedName>
    <definedName name="DATA2">#REF!</definedName>
    <definedName name="DATA20" localSheetId="12">[37]Original!#REF!</definedName>
    <definedName name="DATA20" localSheetId="26">[37]Original!#REF!</definedName>
    <definedName name="DATA20" localSheetId="11">[37]Original!#REF!</definedName>
    <definedName name="DATA20" localSheetId="20">[37]Original!#REF!</definedName>
    <definedName name="DATA20">[37]Original!#REF!</definedName>
    <definedName name="DATA21" localSheetId="12">#REF!</definedName>
    <definedName name="DATA21" localSheetId="26">#REF!</definedName>
    <definedName name="DATA21" localSheetId="11">#REF!</definedName>
    <definedName name="DATA21" localSheetId="20">#REF!</definedName>
    <definedName name="DATA21">#REF!</definedName>
    <definedName name="DATA22" localSheetId="12">[37]Original!#REF!</definedName>
    <definedName name="DATA22" localSheetId="26">[37]Original!#REF!</definedName>
    <definedName name="DATA22" localSheetId="11">[37]Original!#REF!</definedName>
    <definedName name="DATA22" localSheetId="20">[37]Original!#REF!</definedName>
    <definedName name="DATA22">[37]Original!#REF!</definedName>
    <definedName name="DATA23" localSheetId="12">'[36]Sheet1 (2)'!#REF!</definedName>
    <definedName name="DATA23" localSheetId="26">'[36]Sheet1 (2)'!#REF!</definedName>
    <definedName name="DATA23" localSheetId="11">'[36]Sheet1 (2)'!#REF!</definedName>
    <definedName name="DATA23" localSheetId="20">'[36]Sheet1 (2)'!#REF!</definedName>
    <definedName name="DATA23">'[36]Sheet1 (2)'!#REF!</definedName>
    <definedName name="DATA24" localSheetId="12">'[36]Sheet1 (2)'!#REF!</definedName>
    <definedName name="DATA24" localSheetId="26">'[36]Sheet1 (2)'!#REF!</definedName>
    <definedName name="DATA24" localSheetId="11">'[36]Sheet1 (2)'!#REF!</definedName>
    <definedName name="DATA24" localSheetId="20">'[36]Sheet1 (2)'!#REF!</definedName>
    <definedName name="DATA24">'[36]Sheet1 (2)'!#REF!</definedName>
    <definedName name="DATA25" localSheetId="12">[37]Original!#REF!</definedName>
    <definedName name="DATA25" localSheetId="26">[37]Original!#REF!</definedName>
    <definedName name="DATA25" localSheetId="11">[37]Original!#REF!</definedName>
    <definedName name="DATA25" localSheetId="20">[37]Original!#REF!</definedName>
    <definedName name="DATA25">[37]Original!#REF!</definedName>
    <definedName name="DATA26" localSheetId="12">[37]Original!#REF!</definedName>
    <definedName name="DATA26" localSheetId="26">[37]Original!#REF!</definedName>
    <definedName name="DATA26" localSheetId="11">[37]Original!#REF!</definedName>
    <definedName name="DATA26" localSheetId="20">[37]Original!#REF!</definedName>
    <definedName name="DATA26">[37]Original!#REF!</definedName>
    <definedName name="DATA27" localSheetId="12">#REF!</definedName>
    <definedName name="DATA27" localSheetId="26">#REF!</definedName>
    <definedName name="DATA27" localSheetId="11">#REF!</definedName>
    <definedName name="DATA27" localSheetId="20">#REF!</definedName>
    <definedName name="DATA27">#REF!</definedName>
    <definedName name="DATA28" localSheetId="12">#REF!</definedName>
    <definedName name="DATA28" localSheetId="26">#REF!</definedName>
    <definedName name="DATA28" localSheetId="11">#REF!</definedName>
    <definedName name="DATA28" localSheetId="20">#REF!</definedName>
    <definedName name="DATA28">#REF!</definedName>
    <definedName name="DATA3" localSheetId="12">#REF!</definedName>
    <definedName name="DATA3" localSheetId="26">#REF!</definedName>
    <definedName name="DATA3" localSheetId="11">#REF!</definedName>
    <definedName name="DATA3" localSheetId="20">#REF!</definedName>
    <definedName name="DATA3">#REF!</definedName>
    <definedName name="DATA4" localSheetId="12">#REF!</definedName>
    <definedName name="DATA4" localSheetId="26">#REF!</definedName>
    <definedName name="DATA4" localSheetId="11">#REF!</definedName>
    <definedName name="DATA4" localSheetId="20">#REF!</definedName>
    <definedName name="DATA4">#REF!</definedName>
    <definedName name="DATA5" localSheetId="12">#REF!</definedName>
    <definedName name="DATA5" localSheetId="26">#REF!</definedName>
    <definedName name="DATA5" localSheetId="11">#REF!</definedName>
    <definedName name="DATA5" localSheetId="20">#REF!</definedName>
    <definedName name="DATA5">#REF!</definedName>
    <definedName name="DATA6" localSheetId="12">#REF!</definedName>
    <definedName name="DATA6" localSheetId="26">#REF!</definedName>
    <definedName name="DATA6" localSheetId="11">#REF!</definedName>
    <definedName name="DATA6" localSheetId="20">#REF!</definedName>
    <definedName name="DATA6">#REF!</definedName>
    <definedName name="DATA7" localSheetId="12">#REF!</definedName>
    <definedName name="DATA7" localSheetId="26">#REF!</definedName>
    <definedName name="DATA7" localSheetId="11">#REF!</definedName>
    <definedName name="DATA7" localSheetId="20">#REF!</definedName>
    <definedName name="DATA7">#REF!</definedName>
    <definedName name="DATA8" localSheetId="12">#REF!</definedName>
    <definedName name="DATA8" localSheetId="26">#REF!</definedName>
    <definedName name="DATA8" localSheetId="11">#REF!</definedName>
    <definedName name="DATA8" localSheetId="20">#REF!</definedName>
    <definedName name="DATA8">#REF!</definedName>
    <definedName name="DATA9" localSheetId="12">'[36]Sheet1 (2)'!#REF!</definedName>
    <definedName name="DATA9" localSheetId="26">'[36]Sheet1 (2)'!#REF!</definedName>
    <definedName name="DATA9" localSheetId="11">'[36]Sheet1 (2)'!#REF!</definedName>
    <definedName name="DATA9" localSheetId="20">'[36]Sheet1 (2)'!#REF!</definedName>
    <definedName name="DATA9">'[36]Sheet1 (2)'!#REF!</definedName>
    <definedName name="dcd"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cd"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cd"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cd"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cd"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cd"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cd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cd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cd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cd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cd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cd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d"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ddd" localSheetId="12" hidden="1">{#N/A,#N/A,FALSE,"COVER1.XLS ";#N/A,#N/A,FALSE,"RACT1.XLS";#N/A,#N/A,FALSE,"RACT2.XLS";#N/A,#N/A,FALSE,"ECCMP";#N/A,#N/A,FALSE,"WELDER.XLS"}</definedName>
    <definedName name="ddddd" localSheetId="11" hidden="1">{#N/A,#N/A,FALSE,"COVER1.XLS ";#N/A,#N/A,FALSE,"RACT1.XLS";#N/A,#N/A,FALSE,"RACT2.XLS";#N/A,#N/A,FALSE,"ECCMP";#N/A,#N/A,FALSE,"WELDER.XLS"}</definedName>
    <definedName name="ddddd" hidden="1">{#N/A,#N/A,FALSE,"COVER1.XLS ";#N/A,#N/A,FALSE,"RACT1.XLS";#N/A,#N/A,FALSE,"RACT2.XLS";#N/A,#N/A,FALSE,"ECCMP";#N/A,#N/A,FALSE,"WELDER.XLS"}</definedName>
    <definedName name="ddddddd" localSheetId="12" hidden="1">{#N/A,#N/A,FALSE,"COVER1.XLS ";#N/A,#N/A,FALSE,"RACT1.XLS";#N/A,#N/A,FALSE,"RACT2.XLS";#N/A,#N/A,FALSE,"ECCMP";#N/A,#N/A,FALSE,"WELDER.XLS"}</definedName>
    <definedName name="ddddddd" localSheetId="11" hidden="1">{#N/A,#N/A,FALSE,"COVER1.XLS ";#N/A,#N/A,FALSE,"RACT1.XLS";#N/A,#N/A,FALSE,"RACT2.XLS";#N/A,#N/A,FALSE,"ECCMP";#N/A,#N/A,FALSE,"WELDER.XLS"}</definedName>
    <definedName name="ddddddd" hidden="1">{#N/A,#N/A,FALSE,"COVER1.XLS ";#N/A,#N/A,FALSE,"RACT1.XLS";#N/A,#N/A,FALSE,"RACT2.XLS";#N/A,#N/A,FALSE,"ECCMP";#N/A,#N/A,FALSE,"WELDER.XLS"}</definedName>
    <definedName name="ddddddddd"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ebt_repay" localSheetId="12">'[34]debt schedule'!#REF!</definedName>
    <definedName name="debt_repay" localSheetId="26">'[34]debt schedule'!#REF!</definedName>
    <definedName name="debt_repay" localSheetId="11">'[34]debt schedule'!#REF!</definedName>
    <definedName name="debt_repay" localSheetId="20">'[34]debt schedule'!#REF!</definedName>
    <definedName name="debt_repay">'[34]debt schedule'!#REF!</definedName>
    <definedName name="debtrepay" localSheetId="12">#REF!</definedName>
    <definedName name="debtrepay" localSheetId="26">#REF!</definedName>
    <definedName name="debtrepay" localSheetId="11">#REF!</definedName>
    <definedName name="debtrepay" localSheetId="20">#REF!</definedName>
    <definedName name="debtrepay">#REF!</definedName>
    <definedName name="debtsch" localSheetId="12">#REF!</definedName>
    <definedName name="debtsch" localSheetId="26">#REF!</definedName>
    <definedName name="debtsch" localSheetId="11">#REF!</definedName>
    <definedName name="debtsch" localSheetId="20">#REF!</definedName>
    <definedName name="debtsch">#REF!</definedName>
    <definedName name="December" localSheetId="12">#REF!</definedName>
    <definedName name="December" localSheetId="26">#REF!</definedName>
    <definedName name="December" localSheetId="11">#REF!</definedName>
    <definedName name="December" localSheetId="20">#REF!</definedName>
    <definedName name="December">#REF!</definedName>
    <definedName name="depr" localSheetId="12">[38]Financials!#REF!</definedName>
    <definedName name="depr" localSheetId="26">[38]Financials!#REF!</definedName>
    <definedName name="depr" localSheetId="11">[38]Financials!#REF!</definedName>
    <definedName name="depr" localSheetId="20">[38]Financials!#REF!</definedName>
    <definedName name="depr">[38]Financials!#REF!</definedName>
    <definedName name="DFF" localSheetId="12" hidden="1">{#N/A,#N/A,FALSE,"COVER1.XLS ";#N/A,#N/A,FALSE,"RACT1.XLS";#N/A,#N/A,FALSE,"RACT2.XLS";#N/A,#N/A,FALSE,"ECCMP";#N/A,#N/A,FALSE,"WELDER.XLS"}</definedName>
    <definedName name="DFF" localSheetId="11" hidden="1">{#N/A,#N/A,FALSE,"COVER1.XLS ";#N/A,#N/A,FALSE,"RACT1.XLS";#N/A,#N/A,FALSE,"RACT2.XLS";#N/A,#N/A,FALSE,"ECCMP";#N/A,#N/A,FALSE,"WELDER.XLS"}</definedName>
    <definedName name="DFF" hidden="1">{#N/A,#N/A,FALSE,"COVER1.XLS ";#N/A,#N/A,FALSE,"RACT1.XLS";#N/A,#N/A,FALSE,"RACT2.XLS";#N/A,#N/A,FALSE,"ECCMP";#N/A,#N/A,FALSE,"WELDER.XLS"}</definedName>
    <definedName name="dffdf"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ffdf"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ffdf"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ffdf"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ffdf"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gfgfd" localSheetId="12" hidden="1">{#N/A,#N/A,FALSE,"COVER.XLS";#N/A,#N/A,FALSE,"RACT1.XLS";#N/A,#N/A,FALSE,"RACT2.XLS";#N/A,#N/A,FALSE,"ECCMP";#N/A,#N/A,FALSE,"WELDER.XLS"}</definedName>
    <definedName name="dgfgfd" localSheetId="11" hidden="1">{#N/A,#N/A,FALSE,"COVER.XLS";#N/A,#N/A,FALSE,"RACT1.XLS";#N/A,#N/A,FALSE,"RACT2.XLS";#N/A,#N/A,FALSE,"ECCMP";#N/A,#N/A,FALSE,"WELDER.XLS"}</definedName>
    <definedName name="dgfgfd" hidden="1">{#N/A,#N/A,FALSE,"COVER.XLS";#N/A,#N/A,FALSE,"RACT1.XLS";#N/A,#N/A,FALSE,"RACT2.XLS";#N/A,#N/A,FALSE,"ECCMP";#N/A,#N/A,FALSE,"WELDER.XLS"}</definedName>
    <definedName name="dip" localSheetId="12">[39]SEWING!#REF!</definedName>
    <definedName name="dip" localSheetId="26">[39]SEWING!#REF!</definedName>
    <definedName name="dip" localSheetId="11">[39]SEWING!#REF!</definedName>
    <definedName name="dip" localSheetId="20">[39]SEWING!#REF!</definedName>
    <definedName name="dip">[39]SEWING!#REF!</definedName>
    <definedName name="display_area_2" localSheetId="12" hidden="1">#REF!</definedName>
    <definedName name="display_area_2" localSheetId="11" hidden="1">#REF!</definedName>
    <definedName name="display_area_2" localSheetId="20" hidden="1">#REF!</definedName>
    <definedName name="display_area_2" hidden="1">#REF!</definedName>
    <definedName name="ds" localSheetId="1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ds" localSheetId="11"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ds"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DSDSDSDSD"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SDSDSDSD"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SDSDSDSD"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SDSDSDSD"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SDSDSDSD"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DSFSDFSDF" localSheetId="12" hidden="1">{#N/A,#N/A,FALSE,"COVER.XLS";#N/A,#N/A,FALSE,"RACT1.XLS";#N/A,#N/A,FALSE,"RACT2.XLS";#N/A,#N/A,FALSE,"ECCMP";#N/A,#N/A,FALSE,"WELDER.XLS"}</definedName>
    <definedName name="DSFSDFSDF" localSheetId="11" hidden="1">{#N/A,#N/A,FALSE,"COVER.XLS";#N/A,#N/A,FALSE,"RACT1.XLS";#N/A,#N/A,FALSE,"RACT2.XLS";#N/A,#N/A,FALSE,"ECCMP";#N/A,#N/A,FALSE,"WELDER.XLS"}</definedName>
    <definedName name="DSFSDFSDF" hidden="1">{#N/A,#N/A,FALSE,"COVER.XLS";#N/A,#N/A,FALSE,"RACT1.XLS";#N/A,#N/A,FALSE,"RACT2.XLS";#N/A,#N/A,FALSE,"ECCMP";#N/A,#N/A,FALSE,"WELDER.XLS"}</definedName>
    <definedName name="Dyes_Chem_Cost">'[35]D&amp;C_Pkg'!$L$4:$U$106</definedName>
    <definedName name="E142420100108" localSheetId="12">#REF!</definedName>
    <definedName name="E142420100108" localSheetId="26">#REF!</definedName>
    <definedName name="E142420100108" localSheetId="11">#REF!</definedName>
    <definedName name="E142420100108" localSheetId="20">#REF!</definedName>
    <definedName name="E142420100108">#REF!</definedName>
    <definedName name="E201060140042" localSheetId="12">#REF!</definedName>
    <definedName name="E201060140042" localSheetId="26">#REF!</definedName>
    <definedName name="E201060140042" localSheetId="11">#REF!</definedName>
    <definedName name="E201060140042" localSheetId="20">#REF!</definedName>
    <definedName name="E201060140042">#REF!</definedName>
    <definedName name="EDIT__END__LEFT__DEL___DOWN" localSheetId="12">#REF!</definedName>
    <definedName name="EDIT__END__LEFT__DEL___DOWN" localSheetId="26">#REF!</definedName>
    <definedName name="EDIT__END__LEFT__DEL___DOWN" localSheetId="11">#REF!</definedName>
    <definedName name="EDIT__END__LEFT__DEL___DOWN" localSheetId="20">#REF!</definedName>
    <definedName name="EDIT__END__LEFT__DEL___DOWN">#REF!</definedName>
    <definedName name="ee" localSheetId="1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e" localSheetId="1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e"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EUPECCLAIMS" localSheetId="12" hidden="1">#REF!</definedName>
    <definedName name="EUPECCLAIMS" localSheetId="19" hidden="1">#REF!</definedName>
    <definedName name="EUPECCLAIMS" localSheetId="26" hidden="1">#REF!</definedName>
    <definedName name="EUPECCLAIMS" localSheetId="11" hidden="1">#REF!</definedName>
    <definedName name="EUPECCLAIMS" localSheetId="32" hidden="1">#REF!</definedName>
    <definedName name="EUPECCLAIMS" localSheetId="20" hidden="1">#REF!</definedName>
    <definedName name="EUPECCLAIMS" hidden="1">#REF!</definedName>
    <definedName name="EUPEWEL" localSheetId="12" hidden="1">#REF!</definedName>
    <definedName name="EUPEWEL" localSheetId="19" hidden="1">#REF!</definedName>
    <definedName name="EUPEWEL" localSheetId="26" hidden="1">#REF!</definedName>
    <definedName name="EUPEWEL" localSheetId="11" hidden="1">#REF!</definedName>
    <definedName name="EUPEWEL" localSheetId="32" hidden="1">#REF!</definedName>
    <definedName name="EUPEWEL" localSheetId="20" hidden="1">#REF!</definedName>
    <definedName name="EUPEWEL" hidden="1">#REF!</definedName>
    <definedName name="ExportKohlsBig_One_SolidUSABath" localSheetId="12">'[40]Sales inputs '!#REF!</definedName>
    <definedName name="ExportKohlsBig_One_SolidUSABath" localSheetId="26">'[40]Sales inputs '!#REF!</definedName>
    <definedName name="ExportKohlsBig_One_SolidUSABath" localSheetId="11">'[40]Sales inputs '!#REF!</definedName>
    <definedName name="ExportKohlsBig_One_SolidUSABath" localSheetId="20">'[40]Sales inputs '!#REF!</definedName>
    <definedName name="ExportKohlsBig_One_SolidUSABath">'[40]Sales inputs '!#REF!</definedName>
    <definedName name="eyoec" localSheetId="19" hidden="1">[41]WGSRL!$G$49:$G$53</definedName>
    <definedName name="eyoec" localSheetId="26" hidden="1">[41]WGSRL!$G$49:$G$53</definedName>
    <definedName name="eyoec" localSheetId="32" hidden="1">[41]WGSRL!$G$49:$G$53</definedName>
    <definedName name="eyoec" hidden="1">[42]WGSRL!$G$49:$G$53</definedName>
    <definedName name="f" localSheetId="12" hidden="1">#REF!</definedName>
    <definedName name="f" localSheetId="11" hidden="1">#REF!</definedName>
    <definedName name="f" localSheetId="20" hidden="1">#REF!</definedName>
    <definedName name="f" hidden="1">#REF!</definedName>
    <definedName name="FCode" localSheetId="12" hidden="1">#REF!</definedName>
    <definedName name="FCode" localSheetId="11" hidden="1">#REF!</definedName>
    <definedName name="FCode" localSheetId="20" hidden="1">#REF!</definedName>
    <definedName name="FCode" hidden="1">#REF!</definedName>
    <definedName name="FD" localSheetId="12" hidden="1">#REF!</definedName>
    <definedName name="FD" localSheetId="19" hidden="1">#REF!</definedName>
    <definedName name="FD" localSheetId="11" hidden="1">#REF!</definedName>
    <definedName name="FD" localSheetId="32" hidden="1">#REF!</definedName>
    <definedName name="FD" localSheetId="20" hidden="1">#REF!</definedName>
    <definedName name="FD" hidden="1">#REF!</definedName>
    <definedName name="fdfdfd"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fdfdfd"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fdfdfd"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fdfdfd"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fdfdfd"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FDP_12_1_aDrv" hidden="1">#N/A</definedName>
    <definedName name="FDP_13_1_aDrv" hidden="1">#N/A</definedName>
    <definedName name="FDP_14_1_aDrv" hidden="1">#N/A</definedName>
    <definedName name="FDP_15_1_aUrv" hidden="1">#N/A</definedName>
    <definedName name="FDP_17_1_aSrv" hidden="1">#N/A</definedName>
    <definedName name="FDP_19_1_aDrv" hidden="1">#N/A</definedName>
    <definedName name="FDP_2_1_aSrv" hidden="1">#N/A</definedName>
    <definedName name="FDP_20_1_aDrv" hidden="1">#N/A</definedName>
    <definedName name="FDP_21_1_aDrv" hidden="1">#N/A</definedName>
    <definedName name="FDP_22_1_aDrv" hidden="1">#N/A</definedName>
    <definedName name="FDP_23_1_aDrv" hidden="1">#N/A</definedName>
    <definedName name="FDP_24_1_aDrv" hidden="1">#N/A</definedName>
    <definedName name="FDP_25_1_aUrv" hidden="1">#N/A</definedName>
    <definedName name="FDP_26_1_aSrv" hidden="1">#N/A</definedName>
    <definedName name="FDP_27_1_aUrv" hidden="1">#N/A</definedName>
    <definedName name="FDP_28_1_aUrv" hidden="1">#N/A</definedName>
    <definedName name="FDP_29_1_aUrv" hidden="1">#N/A</definedName>
    <definedName name="FDP_30_1_aUrv" hidden="1">#N/A</definedName>
    <definedName name="FDP_31_1_aUrv" hidden="1">#N/A</definedName>
    <definedName name="FDP_32_1_aUrv" hidden="1">#N/A</definedName>
    <definedName name="FDP_33_1_aUrv" hidden="1">#N/A</definedName>
    <definedName name="FDP_34_1_aUrv" hidden="1">#N/A</definedName>
    <definedName name="FDP_35_1_aUrv" hidden="1">#N/A</definedName>
    <definedName name="FDP_36_1_aUrv" hidden="1">#N/A</definedName>
    <definedName name="FDP_37_1_aUrv" hidden="1">#N/A</definedName>
    <definedName name="FDP_38_1_aUrv" hidden="1">#N/A</definedName>
    <definedName name="FDP_39_1_aUrv" hidden="1">#N/A</definedName>
    <definedName name="FDP_4_1_aSrv" hidden="1">#N/A</definedName>
    <definedName name="FDP_40_1_aUrv" hidden="1">#N/A</definedName>
    <definedName name="FDP_50_1_aDrv" hidden="1">#N/A</definedName>
    <definedName name="FDP_51_1_aDrv" hidden="1">#N/A</definedName>
    <definedName name="FDP_52_1_aDrv" hidden="1">#N/A</definedName>
    <definedName name="FDP_53_1_aUrv" hidden="1">#N/A</definedName>
    <definedName name="FDP_54_1_aUrv" hidden="1">#N/A</definedName>
    <definedName name="FDP_57_1_aSrv" hidden="1">#N/A</definedName>
    <definedName name="FDP_59_1_aUrv" hidden="1">#N/A</definedName>
    <definedName name="FDP_60_1_aUrv" hidden="1">#N/A</definedName>
    <definedName name="FDP_61_1_aSrv" hidden="1">#N/A</definedName>
    <definedName name="FDP_62_1_aDrv" hidden="1">#N/A</definedName>
    <definedName name="FDP_63_1_aUrv" hidden="1">#N/A</definedName>
    <definedName name="FDP_64_1_aUrv" hidden="1">#N/A</definedName>
    <definedName name="FDP_65_1_aUrv" hidden="1">#N/A</definedName>
    <definedName name="FDP_66_1_aUrv" hidden="1">#N/A</definedName>
    <definedName name="FDP_67_1_aDrv" hidden="1">#N/A</definedName>
    <definedName name="FDP_68_1_aUrv" hidden="1">#N/A</definedName>
    <definedName name="FDP_69_1_aUrv" hidden="1">#N/A</definedName>
    <definedName name="FDP_70_1_aUrv" hidden="1">#N/A</definedName>
    <definedName name="FDP_71_1_aDrv" hidden="1">#N/A</definedName>
    <definedName name="FDP_72_1_aDrv" hidden="1">#N/A</definedName>
    <definedName name="FDP_73_1_aDrv" hidden="1">#N/A</definedName>
    <definedName name="FDP_74_1_aDrv" hidden="1">#N/A</definedName>
    <definedName name="FDP_75_1_aUrv" hidden="1">#N/A</definedName>
    <definedName name="FDP_76_1_aUrv" hidden="1">#N/A</definedName>
    <definedName name="FDP_77_1_aDrv" hidden="1">#N/A</definedName>
    <definedName name="FDP_78_1_aUrv" hidden="1">#N/A</definedName>
    <definedName name="FDP_79_1_aUrv" hidden="1">#N/A</definedName>
    <definedName name="FDP_80_1_aDrv" hidden="1">#N/A</definedName>
    <definedName name="FDP_81_1_aSrv" hidden="1">#N/A</definedName>
    <definedName name="FDP_82_1_aUrv" hidden="1">#N/A</definedName>
    <definedName name="FDP_83_1_aDrv" hidden="1">#N/A</definedName>
    <definedName name="FDP_84_1_aDrv" hidden="1">#N/A</definedName>
    <definedName name="FDP_85_1_aDrv" hidden="1">#N/A</definedName>
    <definedName name="FDP_86_1_aDrv" hidden="1">#N/A</definedName>
    <definedName name="FDP_87_1_aDrv" hidden="1">#N/A</definedName>
    <definedName name="FDP_88_1_aDrv" hidden="1">#N/A</definedName>
    <definedName name="FDP_89_1_aDrv" hidden="1">#N/A</definedName>
    <definedName name="FDP_90_1_aDrv" hidden="1">#N/A</definedName>
    <definedName name="FDP_91_1_aDrv" hidden="1">#N/A</definedName>
    <definedName name="FDP_92_1_aDrv" hidden="1">#N/A</definedName>
    <definedName name="FDP_93_1_aSrv" hidden="1">#N/A</definedName>
    <definedName name="FDP_94_1_aSrv" hidden="1">#N/A</definedName>
    <definedName name="FDP_95_1_aSrv" hidden="1">#N/A</definedName>
    <definedName name="FDP_96_1_aSrv" hidden="1">#N/A</definedName>
    <definedName name="FDP_97_1_aUrv" hidden="1">#N/A</definedName>
    <definedName name="FDP_98_1_aSrv" hidden="1">#N/A</definedName>
    <definedName name="FDP_99_1_aSrv" hidden="1">#N/A</definedName>
    <definedName name="fef" localSheetId="12" hidden="1">{#N/A,#N/A,FALSE,"COVER.XLS";#N/A,#N/A,FALSE,"RACT1.XLS";#N/A,#N/A,FALSE,"RACT2.XLS";#N/A,#N/A,FALSE,"ECCMP";#N/A,#N/A,FALSE,"WELDER.XLS"}</definedName>
    <definedName name="fef" localSheetId="11" hidden="1">{#N/A,#N/A,FALSE,"COVER.XLS";#N/A,#N/A,FALSE,"RACT1.XLS";#N/A,#N/A,FALSE,"RACT2.XLS";#N/A,#N/A,FALSE,"ECCMP";#N/A,#N/A,FALSE,"WELDER.XLS"}</definedName>
    <definedName name="fef" hidden="1">{#N/A,#N/A,FALSE,"COVER.XLS";#N/A,#N/A,FALSE,"RACT1.XLS";#N/A,#N/A,FALSE,"RACT2.XLS";#N/A,#N/A,FALSE,"ECCMP";#N/A,#N/A,FALSE,"WELDER.XLS"}</definedName>
    <definedName name="ff" localSheetId="12">#REF!</definedName>
    <definedName name="ff" localSheetId="26">#REF!</definedName>
    <definedName name="ff" localSheetId="11">#REF!</definedName>
    <definedName name="ff" localSheetId="20">#REF!</definedName>
    <definedName name="ff">#REF!</definedName>
    <definedName name="FFDFDF"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FFDFDF"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FFDFDF"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FFDFDF"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FFDFDF"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ffff"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ff" localSheetId="12" hidden="1">{#N/A,#N/A,FALSE,"str_title";#N/A,#N/A,FALSE,"SUM";#N/A,#N/A,FALSE,"Scope";#N/A,#N/A,FALSE,"PIE-Jn";#N/A,#N/A,FALSE,"PIE-Jn_Hz";#N/A,#N/A,FALSE,"Liq_Plan";#N/A,#N/A,FALSE,"S_Curve";#N/A,#N/A,FALSE,"Liq_Prof";#N/A,#N/A,FALSE,"Man_Pwr";#N/A,#N/A,FALSE,"Man_Prof"}</definedName>
    <definedName name="ffffff" localSheetId="11" hidden="1">{#N/A,#N/A,FALSE,"str_title";#N/A,#N/A,FALSE,"SUM";#N/A,#N/A,FALSE,"Scope";#N/A,#N/A,FALSE,"PIE-Jn";#N/A,#N/A,FALSE,"PIE-Jn_Hz";#N/A,#N/A,FALSE,"Liq_Plan";#N/A,#N/A,FALSE,"S_Curve";#N/A,#N/A,FALSE,"Liq_Prof";#N/A,#N/A,FALSE,"Man_Pwr";#N/A,#N/A,FALSE,"Man_Prof"}</definedName>
    <definedName name="ffffff" hidden="1">{#N/A,#N/A,FALSE,"str_title";#N/A,#N/A,FALSE,"SUM";#N/A,#N/A,FALSE,"Scope";#N/A,#N/A,FALSE,"PIE-Jn";#N/A,#N/A,FALSE,"PIE-Jn_Hz";#N/A,#N/A,FALSE,"Liq_Plan";#N/A,#N/A,FALSE,"S_Curve";#N/A,#N/A,FALSE,"Liq_Prof";#N/A,#N/A,FALSE,"Man_Pwr";#N/A,#N/A,FALSE,"Man_Prof"}</definedName>
    <definedName name="ffffffff" localSheetId="12" hidden="1">{#N/A,#N/A,FALSE,"COVER.XLS";#N/A,#N/A,FALSE,"RACT1.XLS";#N/A,#N/A,FALSE,"RACT2.XLS";#N/A,#N/A,FALSE,"ECCMP";#N/A,#N/A,FALSE,"WELDER.XLS"}</definedName>
    <definedName name="ffffffff" localSheetId="11" hidden="1">{#N/A,#N/A,FALSE,"COVER.XLS";#N/A,#N/A,FALSE,"RACT1.XLS";#N/A,#N/A,FALSE,"RACT2.XLS";#N/A,#N/A,FALSE,"ECCMP";#N/A,#N/A,FALSE,"WELDER.XLS"}</definedName>
    <definedName name="ffffffff" hidden="1">{#N/A,#N/A,FALSE,"COVER.XLS";#N/A,#N/A,FALSE,"RACT1.XLS";#N/A,#N/A,FALSE,"RACT2.XLS";#N/A,#N/A,FALSE,"ECCMP";#N/A,#N/A,FALSE,"WELDER.XLS"}</definedName>
    <definedName name="fffffffff" localSheetId="12" hidden="1">{#N/A,#N/A,FALSE,"COVER1.XLS ";#N/A,#N/A,FALSE,"RACT1.XLS";#N/A,#N/A,FALSE,"RACT2.XLS";#N/A,#N/A,FALSE,"ECCMP";#N/A,#N/A,FALSE,"WELDER.XLS"}</definedName>
    <definedName name="fffffffff" localSheetId="11" hidden="1">{#N/A,#N/A,FALSE,"COVER1.XLS ";#N/A,#N/A,FALSE,"RACT1.XLS";#N/A,#N/A,FALSE,"RACT2.XLS";#N/A,#N/A,FALSE,"ECCMP";#N/A,#N/A,FALSE,"WELDER.XLS"}</definedName>
    <definedName name="fffffffff" hidden="1">{#N/A,#N/A,FALSE,"COVER1.XLS ";#N/A,#N/A,FALSE,"RACT1.XLS";#N/A,#N/A,FALSE,"RACT2.XLS";#N/A,#N/A,FALSE,"ECCMP";#N/A,#N/A,FALSE,"WELDER.XLS"}</definedName>
    <definedName name="fix" localSheetId="1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localSheetId="11"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EDCOST" localSheetId="12" hidden="1">#REF!</definedName>
    <definedName name="FIXEDCOST" localSheetId="11" hidden="1">#REF!</definedName>
    <definedName name="FIXEDCOST" localSheetId="20" hidden="1">#REF!</definedName>
    <definedName name="FIXEDCOST" hidden="1">#REF!</definedName>
    <definedName name="FixedCost_Table">'[43]Fixed Cost'!$B$3:$H$17</definedName>
    <definedName name="FP" localSheetId="12" hidden="1">{#N/A,#N/A,TRUE,"Summary - 1";#N/A,#N/A,TRUE,"Summary - 2";#N/A,#N/A,TRUE,"Group Analysis";#N/A,#N/A,TRUE,"FM Analysis";#N/A,#N/A,TRUE,"T&amp;M-Onsite";#N/A,#N/A,TRUE,"FP-Onsite";#N/A,#N/A,TRUE,"NB-Onsite";#N/A,#N/A,TRUE,"T&amp;M-Offshore";#N/A,#N/A,TRUE,"FP-Offshore";#N/A,#N/A,TRUE,"Appendix-A";#N/A,#N/A,TRUE,"Appendix-B"}</definedName>
    <definedName name="FP" localSheetId="19" hidden="1">{#N/A,#N/A,TRUE,"Summary - 1";#N/A,#N/A,TRUE,"Summary - 2";#N/A,#N/A,TRUE,"Group Analysis";#N/A,#N/A,TRUE,"FM Analysis";#N/A,#N/A,TRUE,"T&amp;M-Onsite";#N/A,#N/A,TRUE,"FP-Onsite";#N/A,#N/A,TRUE,"NB-Onsite";#N/A,#N/A,TRUE,"T&amp;M-Offshore";#N/A,#N/A,TRUE,"FP-Offshore";#N/A,#N/A,TRUE,"Appendix-A";#N/A,#N/A,TRUE,"Appendix-B"}</definedName>
    <definedName name="FP" localSheetId="11" hidden="1">{#N/A,#N/A,TRUE,"Summary - 1";#N/A,#N/A,TRUE,"Summary - 2";#N/A,#N/A,TRUE,"Group Analysis";#N/A,#N/A,TRUE,"FM Analysis";#N/A,#N/A,TRUE,"T&amp;M-Onsite";#N/A,#N/A,TRUE,"FP-Onsite";#N/A,#N/A,TRUE,"NB-Onsite";#N/A,#N/A,TRUE,"T&amp;M-Offshore";#N/A,#N/A,TRUE,"FP-Offshore";#N/A,#N/A,TRUE,"Appendix-A";#N/A,#N/A,TRUE,"Appendix-B"}</definedName>
    <definedName name="FP" localSheetId="32" hidden="1">{#N/A,#N/A,TRUE,"Summary - 1";#N/A,#N/A,TRUE,"Summary - 2";#N/A,#N/A,TRUE,"Group Analysis";#N/A,#N/A,TRUE,"FM Analysis";#N/A,#N/A,TRUE,"T&amp;M-Onsite";#N/A,#N/A,TRUE,"FP-Onsite";#N/A,#N/A,TRUE,"NB-Onsite";#N/A,#N/A,TRUE,"T&amp;M-Offshore";#N/A,#N/A,TRUE,"FP-Offshore";#N/A,#N/A,TRUE,"Appendix-A";#N/A,#N/A,TRUE,"Appendix-B"}</definedName>
    <definedName name="FP" hidden="1">{#N/A,#N/A,TRUE,"Summary - 1";#N/A,#N/A,TRUE,"Summary - 2";#N/A,#N/A,TRUE,"Group Analysis";#N/A,#N/A,TRUE,"FM Analysis";#N/A,#N/A,TRUE,"T&amp;M-Onsite";#N/A,#N/A,TRUE,"FP-Onsite";#N/A,#N/A,TRUE,"NB-Onsite";#N/A,#N/A,TRUE,"T&amp;M-Offshore";#N/A,#N/A,TRUE,"FP-Offshore";#N/A,#N/A,TRUE,"Appendix-A";#N/A,#N/A,TRUE,"Appendix-B"}</definedName>
    <definedName name="FULLCOMPANY">[8]Input_B_V!$A$63</definedName>
    <definedName name="G" localSheetId="12" hidden="1">#REF!</definedName>
    <definedName name="G" localSheetId="11" hidden="1">#REF!</definedName>
    <definedName name="G" localSheetId="32" hidden="1">#REF!</definedName>
    <definedName name="G" localSheetId="20" hidden="1">#REF!</definedName>
    <definedName name="G" hidden="1">#REF!</definedName>
    <definedName name="gd" localSheetId="12" hidden="1">#REF!</definedName>
    <definedName name="gd" localSheetId="11" hidden="1">#REF!</definedName>
    <definedName name="gd" localSheetId="20" hidden="1">#REF!</definedName>
    <definedName name="gd" hidden="1">#REF!</definedName>
    <definedName name="GDF" localSheetId="12" hidden="1">{#N/A,#N/A,FALSE,"COMP"}</definedName>
    <definedName name="GDF" localSheetId="19" hidden="1">{#N/A,#N/A,FALSE,"COMP"}</definedName>
    <definedName name="GDF" localSheetId="11" hidden="1">{#N/A,#N/A,FALSE,"COMP"}</definedName>
    <definedName name="GDF" localSheetId="32" hidden="1">{#N/A,#N/A,FALSE,"COMP"}</definedName>
    <definedName name="GDF" hidden="1">{#N/A,#N/A,FALSE,"COMP"}</definedName>
    <definedName name="gee" localSheetId="12" hidden="1">{#N/A,#N/A,FALSE,"COVER1.XLS ";#N/A,#N/A,FALSE,"RACT1.XLS";#N/A,#N/A,FALSE,"RACT2.XLS";#N/A,#N/A,FALSE,"ECCMP";#N/A,#N/A,FALSE,"WELDER.XLS"}</definedName>
    <definedName name="gee" localSheetId="11" hidden="1">{#N/A,#N/A,FALSE,"COVER1.XLS ";#N/A,#N/A,FALSE,"RACT1.XLS";#N/A,#N/A,FALSE,"RACT2.XLS";#N/A,#N/A,FALSE,"ECCMP";#N/A,#N/A,FALSE,"WELDER.XLS"}</definedName>
    <definedName name="gee" hidden="1">{#N/A,#N/A,FALSE,"COVER1.XLS ";#N/A,#N/A,FALSE,"RACT1.XLS";#N/A,#N/A,FALSE,"RACT2.XLS";#N/A,#N/A,FALSE,"ECCMP";#N/A,#N/A,FALSE,"WELDER.XLS"}</definedName>
    <definedName name="gfftg66" localSheetId="12" hidden="1">{TRUE,FALSE,-1.25,-15.5,484.5,293.25,FALSE,TRUE,TRUE,TRUE,0,1,3,329,#N/A,1,21.8823529411765,2,TRUE,FALSE,3,TRUE,1,TRUE,100,"Swvu.a.","ACwvu.a.",#N/A,FALSE,FALSE,0.1,2.66,1.35,0,2,"","",TRUE,FALSE,FALSE,TRUE,1,87,#N/A,#N/A,"=R354C1:R476C10",FALSE,FALSE,FALSE,FALSE,FALSE,FALSE,5,300,300,FALSE,FALSE,TRUE,TRUE,TRUE}</definedName>
    <definedName name="gfftg66" localSheetId="11" hidden="1">{TRUE,FALSE,-1.25,-15.5,484.5,293.25,FALSE,TRUE,TRUE,TRUE,0,1,3,329,#N/A,1,21.8823529411765,2,TRUE,FALSE,3,TRUE,1,TRUE,100,"Swvu.a.","ACwvu.a.",#N/A,FALSE,FALSE,0.1,2.66,1.35,0,2,"","",TRUE,FALSE,FALSE,TRUE,1,87,#N/A,#N/A,"=R354C1:R476C10",FALSE,FALSE,FALSE,FALSE,FALSE,FALSE,5,300,300,FALSE,FALSE,TRUE,TRUE,TRUE}</definedName>
    <definedName name="gfftg66" hidden="1">{TRUE,FALSE,-1.25,-15.5,484.5,293.25,FALSE,TRUE,TRUE,TRUE,0,1,3,329,#N/A,1,21.8823529411765,2,TRUE,FALSE,3,TRUE,1,TRUE,100,"Swvu.a.","ACwvu.a.",#N/A,FALSE,FALSE,0.1,2.66,1.35,0,2,"","",TRUE,FALSE,FALSE,TRUE,1,87,#N/A,#N/A,"=R354C1:R476C10",FALSE,FALSE,FALSE,FALSE,FALSE,FALSE,5,300,300,FALSE,FALSE,TRUE,TRUE,TRUE}</definedName>
    <definedName name="gg" localSheetId="12" hidden="1">{#N/A,#N/A,FALSE,"COVER1.XLS ";#N/A,#N/A,FALSE,"RACT1.XLS";#N/A,#N/A,FALSE,"RACT2.XLS";#N/A,#N/A,FALSE,"ECCMP";#N/A,#N/A,FALSE,"WELDER.XLS"}</definedName>
    <definedName name="gg" localSheetId="11" hidden="1">{#N/A,#N/A,FALSE,"COVER1.XLS ";#N/A,#N/A,FALSE,"RACT1.XLS";#N/A,#N/A,FALSE,"RACT2.XLS";#N/A,#N/A,FALSE,"ECCMP";#N/A,#N/A,FALSE,"WELDER.XLS"}</definedName>
    <definedName name="gg" hidden="1">{#N/A,#N/A,FALSE,"COVER1.XLS ";#N/A,#N/A,FALSE,"RACT1.XLS";#N/A,#N/A,FALSE,"RACT2.XLS";#N/A,#N/A,FALSE,"ECCMP";#N/A,#N/A,FALSE,"WELDER.XLS"}</definedName>
    <definedName name="GGG"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g" localSheetId="1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localSheetId="11"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hj" localSheetId="12" hidden="1">{#N/A,#N/A,FALSE,"COVER.XLS";#N/A,#N/A,FALSE,"RACT1.XLS";#N/A,#N/A,FALSE,"RACT2.XLS";#N/A,#N/A,FALSE,"ECCMP";#N/A,#N/A,FALSE,"WELDER.XLS"}</definedName>
    <definedName name="ghj" localSheetId="11" hidden="1">{#N/A,#N/A,FALSE,"COVER.XLS";#N/A,#N/A,FALSE,"RACT1.XLS";#N/A,#N/A,FALSE,"RACT2.XLS";#N/A,#N/A,FALSE,"ECCMP";#N/A,#N/A,FALSE,"WELDER.XLS"}</definedName>
    <definedName name="ghj" hidden="1">{#N/A,#N/A,FALSE,"COVER.XLS";#N/A,#N/A,FALSE,"RACT1.XLS";#N/A,#N/A,FALSE,"RACT2.XLS";#N/A,#N/A,FALSE,"ECCMP";#N/A,#N/A,FALSE,"WELDER.XLS"}</definedName>
    <definedName name="gk" localSheetId="12" hidden="1">#REF!</definedName>
    <definedName name="gk" localSheetId="11" hidden="1">#REF!</definedName>
    <definedName name="gk" localSheetId="20" hidden="1">#REF!</definedName>
    <definedName name="gk" hidden="1">#REF!</definedName>
    <definedName name="gopi" localSheetId="12" hidden="1">{#N/A,#N/A,FALSE,"consu_cover";#N/A,#N/A,FALSE,"consu_strategy";#N/A,#N/A,FALSE,"consu_flow";#N/A,#N/A,FALSE,"Summary_reqmt";#N/A,#N/A,FALSE,"field_ppg";#N/A,#N/A,FALSE,"ppg_shop";#N/A,#N/A,FALSE,"strl";#N/A,#N/A,FALSE,"tankages";#N/A,#N/A,FALSE,"gases"}</definedName>
    <definedName name="gopi" localSheetId="11" hidden="1">{#N/A,#N/A,FALSE,"consu_cover";#N/A,#N/A,FALSE,"consu_strategy";#N/A,#N/A,FALSE,"consu_flow";#N/A,#N/A,FALSE,"Summary_reqmt";#N/A,#N/A,FALSE,"field_ppg";#N/A,#N/A,FALSE,"ppg_shop";#N/A,#N/A,FALSE,"strl";#N/A,#N/A,FALSE,"tankages";#N/A,#N/A,FALSE,"gases"}</definedName>
    <definedName name="gopi" hidden="1">{#N/A,#N/A,FALSE,"consu_cover";#N/A,#N/A,FALSE,"consu_strategy";#N/A,#N/A,FALSE,"consu_flow";#N/A,#N/A,FALSE,"Summary_reqmt";#N/A,#N/A,FALSE,"field_ppg";#N/A,#N/A,FALSE,"ppg_shop";#N/A,#N/A,FALSE,"strl";#N/A,#N/A,FALSE,"tankages";#N/A,#N/A,FALSE,"gases"}</definedName>
    <definedName name="gr" localSheetId="12" hidden="1">{#N/A,#N/A,FALSE,"COVER.XLS";#N/A,#N/A,FALSE,"RACT1.XLS";#N/A,#N/A,FALSE,"RACT2.XLS";#N/A,#N/A,FALSE,"ECCMP";#N/A,#N/A,FALSE,"WELDER.XLS"}</definedName>
    <definedName name="gr" localSheetId="11" hidden="1">{#N/A,#N/A,FALSE,"COVER.XLS";#N/A,#N/A,FALSE,"RACT1.XLS";#N/A,#N/A,FALSE,"RACT2.XLS";#N/A,#N/A,FALSE,"ECCMP";#N/A,#N/A,FALSE,"WELDER.XLS"}</definedName>
    <definedName name="gr" hidden="1">{#N/A,#N/A,FALSE,"COVER.XLS";#N/A,#N/A,FALSE,"RACT1.XLS";#N/A,#N/A,FALSE,"RACT2.XLS";#N/A,#N/A,FALSE,"ECCMP";#N/A,#N/A,FALSE,"WELDER.XLS"}</definedName>
    <definedName name="gr_25598_vp" localSheetId="12" hidden="1">{#N/A,#N/A,FALSE,"profile ";#N/A,#N/A,FALSE,"rank";#N/A,#N/A,FALSE,"overbase";#N/A,#N/A,FALSE,"overcash";#N/A,#N/A,FALSE,"overtfp";#N/A,#N/A,FALSE,"overtcc"}</definedName>
    <definedName name="gr_25598_vp" localSheetId="19" hidden="1">{#N/A,#N/A,FALSE,"profile ";#N/A,#N/A,FALSE,"rank";#N/A,#N/A,FALSE,"overbase";#N/A,#N/A,FALSE,"overcash";#N/A,#N/A,FALSE,"overtfp";#N/A,#N/A,FALSE,"overtcc"}</definedName>
    <definedName name="gr_25598_vp" localSheetId="26" hidden="1">{#N/A,#N/A,FALSE,"profile ";#N/A,#N/A,FALSE,"rank";#N/A,#N/A,FALSE,"overbase";#N/A,#N/A,FALSE,"overcash";#N/A,#N/A,FALSE,"overtfp";#N/A,#N/A,FALSE,"overtcc"}</definedName>
    <definedName name="gr_25598_vp" localSheetId="11" hidden="1">{#N/A,#N/A,FALSE,"profile ";#N/A,#N/A,FALSE,"rank";#N/A,#N/A,FALSE,"overbase";#N/A,#N/A,FALSE,"overcash";#N/A,#N/A,FALSE,"overtfp";#N/A,#N/A,FALSE,"overtcc"}</definedName>
    <definedName name="gr_25598_vp" localSheetId="32" hidden="1">{#N/A,#N/A,FALSE,"profile ";#N/A,#N/A,FALSE,"rank";#N/A,#N/A,FALSE,"overbase";#N/A,#N/A,FALSE,"overcash";#N/A,#N/A,FALSE,"overtfp";#N/A,#N/A,FALSE,"overtcc"}</definedName>
    <definedName name="gr_25598_vp" hidden="1">{#N/A,#N/A,FALSE,"profile ";#N/A,#N/A,FALSE,"rank";#N/A,#N/A,FALSE,"overbase";#N/A,#N/A,FALSE,"overcash";#N/A,#N/A,FALSE,"overtfp";#N/A,#N/A,FALSE,"overtcc"}</definedName>
    <definedName name="gr_25598_vp_1" localSheetId="12" hidden="1">{#N/A,#N/A,FALSE,"profile ";#N/A,#N/A,FALSE,"rank";#N/A,#N/A,FALSE,"overbase";#N/A,#N/A,FALSE,"overcash";#N/A,#N/A,FALSE,"overtfp";#N/A,#N/A,FALSE,"overtcc"}</definedName>
    <definedName name="gr_25598_vp_1" localSheetId="19" hidden="1">{#N/A,#N/A,FALSE,"profile ";#N/A,#N/A,FALSE,"rank";#N/A,#N/A,FALSE,"overbase";#N/A,#N/A,FALSE,"overcash";#N/A,#N/A,FALSE,"overtfp";#N/A,#N/A,FALSE,"overtcc"}</definedName>
    <definedName name="gr_25598_vp_1" localSheetId="26" hidden="1">{#N/A,#N/A,FALSE,"profile ";#N/A,#N/A,FALSE,"rank";#N/A,#N/A,FALSE,"overbase";#N/A,#N/A,FALSE,"overcash";#N/A,#N/A,FALSE,"overtfp";#N/A,#N/A,FALSE,"overtcc"}</definedName>
    <definedName name="gr_25598_vp_1" localSheetId="11" hidden="1">{#N/A,#N/A,FALSE,"profile ";#N/A,#N/A,FALSE,"rank";#N/A,#N/A,FALSE,"overbase";#N/A,#N/A,FALSE,"overcash";#N/A,#N/A,FALSE,"overtfp";#N/A,#N/A,FALSE,"overtcc"}</definedName>
    <definedName name="gr_25598_vp_1" localSheetId="32" hidden="1">{#N/A,#N/A,FALSE,"profile ";#N/A,#N/A,FALSE,"rank";#N/A,#N/A,FALSE,"overbase";#N/A,#N/A,FALSE,"overcash";#N/A,#N/A,FALSE,"overtfp";#N/A,#N/A,FALSE,"overtcc"}</definedName>
    <definedName name="gr_25598_vp_1" hidden="1">{#N/A,#N/A,FALSE,"profile ";#N/A,#N/A,FALSE,"rank";#N/A,#N/A,FALSE,"overbase";#N/A,#N/A,FALSE,"overcash";#N/A,#N/A,FALSE,"overtfp";#N/A,#N/A,FALSE,"overtcc"}</definedName>
    <definedName name="graph" hidden="1">'[44]S &amp; A'!$A$4:$A$8</definedName>
    <definedName name="GreyProdn_Q1">'[40]Grey Prodn'!$AB$4:$AC$120</definedName>
    <definedName name="GreyProdn_Q2">'[40]Grey Prodn'!$AB$121:$AC$236</definedName>
    <definedName name="GreyProdn_Q3">'[40]Grey Prodn'!$AB$237:$AC$353</definedName>
    <definedName name="GreyProdn_Q4">'[40]Grey Prodn'!$AB$354:$AC$470</definedName>
    <definedName name="gt" localSheetId="12" hidden="1">{#N/A,#N/A,FALSE,"str_title";#N/A,#N/A,FALSE,"SUM";#N/A,#N/A,FALSE,"Scope";#N/A,#N/A,FALSE,"PIE-Jn";#N/A,#N/A,FALSE,"PIE-Jn_Hz";#N/A,#N/A,FALSE,"Liq_Plan";#N/A,#N/A,FALSE,"S_Curve";#N/A,#N/A,FALSE,"Liq_Prof";#N/A,#N/A,FALSE,"Man_Pwr";#N/A,#N/A,FALSE,"Man_Prof"}</definedName>
    <definedName name="gt" localSheetId="11" hidden="1">{#N/A,#N/A,FALSE,"str_title";#N/A,#N/A,FALSE,"SUM";#N/A,#N/A,FALSE,"Scope";#N/A,#N/A,FALSE,"PIE-Jn";#N/A,#N/A,FALSE,"PIE-Jn_Hz";#N/A,#N/A,FALSE,"Liq_Plan";#N/A,#N/A,FALSE,"S_Curve";#N/A,#N/A,FALSE,"Liq_Prof";#N/A,#N/A,FALSE,"Man_Pwr";#N/A,#N/A,FALSE,"Man_Prof"}</definedName>
    <definedName name="gt" hidden="1">{#N/A,#N/A,FALSE,"str_title";#N/A,#N/A,FALSE,"SUM";#N/A,#N/A,FALSE,"Scope";#N/A,#N/A,FALSE,"PIE-Jn";#N/A,#N/A,FALSE,"PIE-Jn_Hz";#N/A,#N/A,FALSE,"Liq_Plan";#N/A,#N/A,FALSE,"S_Curve";#N/A,#N/A,FALSE,"Liq_Prof";#N/A,#N/A,FALSE,"Man_Pwr";#N/A,#N/A,FALSE,"Man_Prof"}</definedName>
    <definedName name="gtd" localSheetId="12" hidden="1">{TRUE,FALSE,-1.25,-15.5,484.5,293.25,FALSE,TRUE,TRUE,TRUE,0,1,3,329,#N/A,1,21.8823529411765,2,TRUE,FALSE,3,TRUE,1,TRUE,100,"Swvu.a.","ACwvu.a.",#N/A,FALSE,FALSE,0.1,2.66,1.35,0,2,"","",TRUE,FALSE,FALSE,TRUE,1,87,#N/A,#N/A,"=R354C1:R476C10",FALSE,FALSE,FALSE,FALSE,FALSE,FALSE,5,300,300,FALSE,FALSE,TRUE,TRUE,TRUE}</definedName>
    <definedName name="gtd" localSheetId="11" hidden="1">{TRUE,FALSE,-1.25,-15.5,484.5,293.25,FALSE,TRUE,TRUE,TRUE,0,1,3,329,#N/A,1,21.8823529411765,2,TRUE,FALSE,3,TRUE,1,TRUE,100,"Swvu.a.","ACwvu.a.",#N/A,FALSE,FALSE,0.1,2.66,1.35,0,2,"","",TRUE,FALSE,FALSE,TRUE,1,87,#N/A,#N/A,"=R354C1:R476C10",FALSE,FALSE,FALSE,FALSE,FALSE,FALSE,5,300,300,FALSE,FALSE,TRUE,TRUE,TRUE}</definedName>
    <definedName name="gtd" hidden="1">{TRUE,FALSE,-1.25,-15.5,484.5,293.25,FALSE,TRUE,TRUE,TRUE,0,1,3,329,#N/A,1,21.8823529411765,2,TRUE,FALSE,3,TRUE,1,TRUE,100,"Swvu.a.","ACwvu.a.",#N/A,FALSE,FALSE,0.1,2.66,1.35,0,2,"","",TRUE,FALSE,FALSE,TRUE,1,87,#N/A,#N/A,"=R354C1:R476C10",FALSE,FALSE,FALSE,FALSE,FALSE,FALSE,5,300,300,FALSE,FALSE,TRUE,TRUE,TRUE}</definedName>
    <definedName name="GWTable">'[32]GW-Bud'!$A$11:$Y$133</definedName>
    <definedName name="h"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ap" localSheetId="12" hidden="1">{#N/A,#N/A,FALSE,"COVER1.XLS ";#N/A,#N/A,FALSE,"RACT1.XLS";#N/A,#N/A,FALSE,"RACT2.XLS";#N/A,#N/A,FALSE,"ECCMP";#N/A,#N/A,FALSE,"WELDER.XLS"}</definedName>
    <definedName name="hap" localSheetId="11" hidden="1">{#N/A,#N/A,FALSE,"COVER1.XLS ";#N/A,#N/A,FALSE,"RACT1.XLS";#N/A,#N/A,FALSE,"RACT2.XLS";#N/A,#N/A,FALSE,"ECCMP";#N/A,#N/A,FALSE,"WELDER.XLS"}</definedName>
    <definedName name="hap" hidden="1">{#N/A,#N/A,FALSE,"COVER1.XLS ";#N/A,#N/A,FALSE,"RACT1.XLS";#N/A,#N/A,FALSE,"RACT2.XLS";#N/A,#N/A,FALSE,"ECCMP";#N/A,#N/A,FALSE,"WELDER.XLS"}</definedName>
    <definedName name="HeadOfficeTable">'[32]Head Office-Bud'!$A$11:$Y$133</definedName>
    <definedName name="hgj" localSheetId="12" hidden="1">{TRUE,FALSE,-1.25,-15.5,484.5,293.25,FALSE,TRUE,TRUE,TRUE,0,1,3,329,#N/A,1,21.8823529411765,2,TRUE,FALSE,3,TRUE,1,TRUE,100,"Swvu.a.","ACwvu.a.",#N/A,FALSE,FALSE,0.1,2.66,1.35,0,2,"","",TRUE,FALSE,FALSE,TRUE,1,87,#N/A,#N/A,"=R354C1:R476C10",FALSE,FALSE,FALSE,FALSE,FALSE,FALSE,5,300,300,FALSE,FALSE,TRUE,TRUE,TRUE}</definedName>
    <definedName name="hgj" localSheetId="11" hidden="1">{TRUE,FALSE,-1.25,-15.5,484.5,293.25,FALSE,TRUE,TRUE,TRUE,0,1,3,329,#N/A,1,21.8823529411765,2,TRUE,FALSE,3,TRUE,1,TRUE,100,"Swvu.a.","ACwvu.a.",#N/A,FALSE,FALSE,0.1,2.66,1.35,0,2,"","",TRUE,FALSE,FALSE,TRUE,1,87,#N/A,#N/A,"=R354C1:R476C10",FALSE,FALSE,FALSE,FALSE,FALSE,FALSE,5,300,300,FALSE,FALSE,TRUE,TRUE,TRUE}</definedName>
    <definedName name="hgj" hidden="1">{TRUE,FALSE,-1.25,-15.5,484.5,293.25,FALSE,TRUE,TRUE,TRUE,0,1,3,329,#N/A,1,21.8823529411765,2,TRUE,FALSE,3,TRUE,1,TRUE,100,"Swvu.a.","ACwvu.a.",#N/A,FALSE,FALSE,0.1,2.66,1.35,0,2,"","",TRUE,FALSE,FALSE,TRUE,1,87,#N/A,#N/A,"=R354C1:R476C10",FALSE,FALSE,FALSE,FALSE,FALSE,FALSE,5,300,300,FALSE,FALSE,TRUE,TRUE,TRUE}</definedName>
    <definedName name="HiddenRows" localSheetId="12" hidden="1">#REF!</definedName>
    <definedName name="HiddenRows" localSheetId="11" hidden="1">#REF!</definedName>
    <definedName name="HiddenRows" localSheetId="20" hidden="1">#REF!</definedName>
    <definedName name="HiddenRows" hidden="1">#REF!</definedName>
    <definedName name="hthh" localSheetId="12">'[45]P&amp;LSC'!#REF!</definedName>
    <definedName name="hthh" localSheetId="26">'[45]P&amp;LSC'!#REF!</definedName>
    <definedName name="hthh" localSheetId="11">'[45]P&amp;LSC'!#REF!</definedName>
    <definedName name="hthh" localSheetId="20">'[45]P&amp;LSC'!#REF!</definedName>
    <definedName name="hthh">'[45]P&amp;LSC'!#REF!</definedName>
    <definedName name="HTML_CodePage" hidden="1">1252</definedName>
    <definedName name="HTML_Control" localSheetId="12" hidden="1">{"'VALUATION'!$A$3:$R$266"}</definedName>
    <definedName name="HTML_Control" localSheetId="19" hidden="1">{"'Stock'!$A$1:$M$34","'Consumption'!$A$1:$N$35"}</definedName>
    <definedName name="HTML_Control" localSheetId="26" hidden="1">{"'Stock'!$A$1:$M$34","'Consumption'!$A$1:$N$35"}</definedName>
    <definedName name="HTML_Control" localSheetId="11" hidden="1">{"'VALUATION'!$A$3:$R$266"}</definedName>
    <definedName name="HTML_Control" localSheetId="32" hidden="1">{"'Stock'!$A$1:$M$34","'Consumption'!$A$1:$N$35"}</definedName>
    <definedName name="HTML_Control" hidden="1">{"'VALUATION'!$A$3:$R$266"}</definedName>
    <definedName name="HTML_Control_1" localSheetId="12" hidden="1">{"'VALUATION'!$A$3:$R$266"}</definedName>
    <definedName name="HTML_Control_1" localSheetId="19" hidden="1">{"'VALUATION'!$A$3:$R$266"}</definedName>
    <definedName name="HTML_Control_1" localSheetId="26" hidden="1">{"'VALUATION'!$A$3:$R$266"}</definedName>
    <definedName name="HTML_Control_1" localSheetId="11" hidden="1">{"'VALUATION'!$A$3:$R$266"}</definedName>
    <definedName name="HTML_Control_1" localSheetId="32" hidden="1">{"'VALUATION'!$A$3:$R$266"}</definedName>
    <definedName name="HTML_Control_1" hidden="1">{"'VALUATION'!$A$3:$R$266"}</definedName>
    <definedName name="HTML_Description" localSheetId="19" hidden="1">""</definedName>
    <definedName name="HTML_Description" localSheetId="26" hidden="1">""</definedName>
    <definedName name="HTML_Description" localSheetId="32" hidden="1">""</definedName>
    <definedName name="HTML_Description" hidden="1">"From 01-07-2000 To 31-07-2000"</definedName>
    <definedName name="HTML_Email" hidden="1">""</definedName>
    <definedName name="HTML_Header" localSheetId="19" hidden="1">""</definedName>
    <definedName name="HTML_Header" localSheetId="26" hidden="1">""</definedName>
    <definedName name="HTML_Header" localSheetId="32" hidden="1">""</definedName>
    <definedName name="HTML_Header" hidden="1">"Terry Towels W I P Statement"</definedName>
    <definedName name="HTML_LastUpdate" localSheetId="19" hidden="1">"03/08/2000"</definedName>
    <definedName name="HTML_LastUpdate" localSheetId="26" hidden="1">"03/08/2000"</definedName>
    <definedName name="HTML_LastUpdate" localSheetId="32" hidden="1">"03/08/2000"</definedName>
    <definedName name="HTML_LastUpdate" hidden="1">"08/08/2000"</definedName>
    <definedName name="HTML_LineAfter" hidden="1">FALSE</definedName>
    <definedName name="HTML_LineBefore" hidden="1">FALSE</definedName>
    <definedName name="HTML_Name" hidden="1">"Naresh Pandya"</definedName>
    <definedName name="HTML_OBDlg2" hidden="1">TRUE</definedName>
    <definedName name="HTML_OBDlg3" hidden="1">TRUE</definedName>
    <definedName name="HTML_OBDlg4" hidden="1">TRUE</definedName>
    <definedName name="HTML_OS" hidden="1">0</definedName>
    <definedName name="HTML_PathFile" localSheetId="19" hidden="1">"C:\user\cost\HTM Files\Sizing Chemicals.htm"</definedName>
    <definedName name="HTML_PathFile" localSheetId="26" hidden="1">"C:\user\cost\HTM Files\Sizing Chemicals.htm"</definedName>
    <definedName name="HTML_PathFile" localSheetId="32" hidden="1">"C:\user\cost\HTM Files\Sizing Chemicals.htm"</definedName>
    <definedName name="HTML_PathFile" hidden="1">"C:\user\cost\HTM Files\wttwip07.htm"</definedName>
    <definedName name="HTML_PathTemplate" hidden="1">"C:\infac\pricewth\Aug99\Page06e.htm"</definedName>
    <definedName name="HTML_Title" localSheetId="19" hidden="1">""</definedName>
    <definedName name="HTML_Title" localSheetId="26" hidden="1">""</definedName>
    <definedName name="HTML_Title" localSheetId="32" hidden="1">""</definedName>
    <definedName name="HTML_Title" hidden="1">"Welspun Terry Towels"</definedName>
    <definedName name="I" localSheetId="12">'[8]Ann-1'!#REF!</definedName>
    <definedName name="I" localSheetId="26">'[8]Ann-1'!#REF!</definedName>
    <definedName name="I" localSheetId="11">'[8]Ann-1'!#REF!</definedName>
    <definedName name="I" localSheetId="20">'[8]Ann-1'!#REF!</definedName>
    <definedName name="I">'[8]Ann-1'!#REF!</definedName>
    <definedName name="intsch" localSheetId="12">#REF!</definedName>
    <definedName name="intsch" localSheetId="26">#REF!</definedName>
    <definedName name="intsch" localSheetId="11">#REF!</definedName>
    <definedName name="intsch" localSheetId="20">#REF!</definedName>
    <definedName name="intsch">#REF!</definedName>
    <definedName name="iop" localSheetId="12" hidden="1">'[27]key-ind'!#REF!</definedName>
    <definedName name="iop" localSheetId="11" hidden="1">'[27]key-ind'!#REF!</definedName>
    <definedName name="iop" localSheetId="20" hidden="1">'[27]key-ind'!#REF!</definedName>
    <definedName name="iop" hidden="1">'[27]key-ind'!#REF!</definedName>
    <definedName name="IQ_ACCOUNT_CHANGE" hidden="1">"c36"</definedName>
    <definedName name="IQ_ACCOUNTS_PAY" hidden="1">"c91"</definedName>
    <definedName name="IQ_ACCRUED_EXP" hidden="1">"c93"</definedName>
    <definedName name="IQ_ACCUM_DEP" hidden="1">"c282"</definedName>
    <definedName name="IQ_ADD_PAID_IN" hidden="1">"c109"</definedName>
    <definedName name="IQ_ALLOW_CONST" hidden="1">"c292"</definedName>
    <definedName name="IQ_AMORTIZATION" hidden="1">"c121"</definedName>
    <definedName name="IQ_ASSET_TURNS" hidden="1">"c148"</definedName>
    <definedName name="IQ_AVG_BROKER_REC" hidden="1">"c278"</definedName>
    <definedName name="IQ_AVG_BROKER_REC_NO" hidden="1">"c279"</definedName>
    <definedName name="IQ_AVG_PRICE" hidden="1">"c253"</definedName>
    <definedName name="IQ_AVG_VOLUME" hidden="1">"c254"</definedName>
    <definedName name="IQ_BASIC_EPS_EXCL" hidden="1">"c45"</definedName>
    <definedName name="IQ_BASIC_EPS_INCL" hidden="1">"c46"</definedName>
    <definedName name="IQ_BASIC_NORMAL_EPS" hidden="1">"c65"</definedName>
    <definedName name="IQ_BASIC_WEIGHT" hidden="1">"c44"</definedName>
    <definedName name="IQ_BETA" hidden="1">"c226"</definedName>
    <definedName name="IQ_BOARD_MEMBER" hidden="1">"c233"</definedName>
    <definedName name="IQ_BOARD_MEMBER_TITLE" hidden="1">"c234"</definedName>
    <definedName name="IQ_BV_OVER_SHARES" hidden="1">"c177"</definedName>
    <definedName name="IQ_CAL_Q" hidden="1">"c246"</definedName>
    <definedName name="IQ_CAL_Y" hidden="1">"c248"</definedName>
    <definedName name="IQ_CAPEX" hidden="1">"c126"</definedName>
    <definedName name="IQ_CAPITAL_LEASE" hidden="1">"c99"</definedName>
    <definedName name="IQ_CASH" hidden="1">"c69"</definedName>
    <definedName name="IQ_CASH_DUE_BANKS" hidden="1">"c71"</definedName>
    <definedName name="IQ_CASH_EQUIV" hidden="1">"c70"</definedName>
    <definedName name="IQ_CASH_INTEREST" hidden="1">"c137"</definedName>
    <definedName name="IQ_CASH_ST" hidden="1">"c73"</definedName>
    <definedName name="IQ_CASH_TAXES" hidden="1">"c138"</definedName>
    <definedName name="IQ_CH" hidden="1">110000</definedName>
    <definedName name="IQ_CHANGES_WORK_CAP" hidden="1">"c124"</definedName>
    <definedName name="IQ_CITY" hidden="1">"c216"</definedName>
    <definedName name="IQ_CLOSEPRICE" hidden="1">"c206"</definedName>
    <definedName name="IQ_COMMON_STOCK" hidden="1">"c108"</definedName>
    <definedName name="IQ_COMPANY_ADDRESS" hidden="1">"c213"</definedName>
    <definedName name="IQ_COMPANY_NAME" hidden="1">"c208"</definedName>
    <definedName name="IQ_COMPANY_PHONE" hidden="1">"c219"</definedName>
    <definedName name="IQ_COMPANY_STREET1" hidden="1">"c214"</definedName>
    <definedName name="IQ_COMPANY_STREET2" hidden="1">"c215"</definedName>
    <definedName name="IQ_COMPANY_TICKER" hidden="1">"c209"</definedName>
    <definedName name="IQ_COMPANY_WEBSITE" hidden="1">"c212"</definedName>
    <definedName name="IQ_COMPANY_ZIP" hidden="1">"c218"</definedName>
    <definedName name="IQ_COST_REVENUE" hidden="1">"c6"</definedName>
    <definedName name="IQ_COUNTRY_NAME" hidden="1">"c220"</definedName>
    <definedName name="IQ_CQ" hidden="1">5000</definedName>
    <definedName name="IQ_CURRENT_PORT" hidden="1">"c95"</definedName>
    <definedName name="IQ_CURRENT_RATIO" hidden="1">"c164"</definedName>
    <definedName name="IQ_CY" hidden="1">10000</definedName>
    <definedName name="IQ_DAILY" hidden="1">500000</definedName>
    <definedName name="IQ_DAYS_PAY_OUTST" hidden="1">"c154"</definedName>
    <definedName name="IQ_DAYS_SALES_OUTST" hidden="1">"c153"</definedName>
    <definedName name="IQ_DEF_ACQ_CST" hidden="1">"c290"</definedName>
    <definedName name="IQ_DEFERRED_INC_TAX" hidden="1">"c102"</definedName>
    <definedName name="IQ_DEFERRED_TAXES" hidden="1">"c122"</definedName>
    <definedName name="IQ_DEPRE_AMORT" hidden="1">"c10"</definedName>
    <definedName name="IQ_DEPRE_AMORT_SUPPL" hidden="1">"c54"</definedName>
    <definedName name="IQ_DEPRE_DEPLE" hidden="1">"c120"</definedName>
    <definedName name="IQ_DEPRE_SUPP" hidden="1">"c136"</definedName>
    <definedName name="IQ_DESCRIPTION_LONG" hidden="1">"c211"</definedName>
    <definedName name="IQ_DILUT_ADJUST" hidden="1">"c47"</definedName>
    <definedName name="IQ_DILUT_EPS_EXCL" hidden="1">"c49"</definedName>
    <definedName name="IQ_DILUT_EPS_INCL" hidden="1">"c50"</definedName>
    <definedName name="IQ_DILUT_NORMAL_EPS" hidden="1">"c66"</definedName>
    <definedName name="IQ_DILUT_WEIGHT" hidden="1">"c48"</definedName>
    <definedName name="IQ_DISCONT_OPER" hidden="1">"c37"</definedName>
    <definedName name="IQ_DIVID_SHARE" hidden="1">"c51"</definedName>
    <definedName name="IQ_DIVIDEND_YIELD" hidden="1">"c230"</definedName>
    <definedName name="IQ_DNTM" hidden="1">700000</definedName>
    <definedName name="IQ_EBIT" hidden="1">"c22"</definedName>
    <definedName name="IQ_EBIT_MARGIN" hidden="1">"c141"</definedName>
    <definedName name="IQ_EBIT_OVER_IE" hidden="1">"c184"</definedName>
    <definedName name="IQ_EBITDA" hidden="1">"c23"</definedName>
    <definedName name="IQ_EBITDA_CAPEX_OVER_TOTAL_IE" hidden="1">"c186"</definedName>
    <definedName name="IQ_EBITDA_MARGIN" hidden="1">"c140"</definedName>
    <definedName name="IQ_EBITDA_OVER_TOTAL_IE" hidden="1">"c185"</definedName>
    <definedName name="IQ_EFFECT_SPECIAL_CHARGE" hidden="1">"c61"</definedName>
    <definedName name="IQ_EMPLOYEES" hidden="1">"c221"</definedName>
    <definedName name="IQ_ENTERPRISE_VALUE" hidden="1">"c2"</definedName>
    <definedName name="IQ_EPS" hidden="1">"IQ_EPS"</definedName>
    <definedName name="IQ_EPS_EST" hidden="1">"c187"</definedName>
    <definedName name="IQ_EPS_HIGH_EST" hidden="1">"c269"</definedName>
    <definedName name="IQ_EPS_LOW_EST" hidden="1">"c270"</definedName>
    <definedName name="IQ_EPS_NUM_EST" hidden="1">"c271"</definedName>
    <definedName name="IQ_EPS_STDDEV_EST" hidden="1">"c272"</definedName>
    <definedName name="IQ_EQUITY_AFFIL" hidden="1">"c33"</definedName>
    <definedName name="IQ_EQV_OVER_BV" hidden="1">"c173"</definedName>
    <definedName name="IQ_EQV_OVER_LTM_PRETAX_INC" hidden="1">"c178"</definedName>
    <definedName name="IQ_ESOP_DEBT" hidden="1">"c112"</definedName>
    <definedName name="IQ_EV_OVER_EMPLOYEE" hidden="1">"c172"</definedName>
    <definedName name="IQ_EV_OVER_LTM_EBIT" hidden="1">"c167"</definedName>
    <definedName name="IQ_EV_OVER_LTM_EBITDA" hidden="1">"c168"</definedName>
    <definedName name="IQ_EV_OVER_LTM_REVENUE" hidden="1">"c169"</definedName>
    <definedName name="IQ_EXCHANGE" hidden="1">"c210"</definedName>
    <definedName name="IQ_EXTRA_ITEMS" hidden="1">"c38"</definedName>
    <definedName name="IQ_FH" hidden="1">100000</definedName>
    <definedName name="IQ_FINANCING_CASH" hidden="1">"c129"</definedName>
    <definedName name="IQ_FISCAL_Q" hidden="1">"c245"</definedName>
    <definedName name="IQ_FISCAL_Y" hidden="1">"c247"</definedName>
    <definedName name="IQ_FIVE_PERCENT_OWNER" hidden="1">"c239"</definedName>
    <definedName name="IQ_FIVEPERCENT_PERCENT" hidden="1">"c240"</definedName>
    <definedName name="IQ_FIVEPERCENT_SHARES" hidden="1">"c251"</definedName>
    <definedName name="IQ_FOREIGN_EXCHANGE" hidden="1">"c134"</definedName>
    <definedName name="IQ_FQ" hidden="1">500</definedName>
    <definedName name="IQ_FWD" hidden="1">"LTM"</definedName>
    <definedName name="IQ_FWD_CY" localSheetId="19" hidden="1">"10001"</definedName>
    <definedName name="IQ_FWD_CY" localSheetId="26" hidden="1">"10001"</definedName>
    <definedName name="IQ_FWD_CY" localSheetId="11" hidden="1">10001</definedName>
    <definedName name="IQ_FWD_CY" hidden="1">10001</definedName>
    <definedName name="IQ_FWD_CY1" localSheetId="19" hidden="1">"10002"</definedName>
    <definedName name="IQ_FWD_CY1" localSheetId="26" hidden="1">"10002"</definedName>
    <definedName name="IQ_FWD_CY1" localSheetId="11" hidden="1">10002</definedName>
    <definedName name="IQ_FWD_CY1" hidden="1">10002</definedName>
    <definedName name="IQ_FWD_CY2" localSheetId="19" hidden="1">"10003"</definedName>
    <definedName name="IQ_FWD_CY2" localSheetId="26" hidden="1">"10003"</definedName>
    <definedName name="IQ_FWD_CY2" localSheetId="11" hidden="1">10003</definedName>
    <definedName name="IQ_FWD_CY2" hidden="1">10003</definedName>
    <definedName name="IQ_FWD_FY" localSheetId="19" hidden="1">"1001"</definedName>
    <definedName name="IQ_FWD_FY" localSheetId="26" hidden="1">"1001"</definedName>
    <definedName name="IQ_FWD_FY" localSheetId="11" hidden="1">1001</definedName>
    <definedName name="IQ_FWD_FY" hidden="1">1001</definedName>
    <definedName name="IQ_FWD_FY1" localSheetId="19" hidden="1">"1002"</definedName>
    <definedName name="IQ_FWD_FY1" localSheetId="26" hidden="1">"1002"</definedName>
    <definedName name="IQ_FWD_FY1" localSheetId="11" hidden="1">1002</definedName>
    <definedName name="IQ_FWD_FY1" hidden="1">1002</definedName>
    <definedName name="IQ_FWD_FY2" localSheetId="19" hidden="1">"1003"</definedName>
    <definedName name="IQ_FWD_FY2" localSheetId="26" hidden="1">"1003"</definedName>
    <definedName name="IQ_FWD_FY2" localSheetId="11" hidden="1">1003</definedName>
    <definedName name="IQ_FWD_FY2" hidden="1">1003</definedName>
    <definedName name="IQ_FWD_Q" localSheetId="19" hidden="1">"501"</definedName>
    <definedName name="IQ_FWD_Q" localSheetId="26" hidden="1">"501"</definedName>
    <definedName name="IQ_FWD_Q" localSheetId="11" hidden="1">501</definedName>
    <definedName name="IQ_FWD_Q" hidden="1">501</definedName>
    <definedName name="IQ_FWD_Q1" localSheetId="19" hidden="1">"502"</definedName>
    <definedName name="IQ_FWD_Q1" localSheetId="26" hidden="1">"502"</definedName>
    <definedName name="IQ_FWD_Q1" localSheetId="11" hidden="1">502</definedName>
    <definedName name="IQ_FWD_Q1" hidden="1">502</definedName>
    <definedName name="IQ_FWD_Q2" localSheetId="19" hidden="1">"503"</definedName>
    <definedName name="IQ_FWD_Q2" localSheetId="26" hidden="1">"503"</definedName>
    <definedName name="IQ_FWD_Q2" localSheetId="11" hidden="1">503</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Y" hidden="1">1000</definedName>
    <definedName name="IQ_FY_DATE" hidden="1">"IQ_FY_DATE"</definedName>
    <definedName name="IQ_GAIN_SALE_ASSETS" hidden="1">"c27"</definedName>
    <definedName name="IQ_GOODWILL_NET" hidden="1">"c85"</definedName>
    <definedName name="IQ_GROSS_DIVID" hidden="1">"c52"</definedName>
    <definedName name="IQ_GROSS_MARGIN" hidden="1">"c139"</definedName>
    <definedName name="IQ_GROSS_PROFIT" hidden="1">"c7"</definedName>
    <definedName name="IQ_HIGHPRICE" hidden="1">"c193"</definedName>
    <definedName name="IQ_INC_AFTER_TAX" hidden="1">"c31"</definedName>
    <definedName name="IQ_INC_AVAIL_EXCL" hidden="1">"c42"</definedName>
    <definedName name="IQ_INC_AVAIL_INCL" hidden="1">"c43"</definedName>
    <definedName name="IQ_INC_BEFORE_TAX" hidden="1">"c29"</definedName>
    <definedName name="IQ_INC_TAX" hidden="1">"c30"</definedName>
    <definedName name="IQ_INC_TAX_EXCL" hidden="1">"c62"</definedName>
    <definedName name="IQ_INSIDER_OWNER" hidden="1">"c237"</definedName>
    <definedName name="IQ_INSIDER_PERCENT" hidden="1">"c238"</definedName>
    <definedName name="IQ_INSIDER_SHARES" hidden="1">"c250"</definedName>
    <definedName name="IQ_INSTITUTIONAL_OWNER" hidden="1">"c235"</definedName>
    <definedName name="IQ_INSTITUTIONAL_PERCENT" hidden="1">"c236"</definedName>
    <definedName name="IQ_INSTITUTIONAL_SHARES" hidden="1">"c249"</definedName>
    <definedName name="IQ_INSUR_RECEIV" hidden="1">"c288"</definedName>
    <definedName name="IQ_INTANGIBLES_NET" hidden="1">"c86"</definedName>
    <definedName name="IQ_INTEREST_EXP_NET" hidden="1">"c17"</definedName>
    <definedName name="IQ_INTEREST_EXP_NON" hidden="1">"c24"</definedName>
    <definedName name="IQ_INTEREST_EXP_SUPPL" hidden="1">"c53"</definedName>
    <definedName name="IQ_INTEREST_INC" hidden="1">"c26"</definedName>
    <definedName name="IQ_INTEREST_INC_NON" hidden="1">"c25"</definedName>
    <definedName name="IQ_INVENTORY_TURNS" hidden="1">"c147"</definedName>
    <definedName name="IQ_ISS_DEBT_NET" hidden="1">"c132"</definedName>
    <definedName name="IQ_ISS_STOCK_NET" hidden="1">"c131"</definedName>
    <definedName name="IQ_LASTSALEPRICE" hidden="1">"c191"</definedName>
    <definedName name="IQ_LATEST" hidden="1">"1"</definedName>
    <definedName name="IQ_LATESTK" localSheetId="19" hidden="1">"1000"</definedName>
    <definedName name="IQ_LATESTK" localSheetId="26" hidden="1">"1000"</definedName>
    <definedName name="IQ_LATESTK" localSheetId="11" hidden="1">1000</definedName>
    <definedName name="IQ_LATESTK" hidden="1">1000</definedName>
    <definedName name="IQ_LATESTKFR" hidden="1">"100"</definedName>
    <definedName name="IQ_LATESTQ" localSheetId="19" hidden="1">"500"</definedName>
    <definedName name="IQ_LATESTQ" localSheetId="26" hidden="1">"500"</definedName>
    <definedName name="IQ_LATESTQ" localSheetId="11" hidden="1">500</definedName>
    <definedName name="IQ_LATESTQ" hidden="1">500</definedName>
    <definedName name="IQ_LATESTQFR" hidden="1">"50"</definedName>
    <definedName name="IQ_LOAN_LOSS" hidden="1">"c12"</definedName>
    <definedName name="IQ_LONG_TERM_DEBT" hidden="1">"c98"</definedName>
    <definedName name="IQ_LONG_TERM_DEBT_OVER_TOTAL_CAP" hidden="1">"c181"</definedName>
    <definedName name="IQ_LONG_TERM_GROWTH" hidden="1">"c143"</definedName>
    <definedName name="IQ_LONG_TERM_INV" hidden="1">"c87"</definedName>
    <definedName name="IQ_LOWPRICE" hidden="1">"c194"</definedName>
    <definedName name="IQ_LT_NOTE_RECEIV" hidden="1">"c289"</definedName>
    <definedName name="IQ_LTM" hidden="1">2000</definedName>
    <definedName name="IQ_LTM_DATE" hidden="1">"IQ_LTM_DATE"</definedName>
    <definedName name="IQ_LTM_REVENUE_OVER_EMPLOYEES" hidden="1">"c179"</definedName>
    <definedName name="IQ_LTMMONTH" hidden="1">120000</definedName>
    <definedName name="IQ_MARKETCAP" hidden="1">"c200"</definedName>
    <definedName name="IQ_MINORITY_INTEREST" hidden="1">"c103"</definedName>
    <definedName name="IQ_MINORITY_INTEREST_IS" hidden="1">"c32"</definedName>
    <definedName name="IQ_MISC_EARN_ADJ" hidden="1">"c41"</definedName>
    <definedName name="IQ_MONTH" hidden="1">15000</definedName>
    <definedName name="IQ_MTD" hidden="1">800000</definedName>
    <definedName name="IQ_NAMES_REVISION_DATE_" hidden="1">41666.7099189815</definedName>
    <definedName name="IQ_NET_CHANGE" hidden="1">"c135"</definedName>
    <definedName name="IQ_NET_DEBT" hidden="1">"c118"</definedName>
    <definedName name="IQ_NET_INC" hidden="1">"c39"</definedName>
    <definedName name="IQ_NET_INC_BEFORE" hidden="1">"c35"</definedName>
    <definedName name="IQ_NET_INC_CF" hidden="1">"c119"</definedName>
    <definedName name="IQ_NET_INC_MARGIN" hidden="1">"c142"</definedName>
    <definedName name="IQ_NET_INTEREST_INC" hidden="1">"c11"</definedName>
    <definedName name="IQ_NET_INTEREST_INC_AFTER_LL" hidden="1">"c13"</definedName>
    <definedName name="IQ_NET_LOANS" hidden="1">"c75"</definedName>
    <definedName name="IQ_NON_CASH" hidden="1">"c123"</definedName>
    <definedName name="IQ_NON_INTEREST_EXP" hidden="1">"c15"</definedName>
    <definedName name="IQ_NON_INTEREST_INC" hidden="1">"c14"</definedName>
    <definedName name="IQ_NORMAL_INC_AFTER" hidden="1">"c63"</definedName>
    <definedName name="IQ_NORMAL_INC_AVAIL" hidden="1">"c64"</definedName>
    <definedName name="IQ_NORMAL_INC_BEFORE" hidden="1">"c60"</definedName>
    <definedName name="IQ_NOTES_PAY" hidden="1">"c94"</definedName>
    <definedName name="IQ_NTM" hidden="1">6000</definedName>
    <definedName name="IQ_OPENPRICE" hidden="1">"c195"</definedName>
    <definedName name="IQ_OPER_INC" hidden="1">"c21"</definedName>
    <definedName name="IQ_OTHER_ASSETS" hidden="1">"c89"</definedName>
    <definedName name="IQ_OTHER_BEARING_LIAB" hidden="1">"c285"</definedName>
    <definedName name="IQ_OTHER_CURRENT_ASSETS" hidden="1">"c80"</definedName>
    <definedName name="IQ_OTHER_CURRENT_LIAB" hidden="1">"c96"</definedName>
    <definedName name="IQ_OTHER_EARNING" hidden="1">"c74"</definedName>
    <definedName name="IQ_OTHER_EQUITY" hidden="1">"c113"</definedName>
    <definedName name="IQ_OTHER_INVESTING" hidden="1">"c127"</definedName>
    <definedName name="IQ_OTHER_LIAB" hidden="1">"c104"</definedName>
    <definedName name="IQ_OTHER_LONG_TERM" hidden="1">"c88"</definedName>
    <definedName name="IQ_OTHER_NET" hidden="1">"c28"</definedName>
    <definedName name="IQ_OTHER_OPER" hidden="1">"c19"</definedName>
    <definedName name="IQ_OTHER_RECEIV" hidden="1">"c77"</definedName>
    <definedName name="IQ_OTHER_REVENUE" hidden="1">"c4"</definedName>
    <definedName name="IQ_PAY_ACCRUED" hidden="1">"c92"</definedName>
    <definedName name="IQ_PERIODDATE" hidden="1">"c1"</definedName>
    <definedName name="IQ_PERTYPE" hidden="1">"c244"</definedName>
    <definedName name="IQ_POLICY_LIAB" hidden="1">"c291"</definedName>
    <definedName name="IQ_PREF_DIVID" hidden="1">"c40"</definedName>
    <definedName name="IQ_PREF_STOCK" hidden="1">"c107"</definedName>
    <definedName name="IQ_PREF_TOT" hidden="1">"c294"</definedName>
    <definedName name="IQ_PREPAID_EXPEN" hidden="1">"c81"</definedName>
    <definedName name="IQ_PRICE_OVER_BVPS" hidden="1">"c171"</definedName>
    <definedName name="IQ_PRICE_OVER_LTM_EPS" hidden="1">"c176"</definedName>
    <definedName name="IQ_PRICEDATE" hidden="1">"c207"</definedName>
    <definedName name="IQ_PRICEDATETIME" hidden="1">"IQ_PRICEDATETIME"</definedName>
    <definedName name="IQ_PRICING_DATE" hidden="1">"c260"</definedName>
    <definedName name="IQ_PRIMARY_INDUSTRY" hidden="1">"c222"</definedName>
    <definedName name="IQ_PRO_FORMA_BASIC_EPS" hidden="1">"c57"</definedName>
    <definedName name="IQ_PRO_FORMA_DILUT_EPS" hidden="1">"c58"</definedName>
    <definedName name="IQ_PRO_FORMA_NET_INC" hidden="1">"c56"</definedName>
    <definedName name="IQ_PROFESSIONAL" hidden="1">"c231"</definedName>
    <definedName name="IQ_PROFESSIONAL_TITLE" hidden="1">"c232"</definedName>
    <definedName name="IQ_PROPERTY_GROSS" hidden="1">"c84"</definedName>
    <definedName name="IQ_PROPERTY_NET" hidden="1">"c83"</definedName>
    <definedName name="IQ_QTD" hidden="1">750000</definedName>
    <definedName name="IQ_QUICK_RATIO" hidden="1">"c163"</definedName>
    <definedName name="IQ_REDEEM_PREF_STOCK" hidden="1">"c106"</definedName>
    <definedName name="IQ_RESEARCH_DEV" hidden="1">"c9"</definedName>
    <definedName name="IQ_RETAINED_EARN" hidden="1">"c110"</definedName>
    <definedName name="IQ_RETURN_ASSETS" hidden="1">"c145"</definedName>
    <definedName name="IQ_RETURN_EQUITY" hidden="1">"c146"</definedName>
    <definedName name="IQ_RETURN_INVESTMENT" hidden="1">"c144"</definedName>
    <definedName name="IQ_REVENUE" hidden="1">"c3"</definedName>
    <definedName name="IQ_SGA" hidden="1">"c8"</definedName>
    <definedName name="IQ_SHARESOUTSTANDING" hidden="1">"c201"</definedName>
    <definedName name="IQ_SHORT_TERM_INVEST" hidden="1">"c72"</definedName>
    <definedName name="IQ_SOURCE" hidden="1">"c281"</definedName>
    <definedName name="IQ_STATE" hidden="1">"c217"</definedName>
    <definedName name="IQ_STOCK_BASED" hidden="1">"c55"</definedName>
    <definedName name="IQ_TODAY" localSheetId="19" hidden="1">"0"</definedName>
    <definedName name="IQ_TODAY" localSheetId="26" hidden="1">"0"</definedName>
    <definedName name="IQ_TODAY" localSheetId="11" hidden="1">0</definedName>
    <definedName name="IQ_TODAY" hidden="1">0</definedName>
    <definedName name="IQ_TOT_ADJ_INC" hidden="1">"c287"</definedName>
    <definedName name="IQ_TOTAL_ASSETS" hidden="1">"c90"</definedName>
    <definedName name="IQ_TOTAL_CASH_DIVID" hidden="1">"c130"</definedName>
    <definedName name="IQ_TOTAL_CASH_FINAN" hidden="1">"c133"</definedName>
    <definedName name="IQ_TOTAL_CASH_INVEST" hidden="1">"c128"</definedName>
    <definedName name="IQ_TOTAL_CASH_OPER" hidden="1">"c125"</definedName>
    <definedName name="IQ_TOTAL_COMMON" hidden="1">"c116"</definedName>
    <definedName name="IQ_TOTAL_CURRENT_ASSETS" hidden="1">"c82"</definedName>
    <definedName name="IQ_TOTAL_CURRENT_LIAB" hidden="1">"c97"</definedName>
    <definedName name="IQ_TOTAL_DEBT" hidden="1">"c101"</definedName>
    <definedName name="IQ_TOTAL_DEBT_OVER_EBITDA" hidden="1">"c183"</definedName>
    <definedName name="IQ_TOTAL_DEBT_OVER_TOTAL_BV" hidden="1">"c180"</definedName>
    <definedName name="IQ_TOTAL_DEBT_OVER_TOTAL_CAP" hidden="1">"c182"</definedName>
    <definedName name="IQ_TOTAL_DEPOSITS" hidden="1">"c284"</definedName>
    <definedName name="IQ_TOTAL_EQUITY" hidden="1">"c114"</definedName>
    <definedName name="IQ_TOTAL_INTEREST_EXP" hidden="1">"c67"</definedName>
    <definedName name="IQ_TOTAL_INVENTORY" hidden="1">"c79"</definedName>
    <definedName name="IQ_TOTAL_LIAB" hidden="1">"c105"</definedName>
    <definedName name="IQ_TOTAL_LIAB_SHAREHOLD" hidden="1">"c115"</definedName>
    <definedName name="IQ_TOTAL_LONG_DEBT" hidden="1">"c100"</definedName>
    <definedName name="IQ_TOTAL_OPER_EXPEN" hidden="1">"c20"</definedName>
    <definedName name="IQ_TOTAL_RECEIV" hidden="1">"c78"</definedName>
    <definedName name="IQ_TOTAL_REVENUE" hidden="1">"c5"</definedName>
    <definedName name="IQ_TOTAL_SPECIAL" hidden="1">"c59"</definedName>
    <definedName name="IQ_TOTAL_ST_BORROW" hidden="1">"c286"</definedName>
    <definedName name="IQ_TRADE_AR" hidden="1">"c76"</definedName>
    <definedName name="IQ_TREASURY_STOCK" hidden="1">"c111"</definedName>
    <definedName name="IQ_UNREALIZED_GAIN" hidden="1">"c117"</definedName>
    <definedName name="IQ_UNUSUAL_EXP" hidden="1">"c18"</definedName>
    <definedName name="IQ_US_GAAP" hidden="1">"c34"</definedName>
    <definedName name="IQ_UTIL_PPE_NET" hidden="1">"c293"</definedName>
    <definedName name="IQ_VOLUME" hidden="1">"c199"</definedName>
    <definedName name="IQ_WEEK" hidden="1">50000</definedName>
    <definedName name="IQ_WEIGHTED_AVG_PRICE" hidden="1">"c255"</definedName>
    <definedName name="IQ_YEARHIGH" hidden="1">"c197"</definedName>
    <definedName name="IQ_YEARLOW" hidden="1">"c198"</definedName>
    <definedName name="IQ_YTD" hidden="1">3000</definedName>
    <definedName name="IQ_YTDMONTH" hidden="1">130000</definedName>
    <definedName name="IQ_Z_SCORE" hidden="1">"c243"</definedName>
    <definedName name="IRR" localSheetId="12">#REF!</definedName>
    <definedName name="IRR" localSheetId="26">#REF!</definedName>
    <definedName name="IRR" localSheetId="11">#REF!</definedName>
    <definedName name="IRR" localSheetId="20">#REF!</definedName>
    <definedName name="IRR">#REF!</definedName>
    <definedName name="January" localSheetId="12">#REF!</definedName>
    <definedName name="January" localSheetId="26">#REF!</definedName>
    <definedName name="January" localSheetId="11">#REF!</definedName>
    <definedName name="January" localSheetId="20">#REF!</definedName>
    <definedName name="January">#REF!</definedName>
    <definedName name="jgjgj" localSheetId="12" hidden="1">{#N/A,#N/A,FALSE,"COVER.XLS";#N/A,#N/A,FALSE,"RACT1.XLS";#N/A,#N/A,FALSE,"RACT2.XLS";#N/A,#N/A,FALSE,"ECCMP";#N/A,#N/A,FALSE,"WELDER.XLS"}</definedName>
    <definedName name="jgjgj" localSheetId="11" hidden="1">{#N/A,#N/A,FALSE,"COVER.XLS";#N/A,#N/A,FALSE,"RACT1.XLS";#N/A,#N/A,FALSE,"RACT2.XLS";#N/A,#N/A,FALSE,"ECCMP";#N/A,#N/A,FALSE,"WELDER.XLS"}</definedName>
    <definedName name="jgjgj" hidden="1">{#N/A,#N/A,FALSE,"COVER.XLS";#N/A,#N/A,FALSE,"RACT1.XLS";#N/A,#N/A,FALSE,"RACT2.XLS";#N/A,#N/A,FALSE,"ECCMP";#N/A,#N/A,FALSE,"WELDER.XLS"}</definedName>
    <definedName name="jhgjh"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jhgjh"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jhgjh"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jhgjh"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jhgjh"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jhgjh"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jhgjh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jhgjh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jhgjh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jhgjh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jhgjh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jhgjh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jjj" localSheetId="1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jjj" localSheetId="11"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jjj"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Julu07" localSheetId="12">'[26]pending indent'!#REF!</definedName>
    <definedName name="Julu07" localSheetId="26">'[26]pending indent'!#REF!</definedName>
    <definedName name="Julu07" localSheetId="11">'[26]pending indent'!#REF!</definedName>
    <definedName name="Julu07" localSheetId="20">'[26]pending indent'!#REF!</definedName>
    <definedName name="Julu07">'[26]pending indent'!#REF!</definedName>
    <definedName name="july" localSheetId="12">'[26]pending indent'!#REF!</definedName>
    <definedName name="july" localSheetId="26">'[26]pending indent'!#REF!</definedName>
    <definedName name="july" localSheetId="11">'[26]pending indent'!#REF!</definedName>
    <definedName name="july" localSheetId="20">'[26]pending indent'!#REF!</definedName>
    <definedName name="july">'[26]pending indent'!#REF!</definedName>
    <definedName name="june15_Ajustmenst" localSheetId="12" hidden="1">#REF!</definedName>
    <definedName name="june15_Ajustmenst" localSheetId="11" hidden="1">#REF!</definedName>
    <definedName name="june15_Ajustmenst" localSheetId="20" hidden="1">#REF!</definedName>
    <definedName name="june15_Ajustmenst" hidden="1">#REF!</definedName>
    <definedName name="kamal" localSheetId="12" hidden="1">{TRUE,TRUE,7.75,2.5,467.25,234,FALSE,TRUE,TRUE,TRUE,0,21,#N/A,70,#N/A,3.96551724137931,9.21428571428571,1,FALSE,FALSE,1,TRUE,1,FALSE,100,"Swvu.BTP.","ACwvu.BTP.",#N/A,FALSE,FALSE,0.5,0.75,0.5,0.5,2,"","",TRUE,TRUE,FALSE,FALSE,1,#N/A,1,1,"=R2C1:R75C2",FALSE,"Rwvu.BTP.",#N/A,FALSE,FALSE,FALSE,8,180,180,FALSE,FALSE,TRUE,TRUE,TRUE}</definedName>
    <definedName name="kamal" localSheetId="19" hidden="1">{TRUE,TRUE,7.75,2.5,467.25,234,FALSE,TRUE,TRUE,TRUE,0,21,#N/A,70,#N/A,3.96551724137931,9.21428571428571,1,FALSE,FALSE,1,TRUE,1,FALSE,100,"Swvu.BTP.","ACwvu.BTP.",#N/A,FALSE,FALSE,0.5,0.75,0.5,0.5,2,"","",TRUE,TRUE,FALSE,FALSE,1,#N/A,1,1,"=R2C1:R75C2",FALSE,"Rwvu.BTP.",#N/A,FALSE,FALSE,FALSE,8,180,180,FALSE,FALSE,TRUE,TRUE,TRUE}</definedName>
    <definedName name="kamal" localSheetId="11" hidden="1">{TRUE,TRUE,7.75,2.5,467.25,234,FALSE,TRUE,TRUE,TRUE,0,21,#N/A,70,#N/A,3.96551724137931,9.21428571428571,1,FALSE,FALSE,1,TRUE,1,FALSE,100,"Swvu.BTP.","ACwvu.BTP.",#N/A,FALSE,FALSE,0.5,0.75,0.5,0.5,2,"","",TRUE,TRUE,FALSE,FALSE,1,#N/A,1,1,"=R2C1:R75C2",FALSE,"Rwvu.BTP.",#N/A,FALSE,FALSE,FALSE,8,180,180,FALSE,FALSE,TRUE,TRUE,TRUE}</definedName>
    <definedName name="kamal" localSheetId="32" hidden="1">{TRUE,TRUE,7.75,2.5,467.25,234,FALSE,TRUE,TRUE,TRUE,0,21,#N/A,70,#N/A,3.96551724137931,9.21428571428571,1,FALSE,FALSE,1,TRUE,1,FALSE,100,"Swvu.BTP.","ACwvu.BTP.",#N/A,FALSE,FALSE,0.5,0.75,0.5,0.5,2,"","",TRUE,TRUE,FALSE,FALSE,1,#N/A,1,1,"=R2C1:R75C2",FALSE,"Rwvu.BTP.",#N/A,FALSE,FALSE,FALSE,8,180,180,FALSE,FALSE,TRUE,TRUE,TRUE}</definedName>
    <definedName name="kamal" hidden="1">{TRUE,TRUE,7.75,2.5,467.25,234,FALSE,TRUE,TRUE,TRUE,0,21,#N/A,70,#N/A,3.96551724137931,9.21428571428571,1,FALSE,FALSE,1,TRUE,1,FALSE,100,"Swvu.BTP.","ACwvu.BTP.",#N/A,FALSE,FALSE,0.5,0.75,0.5,0.5,2,"","",TRUE,TRUE,FALSE,FALSE,1,#N/A,1,1,"=R2C1:R75C2",FALSE,"Rwvu.BTP.",#N/A,FALSE,FALSE,FALSE,8,180,180,FALSE,FALSE,TRUE,TRUE,TRUE}</definedName>
    <definedName name="KJFBKJDFJDFJFDMN" localSheetId="12" hidden="1">{#N/A,#N/A,TRUE,"Summary - 1";#N/A,#N/A,TRUE,"Summary - 2";#N/A,#N/A,TRUE,"Group Analysis";#N/A,#N/A,TRUE,"FM Analysis";#N/A,#N/A,TRUE,"T&amp;M-Onsite";#N/A,#N/A,TRUE,"FP-Onsite";#N/A,#N/A,TRUE,"NB-Onsite";#N/A,#N/A,TRUE,"T&amp;M-Offshore";#N/A,#N/A,TRUE,"FP-Offshore";#N/A,#N/A,TRUE,"Appendix-A";#N/A,#N/A,TRUE,"Appendix-B"}</definedName>
    <definedName name="KJFBKJDFJDFJFDMN" localSheetId="11" hidden="1">{#N/A,#N/A,TRUE,"Summary - 1";#N/A,#N/A,TRUE,"Summary - 2";#N/A,#N/A,TRUE,"Group Analysis";#N/A,#N/A,TRUE,"FM Analysis";#N/A,#N/A,TRUE,"T&amp;M-Onsite";#N/A,#N/A,TRUE,"FP-Onsite";#N/A,#N/A,TRUE,"NB-Onsite";#N/A,#N/A,TRUE,"T&amp;M-Offshore";#N/A,#N/A,TRUE,"FP-Offshore";#N/A,#N/A,TRUE,"Appendix-A";#N/A,#N/A,TRUE,"Appendix-B"}</definedName>
    <definedName name="KJFBKJDFJDFJFDMN" hidden="1">{#N/A,#N/A,TRUE,"Summary - 1";#N/A,#N/A,TRUE,"Summary - 2";#N/A,#N/A,TRUE,"Group Analysis";#N/A,#N/A,TRUE,"FM Analysis";#N/A,#N/A,TRUE,"T&amp;M-Onsite";#N/A,#N/A,TRUE,"FP-Onsite";#N/A,#N/A,TRUE,"NB-Onsite";#N/A,#N/A,TRUE,"T&amp;M-Offshore";#N/A,#N/A,TRUE,"FP-Offshore";#N/A,#N/A,TRUE,"Appendix-A";#N/A,#N/A,TRUE,"Appendix-B"}</definedName>
    <definedName name="KK"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skk" localSheetId="12" hidden="1">{#N/A,#N/A,FALSE,"COVER.XLS";#N/A,#N/A,FALSE,"RACT1.XLS";#N/A,#N/A,FALSE,"RACT2.XLS";#N/A,#N/A,FALSE,"ECCMP";#N/A,#N/A,FALSE,"WELDER.XLS"}</definedName>
    <definedName name="kskk" localSheetId="11" hidden="1">{#N/A,#N/A,FALSE,"COVER.XLS";#N/A,#N/A,FALSE,"RACT1.XLS";#N/A,#N/A,FALSE,"RACT2.XLS";#N/A,#N/A,FALSE,"ECCMP";#N/A,#N/A,FALSE,"WELDER.XLS"}</definedName>
    <definedName name="kskk" hidden="1">{#N/A,#N/A,FALSE,"COVER.XLS";#N/A,#N/A,FALSE,"RACT1.XLS";#N/A,#N/A,FALSE,"RACT2.XLS";#N/A,#N/A,FALSE,"ECCMP";#N/A,#N/A,FALSE,"WELDER.XLS"}</definedName>
    <definedName name="kv" localSheetId="12" hidden="1">{#N/A,#N/A,FALSE,"COVER1.XLS ";#N/A,#N/A,FALSE,"RACT1.XLS";#N/A,#N/A,FALSE,"RACT2.XLS";#N/A,#N/A,FALSE,"ECCMP";#N/A,#N/A,FALSE,"WELDER.XLS"}</definedName>
    <definedName name="kv" localSheetId="11" hidden="1">{#N/A,#N/A,FALSE,"COVER1.XLS ";#N/A,#N/A,FALSE,"RACT1.XLS";#N/A,#N/A,FALSE,"RACT2.XLS";#N/A,#N/A,FALSE,"ECCMP";#N/A,#N/A,FALSE,"WELDER.XLS"}</definedName>
    <definedName name="kv" hidden="1">{#N/A,#N/A,FALSE,"COVER1.XLS ";#N/A,#N/A,FALSE,"RACT1.XLS";#N/A,#N/A,FALSE,"RACT2.XLS";#N/A,#N/A,FALSE,"ECCMP";#N/A,#N/A,FALSE,"WELDER.XLS"}</definedName>
    <definedName name="kvs" localSheetId="12" hidden="1">{#N/A,#N/A,FALSE,"COVER1.XLS ";#N/A,#N/A,FALSE,"RACT1.XLS";#N/A,#N/A,FALSE,"RACT2.XLS";#N/A,#N/A,FALSE,"ECCMP";#N/A,#N/A,FALSE,"WELDER.XLS"}</definedName>
    <definedName name="kvs" localSheetId="11" hidden="1">{#N/A,#N/A,FALSE,"COVER1.XLS ";#N/A,#N/A,FALSE,"RACT1.XLS";#N/A,#N/A,FALSE,"RACT2.XLS";#N/A,#N/A,FALSE,"ECCMP";#N/A,#N/A,FALSE,"WELDER.XLS"}</definedName>
    <definedName name="kvs" hidden="1">{#N/A,#N/A,FALSE,"COVER1.XLS ";#N/A,#N/A,FALSE,"RACT1.XLS";#N/A,#N/A,FALSE,"RACT2.XLS";#N/A,#N/A,FALSE,"ECCMP";#N/A,#N/A,FALSE,"WELDER.XLS"}</definedName>
    <definedName name="kvv" localSheetId="12" hidden="1">{#N/A,#N/A,FALSE,"COVER.XLS";#N/A,#N/A,FALSE,"RACT1.XLS";#N/A,#N/A,FALSE,"RACT2.XLS";#N/A,#N/A,FALSE,"ECCMP";#N/A,#N/A,FALSE,"WELDER.XLS"}</definedName>
    <definedName name="kvv" localSheetId="11" hidden="1">{#N/A,#N/A,FALSE,"COVER.XLS";#N/A,#N/A,FALSE,"RACT1.XLS";#N/A,#N/A,FALSE,"RACT2.XLS";#N/A,#N/A,FALSE,"ECCMP";#N/A,#N/A,FALSE,"WELDER.XLS"}</definedName>
    <definedName name="kvv" hidden="1">{#N/A,#N/A,FALSE,"COVER.XLS";#N/A,#N/A,FALSE,"RACT1.XLS";#N/A,#N/A,FALSE,"RACT2.XLS";#N/A,#N/A,FALSE,"ECCMP";#N/A,#N/A,FALSE,"WELDER.XLS"}</definedName>
    <definedName name="l" localSheetId="12">'[8]Ann-1'!#REF!</definedName>
    <definedName name="l" localSheetId="26">'[8]Ann-1'!#REF!</definedName>
    <definedName name="l" localSheetId="11">'[8]Ann-1'!#REF!</definedName>
    <definedName name="l" localSheetId="20">'[8]Ann-1'!#REF!</definedName>
    <definedName name="l">'[8]Ann-1'!#REF!</definedName>
    <definedName name="lalit" localSheetId="12" hidden="1">{TRUE,TRUE,7.75,2.5,467.25,234,FALSE,TRUE,TRUE,TRUE,0,21,#N/A,70,#N/A,3.96551724137931,9.21428571428571,1,FALSE,FALSE,1,TRUE,1,FALSE,100,"Swvu.BTP.","ACwvu.BTP.",#N/A,FALSE,FALSE,0.5,0.75,0.5,0.5,2,"","",TRUE,TRUE,FALSE,FALSE,1,#N/A,1,1,"=R2C1:R75C2",FALSE,"Rwvu.BTP.",#N/A,FALSE,FALSE,FALSE,8,180,180,FALSE,FALSE,TRUE,TRUE,TRUE}</definedName>
    <definedName name="lalit" localSheetId="19" hidden="1">{TRUE,TRUE,7.75,2.5,467.25,234,FALSE,TRUE,TRUE,TRUE,0,21,#N/A,70,#N/A,3.96551724137931,9.21428571428571,1,FALSE,FALSE,1,TRUE,1,FALSE,100,"Swvu.BTP.","ACwvu.BTP.",#N/A,FALSE,FALSE,0.5,0.75,0.5,0.5,2,"","",TRUE,TRUE,FALSE,FALSE,1,#N/A,1,1,"=R2C1:R75C2",FALSE,"Rwvu.BTP.",#N/A,FALSE,FALSE,FALSE,8,180,180,FALSE,FALSE,TRUE,TRUE,TRUE}</definedName>
    <definedName name="lalit" localSheetId="11" hidden="1">{TRUE,TRUE,7.75,2.5,467.25,234,FALSE,TRUE,TRUE,TRUE,0,21,#N/A,70,#N/A,3.96551724137931,9.21428571428571,1,FALSE,FALSE,1,TRUE,1,FALSE,100,"Swvu.BTP.","ACwvu.BTP.",#N/A,FALSE,FALSE,0.5,0.75,0.5,0.5,2,"","",TRUE,TRUE,FALSE,FALSE,1,#N/A,1,1,"=R2C1:R75C2",FALSE,"Rwvu.BTP.",#N/A,FALSE,FALSE,FALSE,8,180,180,FALSE,FALSE,TRUE,TRUE,TRUE}</definedName>
    <definedName name="lalit" localSheetId="32" hidden="1">{TRUE,TRUE,7.75,2.5,467.25,234,FALSE,TRUE,TRUE,TRUE,0,21,#N/A,70,#N/A,3.96551724137931,9.21428571428571,1,FALSE,FALSE,1,TRUE,1,FALSE,100,"Swvu.BTP.","ACwvu.BTP.",#N/A,FALSE,FALSE,0.5,0.75,0.5,0.5,2,"","",TRUE,TRUE,FALSE,FALSE,1,#N/A,1,1,"=R2C1:R75C2",FALSE,"Rwvu.BTP.",#N/A,FALSE,FALSE,FALSE,8,180,180,FALSE,FALSE,TRUE,TRUE,TRUE}</definedName>
    <definedName name="lalit" hidden="1">{TRUE,TRUE,7.75,2.5,467.25,234,FALSE,TRUE,TRUE,TRUE,0,21,#N/A,70,#N/A,3.96551724137931,9.21428571428571,1,FALSE,FALSE,1,TRUE,1,FALSE,100,"Swvu.BTP.","ACwvu.BTP.",#N/A,FALSE,FALSE,0.5,0.75,0.5,0.5,2,"","",TRUE,TRUE,FALSE,FALSE,1,#N/A,1,1,"=R2C1:R75C2",FALSE,"Rwvu.BTP.",#N/A,FALSE,FALSE,FALSE,8,180,180,FALSE,FALSE,TRUE,TRUE,TRUE}</definedName>
    <definedName name="limcount" hidden="1">1</definedName>
    <definedName name="ll" localSheetId="12" hidden="1">{#N/A,#N/A,TRUE,"Summary - 1";#N/A,#N/A,TRUE,"Summary - 2";#N/A,#N/A,TRUE,"Group Analysis";#N/A,#N/A,TRUE,"FM Analysis";#N/A,#N/A,TRUE,"T&amp;M-Onsite";#N/A,#N/A,TRUE,"FP-Onsite";#N/A,#N/A,TRUE,"NB-Onsite";#N/A,#N/A,TRUE,"T&amp;M-Offshore";#N/A,#N/A,TRUE,"FP-Offshore";#N/A,#N/A,TRUE,"Appendix-A";#N/A,#N/A,TRUE,"Appendix-B"}</definedName>
    <definedName name="ll" localSheetId="19" hidden="1">{#N/A,#N/A,TRUE,"Summary - 1";#N/A,#N/A,TRUE,"Summary - 2";#N/A,#N/A,TRUE,"Group Analysis";#N/A,#N/A,TRUE,"FM Analysis";#N/A,#N/A,TRUE,"T&amp;M-Onsite";#N/A,#N/A,TRUE,"FP-Onsite";#N/A,#N/A,TRUE,"NB-Onsite";#N/A,#N/A,TRUE,"T&amp;M-Offshore";#N/A,#N/A,TRUE,"FP-Offshore";#N/A,#N/A,TRUE,"Appendix-A";#N/A,#N/A,TRUE,"Appendix-B"}</definedName>
    <definedName name="ll" localSheetId="11" hidden="1">{#N/A,#N/A,TRUE,"Summary - 1";#N/A,#N/A,TRUE,"Summary - 2";#N/A,#N/A,TRUE,"Group Analysis";#N/A,#N/A,TRUE,"FM Analysis";#N/A,#N/A,TRUE,"T&amp;M-Onsite";#N/A,#N/A,TRUE,"FP-Onsite";#N/A,#N/A,TRUE,"NB-Onsite";#N/A,#N/A,TRUE,"T&amp;M-Offshore";#N/A,#N/A,TRUE,"FP-Offshore";#N/A,#N/A,TRUE,"Appendix-A";#N/A,#N/A,TRUE,"Appendix-B"}</definedName>
    <definedName name="ll" localSheetId="32" hidden="1">{#N/A,#N/A,TRUE,"Summary - 1";#N/A,#N/A,TRUE,"Summary - 2";#N/A,#N/A,TRUE,"Group Analysis";#N/A,#N/A,TRUE,"FM Analysis";#N/A,#N/A,TRUE,"T&amp;M-Onsite";#N/A,#N/A,TRUE,"FP-Onsite";#N/A,#N/A,TRUE,"NB-Onsite";#N/A,#N/A,TRUE,"T&amp;M-Offshore";#N/A,#N/A,TRUE,"FP-Offshore";#N/A,#N/A,TRUE,"Appendix-A";#N/A,#N/A,TRUE,"Appendix-B"}</definedName>
    <definedName name="ll" hidden="1">{#N/A,#N/A,TRUE,"Summary - 1";#N/A,#N/A,TRUE,"Summary - 2";#N/A,#N/A,TRUE,"Group Analysis";#N/A,#N/A,TRUE,"FM Analysis";#N/A,#N/A,TRUE,"T&amp;M-Onsite";#N/A,#N/A,TRUE,"FP-Onsite";#N/A,#N/A,TRUE,"NB-Onsite";#N/A,#N/A,TRUE,"T&amp;M-Offshore";#N/A,#N/A,TRUE,"FP-Offshore";#N/A,#N/A,TRUE,"Appendix-A";#N/A,#N/A,TRUE,"Appendix-B"}</definedName>
    <definedName name="lll"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ook" localSheetId="12">#REF!</definedName>
    <definedName name="look" localSheetId="26">#REF!</definedName>
    <definedName name="look" localSheetId="11">#REF!</definedName>
    <definedName name="look" localSheetId="20">#REF!</definedName>
    <definedName name="look">#REF!</definedName>
    <definedName name="M_PlaceofPath" hidden="1">"\\SNYCEQT0100\HOME\LZURLO\DATA\TELMEX\Models\tmx_vdf.xls"</definedName>
    <definedName name="MAIN_01">[46]A!$D$38:$CO$63</definedName>
    <definedName name="March2008" localSheetId="1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localSheetId="11"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X" localSheetId="12">#REF!</definedName>
    <definedName name="MAX" localSheetId="26">#REF!</definedName>
    <definedName name="MAX" localSheetId="11">#REF!</definedName>
    <definedName name="MAX" localSheetId="20">#REF!</definedName>
    <definedName name="MAX">#REF!</definedName>
    <definedName name="MGRREM" localSheetId="12">#REF!</definedName>
    <definedName name="MGRREM" localSheetId="26">#REF!</definedName>
    <definedName name="MGRREM" localSheetId="11">#REF!</definedName>
    <definedName name="MGRREM" localSheetId="20">#REF!</definedName>
    <definedName name="MGRREM">#REF!</definedName>
    <definedName name="MIN" localSheetId="12">#REF!</definedName>
    <definedName name="MIN" localSheetId="26">#REF!</definedName>
    <definedName name="MIN" localSheetId="11">#REF!</definedName>
    <definedName name="MIN" localSheetId="20">#REF!</definedName>
    <definedName name="MIN">#REF!</definedName>
    <definedName name="mmm" localSheetId="12" hidden="1">{#N/A,#N/A,FALSE,"COVER.XLS";#N/A,#N/A,FALSE,"RACT1.XLS";#N/A,#N/A,FALSE,"RACT2.XLS";#N/A,#N/A,FALSE,"ECCMP";#N/A,#N/A,FALSE,"WELDER.XLS"}</definedName>
    <definedName name="mmm" localSheetId="11" hidden="1">{#N/A,#N/A,FALSE,"COVER.XLS";#N/A,#N/A,FALSE,"RACT1.XLS";#N/A,#N/A,FALSE,"RACT2.XLS";#N/A,#N/A,FALSE,"ECCMP";#N/A,#N/A,FALSE,"WELDER.XLS"}</definedName>
    <definedName name="mmm" hidden="1">{#N/A,#N/A,FALSE,"COVER.XLS";#N/A,#N/A,FALSE,"RACT1.XLS";#N/A,#N/A,FALSE,"RACT2.XLS";#N/A,#N/A,FALSE,"ECCMP";#N/A,#N/A,FALSE,"WELDER.XLS"}</definedName>
    <definedName name="Monthnum">[47]Input!$D$7</definedName>
    <definedName name="MSTable">'[32]MS-Bud'!$A$11:$Y$133</definedName>
    <definedName name="n">'[48]YARN CONSUMP-JULY-06'!$N$2:$N$11043</definedName>
    <definedName name="newbp1" localSheetId="12" hidden="1">{#N/A,#N/A,FALSE,"ACQ_GRAPHS";#N/A,#N/A,FALSE,"T_1 GRAPHS";#N/A,#N/A,FALSE,"T_2 GRAPHS";#N/A,#N/A,FALSE,"COMB_GRAPHS"}</definedName>
    <definedName name="newbp1" localSheetId="19" hidden="1">{#N/A,#N/A,FALSE,"ACQ_GRAPHS";#N/A,#N/A,FALSE,"T_1 GRAPHS";#N/A,#N/A,FALSE,"T_2 GRAPHS";#N/A,#N/A,FALSE,"COMB_GRAPHS"}</definedName>
    <definedName name="newbp1" localSheetId="11" hidden="1">{#N/A,#N/A,FALSE,"ACQ_GRAPHS";#N/A,#N/A,FALSE,"T_1 GRAPHS";#N/A,#N/A,FALSE,"T_2 GRAPHS";#N/A,#N/A,FALSE,"COMB_GRAPHS"}</definedName>
    <definedName name="newbp1" localSheetId="32" hidden="1">{#N/A,#N/A,FALSE,"ACQ_GRAPHS";#N/A,#N/A,FALSE,"T_1 GRAPHS";#N/A,#N/A,FALSE,"T_2 GRAPHS";#N/A,#N/A,FALSE,"COMB_GRAPHS"}</definedName>
    <definedName name="newbp1" hidden="1">{#N/A,#N/A,FALSE,"ACQ_GRAPHS";#N/A,#N/A,FALSE,"T_1 GRAPHS";#N/A,#N/A,FALSE,"T_2 GRAPHS";#N/A,#N/A,FALSE,"COMB_GRAPHS"}</definedName>
    <definedName name="nkjkj" localSheetId="12" hidden="1">'[27]key-ind'!#REF!</definedName>
    <definedName name="nkjkj" localSheetId="11" hidden="1">'[27]key-ind'!#REF!</definedName>
    <definedName name="nkjkj" localSheetId="20" hidden="1">'[27]key-ind'!#REF!</definedName>
    <definedName name="nkjkj" hidden="1">'[27]key-ind'!#REF!</definedName>
    <definedName name="nnn" localSheetId="1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nnn" localSheetId="11"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nnn"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nnnnnnnnnn" localSheetId="12" hidden="1">{#N/A,#N/A,FALSE,"Status of Projects";#N/A,#N/A,FALSE,"CEA-TEC";#N/A,#N/A,FALSE,"U-Constr.";#N/A,#N/A,FALSE,"summary";#N/A,#N/A,FALSE,"PPP-3 yrs"}</definedName>
    <definedName name="nnnnnnnnnn" localSheetId="19" hidden="1">{#N/A,#N/A,FALSE,"Status of Projects";#N/A,#N/A,FALSE,"CEA-TEC";#N/A,#N/A,FALSE,"U-Constr.";#N/A,#N/A,FALSE,"summary";#N/A,#N/A,FALSE,"PPP-3 yrs"}</definedName>
    <definedName name="nnnnnnnnnn" localSheetId="11" hidden="1">{#N/A,#N/A,FALSE,"Status of Projects";#N/A,#N/A,FALSE,"CEA-TEC";#N/A,#N/A,FALSE,"U-Constr.";#N/A,#N/A,FALSE,"summary";#N/A,#N/A,FALSE,"PPP-3 yrs"}</definedName>
    <definedName name="nnnnnnnnnn" localSheetId="32" hidden="1">{#N/A,#N/A,FALSE,"Status of Projects";#N/A,#N/A,FALSE,"CEA-TEC";#N/A,#N/A,FALSE,"U-Constr.";#N/A,#N/A,FALSE,"summary";#N/A,#N/A,FALSE,"PPP-3 yrs"}</definedName>
    <definedName name="nnnnnnnnnn" hidden="1">{#N/A,#N/A,FALSE,"Status of Projects";#N/A,#N/A,FALSE,"CEA-TEC";#N/A,#N/A,FALSE,"U-Constr.";#N/A,#N/A,FALSE,"summary";#N/A,#N/A,FALSE,"PPP-3 yrs"}</definedName>
    <definedName name="NORM" localSheetId="12">#REF!</definedName>
    <definedName name="NORM" localSheetId="26">#REF!</definedName>
    <definedName name="NORM" localSheetId="11">#REF!</definedName>
    <definedName name="NORM" localSheetId="20">#REF!</definedName>
    <definedName name="NORM">#REF!</definedName>
    <definedName name="NPV" localSheetId="12">#REF!</definedName>
    <definedName name="NPV" localSheetId="26">#REF!</definedName>
    <definedName name="NPV" localSheetId="11">#REF!</definedName>
    <definedName name="NPV" localSheetId="20">#REF!</definedName>
    <definedName name="NPV">#REF!</definedName>
    <definedName name="o" localSheetId="12" hidden="1">'[27]key-ind'!#REF!</definedName>
    <definedName name="o" localSheetId="11" hidden="1">'[27]key-ind'!#REF!</definedName>
    <definedName name="o" localSheetId="20" hidden="1">'[27]key-ind'!#REF!</definedName>
    <definedName name="o" hidden="1">'[27]key-ind'!#REF!</definedName>
    <definedName name="ok" localSheetId="12" hidden="1">{#N/A,#N/A,FALSE,"COVER1.XLS ";#N/A,#N/A,FALSE,"RACT1.XLS";#N/A,#N/A,FALSE,"RACT2.XLS";#N/A,#N/A,FALSE,"ECCMP";#N/A,#N/A,FALSE,"WELDER.XLS"}</definedName>
    <definedName name="ok" localSheetId="11" hidden="1">{#N/A,#N/A,FALSE,"COVER1.XLS ";#N/A,#N/A,FALSE,"RACT1.XLS";#N/A,#N/A,FALSE,"RACT2.XLS";#N/A,#N/A,FALSE,"ECCMP";#N/A,#N/A,FALSE,"WELDER.XLS"}</definedName>
    <definedName name="ok" hidden="1">{#N/A,#N/A,FALSE,"COVER1.XLS ";#N/A,#N/A,FALSE,"RACT1.XLS";#N/A,#N/A,FALSE,"RACT2.XLS";#N/A,#N/A,FALSE,"ECCMP";#N/A,#N/A,FALSE,"WELDER.XLS"}</definedName>
    <definedName name="OrderTable" localSheetId="12" hidden="1">#REF!</definedName>
    <definedName name="OrderTable" localSheetId="11" hidden="1">#REF!</definedName>
    <definedName name="OrderTable" localSheetId="20" hidden="1">#REF!</definedName>
    <definedName name="OrderTable" hidden="1">#REF!</definedName>
    <definedName name="Others" localSheetId="12" hidden="1">{#N/A,#N/A,FALSE,"COVER1.XLS ";#N/A,#N/A,FALSE,"RACT1.XLS";#N/A,#N/A,FALSE,"RACT2.XLS";#N/A,#N/A,FALSE,"ECCMP";#N/A,#N/A,FALSE,"WELDER.XLS"}</definedName>
    <definedName name="Others" localSheetId="11" hidden="1">{#N/A,#N/A,FALSE,"COVER1.XLS ";#N/A,#N/A,FALSE,"RACT1.XLS";#N/A,#N/A,FALSE,"RACT2.XLS";#N/A,#N/A,FALSE,"ECCMP";#N/A,#N/A,FALSE,"WELDER.XLS"}</definedName>
    <definedName name="Others" hidden="1">{#N/A,#N/A,FALSE,"COVER1.XLS ";#N/A,#N/A,FALSE,"RACT1.XLS";#N/A,#N/A,FALSE,"RACT2.XLS";#N/A,#N/A,FALSE,"ECCMP";#N/A,#N/A,FALSE,"WELDER.XLS"}</definedName>
    <definedName name="P" localSheetId="12">'[8]Ann-1'!#REF!</definedName>
    <definedName name="P" localSheetId="26">'[8]Ann-1'!#REF!</definedName>
    <definedName name="P" localSheetId="11">'[8]Ann-1'!#REF!</definedName>
    <definedName name="P" localSheetId="20">'[8]Ann-1'!#REF!</definedName>
    <definedName name="P">'[8]Ann-1'!#REF!</definedName>
    <definedName name="PACK" localSheetId="12">#REF!</definedName>
    <definedName name="PACK" localSheetId="26">#REF!</definedName>
    <definedName name="PACK" localSheetId="11">#REF!</definedName>
    <definedName name="PACK" localSheetId="20">#REF!</definedName>
    <definedName name="PACK">#REF!</definedName>
    <definedName name="Packing_Type_BCF" localSheetId="12">#REF!</definedName>
    <definedName name="Packing_Type_BCF" localSheetId="26">#REF!</definedName>
    <definedName name="Packing_Type_BCF" localSheetId="11">#REF!</definedName>
    <definedName name="Packing_Type_BCF" localSheetId="20">#REF!</definedName>
    <definedName name="Packing_Type_BCF">#REF!</definedName>
    <definedName name="PAGE1" localSheetId="12">#REF!</definedName>
    <definedName name="PAGE1" localSheetId="26">#REF!</definedName>
    <definedName name="PAGE1" localSheetId="11">#REF!</definedName>
    <definedName name="PAGE1" localSheetId="20">#REF!</definedName>
    <definedName name="PAGE1">#REF!</definedName>
    <definedName name="PAGE2" localSheetId="12">#REF!</definedName>
    <definedName name="PAGE2" localSheetId="26">#REF!</definedName>
    <definedName name="PAGE2" localSheetId="11">#REF!</definedName>
    <definedName name="PAGE2" localSheetId="20">#REF!</definedName>
    <definedName name="PAGE2">#REF!</definedName>
    <definedName name="PAGE3" localSheetId="12">#REF!</definedName>
    <definedName name="PAGE3" localSheetId="26">#REF!</definedName>
    <definedName name="PAGE3" localSheetId="11">#REF!</definedName>
    <definedName name="PAGE3" localSheetId="20">#REF!</definedName>
    <definedName name="PAGE3">#REF!</definedName>
    <definedName name="PAGE4" localSheetId="12">#REF!</definedName>
    <definedName name="PAGE4" localSheetId="26">#REF!</definedName>
    <definedName name="PAGE4" localSheetId="11">#REF!</definedName>
    <definedName name="PAGE4" localSheetId="20">#REF!</definedName>
    <definedName name="PAGE4">#REF!</definedName>
    <definedName name="pandit" localSheetId="12">#REF!</definedName>
    <definedName name="pandit" localSheetId="26">#REF!</definedName>
    <definedName name="pandit" localSheetId="11">#REF!</definedName>
    <definedName name="pandit" localSheetId="20">#REF!</definedName>
    <definedName name="pandit">#REF!</definedName>
    <definedName name="PARAMS" localSheetId="12">#REF!</definedName>
    <definedName name="PARAMS" localSheetId="26">#REF!</definedName>
    <definedName name="PARAMS" localSheetId="11">#REF!</definedName>
    <definedName name="PARAMS" localSheetId="20">#REF!</definedName>
    <definedName name="PARAMS">#REF!</definedName>
    <definedName name="Party_Code" localSheetId="12">#REF!</definedName>
    <definedName name="Party_Code" localSheetId="26">#REF!</definedName>
    <definedName name="Party_Code" localSheetId="11">#REF!</definedName>
    <definedName name="Party_Code" localSheetId="20">#REF!</definedName>
    <definedName name="Party_Code">#REF!</definedName>
    <definedName name="PcntRank"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cntRank"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cntRank"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cntRank"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cntRank"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cntRank"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cntRank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cntRank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cntRank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cntRank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cntRank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cntRank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F" localSheetId="12" hidden="1">{#N/A,#N/A,FALSE,"COVER.XLS";#N/A,#N/A,FALSE,"RACT1.XLS";#N/A,#N/A,FALSE,"RACT2.XLS";#N/A,#N/A,FALSE,"ECCMP";#N/A,#N/A,FALSE,"WELDER.XLS"}</definedName>
    <definedName name="PF" localSheetId="11" hidden="1">{#N/A,#N/A,FALSE,"COVER.XLS";#N/A,#N/A,FALSE,"RACT1.XLS";#N/A,#N/A,FALSE,"RACT2.XLS";#N/A,#N/A,FALSE,"ECCMP";#N/A,#N/A,FALSE,"WELDER.XLS"}</definedName>
    <definedName name="PF" hidden="1">{#N/A,#N/A,FALSE,"COVER.XLS";#N/A,#N/A,FALSE,"RACT1.XLS";#N/A,#N/A,FALSE,"RACT2.XLS";#N/A,#N/A,FALSE,"ECCMP";#N/A,#N/A,FALSE,"WELDER.XLS"}</definedName>
    <definedName name="pl" localSheetId="12">#REF!</definedName>
    <definedName name="pl" localSheetId="26">#REF!</definedName>
    <definedName name="pl" localSheetId="11">#REF!</definedName>
    <definedName name="pl" localSheetId="20">#REF!</definedName>
    <definedName name="pl">#REF!</definedName>
    <definedName name="PLTable">'[32]PL-Bud'!$A$11:$Y$133</definedName>
    <definedName name="POO" localSheetId="1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localSheetId="1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sitions"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ositions"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ositions"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ositions"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ositions"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ositions"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ositions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ositions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ositions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ositions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ositions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ositions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q"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q"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q"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res" localSheetId="12" hidden="1">{#N/A,#N/A,TRUE,"Cover sheet";#N/A,#N/A,TRUE,"Summary";#N/A,#N/A,TRUE,"Key Assumptions";#N/A,#N/A,TRUE,"Profit &amp; Loss";#N/A,#N/A,TRUE,"Balance Sheet";#N/A,#N/A,TRUE,"Cashflow";#N/A,#N/A,TRUE,"IRR";#N/A,#N/A,TRUE,"Ratios";#N/A,#N/A,TRUE,"Debt analysis"}</definedName>
    <definedName name="Pres" localSheetId="19" hidden="1">{#N/A,#N/A,TRUE,"Cover sheet";#N/A,#N/A,TRUE,"Summary";#N/A,#N/A,TRUE,"Key Assumptions";#N/A,#N/A,TRUE,"Profit &amp; Loss";#N/A,#N/A,TRUE,"Balance Sheet";#N/A,#N/A,TRUE,"Cashflow";#N/A,#N/A,TRUE,"IRR";#N/A,#N/A,TRUE,"Ratios";#N/A,#N/A,TRUE,"Debt analysis"}</definedName>
    <definedName name="Pres" localSheetId="11" hidden="1">{#N/A,#N/A,TRUE,"Cover sheet";#N/A,#N/A,TRUE,"Summary";#N/A,#N/A,TRUE,"Key Assumptions";#N/A,#N/A,TRUE,"Profit &amp; Loss";#N/A,#N/A,TRUE,"Balance Sheet";#N/A,#N/A,TRUE,"Cashflow";#N/A,#N/A,TRUE,"IRR";#N/A,#N/A,TRUE,"Ratios";#N/A,#N/A,TRUE,"Debt analysis"}</definedName>
    <definedName name="Pres" localSheetId="32"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_xlnm.Print_Area" localSheetId="12">#REF!</definedName>
    <definedName name="_xlnm.Print_Area" localSheetId="19">#REF!</definedName>
    <definedName name="_xlnm.Print_Area" localSheetId="26">#REF!</definedName>
    <definedName name="_xlnm.Print_Area" localSheetId="10">'Monthly HC &amp; Prodn Working'!$B$2:$C$38</definedName>
    <definedName name="_xlnm.Print_Area" localSheetId="11">#REF!</definedName>
    <definedName name="_xlnm.Print_Area" localSheetId="20">#REF!</definedName>
    <definedName name="_xlnm.Print_Area">#REF!</definedName>
    <definedName name="Print_area." localSheetId="12">#REF!</definedName>
    <definedName name="Print_area." localSheetId="11">#REF!</definedName>
    <definedName name="Print_area." localSheetId="20">#REF!</definedName>
    <definedName name="Print_area.">#REF!</definedName>
    <definedName name="Print_Area_MI" localSheetId="12">#REF!</definedName>
    <definedName name="Print_Area_MI" localSheetId="26">#REF!</definedName>
    <definedName name="Print_Area_MI" localSheetId="11">#REF!</definedName>
    <definedName name="Print_Area_MI" localSheetId="20">#REF!</definedName>
    <definedName name="Print_Area_MI">#REF!</definedName>
    <definedName name="PrintArea1" localSheetId="12">#REF!</definedName>
    <definedName name="PrintArea1" localSheetId="11">#REF!</definedName>
    <definedName name="PrintArea1" localSheetId="20">#REF!</definedName>
    <definedName name="PrintArea1">#REF!</definedName>
    <definedName name="ProdForm" localSheetId="12" hidden="1">#REF!</definedName>
    <definedName name="ProdForm" localSheetId="11" hidden="1">#REF!</definedName>
    <definedName name="ProdForm" localSheetId="20" hidden="1">#REF!</definedName>
    <definedName name="ProdForm" hidden="1">#REF!</definedName>
    <definedName name="py" localSheetId="12" hidden="1">#REF!</definedName>
    <definedName name="py" localSheetId="11" hidden="1">#REF!</definedName>
    <definedName name="py" localSheetId="20" hidden="1">#REF!</definedName>
    <definedName name="py" hidden="1">#REF!</definedName>
    <definedName name="Q" localSheetId="12">'[8]Ann-1'!#REF!</definedName>
    <definedName name="Q" localSheetId="26">'[8]Ann-1'!#REF!</definedName>
    <definedName name="Q" localSheetId="11">'[8]Ann-1'!#REF!</definedName>
    <definedName name="Q" localSheetId="20">'[8]Ann-1'!#REF!</definedName>
    <definedName name="Q">'[8]Ann-1'!#REF!</definedName>
    <definedName name="Q1days" localSheetId="12">#REF!</definedName>
    <definedName name="Q1days" localSheetId="26">#REF!</definedName>
    <definedName name="Q1days" localSheetId="11">#REF!</definedName>
    <definedName name="Q1days" localSheetId="20">#REF!</definedName>
    <definedName name="Q1days">#REF!</definedName>
    <definedName name="Q2days" localSheetId="12">#REF!</definedName>
    <definedName name="Q2days" localSheetId="26">#REF!</definedName>
    <definedName name="Q2days" localSheetId="11">#REF!</definedName>
    <definedName name="Q2days" localSheetId="20">#REF!</definedName>
    <definedName name="Q2days">#REF!</definedName>
    <definedName name="Q3days" localSheetId="12">#REF!</definedName>
    <definedName name="Q3days" localSheetId="26">#REF!</definedName>
    <definedName name="Q3days" localSheetId="11">#REF!</definedName>
    <definedName name="Q3days" localSheetId="20">#REF!</definedName>
    <definedName name="Q3days">#REF!</definedName>
    <definedName name="Q4days" localSheetId="12">#REF!</definedName>
    <definedName name="Q4days" localSheetId="26">#REF!</definedName>
    <definedName name="Q4days" localSheetId="11">#REF!</definedName>
    <definedName name="Q4days" localSheetId="20">#REF!</definedName>
    <definedName name="Q4days">#REF!</definedName>
    <definedName name="qh" localSheetId="12" hidden="1">#REF!</definedName>
    <definedName name="qh" localSheetId="11" hidden="1">#REF!</definedName>
    <definedName name="qh" localSheetId="20" hidden="1">#REF!</definedName>
    <definedName name="qh" hidden="1">#REF!</definedName>
    <definedName name="qq" hidden="1">#N/A</definedName>
    <definedName name="qqq"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qqq"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qqq"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qqq"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qqq"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qqq"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qqq"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qqq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qqq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qqq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qqq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qqq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qqq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qqqqqqqqq" localSheetId="12" hidden="1">{#N/A,#N/A,FALSE,"profile ";#N/A,#N/A,FALSE,"rank";#N/A,#N/A,FALSE,"overbase";#N/A,#N/A,FALSE,"overcash";#N/A,#N/A,FALSE,"overtfp";#N/A,#N/A,FALSE,"overtcc"}</definedName>
    <definedName name="qqqqqqqqqq" localSheetId="19" hidden="1">{#N/A,#N/A,FALSE,"profile ";#N/A,#N/A,FALSE,"rank";#N/A,#N/A,FALSE,"overbase";#N/A,#N/A,FALSE,"overcash";#N/A,#N/A,FALSE,"overtfp";#N/A,#N/A,FALSE,"overtcc"}</definedName>
    <definedName name="qqqqqqqqqq" localSheetId="26" hidden="1">{#N/A,#N/A,FALSE,"profile ";#N/A,#N/A,FALSE,"rank";#N/A,#N/A,FALSE,"overbase";#N/A,#N/A,FALSE,"overcash";#N/A,#N/A,FALSE,"overtfp";#N/A,#N/A,FALSE,"overtcc"}</definedName>
    <definedName name="qqqqqqqqqq" localSheetId="11" hidden="1">{#N/A,#N/A,FALSE,"profile ";#N/A,#N/A,FALSE,"rank";#N/A,#N/A,FALSE,"overbase";#N/A,#N/A,FALSE,"overcash";#N/A,#N/A,FALSE,"overtfp";#N/A,#N/A,FALSE,"overtcc"}</definedName>
    <definedName name="qqqqqqqqqq" localSheetId="32" hidden="1">{#N/A,#N/A,FALSE,"profile ";#N/A,#N/A,FALSE,"rank";#N/A,#N/A,FALSE,"overbase";#N/A,#N/A,FALSE,"overcash";#N/A,#N/A,FALSE,"overtfp";#N/A,#N/A,FALSE,"overtcc"}</definedName>
    <definedName name="qqqqqqqqqq" hidden="1">{#N/A,#N/A,FALSE,"profile ";#N/A,#N/A,FALSE,"rank";#N/A,#N/A,FALSE,"overbase";#N/A,#N/A,FALSE,"overcash";#N/A,#N/A,FALSE,"overtfp";#N/A,#N/A,FALSE,"overtcc"}</definedName>
    <definedName name="qqqqqqqqqq_1" localSheetId="12" hidden="1">{#N/A,#N/A,FALSE,"profile ";#N/A,#N/A,FALSE,"rank";#N/A,#N/A,FALSE,"overbase";#N/A,#N/A,FALSE,"overcash";#N/A,#N/A,FALSE,"overtfp";#N/A,#N/A,FALSE,"overtcc"}</definedName>
    <definedName name="qqqqqqqqqq_1" localSheetId="19" hidden="1">{#N/A,#N/A,FALSE,"profile ";#N/A,#N/A,FALSE,"rank";#N/A,#N/A,FALSE,"overbase";#N/A,#N/A,FALSE,"overcash";#N/A,#N/A,FALSE,"overtfp";#N/A,#N/A,FALSE,"overtcc"}</definedName>
    <definedName name="qqqqqqqqqq_1" localSheetId="26" hidden="1">{#N/A,#N/A,FALSE,"profile ";#N/A,#N/A,FALSE,"rank";#N/A,#N/A,FALSE,"overbase";#N/A,#N/A,FALSE,"overcash";#N/A,#N/A,FALSE,"overtfp";#N/A,#N/A,FALSE,"overtcc"}</definedName>
    <definedName name="qqqqqqqqqq_1" localSheetId="11" hidden="1">{#N/A,#N/A,FALSE,"profile ";#N/A,#N/A,FALSE,"rank";#N/A,#N/A,FALSE,"overbase";#N/A,#N/A,FALSE,"overcash";#N/A,#N/A,FALSE,"overtfp";#N/A,#N/A,FALSE,"overtcc"}</definedName>
    <definedName name="qqqqqqqqqq_1" localSheetId="32" hidden="1">{#N/A,#N/A,FALSE,"profile ";#N/A,#N/A,FALSE,"rank";#N/A,#N/A,FALSE,"overbase";#N/A,#N/A,FALSE,"overcash";#N/A,#N/A,FALSE,"overtfp";#N/A,#N/A,FALSE,"overtcc"}</definedName>
    <definedName name="qqqqqqqqqq_1" hidden="1">{#N/A,#N/A,FALSE,"profile ";#N/A,#N/A,FALSE,"rank";#N/A,#N/A,FALSE,"overbase";#N/A,#N/A,FALSE,"overcash";#N/A,#N/A,FALSE,"overtfp";#N/A,#N/A,FALSE,"overtcc"}</definedName>
    <definedName name="Qualitywise_sales" localSheetId="12">'[49]9 Sales Price in $'!#REF!</definedName>
    <definedName name="Qualitywise_sales" localSheetId="26">'[49]9 Sales Price in $'!#REF!</definedName>
    <definedName name="Qualitywise_sales" localSheetId="11">'[49]9 Sales Price in $'!#REF!</definedName>
    <definedName name="Qualitywise_sales" localSheetId="20">'[49]9 Sales Price in $'!#REF!</definedName>
    <definedName name="Qualitywise_sales">'[49]9 Sales Price in $'!#REF!</definedName>
    <definedName name="Quarterly_Sales">'[40]Sales Budget'!$AB$4:$AG$113</definedName>
    <definedName name="qw"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w"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w"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we"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we"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we"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wert"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wert"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qwert"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aghu" localSheetId="12">#REF!</definedName>
    <definedName name="raghu" localSheetId="26">#REF!</definedName>
    <definedName name="raghu" localSheetId="11">#REF!</definedName>
    <definedName name="raghu" localSheetId="20">#REF!</definedName>
    <definedName name="raghu">#REF!</definedName>
    <definedName name="rankanal"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ankanal"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ankanal"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ankanal"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ankanal"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ankanal"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ankanal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ankanal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ankanal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ankanal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ankanal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ankanal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ATES" localSheetId="12">#REF!</definedName>
    <definedName name="RATES" localSheetId="26">#REF!</definedName>
    <definedName name="RATES" localSheetId="11">#REF!</definedName>
    <definedName name="RATES" localSheetId="20">#REF!</definedName>
    <definedName name="RATES">#REF!</definedName>
    <definedName name="RCArea" localSheetId="12" hidden="1">#REF!</definedName>
    <definedName name="RCArea" localSheetId="11" hidden="1">#REF!</definedName>
    <definedName name="RCArea" localSheetId="20" hidden="1">#REF!</definedName>
    <definedName name="RCArea" hidden="1">#REF!</definedName>
    <definedName name="redo" localSheetId="12" hidden="1">{#N/A,#N/A,FALSE,"ACQ_GRAPHS";#N/A,#N/A,FALSE,"T_1 GRAPHS";#N/A,#N/A,FALSE,"T_2 GRAPHS";#N/A,#N/A,FALSE,"COMB_GRAPHS"}</definedName>
    <definedName name="redo" localSheetId="19" hidden="1">{#N/A,#N/A,FALSE,"ACQ_GRAPHS";#N/A,#N/A,FALSE,"T_1 GRAPHS";#N/A,#N/A,FALSE,"T_2 GRAPHS";#N/A,#N/A,FALSE,"COMB_GRAPHS"}</definedName>
    <definedName name="redo" localSheetId="11" hidden="1">{#N/A,#N/A,FALSE,"ACQ_GRAPHS";#N/A,#N/A,FALSE,"T_1 GRAPHS";#N/A,#N/A,FALSE,"T_2 GRAPHS";#N/A,#N/A,FALSE,"COMB_GRAPHS"}</definedName>
    <definedName name="redo" localSheetId="32" hidden="1">{#N/A,#N/A,FALSE,"ACQ_GRAPHS";#N/A,#N/A,FALSE,"T_1 GRAPHS";#N/A,#N/A,FALSE,"T_2 GRAPHS";#N/A,#N/A,FALSE,"COMB_GRAPHS"}</definedName>
    <definedName name="redo" hidden="1">{#N/A,#N/A,FALSE,"ACQ_GRAPHS";#N/A,#N/A,FALSE,"T_1 GRAPHS";#N/A,#N/A,FALSE,"T_2 GRAPHS";#N/A,#N/A,FALSE,"COMB_GRAPHS"}</definedName>
    <definedName name="Rejections_IIIqtr">[50]Inputs!$K$213:$R$316</definedName>
    <definedName name="Rejections_IIqtr">[50]Inputs!$K$109:$R$212</definedName>
    <definedName name="Rejections_Iqtr">[40]Inputs!$K$4:$R$108</definedName>
    <definedName name="Rejections_IVqtr">[50]Inputs!$K$317:$R$420</definedName>
    <definedName name="rem"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cc"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cc"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cc"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cc"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cc"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cc"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cc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cc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cc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cc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cc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cc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fp"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fp"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fp"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fp"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fp"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fp"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fp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fp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fp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fp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fp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mtfp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NT" localSheetId="12">#REF!</definedName>
    <definedName name="RENT" localSheetId="26">#REF!</definedName>
    <definedName name="RENT" localSheetId="11">#REF!</definedName>
    <definedName name="RENT" localSheetId="20">#REF!</definedName>
    <definedName name="RENT">#REF!</definedName>
    <definedName name="res" localSheetId="12" hidden="1">{#N/A,#N/A,FALSE,"COVER1.XLS ";#N/A,#N/A,FALSE,"RACT1.XLS";#N/A,#N/A,FALSE,"RACT2.XLS";#N/A,#N/A,FALSE,"ECCMP";#N/A,#N/A,FALSE,"WELDER.XLS"}</definedName>
    <definedName name="res" localSheetId="11" hidden="1">{#N/A,#N/A,FALSE,"COVER1.XLS ";#N/A,#N/A,FALSE,"RACT1.XLS";#N/A,#N/A,FALSE,"RACT2.XLS";#N/A,#N/A,FALSE,"ECCMP";#N/A,#N/A,FALSE,"WELDER.XLS"}</definedName>
    <definedName name="res" hidden="1">{#N/A,#N/A,FALSE,"COVER1.XLS ";#N/A,#N/A,FALSE,"RACT1.XLS";#N/A,#N/A,FALSE,"RACT2.XLS";#N/A,#N/A,FALSE,"ECCMP";#N/A,#N/A,FALSE,"WELDER.XLS"}</definedName>
    <definedName name="res_sum" localSheetId="12" hidden="1">{#N/A,#N/A,FALSE,"COVER1.XLS ";#N/A,#N/A,FALSE,"RACT1.XLS";#N/A,#N/A,FALSE,"RACT2.XLS";#N/A,#N/A,FALSE,"ECCMP";#N/A,#N/A,FALSE,"WELDER.XLS"}</definedName>
    <definedName name="res_sum" localSheetId="11" hidden="1">{#N/A,#N/A,FALSE,"COVER1.XLS ";#N/A,#N/A,FALSE,"RACT1.XLS";#N/A,#N/A,FALSE,"RACT2.XLS";#N/A,#N/A,FALSE,"ECCMP";#N/A,#N/A,FALSE,"WELDER.XLS"}</definedName>
    <definedName name="res_sum" hidden="1">{#N/A,#N/A,FALSE,"COVER1.XLS ";#N/A,#N/A,FALSE,"RACT1.XLS";#N/A,#N/A,FALSE,"RACT2.XLS";#N/A,#N/A,FALSE,"ECCMP";#N/A,#N/A,FALSE,"WELDER.XLS"}</definedName>
    <definedName name="REV" localSheetId="12">#REF!</definedName>
    <definedName name="REV" localSheetId="26">#REF!</definedName>
    <definedName name="REV" localSheetId="11">#REF!</definedName>
    <definedName name="REV" localSheetId="20">#REF!</definedName>
    <definedName name="REV">#REF!</definedName>
    <definedName name="REVCOST" localSheetId="12">#REF!</definedName>
    <definedName name="REVCOST" localSheetId="26">#REF!</definedName>
    <definedName name="REVCOST" localSheetId="11">#REF!</definedName>
    <definedName name="REVCOST" localSheetId="20">#REF!</definedName>
    <definedName name="REVCOST">#REF!</definedName>
    <definedName name="rg" localSheetId="12" hidden="1">{#N/A,#N/A,FALSE,"str_title";#N/A,#N/A,FALSE,"SUM";#N/A,#N/A,FALSE,"Scope";#N/A,#N/A,FALSE,"PIE-Jn";#N/A,#N/A,FALSE,"PIE-Jn_Hz";#N/A,#N/A,FALSE,"Liq_Plan";#N/A,#N/A,FALSE,"S_Curve";#N/A,#N/A,FALSE,"Liq_Prof";#N/A,#N/A,FALSE,"Man_Pwr";#N/A,#N/A,FALSE,"Man_Prof"}</definedName>
    <definedName name="rg" localSheetId="11" hidden="1">{#N/A,#N/A,FALSE,"str_title";#N/A,#N/A,FALSE,"SUM";#N/A,#N/A,FALSE,"Scope";#N/A,#N/A,FALSE,"PIE-Jn";#N/A,#N/A,FALSE,"PIE-Jn_Hz";#N/A,#N/A,FALSE,"Liq_Plan";#N/A,#N/A,FALSE,"S_Curve";#N/A,#N/A,FALSE,"Liq_Prof";#N/A,#N/A,FALSE,"Man_Pwr";#N/A,#N/A,FALSE,"Man_Prof"}</definedName>
    <definedName name="rg" hidden="1">{#N/A,#N/A,FALSE,"str_title";#N/A,#N/A,FALSE,"SUM";#N/A,#N/A,FALSE,"Scope";#N/A,#N/A,FALSE,"PIE-Jn";#N/A,#N/A,FALSE,"PIE-Jn_Hz";#N/A,#N/A,FALSE,"Liq_Plan";#N/A,#N/A,FALSE,"S_Curve";#N/A,#N/A,FALSE,"Liq_Prof";#N/A,#N/A,FALSE,"Man_Pwr";#N/A,#N/A,FALSE,"Man_Prof"}</definedName>
    <definedName name="RM_Rate_Q1">'[35]Yarn Rates'!$G$3:$M$43</definedName>
    <definedName name="RM_Rate_Q2" localSheetId="12">'[51]Yarn Rates'!#REF!</definedName>
    <definedName name="RM_Rate_Q2" localSheetId="26">'[51]Yarn Rates'!#REF!</definedName>
    <definedName name="RM_Rate_Q2" localSheetId="11">'[51]Yarn Rates'!#REF!</definedName>
    <definedName name="RM_Rate_Q2" localSheetId="20">'[51]Yarn Rates'!#REF!</definedName>
    <definedName name="RM_Rate_Q2">'[51]Yarn Rates'!#REF!</definedName>
    <definedName name="RM_Rate_Q3" localSheetId="12">'[51]Yarn Rates'!#REF!</definedName>
    <definedName name="RM_Rate_Q3" localSheetId="26">'[51]Yarn Rates'!#REF!</definedName>
    <definedName name="RM_Rate_Q3" localSheetId="11">'[51]Yarn Rates'!#REF!</definedName>
    <definedName name="RM_Rate_Q3" localSheetId="20">'[51]Yarn Rates'!#REF!</definedName>
    <definedName name="RM_Rate_Q3">'[51]Yarn Rates'!#REF!</definedName>
    <definedName name="RM_Rate_Q4" localSheetId="12">'[51]Yarn Rates'!#REF!</definedName>
    <definedName name="RM_Rate_Q4" localSheetId="26">'[51]Yarn Rates'!#REF!</definedName>
    <definedName name="RM_Rate_Q4" localSheetId="11">'[51]Yarn Rates'!#REF!</definedName>
    <definedName name="RM_Rate_Q4" localSheetId="20">'[51]Yarn Rates'!#REF!</definedName>
    <definedName name="RM_Rate_Q4">'[51]Yarn Rates'!#REF!</definedName>
    <definedName name="roe" localSheetId="12">#REF!</definedName>
    <definedName name="roe" localSheetId="26">#REF!</definedName>
    <definedName name="roe" localSheetId="11">#REF!</definedName>
    <definedName name="roe" localSheetId="20">#REF!</definedName>
    <definedName name="roe">#REF!</definedName>
    <definedName name="rr" localSheetId="12" hidden="1">{#N/A,#N/A,FALSE,"consu_cover";#N/A,#N/A,FALSE,"consu_strategy";#N/A,#N/A,FALSE,"consu_flow";#N/A,#N/A,FALSE,"Summary_reqmt";#N/A,#N/A,FALSE,"field_ppg";#N/A,#N/A,FALSE,"ppg_shop";#N/A,#N/A,FALSE,"strl";#N/A,#N/A,FALSE,"tankages";#N/A,#N/A,FALSE,"gases"}</definedName>
    <definedName name="rr" localSheetId="11" hidden="1">{#N/A,#N/A,FALSE,"consu_cover";#N/A,#N/A,FALSE,"consu_strategy";#N/A,#N/A,FALSE,"consu_flow";#N/A,#N/A,FALSE,"Summary_reqmt";#N/A,#N/A,FALSE,"field_ppg";#N/A,#N/A,FALSE,"ppg_shop";#N/A,#N/A,FALSE,"strl";#N/A,#N/A,FALSE,"tankages";#N/A,#N/A,FALSE,"gases"}</definedName>
    <definedName name="rr" hidden="1">{#N/A,#N/A,FALSE,"consu_cover";#N/A,#N/A,FALSE,"consu_strategy";#N/A,#N/A,FALSE,"consu_flow";#N/A,#N/A,FALSE,"Summary_reqmt";#N/A,#N/A,FALSE,"field_ppg";#N/A,#N/A,FALSE,"ppg_shop";#N/A,#N/A,FALSE,"strl";#N/A,#N/A,FALSE,"tankages";#N/A,#N/A,FALSE,"gases"}</definedName>
    <definedName name="rrdsa" localSheetId="12" hidden="1">{#N/A,#N/A,FALSE,"consu_cover";#N/A,#N/A,FALSE,"consu_strategy";#N/A,#N/A,FALSE,"consu_flow";#N/A,#N/A,FALSE,"Summary_reqmt";#N/A,#N/A,FALSE,"field_ppg";#N/A,#N/A,FALSE,"ppg_shop";#N/A,#N/A,FALSE,"strl";#N/A,#N/A,FALSE,"tankages";#N/A,#N/A,FALSE,"gases"}</definedName>
    <definedName name="rrdsa" localSheetId="11" hidden="1">{#N/A,#N/A,FALSE,"consu_cover";#N/A,#N/A,FALSE,"consu_strategy";#N/A,#N/A,FALSE,"consu_flow";#N/A,#N/A,FALSE,"Summary_reqmt";#N/A,#N/A,FALSE,"field_ppg";#N/A,#N/A,FALSE,"ppg_shop";#N/A,#N/A,FALSE,"strl";#N/A,#N/A,FALSE,"tankages";#N/A,#N/A,FALSE,"gases"}</definedName>
    <definedName name="rrdsa" hidden="1">{#N/A,#N/A,FALSE,"consu_cover";#N/A,#N/A,FALSE,"consu_strategy";#N/A,#N/A,FALSE,"consu_flow";#N/A,#N/A,FALSE,"Summary_reqmt";#N/A,#N/A,FALSE,"field_ppg";#N/A,#N/A,FALSE,"ppg_shop";#N/A,#N/A,FALSE,"strl";#N/A,#N/A,FALSE,"tankages";#N/A,#N/A,FALSE,"gases"}</definedName>
    <definedName name="rrrr" localSheetId="12" hidden="1">{"'VALUATION'!$A$3:$R$266"}</definedName>
    <definedName name="rrrr" localSheetId="19" hidden="1">{"'VALUATION'!$A$3:$R$266"}</definedName>
    <definedName name="rrrr" localSheetId="11" hidden="1">{"'VALUATION'!$A$3:$R$266"}</definedName>
    <definedName name="rrrr" localSheetId="32" hidden="1">{"'VALUATION'!$A$3:$R$266"}</definedName>
    <definedName name="rrrr" hidden="1">{"'VALUATION'!$A$3:$R$266"}</definedName>
    <definedName name="rw" localSheetId="12" hidden="1">{#N/A,#N/A,FALSE,"COVER1.XLS ";#N/A,#N/A,FALSE,"RACT1.XLS";#N/A,#N/A,FALSE,"RACT2.XLS";#N/A,#N/A,FALSE,"ECCMP";#N/A,#N/A,FALSE,"WELDER.XLS"}</definedName>
    <definedName name="rw" localSheetId="11" hidden="1">{#N/A,#N/A,FALSE,"COVER1.XLS ";#N/A,#N/A,FALSE,"RACT1.XLS";#N/A,#N/A,FALSE,"RACT2.XLS";#N/A,#N/A,FALSE,"ECCMP";#N/A,#N/A,FALSE,"WELDER.XLS"}</definedName>
    <definedName name="rw" hidden="1">{#N/A,#N/A,FALSE,"COVER1.XLS ";#N/A,#N/A,FALSE,"RACT1.XLS";#N/A,#N/A,FALSE,"RACT2.XLS";#N/A,#N/A,FALSE,"ECCMP";#N/A,#N/A,FALSE,"WELDER.XLS"}</definedName>
    <definedName name="rwere" localSheetId="12" hidden="1">{#N/A,#N/A,FALSE,"COVER1.XLS ";#N/A,#N/A,FALSE,"RACT1.XLS";#N/A,#N/A,FALSE,"RACT2.XLS";#N/A,#N/A,FALSE,"ECCMP";#N/A,#N/A,FALSE,"WELDER.XLS"}</definedName>
    <definedName name="rwere" localSheetId="11" hidden="1">{#N/A,#N/A,FALSE,"COVER1.XLS ";#N/A,#N/A,FALSE,"RACT1.XLS";#N/A,#N/A,FALSE,"RACT2.XLS";#N/A,#N/A,FALSE,"ECCMP";#N/A,#N/A,FALSE,"WELDER.XLS"}</definedName>
    <definedName name="rwere" hidden="1">{#N/A,#N/A,FALSE,"COVER1.XLS ";#N/A,#N/A,FALSE,"RACT1.XLS";#N/A,#N/A,FALSE,"RACT2.XLS";#N/A,#N/A,FALSE,"ECCMP";#N/A,#N/A,FALSE,"WELDER.XLS"}</definedName>
    <definedName name="Rwvu.BTP." localSheetId="12" hidden="1">'[52]MDP&amp;L'!#REF!</definedName>
    <definedName name="Rwvu.BTP." localSheetId="19" hidden="1">'[52]MDP&amp;L'!#REF!</definedName>
    <definedName name="Rwvu.BTP." localSheetId="11" hidden="1">'[52]MDP&amp;L'!#REF!</definedName>
    <definedName name="Rwvu.BTP." localSheetId="32" hidden="1">'[52]MDP&amp;L'!#REF!</definedName>
    <definedName name="Rwvu.BTP." localSheetId="20" hidden="1">'[52]MDP&amp;L'!#REF!</definedName>
    <definedName name="Rwvu.BTP." hidden="1">'[52]MDP&amp;L'!#REF!</definedName>
    <definedName name="Rwvu.TOTAL." localSheetId="12" hidden="1">'[52]MDP&amp;L'!#REF!</definedName>
    <definedName name="Rwvu.TOTAL." localSheetId="19" hidden="1">'[52]MDP&amp;L'!#REF!</definedName>
    <definedName name="Rwvu.TOTAL." localSheetId="11" hidden="1">'[52]MDP&amp;L'!#REF!</definedName>
    <definedName name="Rwvu.TOTAL." localSheetId="32" hidden="1">'[52]MDP&amp;L'!#REF!</definedName>
    <definedName name="Rwvu.TOTAL." localSheetId="20" hidden="1">'[52]MDP&amp;L'!#REF!</definedName>
    <definedName name="Rwvu.TOTAL." hidden="1">'[52]MDP&amp;L'!#REF!</definedName>
    <definedName name="s"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ale" localSheetId="12" hidden="1">{TRUE,FALSE,-1.25,-15.5,484.5,293.25,FALSE,TRUE,TRUE,TRUE,0,1,3,329,#N/A,1,21.8823529411765,2,TRUE,FALSE,3,TRUE,1,TRUE,100,"Swvu.a.","ACwvu.a.",#N/A,FALSE,FALSE,0.1,2.66,1.35,0,2,"","",TRUE,FALSE,FALSE,TRUE,1,87,#N/A,#N/A,"=R354C1:R476C10",FALSE,FALSE,FALSE,FALSE,FALSE,FALSE,5,300,300,FALSE,FALSE,TRUE,TRUE,TRUE}</definedName>
    <definedName name="sale" localSheetId="11" hidden="1">{TRUE,FALSE,-1.25,-15.5,484.5,293.25,FALSE,TRUE,TRUE,TRUE,0,1,3,329,#N/A,1,21.8823529411765,2,TRUE,FALSE,3,TRUE,1,TRUE,100,"Swvu.a.","ACwvu.a.",#N/A,FALSE,FALSE,0.1,2.66,1.35,0,2,"","",TRUE,FALSE,FALSE,TRUE,1,87,#N/A,#N/A,"=R354C1:R476C10",FALSE,FALSE,FALSE,FALSE,FALSE,FALSE,5,300,300,FALSE,FALSE,TRUE,TRUE,TRUE}</definedName>
    <definedName name="sale" hidden="1">{TRUE,FALSE,-1.25,-15.5,484.5,293.25,FALSE,TRUE,TRUE,TRUE,0,1,3,329,#N/A,1,21.8823529411765,2,TRUE,FALSE,3,TRUE,1,TRUE,100,"Swvu.a.","ACwvu.a.",#N/A,FALSE,FALSE,0.1,2.66,1.35,0,2,"","",TRUE,FALSE,FALSE,TRUE,1,87,#N/A,#N/A,"=R354C1:R476C10",FALSE,FALSE,FALSE,FALSE,FALSE,FALSE,5,300,300,FALSE,FALSE,TRUE,TRUE,TRUE}</definedName>
    <definedName name="sales1" localSheetId="12" hidden="1">{TRUE,FALSE,-1.25,-15.5,484.5,293.25,FALSE,TRUE,TRUE,TRUE,0,1,3,329,#N/A,1,21.8823529411765,2,TRUE,FALSE,3,TRUE,1,TRUE,100,"Swvu.a.","ACwvu.a.",#N/A,FALSE,FALSE,0.1,2.66,1.35,0,2,"","",TRUE,FALSE,FALSE,TRUE,1,87,#N/A,#N/A,"=R354C1:R476C10",FALSE,FALSE,FALSE,FALSE,FALSE,FALSE,5,300,300,FALSE,FALSE,TRUE,TRUE,TRUE}</definedName>
    <definedName name="sales1" localSheetId="11" hidden="1">{TRUE,FALSE,-1.25,-15.5,484.5,293.25,FALSE,TRUE,TRUE,TRUE,0,1,3,329,#N/A,1,21.8823529411765,2,TRUE,FALSE,3,TRUE,1,TRUE,100,"Swvu.a.","ACwvu.a.",#N/A,FALSE,FALSE,0.1,2.66,1.35,0,2,"","",TRUE,FALSE,FALSE,TRUE,1,87,#N/A,#N/A,"=R354C1:R476C10",FALSE,FALSE,FALSE,FALSE,FALSE,FALSE,5,300,300,FALSE,FALSE,TRUE,TRUE,TRUE}</definedName>
    <definedName name="sales1" hidden="1">{TRUE,FALSE,-1.25,-15.5,484.5,293.25,FALSE,TRUE,TRUE,TRUE,0,1,3,329,#N/A,1,21.8823529411765,2,TRUE,FALSE,3,TRUE,1,TRUE,100,"Swvu.a.","ACwvu.a.",#N/A,FALSE,FALSE,0.1,2.66,1.35,0,2,"","",TRUE,FALSE,FALSE,TRUE,1,87,#N/A,#N/A,"=R354C1:R476C10",FALSE,FALSE,FALSE,FALSE,FALSE,FALSE,5,300,300,FALSE,FALSE,TRUE,TRUE,TRUE}</definedName>
    <definedName name="SaleUnit" hidden="1">#N/A</definedName>
    <definedName name="SaleValue" hidden="1">#N/A</definedName>
    <definedName name="SAPBEXrevision" hidden="1">1</definedName>
    <definedName name="SAPBEXsysID" hidden="1">"CSR"</definedName>
    <definedName name="SAPBEXwbID" hidden="1">"3XQBW78D16A2EDUNTS3NPBKLN"</definedName>
    <definedName name="SASWFD" localSheetId="12">'[53]DATA ENTRY-2'!#REF!</definedName>
    <definedName name="SASWFD" localSheetId="26">'[53]DATA ENTRY-2'!#REF!</definedName>
    <definedName name="SASWFD" localSheetId="11">'[53]DATA ENTRY-2'!#REF!</definedName>
    <definedName name="SASWFD" localSheetId="20">'[53]DATA ENTRY-2'!#REF!</definedName>
    <definedName name="SASWFD">'[53]DATA ENTRY-2'!#REF!</definedName>
    <definedName name="SDFGSFGSB" localSheetId="12" hidden="1">{#N/A,#N/A,FALSE,"17MAY";#N/A,#N/A,FALSE,"24MAY"}</definedName>
    <definedName name="SDFGSFGSB" localSheetId="11" hidden="1">{#N/A,#N/A,FALSE,"17MAY";#N/A,#N/A,FALSE,"24MAY"}</definedName>
    <definedName name="SDFGSFGSB" hidden="1">{#N/A,#N/A,FALSE,"17MAY";#N/A,#N/A,FALSE,"24MAY"}</definedName>
    <definedName name="SDFGSFGSFG" localSheetId="12" hidden="1">{#N/A,#N/A,FALSE,"COVER1.XLS ";#N/A,#N/A,FALSE,"RACT1.XLS";#N/A,#N/A,FALSE,"RACT2.XLS";#N/A,#N/A,FALSE,"ECCMP";#N/A,#N/A,FALSE,"WELDER.XLS"}</definedName>
    <definedName name="SDFGSFGSFG" localSheetId="11" hidden="1">{#N/A,#N/A,FALSE,"COVER1.XLS ";#N/A,#N/A,FALSE,"RACT1.XLS";#N/A,#N/A,FALSE,"RACT2.XLS";#N/A,#N/A,FALSE,"ECCMP";#N/A,#N/A,FALSE,"WELDER.XLS"}</definedName>
    <definedName name="SDFGSFGSFG" hidden="1">{#N/A,#N/A,FALSE,"COVER1.XLS ";#N/A,#N/A,FALSE,"RACT1.XLS";#N/A,#N/A,FALSE,"RACT2.XLS";#N/A,#N/A,FALSE,"ECCMP";#N/A,#N/A,FALSE,"WELDER.XLS"}</definedName>
    <definedName name="SDFGSFGSS" localSheetId="12" hidden="1">{#N/A,#N/A,FALSE,"COVER.XLS";#N/A,#N/A,FALSE,"RACT1.XLS";#N/A,#N/A,FALSE,"RACT2.XLS";#N/A,#N/A,FALSE,"ECCMP";#N/A,#N/A,FALSE,"WELDER.XLS"}</definedName>
    <definedName name="SDFGSFGSS" localSheetId="11" hidden="1">{#N/A,#N/A,FALSE,"COVER.XLS";#N/A,#N/A,FALSE,"RACT1.XLS";#N/A,#N/A,FALSE,"RACT2.XLS";#N/A,#N/A,FALSE,"ECCMP";#N/A,#N/A,FALSE,"WELDER.XLS"}</definedName>
    <definedName name="SDFGSFGSS" hidden="1">{#N/A,#N/A,FALSE,"COVER.XLS";#N/A,#N/A,FALSE,"RACT1.XLS";#N/A,#N/A,FALSE,"RACT2.XLS";#N/A,#N/A,FALSE,"ECCMP";#N/A,#N/A,FALSE,"WELDER.XLS"}</definedName>
    <definedName name="SDFGSGF"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S"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FSF" localSheetId="12" hidden="1">{#N/A,#N/A,FALSE,"COVER.XLS";#N/A,#N/A,FALSE,"RACT1.XLS";#N/A,#N/A,FALSE,"RACT2.XLS";#N/A,#N/A,FALSE,"ECCMP";#N/A,#N/A,FALSE,"WELDER.XLS"}</definedName>
    <definedName name="SDFSFSF" localSheetId="11" hidden="1">{#N/A,#N/A,FALSE,"COVER.XLS";#N/A,#N/A,FALSE,"RACT1.XLS";#N/A,#N/A,FALSE,"RACT2.XLS";#N/A,#N/A,FALSE,"ECCMP";#N/A,#N/A,FALSE,"WELDER.XLS"}</definedName>
    <definedName name="SDFSFSF" hidden="1">{#N/A,#N/A,FALSE,"COVER.XLS";#N/A,#N/A,FALSE,"RACT1.XLS";#N/A,#N/A,FALSE,"RACT2.XLS";#N/A,#N/A,FALSE,"ECCMP";#N/A,#N/A,FALSE,"WELDER.XLS"}</definedName>
    <definedName name="SDKJBJASJAS" localSheetId="12" hidden="1">{#N/A,#N/A,TRUE,"Summary - 1";#N/A,#N/A,TRUE,"Summary - 2";#N/A,#N/A,TRUE,"Group Analysis";#N/A,#N/A,TRUE,"FM Analysis";#N/A,#N/A,TRUE,"T&amp;M-Onsite";#N/A,#N/A,TRUE,"FP-Onsite";#N/A,#N/A,TRUE,"NB-Onsite";#N/A,#N/A,TRUE,"T&amp;M-Offshore";#N/A,#N/A,TRUE,"FP-Offshore";#N/A,#N/A,TRUE,"Appendix-A";#N/A,#N/A,TRUE,"Appendix-B"}</definedName>
    <definedName name="SDKJBJASJAS" localSheetId="11" hidden="1">{#N/A,#N/A,TRUE,"Summary - 1";#N/A,#N/A,TRUE,"Summary - 2";#N/A,#N/A,TRUE,"Group Analysis";#N/A,#N/A,TRUE,"FM Analysis";#N/A,#N/A,TRUE,"T&amp;M-Onsite";#N/A,#N/A,TRUE,"FP-Onsite";#N/A,#N/A,TRUE,"NB-Onsite";#N/A,#N/A,TRUE,"T&amp;M-Offshore";#N/A,#N/A,TRUE,"FP-Offshore";#N/A,#N/A,TRUE,"Appendix-A";#N/A,#N/A,TRUE,"Appendix-B"}</definedName>
    <definedName name="SDKJBJASJAS" hidden="1">{#N/A,#N/A,TRUE,"Summary - 1";#N/A,#N/A,TRUE,"Summary - 2";#N/A,#N/A,TRUE,"Group Analysis";#N/A,#N/A,TRUE,"FM Analysis";#N/A,#N/A,TRUE,"T&amp;M-Onsite";#N/A,#N/A,TRUE,"FP-Onsite";#N/A,#N/A,TRUE,"NB-Onsite";#N/A,#N/A,TRUE,"T&amp;M-Offshore";#N/A,#N/A,TRUE,"FP-Offshore";#N/A,#N/A,TRUE,"Appendix-A";#N/A,#N/A,TRUE,"Appendix-B"}</definedName>
    <definedName name="sdsd"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sdsd"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sdsd"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sdsd"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sdsd"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sdsdsd"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sdsdsd"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sdsdsd"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sdsdsd"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sdsdsd"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sencount" hidden="1">1</definedName>
    <definedName name="SEP" localSheetId="12">#REF!</definedName>
    <definedName name="SEP" localSheetId="26">#REF!</definedName>
    <definedName name="SEP" localSheetId="11">#REF!</definedName>
    <definedName name="SEP" localSheetId="20">#REF!</definedName>
    <definedName name="SEP">#REF!</definedName>
    <definedName name="sew" localSheetId="12">[39]SEWING!#REF!</definedName>
    <definedName name="sew" localSheetId="26">[39]SEWING!#REF!</definedName>
    <definedName name="sew" localSheetId="11">[39]SEWING!#REF!</definedName>
    <definedName name="sew" localSheetId="20">[39]SEWING!#REF!</definedName>
    <definedName name="sew">[39]SEWING!#REF!</definedName>
    <definedName name="sf" localSheetId="1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sf" localSheetId="11"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sf"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SFDGSFG"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FS"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FG" localSheetId="12" hidden="1">{#N/A,#N/A,FALSE,"COVER1.XLS ";#N/A,#N/A,FALSE,"RACT1.XLS";#N/A,#N/A,FALSE,"RACT2.XLS";#N/A,#N/A,FALSE,"ECCMP";#N/A,#N/A,FALSE,"WELDER.XLS"}</definedName>
    <definedName name="SFGSFG" localSheetId="11" hidden="1">{#N/A,#N/A,FALSE,"COVER1.XLS ";#N/A,#N/A,FALSE,"RACT1.XLS";#N/A,#N/A,FALSE,"RACT2.XLS";#N/A,#N/A,FALSE,"ECCMP";#N/A,#N/A,FALSE,"WELDER.XLS"}</definedName>
    <definedName name="SFGSFG" hidden="1">{#N/A,#N/A,FALSE,"COVER1.XLS ";#N/A,#N/A,FALSE,"RACT1.XLS";#N/A,#N/A,FALSE,"RACT2.XLS";#N/A,#N/A,FALSE,"ECCMP";#N/A,#N/A,FALSE,"WELDER.XLS"}</definedName>
    <definedName name="SFGSFGS" localSheetId="12" hidden="1">{#N/A,#N/A,FALSE,"COVER1.XLS ";#N/A,#N/A,FALSE,"RACT1.XLS";#N/A,#N/A,FALSE,"RACT2.XLS";#N/A,#N/A,FALSE,"ECCMP";#N/A,#N/A,FALSE,"WELDER.XLS"}</definedName>
    <definedName name="SFGSFGS" localSheetId="11" hidden="1">{#N/A,#N/A,FALSE,"COVER1.XLS ";#N/A,#N/A,FALSE,"RACT1.XLS";#N/A,#N/A,FALSE,"RACT2.XLS";#N/A,#N/A,FALSE,"ECCMP";#N/A,#N/A,FALSE,"WELDER.XLS"}</definedName>
    <definedName name="SFGSFGS" hidden="1">{#N/A,#N/A,FALSE,"COVER1.XLS ";#N/A,#N/A,FALSE,"RACT1.XLS";#N/A,#N/A,FALSE,"RACT2.XLS";#N/A,#N/A,FALSE,"ECCMP";#N/A,#N/A,FALSE,"WELDER.XLS"}</definedName>
    <definedName name="SFGSFGSFGSG" localSheetId="12" hidden="1">{#N/A,#N/A,FALSE,"COVER.XLS";#N/A,#N/A,FALSE,"RACT1.XLS";#N/A,#N/A,FALSE,"RACT2.XLS";#N/A,#N/A,FALSE,"ECCMP";#N/A,#N/A,FALSE,"WELDER.XLS"}</definedName>
    <definedName name="SFGSFGSFGSG" localSheetId="11" hidden="1">{#N/A,#N/A,FALSE,"COVER.XLS";#N/A,#N/A,FALSE,"RACT1.XLS";#N/A,#N/A,FALSE,"RACT2.XLS";#N/A,#N/A,FALSE,"ECCMP";#N/A,#N/A,FALSE,"WELDER.XLS"}</definedName>
    <definedName name="SFGSFGSFGSG" hidden="1">{#N/A,#N/A,FALSE,"COVER.XLS";#N/A,#N/A,FALSE,"RACT1.XLS";#N/A,#N/A,FALSE,"RACT2.XLS";#N/A,#N/A,FALSE,"ECCMP";#N/A,#N/A,FALSE,"WELDER.XLS"}</definedName>
    <definedName name="SFGSFGSG" localSheetId="12" hidden="1">{#N/A,#N/A,FALSE,"COVER.XLS";#N/A,#N/A,FALSE,"RACT1.XLS";#N/A,#N/A,FALSE,"RACT2.XLS";#N/A,#N/A,FALSE,"ECCMP";#N/A,#N/A,FALSE,"WELDER.XLS"}</definedName>
    <definedName name="SFGSFGSG" localSheetId="11" hidden="1">{#N/A,#N/A,FALSE,"COVER.XLS";#N/A,#N/A,FALSE,"RACT1.XLS";#N/A,#N/A,FALSE,"RACT2.XLS";#N/A,#N/A,FALSE,"ECCMP";#N/A,#N/A,FALSE,"WELDER.XLS"}</definedName>
    <definedName name="SFGSFGSG" hidden="1">{#N/A,#N/A,FALSE,"COVER.XLS";#N/A,#N/A,FALSE,"RACT1.XLS";#N/A,#N/A,FALSE,"RACT2.XLS";#N/A,#N/A,FALSE,"ECCMP";#N/A,#N/A,FALSE,"WELDER.XLS"}</definedName>
    <definedName name="SFGSFGSGS"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FGSF" localSheetId="12" hidden="1">{#N/A,#N/A,FALSE,"COVER1.XLS ";#N/A,#N/A,FALSE,"RACT1.XLS";#N/A,#N/A,FALSE,"RACT2.XLS";#N/A,#N/A,FALSE,"ECCMP";#N/A,#N/A,FALSE,"WELDER.XLS"}</definedName>
    <definedName name="SFGSFGSGSFGSF" localSheetId="11" hidden="1">{#N/A,#N/A,FALSE,"COVER1.XLS ";#N/A,#N/A,FALSE,"RACT1.XLS";#N/A,#N/A,FALSE,"RACT2.XLS";#N/A,#N/A,FALSE,"ECCMP";#N/A,#N/A,FALSE,"WELDER.XLS"}</definedName>
    <definedName name="SFGSFGSGSFGSF" hidden="1">{#N/A,#N/A,FALSE,"COVER1.XLS ";#N/A,#N/A,FALSE,"RACT1.XLS";#N/A,#N/A,FALSE,"RACT2.XLS";#N/A,#N/A,FALSE,"ECCMP";#N/A,#N/A,FALSE,"WELDER.XLS"}</definedName>
    <definedName name="SFGSFSFG" localSheetId="12" hidden="1">{#N/A,#N/A,FALSE,"COVER1.XLS ";#N/A,#N/A,FALSE,"RACT1.XLS";#N/A,#N/A,FALSE,"RACT2.XLS";#N/A,#N/A,FALSE,"ECCMP";#N/A,#N/A,FALSE,"WELDER.XLS"}</definedName>
    <definedName name="SFGSFSFG" localSheetId="11" hidden="1">{#N/A,#N/A,FALSE,"COVER1.XLS ";#N/A,#N/A,FALSE,"RACT1.XLS";#N/A,#N/A,FALSE,"RACT2.XLS";#N/A,#N/A,FALSE,"ECCMP";#N/A,#N/A,FALSE,"WELDER.XLS"}</definedName>
    <definedName name="SFGSFSFG" hidden="1">{#N/A,#N/A,FALSE,"COVER1.XLS ";#N/A,#N/A,FALSE,"RACT1.XLS";#N/A,#N/A,FALSE,"RACT2.XLS";#N/A,#N/A,FALSE,"ECCMP";#N/A,#N/A,FALSE,"WELDER.XLS"}</definedName>
    <definedName name="SFGSG"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S" localSheetId="12" hidden="1">{#N/A,#N/A,FALSE,"COVER1.XLS ";#N/A,#N/A,FALSE,"RACT1.XLS";#N/A,#N/A,FALSE,"RACT2.XLS";#N/A,#N/A,FALSE,"ECCMP";#N/A,#N/A,FALSE,"WELDER.XLS"}</definedName>
    <definedName name="SFGSS" localSheetId="11" hidden="1">{#N/A,#N/A,FALSE,"COVER1.XLS ";#N/A,#N/A,FALSE,"RACT1.XLS";#N/A,#N/A,FALSE,"RACT2.XLS";#N/A,#N/A,FALSE,"ECCMP";#N/A,#N/A,FALSE,"WELDER.XLS"}</definedName>
    <definedName name="SFGSS" hidden="1">{#N/A,#N/A,FALSE,"COVER1.XLS ";#N/A,#N/A,FALSE,"RACT1.XLS";#N/A,#N/A,FALSE,"RACT2.XLS";#N/A,#N/A,FALSE,"ECCMP";#N/A,#N/A,FALSE,"WELDER.XLS"}</definedName>
    <definedName name="SFGSSFG" localSheetId="12" hidden="1">{#N/A,#N/A,FALSE,"COVER.XLS";#N/A,#N/A,FALSE,"RACT1.XLS";#N/A,#N/A,FALSE,"RACT2.XLS";#N/A,#N/A,FALSE,"ECCMP";#N/A,#N/A,FALSE,"WELDER.XLS"}</definedName>
    <definedName name="SFGSSFG" localSheetId="11" hidden="1">{#N/A,#N/A,FALSE,"COVER.XLS";#N/A,#N/A,FALSE,"RACT1.XLS";#N/A,#N/A,FALSE,"RACT2.XLS";#N/A,#N/A,FALSE,"ECCMP";#N/A,#N/A,FALSE,"WELDER.XLS"}</definedName>
    <definedName name="SFGSSFG" hidden="1">{#N/A,#N/A,FALSE,"COVER.XLS";#N/A,#N/A,FALSE,"RACT1.XLS";#N/A,#N/A,FALSE,"RACT2.XLS";#N/A,#N/A,FALSE,"ECCMP";#N/A,#N/A,FALSE,"WELDER.XLS"}</definedName>
    <definedName name="SFSFFS" localSheetId="12" hidden="1">{#N/A,#N/A,FALSE,"COVER.XLS";#N/A,#N/A,FALSE,"RACT1.XLS";#N/A,#N/A,FALSE,"RACT2.XLS";#N/A,#N/A,FALSE,"ECCMP";#N/A,#N/A,FALSE,"WELDER.XLS"}</definedName>
    <definedName name="SFSFFS" localSheetId="11" hidden="1">{#N/A,#N/A,FALSE,"COVER.XLS";#N/A,#N/A,FALSE,"RACT1.XLS";#N/A,#N/A,FALSE,"RACT2.XLS";#N/A,#N/A,FALSE,"ECCMP";#N/A,#N/A,FALSE,"WELDER.XLS"}</definedName>
    <definedName name="SFSFFS" hidden="1">{#N/A,#N/A,FALSE,"COVER.XLS";#N/A,#N/A,FALSE,"RACT1.XLS";#N/A,#N/A,FALSE,"RACT2.XLS";#N/A,#N/A,FALSE,"ECCMP";#N/A,#N/A,FALSE,"WELDER.XLS"}</definedName>
    <definedName name="SGSGSGS"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hadewise_sales">'[54]Shadewise Sales'!$K$4:$Y$106</definedName>
    <definedName name="short" localSheetId="12" hidden="1">{#N/A,#N/A,FALSE,"COVER1.XLS ";#N/A,#N/A,FALSE,"RACT1.XLS";#N/A,#N/A,FALSE,"RACT2.XLS";#N/A,#N/A,FALSE,"ECCMP";#N/A,#N/A,FALSE,"WELDER.XLS"}</definedName>
    <definedName name="short" localSheetId="11" hidden="1">{#N/A,#N/A,FALSE,"COVER1.XLS ";#N/A,#N/A,FALSE,"RACT1.XLS";#N/A,#N/A,FALSE,"RACT2.XLS";#N/A,#N/A,FALSE,"ECCMP";#N/A,#N/A,FALSE,"WELDER.XLS"}</definedName>
    <definedName name="short" hidden="1">{#N/A,#N/A,FALSE,"COVER1.XLS ";#N/A,#N/A,FALSE,"RACT1.XLS";#N/A,#N/A,FALSE,"RACT2.XLS";#N/A,#N/A,FALSE,"ECCMP";#N/A,#N/A,FALSE,"WELDER.XLS"}</definedName>
    <definedName name="solver_adj" localSheetId="12" hidden="1">'[55]G&amp;A'!#REF!</definedName>
    <definedName name="solver_adj" localSheetId="19" hidden="1">'[56]G&amp;A'!#REF!</definedName>
    <definedName name="solver_adj" localSheetId="11" hidden="1">'[56]G&amp;A'!#REF!</definedName>
    <definedName name="solver_adj" localSheetId="32" hidden="1">'[56]G&amp;A'!#REF!</definedName>
    <definedName name="solver_adj" localSheetId="20" hidden="1">'[55]G&amp;A'!#REF!</definedName>
    <definedName name="solver_adj" hidden="1">'[55]G&amp;A'!#REF!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340</definedName>
    <definedName name="sp" localSheetId="12" hidden="1">[57]Manpower_30!#REF!</definedName>
    <definedName name="sp" localSheetId="11" hidden="1">[57]Manpower_30!#REF!</definedName>
    <definedName name="sp" localSheetId="20" hidden="1">[57]Manpower_30!#REF!</definedName>
    <definedName name="sp" hidden="1">[57]Manpower_30!#REF!</definedName>
    <definedName name="SpecialPrice" localSheetId="12" hidden="1">#REF!</definedName>
    <definedName name="SpecialPrice" localSheetId="11" hidden="1">#REF!</definedName>
    <definedName name="SpecialPrice" localSheetId="20" hidden="1">#REF!</definedName>
    <definedName name="SpecialPrice" hidden="1">#REF!</definedName>
    <definedName name="ss" localSheetId="12" hidden="1">{#N/A,#N/A,FALSE,"COVER.XLS";#N/A,#N/A,FALSE,"RACT1.XLS";#N/A,#N/A,FALSE,"RACT2.XLS";#N/A,#N/A,FALSE,"ECCMP";#N/A,#N/A,FALSE,"WELDER.XLS"}</definedName>
    <definedName name="SS" localSheetId="19" hidden="1">{TRUE,TRUE,7.75,2.5,467.25,234,FALSE,TRUE,TRUE,TRUE,0,32,#N/A,69,#N/A,4.55555555555556,9.21428571428571,1,FALSE,FALSE,1,TRUE,1,FALSE,100,"Swvu.TOTAL.","ACwvu.TOTAL.",#N/A,FALSE,FALSE,0.5,0.75,0.5,0.5,2,"","",TRUE,TRUE,FALSE,FALSE,1,#N/A,1,1,"=R2C1:R75C2",FALSE,"Rwvu.TOTAL.",#N/A,FALSE,FALSE,FALSE,8,180,180,FALSE,FALSE,TRUE,TRUE,TRUE}</definedName>
    <definedName name="SS" localSheetId="11" hidden="1">{TRUE,TRUE,7.75,2.5,467.25,234,FALSE,TRUE,TRUE,TRUE,0,32,#N/A,69,#N/A,4.55555555555556,9.21428571428571,1,FALSE,FALSE,1,TRUE,1,FALSE,100,"Swvu.TOTAL.","ACwvu.TOTAL.",#N/A,FALSE,FALSE,0.5,0.75,0.5,0.5,2,"","",TRUE,TRUE,FALSE,FALSE,1,#N/A,1,1,"=R2C1:R75C2",FALSE,"Rwvu.TOTAL.",#N/A,FALSE,FALSE,FALSE,8,180,180,FALSE,FALSE,TRUE,TRUE,TRUE}</definedName>
    <definedName name="SS" localSheetId="32" hidden="1">{TRUE,TRUE,7.75,2.5,467.25,234,FALSE,TRUE,TRUE,TRUE,0,32,#N/A,69,#N/A,4.55555555555556,9.21428571428571,1,FALSE,FALSE,1,TRUE,1,FALSE,100,"Swvu.TOTAL.","ACwvu.TOTAL.",#N/A,FALSE,FALSE,0.5,0.75,0.5,0.5,2,"","",TRUE,TRUE,FALSE,FALSE,1,#N/A,1,1,"=R2C1:R75C2",FALSE,"Rwvu.TOTAL.",#N/A,FALSE,FALSE,FALSE,8,180,180,FALSE,FALSE,TRUE,TRUE,TRUE}</definedName>
    <definedName name="ss" hidden="1">{#N/A,#N/A,FALSE,"COVER.XLS";#N/A,#N/A,FALSE,"RACT1.XLS";#N/A,#N/A,FALSE,"RACT2.XLS";#N/A,#N/A,FALSE,"ECCMP";#N/A,#N/A,FALSE,"WELDER.XLS"}</definedName>
    <definedName name="SSFGSFG" localSheetId="12" hidden="1">{#N/A,#N/A,FALSE,"COVER.XLS";#N/A,#N/A,FALSE,"RACT1.XLS";#N/A,#N/A,FALSE,"RACT2.XLS";#N/A,#N/A,FALSE,"ECCMP";#N/A,#N/A,FALSE,"WELDER.XLS"}</definedName>
    <definedName name="SSFGSFG" localSheetId="11" hidden="1">{#N/A,#N/A,FALSE,"COVER.XLS";#N/A,#N/A,FALSE,"RACT1.XLS";#N/A,#N/A,FALSE,"RACT2.XLS";#N/A,#N/A,FALSE,"ECCMP";#N/A,#N/A,FALSE,"WELDER.XLS"}</definedName>
    <definedName name="SSFGSFG" hidden="1">{#N/A,#N/A,FALSE,"COVER.XLS";#N/A,#N/A,FALSE,"RACT1.XLS";#N/A,#N/A,FALSE,"RACT2.XLS";#N/A,#N/A,FALSE,"ECCMP";#N/A,#N/A,FALSE,"WELDER.XLS"}</definedName>
    <definedName name="SSSDFGSD" localSheetId="12" hidden="1">{#N/A,#N/A,FALSE,"COVER1.XLS ";#N/A,#N/A,FALSE,"RACT1.XLS";#N/A,#N/A,FALSE,"RACT2.XLS";#N/A,#N/A,FALSE,"ECCMP";#N/A,#N/A,FALSE,"WELDER.XLS"}</definedName>
    <definedName name="SSSDFGSD" localSheetId="11" hidden="1">{#N/A,#N/A,FALSE,"COVER1.XLS ";#N/A,#N/A,FALSE,"RACT1.XLS";#N/A,#N/A,FALSE,"RACT2.XLS";#N/A,#N/A,FALSE,"ECCMP";#N/A,#N/A,FALSE,"WELDER.XLS"}</definedName>
    <definedName name="SSSDFGSD" hidden="1">{#N/A,#N/A,FALSE,"COVER1.XLS ";#N/A,#N/A,FALSE,"RACT1.XLS";#N/A,#N/A,FALSE,"RACT2.XLS";#N/A,#N/A,FALSE,"ECCMP";#N/A,#N/A,FALSE,"WELDER.XLS"}</definedName>
    <definedName name="SSSDFGSG" localSheetId="1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localSheetId="1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SD" localSheetId="12" hidden="1">{#N/A,#N/A,FALSE,"COVER1.XLS ";#N/A,#N/A,FALSE,"RACT1.XLS";#N/A,#N/A,FALSE,"RACT2.XLS";#N/A,#N/A,FALSE,"ECCMP";#N/A,#N/A,FALSE,"WELDER.XLS"}</definedName>
    <definedName name="SSSSD" localSheetId="11" hidden="1">{#N/A,#N/A,FALSE,"COVER1.XLS ";#N/A,#N/A,FALSE,"RACT1.XLS";#N/A,#N/A,FALSE,"RACT2.XLS";#N/A,#N/A,FALSE,"ECCMP";#N/A,#N/A,FALSE,"WELDER.XLS"}</definedName>
    <definedName name="SSSSD" hidden="1">{#N/A,#N/A,FALSE,"COVER1.XLS ";#N/A,#N/A,FALSE,"RACT1.XLS";#N/A,#N/A,FALSE,"RACT2.XLS";#N/A,#N/A,FALSE,"ECCMP";#N/A,#N/A,FALSE,"WELDER.XLS"}</definedName>
    <definedName name="SSSSS" localSheetId="12" hidden="1">{#N/A,#N/A,TRUE,"Cover sheet";#N/A,#N/A,TRUE,"Summary";#N/A,#N/A,TRUE,"Key Assumptions";#N/A,#N/A,TRUE,"Profit &amp; Loss";#N/A,#N/A,TRUE,"Balance Sheet";#N/A,#N/A,TRUE,"Cashflow";#N/A,#N/A,TRUE,"IRR";#N/A,#N/A,TRUE,"Ratios";#N/A,#N/A,TRUE,"Debt analysis"}</definedName>
    <definedName name="SSSSS" localSheetId="19" hidden="1">{#N/A,#N/A,TRUE,"Cover sheet";#N/A,#N/A,TRUE,"Summary";#N/A,#N/A,TRUE,"Key Assumptions";#N/A,#N/A,TRUE,"Profit &amp; Loss";#N/A,#N/A,TRUE,"Balance Sheet";#N/A,#N/A,TRUE,"Cashflow";#N/A,#N/A,TRUE,"IRR";#N/A,#N/A,TRUE,"Ratios";#N/A,#N/A,TRUE,"Debt analysis"}</definedName>
    <definedName name="SSSSS" localSheetId="11" hidden="1">{#N/A,#N/A,TRUE,"Cover sheet";#N/A,#N/A,TRUE,"Summary";#N/A,#N/A,TRUE,"Key Assumptions";#N/A,#N/A,TRUE,"Profit &amp; Loss";#N/A,#N/A,TRUE,"Balance Sheet";#N/A,#N/A,TRUE,"Cashflow";#N/A,#N/A,TRUE,"IRR";#N/A,#N/A,TRUE,"Ratios";#N/A,#N/A,TRUE,"Debt analysis"}</definedName>
    <definedName name="SSSSS" localSheetId="32" hidden="1">{#N/A,#N/A,TRUE,"Cover sheet";#N/A,#N/A,TRUE,"Summary";#N/A,#N/A,TRUE,"Key Assumptions";#N/A,#N/A,TRUE,"Profit &amp; Loss";#N/A,#N/A,TRUE,"Balance Sheet";#N/A,#N/A,TRUE,"Cashflow";#N/A,#N/A,TRUE,"IRR";#N/A,#N/A,TRUE,"Ratios";#N/A,#N/A,TRUE,"Debt analysis"}</definedName>
    <definedName name="SSSSS" hidden="1">{#N/A,#N/A,TRUE,"Cover sheet";#N/A,#N/A,TRUE,"Summary";#N/A,#N/A,TRUE,"Key Assumptions";#N/A,#N/A,TRUE,"Profit &amp; Loss";#N/A,#N/A,TRUE,"Balance Sheet";#N/A,#N/A,TRUE,"Cashflow";#N/A,#N/A,TRUE,"IRR";#N/A,#N/A,TRUE,"Ratios";#N/A,#N/A,TRUE,"Debt analysis"}</definedName>
    <definedName name="SSSSSSSSSSSSSSS" localSheetId="12" hidden="1">{#N/A,#N/A,FALSE,"17MAY";#N/A,#N/A,FALSE,"24MAY"}</definedName>
    <definedName name="SSSSSSSSSSSSSSS" localSheetId="11" hidden="1">{#N/A,#N/A,FALSE,"17MAY";#N/A,#N/A,FALSE,"24MAY"}</definedName>
    <definedName name="SSSSSSSSSSSSSSS" hidden="1">{#N/A,#N/A,FALSE,"17MAY";#N/A,#N/A,FALSE,"24MAY"}</definedName>
    <definedName name="SSSSSSSSSSSSSSSSSSS" localSheetId="12" hidden="1">{#N/A,#N/A,FALSE,"consu_cover";#N/A,#N/A,FALSE,"consu_strategy";#N/A,#N/A,FALSE,"consu_flow";#N/A,#N/A,FALSE,"Summary_reqmt";#N/A,#N/A,FALSE,"field_ppg";#N/A,#N/A,FALSE,"ppg_shop";#N/A,#N/A,FALSE,"strl";#N/A,#N/A,FALSE,"tankages";#N/A,#N/A,FALSE,"gases"}</definedName>
    <definedName name="SSSSSSSSSSSSSSSSSSS" localSheetId="11" hidden="1">{#N/A,#N/A,FALSE,"consu_cover";#N/A,#N/A,FALSE,"consu_strategy";#N/A,#N/A,FALSE,"consu_flow";#N/A,#N/A,FALSE,"Summary_reqmt";#N/A,#N/A,FALSE,"field_ppg";#N/A,#N/A,FALSE,"ppg_shop";#N/A,#N/A,FALSE,"strl";#N/A,#N/A,FALSE,"tankages";#N/A,#N/A,FALSE,"gases"}</definedName>
    <definedName name="SSSSSSSSSSSSSSSSSSS" hidden="1">{#N/A,#N/A,FALSE,"consu_cover";#N/A,#N/A,FALSE,"consu_strategy";#N/A,#N/A,FALSE,"consu_flow";#N/A,#N/A,FALSE,"Summary_reqmt";#N/A,#N/A,FALSE,"field_ppg";#N/A,#N/A,FALSE,"ppg_shop";#N/A,#N/A,FALSE,"strl";#N/A,#N/A,FALSE,"tankages";#N/A,#N/A,FALSE,"gases"}</definedName>
    <definedName name="StDebtDmy" hidden="1">#N/A</definedName>
    <definedName name="ste" localSheetId="12" hidden="1">{"'Stock'!$A$1:$M$34","'Consumption'!$A$1:$N$35"}</definedName>
    <definedName name="ste" localSheetId="19" hidden="1">{"'Stock'!$A$1:$M$34","'Consumption'!$A$1:$N$35"}</definedName>
    <definedName name="ste" localSheetId="26" hidden="1">{"'Stock'!$A$1:$M$34","'Consumption'!$A$1:$N$35"}</definedName>
    <definedName name="ste" localSheetId="11" hidden="1">{"'Stock'!$A$1:$M$34","'Consumption'!$A$1:$N$35"}</definedName>
    <definedName name="ste" localSheetId="32" hidden="1">{"'Stock'!$A$1:$M$34","'Consumption'!$A$1:$N$35"}</definedName>
    <definedName name="ste" hidden="1">{"'Stock'!$A$1:$M$34","'Consumption'!$A$1:$N$35"}</definedName>
    <definedName name="stef" localSheetId="12" hidden="1">{#N/A,#N/A,TRUE,"Cover sheet";#N/A,#N/A,TRUE,"Summary";#N/A,#N/A,TRUE,"Key Assumptions";#N/A,#N/A,TRUE,"Profit &amp; Loss";#N/A,#N/A,TRUE,"Balance Sheet";#N/A,#N/A,TRUE,"Cashflow";#N/A,#N/A,TRUE,"IRR";#N/A,#N/A,TRUE,"Ratios";#N/A,#N/A,TRUE,"Debt analysis"}</definedName>
    <definedName name="stef" localSheetId="19" hidden="1">{#N/A,#N/A,TRUE,"Cover sheet";#N/A,#N/A,TRUE,"Summary";#N/A,#N/A,TRUE,"Key Assumptions";#N/A,#N/A,TRUE,"Profit &amp; Loss";#N/A,#N/A,TRUE,"Balance Sheet";#N/A,#N/A,TRUE,"Cashflow";#N/A,#N/A,TRUE,"IRR";#N/A,#N/A,TRUE,"Ratios";#N/A,#N/A,TRUE,"Debt analysis"}</definedName>
    <definedName name="stef" localSheetId="11" hidden="1">{#N/A,#N/A,TRUE,"Cover sheet";#N/A,#N/A,TRUE,"Summary";#N/A,#N/A,TRUE,"Key Assumptions";#N/A,#N/A,TRUE,"Profit &amp; Loss";#N/A,#N/A,TRUE,"Balance Sheet";#N/A,#N/A,TRUE,"Cashflow";#N/A,#N/A,TRUE,"IRR";#N/A,#N/A,TRUE,"Ratios";#N/A,#N/A,TRUE,"Debt analysis"}</definedName>
    <definedName name="stef" localSheetId="32" hidden="1">{#N/A,#N/A,TRUE,"Cover sheet";#N/A,#N/A,TRUE,"Summary";#N/A,#N/A,TRUE,"Key Assumptions";#N/A,#N/A,TRUE,"Profit &amp; Loss";#N/A,#N/A,TRUE,"Balance Sheet";#N/A,#N/A,TRUE,"Cashflow";#N/A,#N/A,TRUE,"IRR";#N/A,#N/A,TRUE,"Ratios";#N/A,#N/A,TRUE,"Debt analysis"}</definedName>
    <definedName name="stef" hidden="1">{#N/A,#N/A,TRUE,"Cover sheet";#N/A,#N/A,TRUE,"Summary";#N/A,#N/A,TRUE,"Key Assumptions";#N/A,#N/A,TRUE,"Profit &amp; Loss";#N/A,#N/A,TRUE,"Balance Sheet";#N/A,#N/A,TRUE,"Cashflow";#N/A,#N/A,TRUE,"IRR";#N/A,#N/A,TRUE,"Ratios";#N/A,#N/A,TRUE,"Debt analysis"}</definedName>
    <definedName name="SUMM" localSheetId="12">#REF!</definedName>
    <definedName name="SUMM" localSheetId="26">#REF!</definedName>
    <definedName name="SUMM" localSheetId="11">#REF!</definedName>
    <definedName name="SUMM" localSheetId="20">#REF!</definedName>
    <definedName name="SUMM">#REF!</definedName>
    <definedName name="swami"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swami"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swami"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swami"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swami"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swami"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TA" localSheetId="12">#REF!</definedName>
    <definedName name="TA" localSheetId="26">#REF!</definedName>
    <definedName name="TA" localSheetId="11">#REF!</definedName>
    <definedName name="TA" localSheetId="20">#REF!</definedName>
    <definedName name="TA">#REF!</definedName>
    <definedName name="TAX" localSheetId="12">#REF!</definedName>
    <definedName name="TAX" localSheetId="26">#REF!</definedName>
    <definedName name="TAX" localSheetId="11">#REF!</definedName>
    <definedName name="TAX" localSheetId="20">#REF!</definedName>
    <definedName name="TAX">#REF!</definedName>
    <definedName name="taxdepr" localSheetId="12">#REF!</definedName>
    <definedName name="taxdepr" localSheetId="26">#REF!</definedName>
    <definedName name="taxdepr" localSheetId="11">#REF!</definedName>
    <definedName name="taxdepr" localSheetId="20">#REF!</definedName>
    <definedName name="taxdepr">#REF!</definedName>
    <definedName name="taxliab" localSheetId="12">#REF!</definedName>
    <definedName name="taxliab" localSheetId="26">#REF!</definedName>
    <definedName name="taxliab" localSheetId="11">#REF!</definedName>
    <definedName name="taxliab" localSheetId="20">#REF!</definedName>
    <definedName name="taxliab">#REF!</definedName>
    <definedName name="tbl_ProdInfo" localSheetId="12" hidden="1">#REF!</definedName>
    <definedName name="tbl_ProdInfo" localSheetId="11" hidden="1">#REF!</definedName>
    <definedName name="tbl_ProdInfo" localSheetId="20" hidden="1">#REF!</definedName>
    <definedName name="tbl_ProdInfo" hidden="1">#REF!</definedName>
    <definedName name="TBTable">'[32]TB-Bud'!$A$11:$Y$133</definedName>
    <definedName name="TDS" localSheetId="12">#REF!</definedName>
    <definedName name="TDS" localSheetId="26">#REF!</definedName>
    <definedName name="TDS" localSheetId="11">#REF!</definedName>
    <definedName name="TDS" localSheetId="20">#REF!</definedName>
    <definedName name="TDS">#REF!</definedName>
    <definedName name="TERRYTOWEL">[8]Input_B_V!$A$25</definedName>
    <definedName name="TEST0" localSheetId="12">#REF!</definedName>
    <definedName name="TEST0" localSheetId="26">#REF!</definedName>
    <definedName name="TEST0" localSheetId="11">#REF!</definedName>
    <definedName name="TEST0" localSheetId="20">#REF!</definedName>
    <definedName name="TEST0">#REF!</definedName>
    <definedName name="TEST1" localSheetId="12">#REF!</definedName>
    <definedName name="TEST1" localSheetId="26">#REF!</definedName>
    <definedName name="TEST1" localSheetId="11">#REF!</definedName>
    <definedName name="TEST1" localSheetId="20">#REF!</definedName>
    <definedName name="TEST1">#REF!</definedName>
    <definedName name="TEST10" localSheetId="12">'[58]All Loc'!#REF!</definedName>
    <definedName name="TEST10" localSheetId="26">'[58]All Loc'!#REF!</definedName>
    <definedName name="TEST10" localSheetId="11">'[58]All Loc'!#REF!</definedName>
    <definedName name="TEST10" localSheetId="20">'[58]All Loc'!#REF!</definedName>
    <definedName name="TEST10">'[58]All Loc'!#REF!</definedName>
    <definedName name="TEST11" localSheetId="12">#REF!</definedName>
    <definedName name="TEST11" localSheetId="26">#REF!</definedName>
    <definedName name="TEST11" localSheetId="11">#REF!</definedName>
    <definedName name="TEST11" localSheetId="20">#REF!</definedName>
    <definedName name="TEST11">#REF!</definedName>
    <definedName name="TEST12" localSheetId="12">'[58]All Loc'!#REF!</definedName>
    <definedName name="TEST12" localSheetId="26">'[58]All Loc'!#REF!</definedName>
    <definedName name="TEST12" localSheetId="11">'[58]All Loc'!#REF!</definedName>
    <definedName name="TEST12" localSheetId="20">'[58]All Loc'!#REF!</definedName>
    <definedName name="TEST12">'[58]All Loc'!#REF!</definedName>
    <definedName name="TEST13" localSheetId="12">[59]Sheet1!#REF!</definedName>
    <definedName name="TEST13" localSheetId="26">[59]Sheet1!#REF!</definedName>
    <definedName name="TEST13" localSheetId="11">[59]Sheet1!#REF!</definedName>
    <definedName name="TEST13" localSheetId="20">[59]Sheet1!#REF!</definedName>
    <definedName name="TEST13">[59]Sheet1!#REF!</definedName>
    <definedName name="TEST14" localSheetId="12">#REF!</definedName>
    <definedName name="TEST14" localSheetId="26">#REF!</definedName>
    <definedName name="TEST14" localSheetId="11">#REF!</definedName>
    <definedName name="TEST14" localSheetId="20">#REF!</definedName>
    <definedName name="TEST14">#REF!</definedName>
    <definedName name="TEST15" localSheetId="12">#REF!</definedName>
    <definedName name="TEST15" localSheetId="26">#REF!</definedName>
    <definedName name="TEST15" localSheetId="11">#REF!</definedName>
    <definedName name="TEST15" localSheetId="20">#REF!</definedName>
    <definedName name="TEST15">#REF!</definedName>
    <definedName name="TEST16" localSheetId="12">#REF!</definedName>
    <definedName name="TEST16" localSheetId="26">#REF!</definedName>
    <definedName name="TEST16" localSheetId="11">#REF!</definedName>
    <definedName name="TEST16" localSheetId="20">#REF!</definedName>
    <definedName name="TEST16">#REF!</definedName>
    <definedName name="TEST17" localSheetId="12">#REF!</definedName>
    <definedName name="TEST17" localSheetId="26">#REF!</definedName>
    <definedName name="TEST17" localSheetId="11">#REF!</definedName>
    <definedName name="TEST17" localSheetId="20">#REF!</definedName>
    <definedName name="TEST17">#REF!</definedName>
    <definedName name="TEST18" localSheetId="12">#REF!</definedName>
    <definedName name="TEST18" localSheetId="26">#REF!</definedName>
    <definedName name="TEST18" localSheetId="11">#REF!</definedName>
    <definedName name="TEST18" localSheetId="20">#REF!</definedName>
    <definedName name="TEST18">#REF!</definedName>
    <definedName name="TEST19" localSheetId="12">#REF!</definedName>
    <definedName name="TEST19" localSheetId="26">#REF!</definedName>
    <definedName name="TEST19" localSheetId="11">#REF!</definedName>
    <definedName name="TEST19" localSheetId="20">#REF!</definedName>
    <definedName name="TEST19">#REF!</definedName>
    <definedName name="TEST2" localSheetId="12">#REF!</definedName>
    <definedName name="TEST2" localSheetId="26">#REF!</definedName>
    <definedName name="TEST2" localSheetId="11">#REF!</definedName>
    <definedName name="TEST2" localSheetId="20">#REF!</definedName>
    <definedName name="TEST2">#REF!</definedName>
    <definedName name="TEST20" localSheetId="12">#REF!</definedName>
    <definedName name="TEST20" localSheetId="26">#REF!</definedName>
    <definedName name="TEST20" localSheetId="11">#REF!</definedName>
    <definedName name="TEST20" localSheetId="20">#REF!</definedName>
    <definedName name="TEST20">#REF!</definedName>
    <definedName name="TEST21" localSheetId="12">#REF!</definedName>
    <definedName name="TEST21" localSheetId="26">#REF!</definedName>
    <definedName name="TEST21" localSheetId="11">#REF!</definedName>
    <definedName name="TEST21" localSheetId="20">#REF!</definedName>
    <definedName name="TEST21">#REF!</definedName>
    <definedName name="TEST22" localSheetId="12">#REF!</definedName>
    <definedName name="TEST22" localSheetId="26">#REF!</definedName>
    <definedName name="TEST22" localSheetId="11">#REF!</definedName>
    <definedName name="TEST22" localSheetId="20">#REF!</definedName>
    <definedName name="TEST22">#REF!</definedName>
    <definedName name="TEST23" localSheetId="12">#REF!</definedName>
    <definedName name="TEST23" localSheetId="26">#REF!</definedName>
    <definedName name="TEST23" localSheetId="11">#REF!</definedName>
    <definedName name="TEST23" localSheetId="20">#REF!</definedName>
    <definedName name="TEST23">#REF!</definedName>
    <definedName name="TEST24" localSheetId="12">'[58]All Loc'!#REF!</definedName>
    <definedName name="TEST24" localSheetId="26">'[58]All Loc'!#REF!</definedName>
    <definedName name="TEST24" localSheetId="11">'[58]All Loc'!#REF!</definedName>
    <definedName name="TEST24" localSheetId="20">'[58]All Loc'!#REF!</definedName>
    <definedName name="TEST24">'[58]All Loc'!#REF!</definedName>
    <definedName name="TEST25" localSheetId="12">#REF!</definedName>
    <definedName name="TEST25" localSheetId="26">#REF!</definedName>
    <definedName name="TEST25" localSheetId="11">#REF!</definedName>
    <definedName name="TEST25" localSheetId="20">#REF!</definedName>
    <definedName name="TEST25">#REF!</definedName>
    <definedName name="TEST26" localSheetId="12">#REF!</definedName>
    <definedName name="TEST26" localSheetId="26">#REF!</definedName>
    <definedName name="TEST26" localSheetId="11">#REF!</definedName>
    <definedName name="TEST26" localSheetId="20">#REF!</definedName>
    <definedName name="TEST26">#REF!</definedName>
    <definedName name="TEST27" localSheetId="12">#REF!</definedName>
    <definedName name="TEST27" localSheetId="26">#REF!</definedName>
    <definedName name="TEST27" localSheetId="11">#REF!</definedName>
    <definedName name="TEST27" localSheetId="20">#REF!</definedName>
    <definedName name="TEST27">#REF!</definedName>
    <definedName name="TEST28" localSheetId="12">#REF!</definedName>
    <definedName name="TEST28" localSheetId="26">#REF!</definedName>
    <definedName name="TEST28" localSheetId="11">#REF!</definedName>
    <definedName name="TEST28" localSheetId="20">#REF!</definedName>
    <definedName name="TEST28">#REF!</definedName>
    <definedName name="TEST29" localSheetId="12">'[58]All Loc'!#REF!</definedName>
    <definedName name="TEST29" localSheetId="26">'[58]All Loc'!#REF!</definedName>
    <definedName name="TEST29" localSheetId="11">'[58]All Loc'!#REF!</definedName>
    <definedName name="TEST29" localSheetId="20">'[58]All Loc'!#REF!</definedName>
    <definedName name="TEST29">'[58]All Loc'!#REF!</definedName>
    <definedName name="TEST3" localSheetId="12">#REF!</definedName>
    <definedName name="TEST3" localSheetId="26">#REF!</definedName>
    <definedName name="TEST3" localSheetId="11">#REF!</definedName>
    <definedName name="TEST3" localSheetId="20">#REF!</definedName>
    <definedName name="TEST3">#REF!</definedName>
    <definedName name="TEST30" localSheetId="12">'[60]Exc 7200Total Stock'!#REF!</definedName>
    <definedName name="TEST30" localSheetId="26">'[60]Exc 7200Total Stock'!#REF!</definedName>
    <definedName name="TEST30" localSheetId="11">'[60]Exc 7200Total Stock'!#REF!</definedName>
    <definedName name="TEST30" localSheetId="20">'[60]Exc 7200Total Stock'!#REF!</definedName>
    <definedName name="TEST30">'[60]Exc 7200Total Stock'!#REF!</definedName>
    <definedName name="TEST31" localSheetId="12">#REF!</definedName>
    <definedName name="TEST31" localSheetId="26">#REF!</definedName>
    <definedName name="TEST31" localSheetId="11">#REF!</definedName>
    <definedName name="TEST31" localSheetId="20">#REF!</definedName>
    <definedName name="TEST31">#REF!</definedName>
    <definedName name="TEST32" localSheetId="12">#REF!</definedName>
    <definedName name="TEST32" localSheetId="26">#REF!</definedName>
    <definedName name="TEST32" localSheetId="11">#REF!</definedName>
    <definedName name="TEST32" localSheetId="20">#REF!</definedName>
    <definedName name="TEST32">#REF!</definedName>
    <definedName name="TEST33" localSheetId="12">#REF!</definedName>
    <definedName name="TEST33" localSheetId="26">#REF!</definedName>
    <definedName name="TEST33" localSheetId="11">#REF!</definedName>
    <definedName name="TEST33" localSheetId="20">#REF!</definedName>
    <definedName name="TEST33">#REF!</definedName>
    <definedName name="TEST34" localSheetId="12">#REF!</definedName>
    <definedName name="TEST34" localSheetId="26">#REF!</definedName>
    <definedName name="TEST34" localSheetId="11">#REF!</definedName>
    <definedName name="TEST34" localSheetId="20">#REF!</definedName>
    <definedName name="TEST34">#REF!</definedName>
    <definedName name="TEST35" localSheetId="12">[61]Stock!#REF!</definedName>
    <definedName name="TEST35" localSheetId="26">[61]Stock!#REF!</definedName>
    <definedName name="TEST35" localSheetId="11">[61]Stock!#REF!</definedName>
    <definedName name="TEST35" localSheetId="20">[61]Stock!#REF!</definedName>
    <definedName name="TEST35">[61]Stock!#REF!</definedName>
    <definedName name="TEST36" localSheetId="12">'[60]Exc 7200Total Stock'!#REF!</definedName>
    <definedName name="TEST36" localSheetId="26">'[60]Exc 7200Total Stock'!#REF!</definedName>
    <definedName name="TEST36" localSheetId="11">'[60]Exc 7200Total Stock'!#REF!</definedName>
    <definedName name="TEST36" localSheetId="20">'[60]Exc 7200Total Stock'!#REF!</definedName>
    <definedName name="TEST36">'[60]Exc 7200Total Stock'!#REF!</definedName>
    <definedName name="TEST37" localSheetId="12">'[60]Exc 7200Total Stock'!#REF!</definedName>
    <definedName name="TEST37" localSheetId="26">'[60]Exc 7200Total Stock'!#REF!</definedName>
    <definedName name="TEST37" localSheetId="11">'[60]Exc 7200Total Stock'!#REF!</definedName>
    <definedName name="TEST37" localSheetId="20">'[60]Exc 7200Total Stock'!#REF!</definedName>
    <definedName name="TEST37">'[60]Exc 7200Total Stock'!#REF!</definedName>
    <definedName name="TEST38" localSheetId="12">[61]Stock!#REF!</definedName>
    <definedName name="TEST38" localSheetId="26">[61]Stock!#REF!</definedName>
    <definedName name="TEST38" localSheetId="11">[61]Stock!#REF!</definedName>
    <definedName name="TEST38" localSheetId="20">[61]Stock!#REF!</definedName>
    <definedName name="TEST38">[61]Stock!#REF!</definedName>
    <definedName name="TEST39" localSheetId="12">[59]Sheet1!#REF!</definedName>
    <definedName name="TEST39" localSheetId="26">[59]Sheet1!#REF!</definedName>
    <definedName name="TEST39" localSheetId="11">[59]Sheet1!#REF!</definedName>
    <definedName name="TEST39" localSheetId="20">[59]Sheet1!#REF!</definedName>
    <definedName name="TEST39">[59]Sheet1!#REF!</definedName>
    <definedName name="TEST4" localSheetId="12">#REF!</definedName>
    <definedName name="TEST4" localSheetId="26">#REF!</definedName>
    <definedName name="TEST4" localSheetId="11">#REF!</definedName>
    <definedName name="TEST4" localSheetId="20">#REF!</definedName>
    <definedName name="TEST4">#REF!</definedName>
    <definedName name="TEST40" localSheetId="12">#REF!</definedName>
    <definedName name="TEST40" localSheetId="26">#REF!</definedName>
    <definedName name="TEST40" localSheetId="11">#REF!</definedName>
    <definedName name="TEST40" localSheetId="20">#REF!</definedName>
    <definedName name="TEST40">#REF!</definedName>
    <definedName name="TEST41" localSheetId="12">#REF!</definedName>
    <definedName name="TEST41" localSheetId="26">#REF!</definedName>
    <definedName name="TEST41" localSheetId="11">#REF!</definedName>
    <definedName name="TEST41" localSheetId="20">#REF!</definedName>
    <definedName name="TEST41">#REF!</definedName>
    <definedName name="TEST42" localSheetId="12">#REF!</definedName>
    <definedName name="TEST42" localSheetId="26">#REF!</definedName>
    <definedName name="TEST42" localSheetId="11">#REF!</definedName>
    <definedName name="TEST42" localSheetId="20">#REF!</definedName>
    <definedName name="TEST42">#REF!</definedName>
    <definedName name="TEST43" localSheetId="12">'[60]Exc 7200Total Stock'!#REF!</definedName>
    <definedName name="TEST43" localSheetId="26">'[60]Exc 7200Total Stock'!#REF!</definedName>
    <definedName name="TEST43" localSheetId="11">'[60]Exc 7200Total Stock'!#REF!</definedName>
    <definedName name="TEST43" localSheetId="20">'[60]Exc 7200Total Stock'!#REF!</definedName>
    <definedName name="TEST43">'[60]Exc 7200Total Stock'!#REF!</definedName>
    <definedName name="TEST44" localSheetId="12">#REF!</definedName>
    <definedName name="TEST44" localSheetId="26">#REF!</definedName>
    <definedName name="TEST44" localSheetId="11">#REF!</definedName>
    <definedName name="TEST44" localSheetId="20">#REF!</definedName>
    <definedName name="TEST44">#REF!</definedName>
    <definedName name="TEST45" localSheetId="12">[62]Stock!#REF!</definedName>
    <definedName name="TEST45" localSheetId="26">[62]Stock!#REF!</definedName>
    <definedName name="TEST45" localSheetId="11">[62]Stock!#REF!</definedName>
    <definedName name="TEST45" localSheetId="20">[62]Stock!#REF!</definedName>
    <definedName name="TEST45">[62]Stock!#REF!</definedName>
    <definedName name="TEST46" localSheetId="12">[59]Sheet1!#REF!</definedName>
    <definedName name="TEST46" localSheetId="26">[59]Sheet1!#REF!</definedName>
    <definedName name="TEST46" localSheetId="11">[59]Sheet1!#REF!</definedName>
    <definedName name="TEST46" localSheetId="20">[59]Sheet1!#REF!</definedName>
    <definedName name="TEST46">[59]Sheet1!#REF!</definedName>
    <definedName name="TEST47" localSheetId="12">#REF!</definedName>
    <definedName name="TEST47" localSheetId="26">#REF!</definedName>
    <definedName name="TEST47" localSheetId="11">#REF!</definedName>
    <definedName name="TEST47" localSheetId="20">#REF!</definedName>
    <definedName name="TEST47">#REF!</definedName>
    <definedName name="TEST48" localSheetId="12">#REF!</definedName>
    <definedName name="TEST48" localSheetId="26">#REF!</definedName>
    <definedName name="TEST48" localSheetId="11">#REF!</definedName>
    <definedName name="TEST48" localSheetId="20">#REF!</definedName>
    <definedName name="TEST48">#REF!</definedName>
    <definedName name="TEST49" localSheetId="12">#REF!</definedName>
    <definedName name="TEST49" localSheetId="26">#REF!</definedName>
    <definedName name="TEST49" localSheetId="11">#REF!</definedName>
    <definedName name="TEST49" localSheetId="20">#REF!</definedName>
    <definedName name="TEST49">#REF!</definedName>
    <definedName name="TEST5" localSheetId="12">#REF!</definedName>
    <definedName name="TEST5" localSheetId="26">#REF!</definedName>
    <definedName name="TEST5" localSheetId="11">#REF!</definedName>
    <definedName name="TEST5" localSheetId="20">#REF!</definedName>
    <definedName name="TEST5">#REF!</definedName>
    <definedName name="TEST50" localSheetId="12">#REF!</definedName>
    <definedName name="TEST50" localSheetId="26">#REF!</definedName>
    <definedName name="TEST50" localSheetId="11">#REF!</definedName>
    <definedName name="TEST50" localSheetId="20">#REF!</definedName>
    <definedName name="TEST50">#REF!</definedName>
    <definedName name="TEST51" localSheetId="12">#REF!</definedName>
    <definedName name="TEST51" localSheetId="26">#REF!</definedName>
    <definedName name="TEST51" localSheetId="11">#REF!</definedName>
    <definedName name="TEST51" localSheetId="20">#REF!</definedName>
    <definedName name="TEST51">#REF!</definedName>
    <definedName name="TEST52" localSheetId="12">#REF!</definedName>
    <definedName name="TEST52" localSheetId="26">#REF!</definedName>
    <definedName name="TEST52" localSheetId="11">#REF!</definedName>
    <definedName name="TEST52" localSheetId="20">#REF!</definedName>
    <definedName name="TEST52">#REF!</definedName>
    <definedName name="TEST53" localSheetId="12">#REF!</definedName>
    <definedName name="TEST53" localSheetId="26">#REF!</definedName>
    <definedName name="TEST53" localSheetId="11">#REF!</definedName>
    <definedName name="TEST53" localSheetId="20">#REF!</definedName>
    <definedName name="TEST53">#REF!</definedName>
    <definedName name="TEST54" localSheetId="12">#REF!</definedName>
    <definedName name="TEST54" localSheetId="26">#REF!</definedName>
    <definedName name="TEST54" localSheetId="11">#REF!</definedName>
    <definedName name="TEST54" localSheetId="20">#REF!</definedName>
    <definedName name="TEST54">#REF!</definedName>
    <definedName name="TEST55" localSheetId="12">#REF!</definedName>
    <definedName name="TEST55" localSheetId="26">#REF!</definedName>
    <definedName name="TEST55" localSheetId="11">#REF!</definedName>
    <definedName name="TEST55" localSheetId="20">#REF!</definedName>
    <definedName name="TEST55">#REF!</definedName>
    <definedName name="TEST56" localSheetId="12">#REF!</definedName>
    <definedName name="TEST56" localSheetId="26">#REF!</definedName>
    <definedName name="TEST56" localSheetId="11">#REF!</definedName>
    <definedName name="TEST56" localSheetId="20">#REF!</definedName>
    <definedName name="TEST56">#REF!</definedName>
    <definedName name="TEST57" localSheetId="12">#REF!</definedName>
    <definedName name="TEST57" localSheetId="26">#REF!</definedName>
    <definedName name="TEST57" localSheetId="11">#REF!</definedName>
    <definedName name="TEST57" localSheetId="20">#REF!</definedName>
    <definedName name="TEST57">#REF!</definedName>
    <definedName name="TEST58" localSheetId="12">#REF!</definedName>
    <definedName name="TEST58" localSheetId="26">#REF!</definedName>
    <definedName name="TEST58" localSheetId="11">#REF!</definedName>
    <definedName name="TEST58" localSheetId="20">#REF!</definedName>
    <definedName name="TEST58">#REF!</definedName>
    <definedName name="TEST59" localSheetId="12">#REF!</definedName>
    <definedName name="TEST59" localSheetId="26">#REF!</definedName>
    <definedName name="TEST59" localSheetId="11">#REF!</definedName>
    <definedName name="TEST59" localSheetId="20">#REF!</definedName>
    <definedName name="TEST59">#REF!</definedName>
    <definedName name="TEST6" localSheetId="12">#REF!</definedName>
    <definedName name="TEST6" localSheetId="26">#REF!</definedName>
    <definedName name="TEST6" localSheetId="11">#REF!</definedName>
    <definedName name="TEST6" localSheetId="20">#REF!</definedName>
    <definedName name="TEST6">#REF!</definedName>
    <definedName name="TEST60" localSheetId="12">#REF!</definedName>
    <definedName name="TEST60" localSheetId="26">#REF!</definedName>
    <definedName name="TEST60" localSheetId="11">#REF!</definedName>
    <definedName name="TEST60" localSheetId="20">#REF!</definedName>
    <definedName name="TEST60">#REF!</definedName>
    <definedName name="TEST61" localSheetId="12">#REF!</definedName>
    <definedName name="TEST61" localSheetId="26">#REF!</definedName>
    <definedName name="TEST61" localSheetId="11">#REF!</definedName>
    <definedName name="TEST61" localSheetId="20">#REF!</definedName>
    <definedName name="TEST61">#REF!</definedName>
    <definedName name="TEST62" localSheetId="12">#REF!</definedName>
    <definedName name="TEST62" localSheetId="26">#REF!</definedName>
    <definedName name="TEST62" localSheetId="11">#REF!</definedName>
    <definedName name="TEST62" localSheetId="20">#REF!</definedName>
    <definedName name="TEST62">#REF!</definedName>
    <definedName name="TEST63" localSheetId="12">#REF!</definedName>
    <definedName name="TEST63" localSheetId="26">#REF!</definedName>
    <definedName name="TEST63" localSheetId="11">#REF!</definedName>
    <definedName name="TEST63" localSheetId="20">#REF!</definedName>
    <definedName name="TEST63">#REF!</definedName>
    <definedName name="TEST64" localSheetId="12">#REF!</definedName>
    <definedName name="TEST64" localSheetId="26">#REF!</definedName>
    <definedName name="TEST64" localSheetId="11">#REF!</definedName>
    <definedName name="TEST64" localSheetId="20">#REF!</definedName>
    <definedName name="TEST64">#REF!</definedName>
    <definedName name="TEST65" localSheetId="12">#REF!</definedName>
    <definedName name="TEST65" localSheetId="26">#REF!</definedName>
    <definedName name="TEST65" localSheetId="11">#REF!</definedName>
    <definedName name="TEST65" localSheetId="20">#REF!</definedName>
    <definedName name="TEST65">#REF!</definedName>
    <definedName name="TEST66" localSheetId="12">#REF!</definedName>
    <definedName name="TEST66" localSheetId="26">#REF!</definedName>
    <definedName name="TEST66" localSheetId="11">#REF!</definedName>
    <definedName name="TEST66" localSheetId="20">#REF!</definedName>
    <definedName name="TEST66">#REF!</definedName>
    <definedName name="TEST67" localSheetId="12">#REF!</definedName>
    <definedName name="TEST67" localSheetId="26">#REF!</definedName>
    <definedName name="TEST67" localSheetId="11">#REF!</definedName>
    <definedName name="TEST67" localSheetId="20">#REF!</definedName>
    <definedName name="TEST67">#REF!</definedName>
    <definedName name="TEST68" localSheetId="12">#REF!</definedName>
    <definedName name="TEST68" localSheetId="26">#REF!</definedName>
    <definedName name="TEST68" localSheetId="11">#REF!</definedName>
    <definedName name="TEST68" localSheetId="20">#REF!</definedName>
    <definedName name="TEST68">#REF!</definedName>
    <definedName name="TEST69" localSheetId="12">#REF!</definedName>
    <definedName name="TEST69" localSheetId="26">#REF!</definedName>
    <definedName name="TEST69" localSheetId="11">#REF!</definedName>
    <definedName name="TEST69" localSheetId="20">#REF!</definedName>
    <definedName name="TEST69">#REF!</definedName>
    <definedName name="TEST7" localSheetId="12">#REF!</definedName>
    <definedName name="TEST7" localSheetId="26">#REF!</definedName>
    <definedName name="TEST7" localSheetId="11">#REF!</definedName>
    <definedName name="TEST7" localSheetId="20">#REF!</definedName>
    <definedName name="TEST7">#REF!</definedName>
    <definedName name="TEST70" localSheetId="12">#REF!</definedName>
    <definedName name="TEST70" localSheetId="26">#REF!</definedName>
    <definedName name="TEST70" localSheetId="11">#REF!</definedName>
    <definedName name="TEST70" localSheetId="20">#REF!</definedName>
    <definedName name="TEST70">#REF!</definedName>
    <definedName name="TEST71" localSheetId="12">#REF!</definedName>
    <definedName name="TEST71" localSheetId="26">#REF!</definedName>
    <definedName name="TEST71" localSheetId="11">#REF!</definedName>
    <definedName name="TEST71" localSheetId="20">#REF!</definedName>
    <definedName name="TEST71">#REF!</definedName>
    <definedName name="TEST72" localSheetId="12">#REF!</definedName>
    <definedName name="TEST72" localSheetId="26">#REF!</definedName>
    <definedName name="TEST72" localSheetId="11">#REF!</definedName>
    <definedName name="TEST72" localSheetId="20">#REF!</definedName>
    <definedName name="TEST72">#REF!</definedName>
    <definedName name="TEST73" localSheetId="12">#REF!</definedName>
    <definedName name="TEST73" localSheetId="26">#REF!</definedName>
    <definedName name="TEST73" localSheetId="11">#REF!</definedName>
    <definedName name="TEST73" localSheetId="20">#REF!</definedName>
    <definedName name="TEST73">#REF!</definedName>
    <definedName name="TEST74" localSheetId="12">#REF!</definedName>
    <definedName name="TEST74" localSheetId="26">#REF!</definedName>
    <definedName name="TEST74" localSheetId="11">#REF!</definedName>
    <definedName name="TEST74" localSheetId="20">#REF!</definedName>
    <definedName name="TEST74">#REF!</definedName>
    <definedName name="TEST75" localSheetId="12">#REF!</definedName>
    <definedName name="TEST75" localSheetId="26">#REF!</definedName>
    <definedName name="TEST75" localSheetId="11">#REF!</definedName>
    <definedName name="TEST75" localSheetId="20">#REF!</definedName>
    <definedName name="TEST75">#REF!</definedName>
    <definedName name="TEST76" localSheetId="12">#REF!</definedName>
    <definedName name="TEST76" localSheetId="26">#REF!</definedName>
    <definedName name="TEST76" localSheetId="11">#REF!</definedName>
    <definedName name="TEST76" localSheetId="20">#REF!</definedName>
    <definedName name="TEST76">#REF!</definedName>
    <definedName name="TEST77" localSheetId="12">#REF!</definedName>
    <definedName name="TEST77" localSheetId="26">#REF!</definedName>
    <definedName name="TEST77" localSheetId="11">#REF!</definedName>
    <definedName name="TEST77" localSheetId="20">#REF!</definedName>
    <definedName name="TEST77">#REF!</definedName>
    <definedName name="TEST78" localSheetId="12">#REF!</definedName>
    <definedName name="TEST78" localSheetId="26">#REF!</definedName>
    <definedName name="TEST78" localSheetId="11">#REF!</definedName>
    <definedName name="TEST78" localSheetId="20">#REF!</definedName>
    <definedName name="TEST78">#REF!</definedName>
    <definedName name="TEST79" localSheetId="12">#REF!</definedName>
    <definedName name="TEST79" localSheetId="26">#REF!</definedName>
    <definedName name="TEST79" localSheetId="11">#REF!</definedName>
    <definedName name="TEST79" localSheetId="20">#REF!</definedName>
    <definedName name="TEST79">#REF!</definedName>
    <definedName name="TEST8" localSheetId="12">'[58]All Loc'!#REF!</definedName>
    <definedName name="TEST8" localSheetId="26">'[58]All Loc'!#REF!</definedName>
    <definedName name="TEST8" localSheetId="11">'[58]All Loc'!#REF!</definedName>
    <definedName name="TEST8" localSheetId="20">'[58]All Loc'!#REF!</definedName>
    <definedName name="TEST8">'[58]All Loc'!#REF!</definedName>
    <definedName name="TEST80" localSheetId="12">#REF!</definedName>
    <definedName name="TEST80" localSheetId="26">#REF!</definedName>
    <definedName name="TEST80" localSheetId="11">#REF!</definedName>
    <definedName name="TEST80" localSheetId="20">#REF!</definedName>
    <definedName name="TEST80">#REF!</definedName>
    <definedName name="TEST81" localSheetId="12">#REF!</definedName>
    <definedName name="TEST81" localSheetId="26">#REF!</definedName>
    <definedName name="TEST81" localSheetId="11">#REF!</definedName>
    <definedName name="TEST81" localSheetId="20">#REF!</definedName>
    <definedName name="TEST81">#REF!</definedName>
    <definedName name="TEST82" localSheetId="12">'[13]PACKING GL MAY-07'!#REF!</definedName>
    <definedName name="TEST82" localSheetId="26">'[13]PACKING GL MAY-07'!#REF!</definedName>
    <definedName name="TEST82" localSheetId="11">'[13]PACKING GL MAY-07'!#REF!</definedName>
    <definedName name="TEST82" localSheetId="20">'[13]PACKING GL MAY-07'!#REF!</definedName>
    <definedName name="TEST82">'[13]PACKING GL MAY-07'!#REF!</definedName>
    <definedName name="TEST9" localSheetId="12">'[60]Exc 7200Total Stock'!#REF!</definedName>
    <definedName name="TEST9" localSheetId="26">'[60]Exc 7200Total Stock'!#REF!</definedName>
    <definedName name="TEST9" localSheetId="11">'[60]Exc 7200Total Stock'!#REF!</definedName>
    <definedName name="TEST9" localSheetId="20">'[60]Exc 7200Total Stock'!#REF!</definedName>
    <definedName name="TEST9">'[60]Exc 7200Total Stock'!#REF!</definedName>
    <definedName name="TESTHKEY" localSheetId="12">#REF!</definedName>
    <definedName name="TESTHKEY" localSheetId="26">#REF!</definedName>
    <definedName name="TESTHKEY" localSheetId="11">#REF!</definedName>
    <definedName name="TESTHKEY" localSheetId="20">#REF!</definedName>
    <definedName name="TESTHKEY">#REF!</definedName>
    <definedName name="TESTKEYS" localSheetId="12">#REF!</definedName>
    <definedName name="TESTKEYS" localSheetId="26">#REF!</definedName>
    <definedName name="TESTKEYS" localSheetId="11">#REF!</definedName>
    <definedName name="TESTKEYS" localSheetId="20">#REF!</definedName>
    <definedName name="TESTKEYS">#REF!</definedName>
    <definedName name="TESTVKEY" localSheetId="12">#REF!</definedName>
    <definedName name="TESTVKEY" localSheetId="26">#REF!</definedName>
    <definedName name="TESTVKEY" localSheetId="11">#REF!</definedName>
    <definedName name="TESTVKEY" localSheetId="20">#REF!</definedName>
    <definedName name="TESTVKEY">#REF!</definedName>
    <definedName name="TEXTURISING">[8]Input_B_V!$A$47</definedName>
    <definedName name="tf" localSheetId="12" hidden="1">#REF!</definedName>
    <definedName name="tf" localSheetId="11" hidden="1">#REF!</definedName>
    <definedName name="tf" localSheetId="20" hidden="1">#REF!</definedName>
    <definedName name="tf" hidden="1">#REF!</definedName>
    <definedName name="TMTable">'[32]TM-Bud'!$A$11:$Y$133</definedName>
    <definedName name="tr" localSheetId="12" hidden="1">{#N/A,#N/A,FALSE,"COVER.XLS";#N/A,#N/A,FALSE,"RACT1.XLS";#N/A,#N/A,FALSE,"RACT2.XLS";#N/A,#N/A,FALSE,"ECCMP";#N/A,#N/A,FALSE,"WELDER.XLS"}</definedName>
    <definedName name="tr" localSheetId="11" hidden="1">{#N/A,#N/A,FALSE,"COVER.XLS";#N/A,#N/A,FALSE,"RACT1.XLS";#N/A,#N/A,FALSE,"RACT2.XLS";#N/A,#N/A,FALSE,"ECCMP";#N/A,#N/A,FALSE,"WELDER.XLS"}</definedName>
    <definedName name="tr" hidden="1">{#N/A,#N/A,FALSE,"COVER.XLS";#N/A,#N/A,FALSE,"RACT1.XLS";#N/A,#N/A,FALSE,"RACT2.XLS";#N/A,#N/A,FALSE,"ECCMP";#N/A,#N/A,FALSE,"WELDER.XLS"}</definedName>
    <definedName name="treeList" hidden="1">"10000000000000000000000000000000000000000000000000000000000000000000000000000000000000000000000000000000000000000000000000000000000000000000000000000000000000000000000000000000000000000000000000000000"</definedName>
    <definedName name="trend" localSheetId="12" hidden="1">{#N/A,#N/A,FALSE,"Aging Summary";#N/A,#N/A,FALSE,"Ratio Analysis";#N/A,#N/A,FALSE,"Test 120 Day Accts";#N/A,#N/A,FALSE,"Tickmarks"}</definedName>
    <definedName name="trend" localSheetId="19" hidden="1">{#N/A,#N/A,FALSE,"Aging Summary";#N/A,#N/A,FALSE,"Ratio Analysis";#N/A,#N/A,FALSE,"Test 120 Day Accts";#N/A,#N/A,FALSE,"Tickmarks"}</definedName>
    <definedName name="trend" localSheetId="11" hidden="1">{#N/A,#N/A,FALSE,"Aging Summary";#N/A,#N/A,FALSE,"Ratio Analysis";#N/A,#N/A,FALSE,"Test 120 Day Accts";#N/A,#N/A,FALSE,"Tickmarks"}</definedName>
    <definedName name="trend" localSheetId="32" hidden="1">{#N/A,#N/A,FALSE,"Aging Summary";#N/A,#N/A,FALSE,"Ratio Analysis";#N/A,#N/A,FALSE,"Test 120 Day Accts";#N/A,#N/A,FALSE,"Tickmarks"}</definedName>
    <definedName name="trend" hidden="1">{#N/A,#N/A,FALSE,"Aging Summary";#N/A,#N/A,FALSE,"Ratio Analysis";#N/A,#N/A,FALSE,"Test 120 Day Accts";#N/A,#N/A,FALSE,"Tickmarks"}</definedName>
    <definedName name="typewise_SP" localSheetId="12">'[40]Sales inputs '!#REF!</definedName>
    <definedName name="typewise_SP" localSheetId="26">'[40]Sales inputs '!#REF!</definedName>
    <definedName name="typewise_SP" localSheetId="11">'[40]Sales inputs '!#REF!</definedName>
    <definedName name="typewise_SP" localSheetId="20">'[40]Sales inputs '!#REF!</definedName>
    <definedName name="typewise_SP">'[40]Sales inputs '!#REF!</definedName>
    <definedName name="tyyt" localSheetId="12" hidden="1">{TRUE,FALSE,-1.25,-15.5,484.5,293.25,FALSE,TRUE,TRUE,TRUE,0,1,3,329,#N/A,1,21.8823529411765,2,TRUE,FALSE,3,TRUE,1,TRUE,100,"Swvu.a.","ACwvu.a.",#N/A,FALSE,FALSE,0.1,2.66,1.35,0,2,"","",TRUE,FALSE,FALSE,TRUE,1,87,#N/A,#N/A,"=R354C1:R476C10",FALSE,FALSE,FALSE,FALSE,FALSE,FALSE,5,300,300,FALSE,FALSE,TRUE,TRUE,TRUE}</definedName>
    <definedName name="tyyt" localSheetId="11" hidden="1">{TRUE,FALSE,-1.25,-15.5,484.5,293.25,FALSE,TRUE,TRUE,TRUE,0,1,3,329,#N/A,1,21.8823529411765,2,TRUE,FALSE,3,TRUE,1,TRUE,100,"Swvu.a.","ACwvu.a.",#N/A,FALSE,FALSE,0.1,2.66,1.35,0,2,"","",TRUE,FALSE,FALSE,TRUE,1,87,#N/A,#N/A,"=R354C1:R476C10",FALSE,FALSE,FALSE,FALSE,FALSE,FALSE,5,300,300,FALSE,FALSE,TRUE,TRUE,TRUE}</definedName>
    <definedName name="tyyt" hidden="1">{TRUE,FALSE,-1.25,-15.5,484.5,293.25,FALSE,TRUE,TRUE,TRUE,0,1,3,329,#N/A,1,21.8823529411765,2,TRUE,FALSE,3,TRUE,1,TRUE,100,"Swvu.a.","ACwvu.a.",#N/A,FALSE,FALSE,0.1,2.66,1.35,0,2,"","",TRUE,FALSE,FALSE,TRUE,1,87,#N/A,#N/A,"=R354C1:R476C10",FALSE,FALSE,FALSE,FALSE,FALSE,FALSE,5,300,300,FALSE,FALSE,TRUE,TRUE,TRUE}</definedName>
    <definedName name="U30a57" localSheetId="12">#REF!</definedName>
    <definedName name="U30a57" localSheetId="26">#REF!</definedName>
    <definedName name="U30a57" localSheetId="11">#REF!</definedName>
    <definedName name="U30a57" localSheetId="20">#REF!</definedName>
    <definedName name="U30a57">#REF!</definedName>
    <definedName name="UOPU" localSheetId="12"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localSheetId="11"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OU"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sha"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usha"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usha"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usha"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usha"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usha"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usha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usha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usha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usha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usha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usha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UtilCap" hidden="1">#N/A</definedName>
    <definedName name="UtilProd" hidden="1">#N/A</definedName>
    <definedName name="vbn" localSheetId="12" hidden="1">{#N/A,#N/A,FALSE,"COVER.XLS";#N/A,#N/A,FALSE,"RACT1.XLS";#N/A,#N/A,FALSE,"RACT2.XLS";#N/A,#N/A,FALSE,"ECCMP";#N/A,#N/A,FALSE,"WELDER.XLS"}</definedName>
    <definedName name="vbn" localSheetId="11" hidden="1">{#N/A,#N/A,FALSE,"COVER.XLS";#N/A,#N/A,FALSE,"RACT1.XLS";#N/A,#N/A,FALSE,"RACT2.XLS";#N/A,#N/A,FALSE,"ECCMP";#N/A,#N/A,FALSE,"WELDER.XLS"}</definedName>
    <definedName name="vbn" hidden="1">{#N/A,#N/A,FALSE,"COVER.XLS";#N/A,#N/A,FALSE,"RACT1.XLS";#N/A,#N/A,FALSE,"RACT2.XLS";#N/A,#N/A,FALSE,"ECCMP";#N/A,#N/A,FALSE,"WELDER.XLS"}</definedName>
    <definedName name="vgjh"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vgjh"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vgjh"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vgjh"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vgjh"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vgjh"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vgjh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vgjh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vgjh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vgjh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vgjh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vgjh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vjsfnzxb.xcv" localSheetId="12">#REF!</definedName>
    <definedName name="vjsfnzxb.xcv" localSheetId="26">#REF!</definedName>
    <definedName name="vjsfnzxb.xcv" localSheetId="11">#REF!</definedName>
    <definedName name="vjsfnzxb.xcv" localSheetId="20">#REF!</definedName>
    <definedName name="vjsfnzxb.xcv">#REF!</definedName>
    <definedName name="VML" localSheetId="12">'[23]POP SALARY '!#REF!</definedName>
    <definedName name="VML" localSheetId="26">'[23]POP SALARY '!#REF!</definedName>
    <definedName name="VML" localSheetId="11">'[23]POP SALARY '!#REF!</definedName>
    <definedName name="VML" localSheetId="20">'[23]POP SALARY '!#REF!</definedName>
    <definedName name="VML">'[23]POP SALARY '!#REF!</definedName>
    <definedName name="vvv" localSheetId="1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vvv" localSheetId="1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vvv"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vvvv" localSheetId="12" hidden="1">{#N/A,#N/A,FALSE,"17MAY";#N/A,#N/A,FALSE,"24MAY"}</definedName>
    <definedName name="vvvv" localSheetId="11" hidden="1">{#N/A,#N/A,FALSE,"17MAY";#N/A,#N/A,FALSE,"24MAY"}</definedName>
    <definedName name="vvvv" hidden="1">{#N/A,#N/A,FALSE,"17MAY";#N/A,#N/A,FALSE,"24MAY"}</definedName>
    <definedName name="vvvvv" localSheetId="12" hidden="1">{#N/A,#N/A,FALSE,"COVER.XLS";#N/A,#N/A,FALSE,"RACT1.XLS";#N/A,#N/A,FALSE,"RACT2.XLS";#N/A,#N/A,FALSE,"ECCMP";#N/A,#N/A,FALSE,"WELDER.XLS"}</definedName>
    <definedName name="vvvvv" localSheetId="11" hidden="1">{#N/A,#N/A,FALSE,"COVER.XLS";#N/A,#N/A,FALSE,"RACT1.XLS";#N/A,#N/A,FALSE,"RACT2.XLS";#N/A,#N/A,FALSE,"ECCMP";#N/A,#N/A,FALSE,"WELDER.XLS"}</definedName>
    <definedName name="vvvvv" hidden="1">{#N/A,#N/A,FALSE,"COVER.XLS";#N/A,#N/A,FALSE,"RACT1.XLS";#N/A,#N/A,FALSE,"RACT2.XLS";#N/A,#N/A,FALSE,"ECCMP";#N/A,#N/A,FALSE,"WELDER.XLS"}</definedName>
    <definedName name="w" localSheetId="1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 localSheetId="1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d"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d"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d"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d"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d"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d"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d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d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d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d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d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d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ELSPUN" localSheetId="12" hidden="1">{#N/A,#N/A,FALSE,"profile ";#N/A,#N/A,FALSE,"rank";#N/A,#N/A,FALSE,"overbase";#N/A,#N/A,FALSE,"overcash";#N/A,#N/A,FALSE,"overtfp";#N/A,#N/A,FALSE,"overtcc"}</definedName>
    <definedName name="WELSPUN" localSheetId="19" hidden="1">{#N/A,#N/A,FALSE,"profile ";#N/A,#N/A,FALSE,"rank";#N/A,#N/A,FALSE,"overbase";#N/A,#N/A,FALSE,"overcash";#N/A,#N/A,FALSE,"overtfp";#N/A,#N/A,FALSE,"overtcc"}</definedName>
    <definedName name="WELSPUN" localSheetId="11" hidden="1">{#N/A,#N/A,FALSE,"profile ";#N/A,#N/A,FALSE,"rank";#N/A,#N/A,FALSE,"overbase";#N/A,#N/A,FALSE,"overcash";#N/A,#N/A,FALSE,"overtfp";#N/A,#N/A,FALSE,"overtcc"}</definedName>
    <definedName name="WELSPUN" localSheetId="32" hidden="1">{#N/A,#N/A,FALSE,"profile ";#N/A,#N/A,FALSE,"rank";#N/A,#N/A,FALSE,"overbase";#N/A,#N/A,FALSE,"overcash";#N/A,#N/A,FALSE,"overtfp";#N/A,#N/A,FALSE,"overtcc"}</definedName>
    <definedName name="WELSPUN" hidden="1">{#N/A,#N/A,FALSE,"profile ";#N/A,#N/A,FALSE,"rank";#N/A,#N/A,FALSE,"overbase";#N/A,#N/A,FALSE,"overcash";#N/A,#N/A,FALSE,"overtfp";#N/A,#N/A,FALSE,"overtcc"}</definedName>
    <definedName name="welupect" localSheetId="12" hidden="1">#REF!</definedName>
    <definedName name="welupect" localSheetId="19" hidden="1">#REF!</definedName>
    <definedName name="welupect" localSheetId="26" hidden="1">#REF!</definedName>
    <definedName name="welupect" localSheetId="11" hidden="1">#REF!</definedName>
    <definedName name="welupect" localSheetId="32" hidden="1">#REF!</definedName>
    <definedName name="welupect" localSheetId="20" hidden="1">#REF!</definedName>
    <definedName name="welupect" hidden="1">#REF!</definedName>
    <definedName name="wr" localSheetId="12" hidden="1">{#N/A,#N/A,FALSE,"17MAY";#N/A,#N/A,FALSE,"24MAY"}</definedName>
    <definedName name="wr" localSheetId="11" hidden="1">{#N/A,#N/A,FALSE,"17MAY";#N/A,#N/A,FALSE,"24MAY"}</definedName>
    <definedName name="wr" hidden="1">{#N/A,#N/A,FALSE,"17MAY";#N/A,#N/A,FALSE,"24MAY"}</definedName>
    <definedName name="wrn" localSheetId="1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localSheetId="1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2" hidden="1">{#N/A,#N/A,FALSE,"17MAY";#N/A,#N/A,FALSE,"24MAY"}</definedName>
    <definedName name="wrn.1." localSheetId="11" hidden="1">{#N/A,#N/A,FALSE,"17MAY";#N/A,#N/A,FALSE,"24MAY"}</definedName>
    <definedName name="wrn.1." hidden="1">{#N/A,#N/A,FALSE,"17MAY";#N/A,#N/A,FALSE,"24MAY"}</definedName>
    <definedName name="wrn.2.2" localSheetId="12" hidden="1">{#N/A,#N/A,FALSE,"17MAY";#N/A,#N/A,FALSE,"24MAY"}</definedName>
    <definedName name="wrn.2.2" localSheetId="11" hidden="1">{#N/A,#N/A,FALSE,"17MAY";#N/A,#N/A,FALSE,"24MAY"}</definedName>
    <definedName name="wrn.2.2" hidden="1">{#N/A,#N/A,FALSE,"17MAY";#N/A,#N/A,FALSE,"24MAY"}</definedName>
    <definedName name="wrn.Aging._.and._.Trend._.Analysis." localSheetId="12" hidden="1">{#N/A,#N/A,FALSE,"Aging Summary";#N/A,#N/A,FALSE,"Ratio Analysis";#N/A,#N/A,FALSE,"Test 120 Day Accts";#N/A,#N/A,FALSE,"Tickmarks"}</definedName>
    <definedName name="wrn.Aging._.and._.Trend._.Analysis." localSheetId="19"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3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2" hidden="1">{"SUMM_1",#N/A,FALSE,"SUMS";"SUMM_2",#N/A,FALSE,"SUMS";"SEC1",#N/A,FALSE,"SECTION 1";"SEC2",#N/A,FALSE,"SECTION 2";"SEC3",#N/A,FALSE,"SECTION 3";"SEC4",#N/A,FALSE,"SECTION 4";"SEC5622",#N/A,FALSE,"SECTION 5 622 Mbit";"SEC525",#N/A,FALSE,"SECTION 5 2.5Gbit"}</definedName>
    <definedName name="wrn.ALL." localSheetId="19" hidden="1">{#N/A,#N/A,FALSE,"INPUTS";#N/A,#N/A,FALSE,"PROFORMA BSHEET";#N/A,#N/A,FALSE,"COMBINED";#N/A,#N/A,FALSE,"ACQUIROR";#N/A,#N/A,FALSE,"TARGET 1";#N/A,#N/A,FALSE,"TARGET 2";#N/A,#N/A,FALSE,"HIGH YIELD";#N/A,#N/A,FALSE,"OVERFUND"}</definedName>
    <definedName name="wrn.ALL." localSheetId="11" hidden="1">{#N/A,#N/A,FALSE,"INPUTS";#N/A,#N/A,FALSE,"PROFORMA BSHEET";#N/A,#N/A,FALSE,"COMBINED";#N/A,#N/A,FALSE,"ACQUIROR";#N/A,#N/A,FALSE,"TARGET 1";#N/A,#N/A,FALSE,"TARGET 2";#N/A,#N/A,FALSE,"HIGH YIELD";#N/A,#N/A,FALSE,"OVERFUND"}</definedName>
    <definedName name="wrn.ALL." localSheetId="32" hidden="1">{#N/A,#N/A,FALSE,"INPUTS";#N/A,#N/A,FALSE,"PROFORMA BSHEET";#N/A,#N/A,FALSE,"COMBINED";#N/A,#N/A,FALSE,"ACQUIROR";#N/A,#N/A,FALSE,"TARGET 1";#N/A,#N/A,FALSE,"TARGET 2";#N/A,#N/A,FALSE,"HIGH YIELD";#N/A,#N/A,FALSE,"OVERFUND"}</definedName>
    <definedName name="wrn.ALL." hidden="1">{"SUMM_1",#N/A,FALSE,"SUMS";"SUMM_2",#N/A,FALSE,"SUMS";"SEC1",#N/A,FALSE,"SECTION 1";"SEC2",#N/A,FALSE,"SECTION 2";"SEC3",#N/A,FALSE,"SECTION 3";"SEC4",#N/A,FALSE,"SECTION 4";"SEC5622",#N/A,FALSE,"SECTION 5 622 Mbit";"SEC525",#N/A,FALSE,"SECTION 5 2.5Gbit"}</definedName>
    <definedName name="wrn.All._.Pages." localSheetId="1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3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BSPL." localSheetId="12" hidden="1">{"BS",#N/A,FALSE,"Accounts2002 New";"PL",#N/A,FALSE,"Accounts2002 New"}</definedName>
    <definedName name="wrn.BSPL." localSheetId="11" hidden="1">{"BS",#N/A,FALSE,"Accounts2002 New";"PL",#N/A,FALSE,"Accounts2002 New"}</definedName>
    <definedName name="wrn.BSPL." hidden="1">{"BS",#N/A,FALSE,"Accounts2002 New";"PL",#N/A,FALSE,"Accounts2002 New"}</definedName>
    <definedName name="wrn.COMBINED." localSheetId="12" hidden="1">{#N/A,#N/A,FALSE,"INPUTS";#N/A,#N/A,FALSE,"PROFORMA BSHEET";#N/A,#N/A,FALSE,"COMBINED";#N/A,#N/A,FALSE,"HIGH YIELD";#N/A,#N/A,FALSE,"COMB_GRAPHS"}</definedName>
    <definedName name="wrn.COMBINED." localSheetId="19" hidden="1">{#N/A,#N/A,FALSE,"INPUTS";#N/A,#N/A,FALSE,"PROFORMA BSHEET";#N/A,#N/A,FALSE,"COMBINED";#N/A,#N/A,FALSE,"HIGH YIELD";#N/A,#N/A,FALSE,"COMB_GRAPHS"}</definedName>
    <definedName name="wrn.COMBINED." localSheetId="11" hidden="1">{#N/A,#N/A,FALSE,"INPUTS";#N/A,#N/A,FALSE,"PROFORMA BSHEET";#N/A,#N/A,FALSE,"COMBINED";#N/A,#N/A,FALSE,"HIGH YIELD";#N/A,#N/A,FALSE,"COMB_GRAPHS"}</definedName>
    <definedName name="wrn.COMBINED." localSheetId="32" hidden="1">{#N/A,#N/A,FALSE,"INPUTS";#N/A,#N/A,FALSE,"PROFORMA BSHEET";#N/A,#N/A,FALSE,"COMBINED";#N/A,#N/A,FALSE,"HIGH YIELD";#N/A,#N/A,FALSE,"COMB_GRAPHS"}</definedName>
    <definedName name="wrn.COMBINED." hidden="1">{#N/A,#N/A,FALSE,"INPUTS";#N/A,#N/A,FALSE,"PROFORMA BSHEET";#N/A,#N/A,FALSE,"COMBINED";#N/A,#N/A,FALSE,"HIGH YIELD";#N/A,#N/A,FALSE,"COMB_GRAPHS"}</definedName>
    <definedName name="wrn.consumable." localSheetId="12" hidden="1">{#N/A,#N/A,FALSE,"consu_cover";#N/A,#N/A,FALSE,"consu_strategy";#N/A,#N/A,FALSE,"consu_flow";#N/A,#N/A,FALSE,"Summary_reqmt";#N/A,#N/A,FALSE,"field_ppg";#N/A,#N/A,FALSE,"ppg_shop";#N/A,#N/A,FALSE,"strl";#N/A,#N/A,FALSE,"tankages";#N/A,#N/A,FALSE,"gases"}</definedName>
    <definedName name="wrn.consumable." localSheetId="1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datapak." localSheetId="12" hidden="1">{#N/A,#N/A,FALSE,"Status of Projects";#N/A,#N/A,FALSE,"CEA-TEC";#N/A,#N/A,FALSE,"U-Constr.";#N/A,#N/A,FALSE,"summary";#N/A,#N/A,FALSE,"PPP-3 yrs"}</definedName>
    <definedName name="wrn.datapak." localSheetId="19" hidden="1">{#N/A,#N/A,FALSE,"Status of Projects";#N/A,#N/A,FALSE,"CEA-TEC";#N/A,#N/A,FALSE,"U-Constr.";#N/A,#N/A,FALSE,"summary";#N/A,#N/A,FALSE,"PPP-3 yrs"}</definedName>
    <definedName name="wrn.datapak." localSheetId="11" hidden="1">{#N/A,#N/A,FALSE,"Status of Projects";#N/A,#N/A,FALSE,"CEA-TEC";#N/A,#N/A,FALSE,"U-Constr.";#N/A,#N/A,FALSE,"summary";#N/A,#N/A,FALSE,"PPP-3 yrs"}</definedName>
    <definedName name="wrn.datapak." localSheetId="32" hidden="1">{#N/A,#N/A,FALSE,"Status of Projects";#N/A,#N/A,FALSE,"CEA-TEC";#N/A,#N/A,FALSE,"U-Constr.";#N/A,#N/A,FALSE,"summary";#N/A,#N/A,FALSE,"PPP-3 yrs"}</definedName>
    <definedName name="wrn.datapak." hidden="1">{#N/A,#N/A,FALSE,"Status of Projects";#N/A,#N/A,FALSE,"CEA-TEC";#N/A,#N/A,FALSE,"U-Constr.";#N/A,#N/A,FALSE,"summary";#N/A,#N/A,FALSE,"PPP-3 yrs"}</definedName>
    <definedName name="wrn.dcf." localSheetId="12" hidden="1">{"mgmt forecast",#N/A,FALSE,"Mgmt Forecast";"dcf table",#N/A,FALSE,"Mgmt Forecast";"sensitivity",#N/A,FALSE,"Mgmt Forecast";"table inputs",#N/A,FALSE,"Mgmt Forecast";"calculations",#N/A,FALSE,"Mgmt Forecast"}</definedName>
    <definedName name="wrn.dcf." localSheetId="19" hidden="1">{"mgmt forecast",#N/A,FALSE,"Mgmt Forecast";"dcf table",#N/A,FALSE,"Mgmt Forecast";"sensitivity",#N/A,FALSE,"Mgmt Forecast";"table inputs",#N/A,FALSE,"Mgmt Forecast";"calculations",#N/A,FALSE,"Mgmt Forecast"}</definedName>
    <definedName name="wrn.dcf." localSheetId="11" hidden="1">{"mgmt forecast",#N/A,FALSE,"Mgmt Forecast";"dcf table",#N/A,FALSE,"Mgmt Forecast";"sensitivity",#N/A,FALSE,"Mgmt Forecast";"table inputs",#N/A,FALSE,"Mgmt Forecast";"calculations",#N/A,FALSE,"Mgmt Forecast"}</definedName>
    <definedName name="wrn.dcf." localSheetId="32"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evelopment._.Hours." localSheetId="12" hidden="1">{#N/A,#N/A,FALSE,"July 95";#N/A,#N/A,FALSE,"Aug 95";#N/A,#N/A,FALSE,"Sep 95";#N/A,#N/A,FALSE,"October 95"}</definedName>
    <definedName name="wrn.Development._.Hours." localSheetId="19" hidden="1">{#N/A,#N/A,FALSE,"July 95";#N/A,#N/A,FALSE,"Aug 95";#N/A,#N/A,FALSE,"Sep 95";#N/A,#N/A,FALSE,"October 95"}</definedName>
    <definedName name="wrn.Development._.Hours." localSheetId="11" hidden="1">{#N/A,#N/A,FALSE,"July 95";#N/A,#N/A,FALSE,"Aug 95";#N/A,#N/A,FALSE,"Sep 95";#N/A,#N/A,FALSE,"October 95"}</definedName>
    <definedName name="wrn.Development._.Hours." localSheetId="32" hidden="1">{#N/A,#N/A,FALSE,"July 95";#N/A,#N/A,FALSE,"Aug 95";#N/A,#N/A,FALSE,"Sep 95";#N/A,#N/A,FALSE,"October 95"}</definedName>
    <definedName name="wrn.Development._.Hours." hidden="1">{#N/A,#N/A,FALSE,"July 95";#N/A,#N/A,FALSE,"Aug 95";#N/A,#N/A,FALSE,"Sep 95";#N/A,#N/A,FALSE,"October 95"}</definedName>
    <definedName name="wrn.elect." localSheetId="12"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verything." localSheetId="1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19"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1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3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final." localSheetId="1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localSheetId="11"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ORM1." localSheetId="12" hidden="1">{#N/A,#N/A,FALSE,"COMP"}</definedName>
    <definedName name="wrn.FORM1." localSheetId="19" hidden="1">{#N/A,#N/A,FALSE,"COMP"}</definedName>
    <definedName name="wrn.FORM1." localSheetId="11" hidden="1">{#N/A,#N/A,FALSE,"COMP"}</definedName>
    <definedName name="wrn.FORM1." localSheetId="32" hidden="1">{#N/A,#N/A,FALSE,"COMP"}</definedName>
    <definedName name="wrn.FORM1." hidden="1">{#N/A,#N/A,FALSE,"COMP"}</definedName>
    <definedName name="wrn.full." localSheetId="12" hidden="1">{#N/A,#N/A,FALSE,"Cover";#N/A,#N/A,FALSE,"Pres ";#N/A,#N/A,FALSE,"Outputs";#N/A,#N/A,FALSE,"Sensitivities";#N/A,#N/A,FALSE,"Graphs";#N/A,#N/A,FALSE,"DCF I (In)"}</definedName>
    <definedName name="wrn.full." localSheetId="19" hidden="1">{#N/A,#N/A,FALSE,"Cover";#N/A,#N/A,FALSE,"Pres ";#N/A,#N/A,FALSE,"Outputs";#N/A,#N/A,FALSE,"Sensitivities";#N/A,#N/A,FALSE,"Graphs";#N/A,#N/A,FALSE,"DCF I (In)"}</definedName>
    <definedName name="wrn.full." localSheetId="11" hidden="1">{#N/A,#N/A,FALSE,"Cover";#N/A,#N/A,FALSE,"Pres ";#N/A,#N/A,FALSE,"Outputs";#N/A,#N/A,FALSE,"Sensitivities";#N/A,#N/A,FALSE,"Graphs";#N/A,#N/A,FALSE,"DCF I (In)"}</definedName>
    <definedName name="wrn.full." localSheetId="32" hidden="1">{#N/A,#N/A,FALSE,"Cover";#N/A,#N/A,FALSE,"Pres ";#N/A,#N/A,FALSE,"Outputs";#N/A,#N/A,FALSE,"Sensitivities";#N/A,#N/A,FALSE,"Graphs";#N/A,#N/A,FALSE,"DCF I (In)"}</definedName>
    <definedName name="wrn.full." hidden="1">{#N/A,#N/A,FALSE,"Cover";#N/A,#N/A,FALSE,"Pres ";#N/A,#N/A,FALSE,"Outputs";#N/A,#N/A,FALSE,"Sensitivities";#N/A,#N/A,FALSE,"Graphs";#N/A,#N/A,FALSE,"DCF I (In)"}</definedName>
    <definedName name="wrn.Full._.Financials." localSheetId="12" hidden="1">{#N/A,#N/A,TRUE,"Financials";#N/A,#N/A,TRUE,"Operating Statistics";#N/A,#N/A,TRUE,"Capex &amp; Depreciation";#N/A,#N/A,TRUE,"Debt"}</definedName>
    <definedName name="wrn.Full._.Financials." localSheetId="11" hidden="1">{#N/A,#N/A,TRUE,"Financials";#N/A,#N/A,TRUE,"Operating Statistics";#N/A,#N/A,TRUE,"Capex &amp; Depreciation";#N/A,#N/A,TRUE,"Debt"}</definedName>
    <definedName name="wrn.Full._.Financials." hidden="1">{#N/A,#N/A,TRUE,"Financials";#N/A,#N/A,TRUE,"Operating Statistics";#N/A,#N/A,TRUE,"Capex &amp; Depreciation";#N/A,#N/A,TRUE,"Debt"}</definedName>
    <definedName name="wrn.GRAPHS." localSheetId="12" hidden="1">{#N/A,#N/A,FALSE,"ACQ_GRAPHS";#N/A,#N/A,FALSE,"T_1 GRAPHS";#N/A,#N/A,FALSE,"T_2 GRAPHS";#N/A,#N/A,FALSE,"COMB_GRAPHS"}</definedName>
    <definedName name="wrn.GRAPHS." localSheetId="19" hidden="1">{#N/A,#N/A,FALSE,"ACQ_GRAPHS";#N/A,#N/A,FALSE,"T_1 GRAPHS";#N/A,#N/A,FALSE,"T_2 GRAPHS";#N/A,#N/A,FALSE,"COMB_GRAPHS"}</definedName>
    <definedName name="wrn.GRAPHS." localSheetId="11" hidden="1">{#N/A,#N/A,FALSE,"ACQ_GRAPHS";#N/A,#N/A,FALSE,"T_1 GRAPHS";#N/A,#N/A,FALSE,"T_2 GRAPHS";#N/A,#N/A,FALSE,"COMB_GRAPHS"}</definedName>
    <definedName name="wrn.GRAPHS." localSheetId="32" hidden="1">{#N/A,#N/A,FALSE,"ACQ_GRAPHS";#N/A,#N/A,FALSE,"T_1 GRAPHS";#N/A,#N/A,FALSE,"T_2 GRAPHS";#N/A,#N/A,FALSE,"COMB_GRAPHS"}</definedName>
    <definedName name="wrn.GRAPHS." hidden="1">{#N/A,#N/A,FALSE,"ACQ_GRAPHS";#N/A,#N/A,FALSE,"T_1 GRAPHS";#N/A,#N/A,FALSE,"T_2 GRAPHS";#N/A,#N/A,FALSE,"COMB_GRAPHS"}</definedName>
    <definedName name="wrn.Monthly._.Act._.P_L." localSheetId="12" hidden="1">{"Monthly",#N/A,FALSE,"1.2"}</definedName>
    <definedName name="wrn.Monthly._.Act._.P_L." localSheetId="19" hidden="1">{"Monthly",#N/A,FALSE,"1.2"}</definedName>
    <definedName name="wrn.Monthly._.Act._.P_L." localSheetId="11" hidden="1">{"Monthly",#N/A,FALSE,"1.2"}</definedName>
    <definedName name="wrn.Monthly._.Act._.P_L." localSheetId="32" hidden="1">{"Monthly",#N/A,FALSE,"1.2"}</definedName>
    <definedName name="wrn.Monthly._.Act._.P_L." hidden="1">{"Monthly",#N/A,FALSE,"1.2"}</definedName>
    <definedName name="wrn.Mor._.Pack._.January." localSheetId="12" hidden="1">{#N/A,#N/A,FALSE,"Contents";"Jan 96",#N/A,FALSE,"1.1";#N/A,#N/A,FALSE,"1.2";#N/A,#N/A,FALSE,"1.3";#N/A,#N/A,FALSE,"1.4";#N/A,#N/A,FALSE,"2.0";#N/A,#N/A,FALSE,"3.1";#N/A,#N/A,FALSE,"3.2";#N/A,#N/A,FALSE,"4.1";#N/A,#N/A,FALSE,"4.2";#N/A,#N/A,FALSE,"5.1";#N/A,#N/A,FALSE,"5.2";#N/A,#N/A,FALSE,"5.3";#N/A,#N/A,FALSE,"6.1";#N/A,#N/A,FALSE,"6.2";#N/A,#N/A,FALSE,"7.0";#N/A,#N/A,FALSE,"8.0"}</definedName>
    <definedName name="wrn.Mor._.Pack._.January." localSheetId="19" hidden="1">{#N/A,#N/A,FALSE,"Contents";"Jan 96",#N/A,FALSE,"1.1";#N/A,#N/A,FALSE,"1.2";#N/A,#N/A,FALSE,"1.3";#N/A,#N/A,FALSE,"1.4";#N/A,#N/A,FALSE,"2.0";#N/A,#N/A,FALSE,"3.1";#N/A,#N/A,FALSE,"3.2";#N/A,#N/A,FALSE,"4.1";#N/A,#N/A,FALSE,"4.2";#N/A,#N/A,FALSE,"5.1";#N/A,#N/A,FALSE,"5.2";#N/A,#N/A,FALSE,"5.3";#N/A,#N/A,FALSE,"6.1";#N/A,#N/A,FALSE,"6.2";#N/A,#N/A,FALSE,"7.0";#N/A,#N/A,FALSE,"8.0"}</definedName>
    <definedName name="wrn.Mor._.Pack._.January." localSheetId="11" hidden="1">{#N/A,#N/A,FALSE,"Contents";"Jan 96",#N/A,FALSE,"1.1";#N/A,#N/A,FALSE,"1.2";#N/A,#N/A,FALSE,"1.3";#N/A,#N/A,FALSE,"1.4";#N/A,#N/A,FALSE,"2.0";#N/A,#N/A,FALSE,"3.1";#N/A,#N/A,FALSE,"3.2";#N/A,#N/A,FALSE,"4.1";#N/A,#N/A,FALSE,"4.2";#N/A,#N/A,FALSE,"5.1";#N/A,#N/A,FALSE,"5.2";#N/A,#N/A,FALSE,"5.3";#N/A,#N/A,FALSE,"6.1";#N/A,#N/A,FALSE,"6.2";#N/A,#N/A,FALSE,"7.0";#N/A,#N/A,FALSE,"8.0"}</definedName>
    <definedName name="wrn.Mor._.Pack._.January." localSheetId="32" hidden="1">{#N/A,#N/A,FALSE,"Contents";"Jan 96",#N/A,FALSE,"1.1";#N/A,#N/A,FALSE,"1.2";#N/A,#N/A,FALSE,"1.3";#N/A,#N/A,FALSE,"1.4";#N/A,#N/A,FALSE,"2.0";#N/A,#N/A,FALSE,"3.1";#N/A,#N/A,FALSE,"3.2";#N/A,#N/A,FALSE,"4.1";#N/A,#N/A,FALSE,"4.2";#N/A,#N/A,FALSE,"5.1";#N/A,#N/A,FALSE,"5.2";#N/A,#N/A,FALSE,"5.3";#N/A,#N/A,FALSE,"6.1";#N/A,#N/A,FALSE,"6.2";#N/A,#N/A,FALSE,"7.0";#N/A,#N/A,FALSE,"8.0"}</definedName>
    <definedName name="wrn.Mor._.Pack._.January." hidden="1">{#N/A,#N/A,FALSE,"Contents";"Jan 96",#N/A,FALSE,"1.1";#N/A,#N/A,FALSE,"1.2";#N/A,#N/A,FALSE,"1.3";#N/A,#N/A,FALSE,"1.4";#N/A,#N/A,FALSE,"2.0";#N/A,#N/A,FALSE,"3.1";#N/A,#N/A,FALSE,"3.2";#N/A,#N/A,FALSE,"4.1";#N/A,#N/A,FALSE,"4.2";#N/A,#N/A,FALSE,"5.1";#N/A,#N/A,FALSE,"5.2";#N/A,#N/A,FALSE,"5.3";#N/A,#N/A,FALSE,"6.1";#N/A,#N/A,FALSE,"6.2";#N/A,#N/A,FALSE,"7.0";#N/A,#N/A,FALSE,"8.0"}</definedName>
    <definedName name="wrn.MRP._.Pack._.excl._.cash." localSheetId="12" hidden="1">{#N/A,#N/A,FALSE,"Header";#N/A,#N/A,FALSE,"Group Statement";#N/A,#N/A,FALSE,"Tog Report";#N/A,#N/A,FALSE,"Togethr Comments";#N/A,#N/A,FALSE,"Customer Admin Report";#N/A,#N/A,FALSE,"Insure Report";#N/A,#N/A,FALSE,"Insure Comments";#N/A,#N/A,FALSE,"XCS Report";#N/A,#N/A,FALSE,"XCS Comments";#N/A,#N/A,FALSE,"Proc Report";#N/A,#N/A,FALSE,"Proc Comments";#N/A,#N/A,FALSE,"New Entity (0502) Report";#N/A,#N/A,FALSE,"Bus Serv &amp; Invest "}</definedName>
    <definedName name="wrn.MRP._.Pack._.excl._.cash." localSheetId="19" hidden="1">{#N/A,#N/A,FALSE,"Header";#N/A,#N/A,FALSE,"Group Statement";#N/A,#N/A,FALSE,"Tog Report";#N/A,#N/A,FALSE,"Togethr Comments";#N/A,#N/A,FALSE,"Customer Admin Report";#N/A,#N/A,FALSE,"Insure Report";#N/A,#N/A,FALSE,"Insure Comments";#N/A,#N/A,FALSE,"XCS Report";#N/A,#N/A,FALSE,"XCS Comments";#N/A,#N/A,FALSE,"Proc Report";#N/A,#N/A,FALSE,"Proc Comments";#N/A,#N/A,FALSE,"New Entity (0502) Report";#N/A,#N/A,FALSE,"Bus Serv &amp; Invest "}</definedName>
    <definedName name="wrn.MRP._.Pack._.excl._.cash." localSheetId="11" hidden="1">{#N/A,#N/A,FALSE,"Header";#N/A,#N/A,FALSE,"Group Statement";#N/A,#N/A,FALSE,"Tog Report";#N/A,#N/A,FALSE,"Togethr Comments";#N/A,#N/A,FALSE,"Customer Admin Report";#N/A,#N/A,FALSE,"Insure Report";#N/A,#N/A,FALSE,"Insure Comments";#N/A,#N/A,FALSE,"XCS Report";#N/A,#N/A,FALSE,"XCS Comments";#N/A,#N/A,FALSE,"Proc Report";#N/A,#N/A,FALSE,"Proc Comments";#N/A,#N/A,FALSE,"New Entity (0502) Report";#N/A,#N/A,FALSE,"Bus Serv &amp; Invest "}</definedName>
    <definedName name="wrn.MRP._.Pack._.excl._.cash." localSheetId="32" hidden="1">{#N/A,#N/A,FALSE,"Header";#N/A,#N/A,FALSE,"Group Statement";#N/A,#N/A,FALSE,"Tog Report";#N/A,#N/A,FALSE,"Togethr Comments";#N/A,#N/A,FALSE,"Customer Admin Report";#N/A,#N/A,FALSE,"Insure Report";#N/A,#N/A,FALSE,"Insure Comments";#N/A,#N/A,FALSE,"XCS Report";#N/A,#N/A,FALSE,"XCS Comments";#N/A,#N/A,FALSE,"Proc Report";#N/A,#N/A,FALSE,"Proc Comments";#N/A,#N/A,FALSE,"New Entity (0502) Report";#N/A,#N/A,FALSE,"Bus Serv &amp; Invest "}</definedName>
    <definedName name="wrn.MRP._.Pack._.excl._.cash." hidden="1">{#N/A,#N/A,FALSE,"Header";#N/A,#N/A,FALSE,"Group Statement";#N/A,#N/A,FALSE,"Tog Report";#N/A,#N/A,FALSE,"Togethr Comments";#N/A,#N/A,FALSE,"Customer Admin Report";#N/A,#N/A,FALSE,"Insure Report";#N/A,#N/A,FALSE,"Insure Comments";#N/A,#N/A,FALSE,"XCS Report";#N/A,#N/A,FALSE,"XCS Comments";#N/A,#N/A,FALSE,"Proc Report";#N/A,#N/A,FALSE,"Proc Comments";#N/A,#N/A,FALSE,"New Entity (0502) Report";#N/A,#N/A,FALSE,"Bus Serv &amp; Invest "}</definedName>
    <definedName name="wrn.MRP._.Pack._.excl._.commentary." localSheetId="12" hidden="1">{#N/A,#N/A,FALSE,"Header";#N/A,#N/A,FALSE,"Group Statement";#N/A,#N/A,FALSE,"Group P&amp;L Analysis";#N/A,#N/A,FALSE,"Tog Report";#N/A,#N/A,FALSE,"Customer Admin Report";#N/A,#N/A,FALSE,"Insure Report";#N/A,#N/A,FALSE,"XCS Report";#N/A,#N/A,FALSE,"Proc Report";#N/A,#N/A,FALSE,"New Entity (0502) Report";#N/A,#N/A,FALSE,"Bus Serv &amp; Invest ";#N/A,#N/A,FALSE,"Cash Flow"}</definedName>
    <definedName name="wrn.MRP._.Pack._.excl._.commentary." localSheetId="19" hidden="1">{#N/A,#N/A,FALSE,"Header";#N/A,#N/A,FALSE,"Group Statement";#N/A,#N/A,FALSE,"Group P&amp;L Analysis";#N/A,#N/A,FALSE,"Tog Report";#N/A,#N/A,FALSE,"Customer Admin Report";#N/A,#N/A,FALSE,"Insure Report";#N/A,#N/A,FALSE,"XCS Report";#N/A,#N/A,FALSE,"Proc Report";#N/A,#N/A,FALSE,"New Entity (0502) Report";#N/A,#N/A,FALSE,"Bus Serv &amp; Invest ";#N/A,#N/A,FALSE,"Cash Flow"}</definedName>
    <definedName name="wrn.MRP._.Pack._.excl._.commentary." localSheetId="11" hidden="1">{#N/A,#N/A,FALSE,"Header";#N/A,#N/A,FALSE,"Group Statement";#N/A,#N/A,FALSE,"Group P&amp;L Analysis";#N/A,#N/A,FALSE,"Tog Report";#N/A,#N/A,FALSE,"Customer Admin Report";#N/A,#N/A,FALSE,"Insure Report";#N/A,#N/A,FALSE,"XCS Report";#N/A,#N/A,FALSE,"Proc Report";#N/A,#N/A,FALSE,"New Entity (0502) Report";#N/A,#N/A,FALSE,"Bus Serv &amp; Invest ";#N/A,#N/A,FALSE,"Cash Flow"}</definedName>
    <definedName name="wrn.MRP._.Pack._.excl._.commentary." localSheetId="32" hidden="1">{#N/A,#N/A,FALSE,"Header";#N/A,#N/A,FALSE,"Group Statement";#N/A,#N/A,FALSE,"Group P&amp;L Analysis";#N/A,#N/A,FALSE,"Tog Report";#N/A,#N/A,FALSE,"Customer Admin Report";#N/A,#N/A,FALSE,"Insure Report";#N/A,#N/A,FALSE,"XCS Report";#N/A,#N/A,FALSE,"Proc Report";#N/A,#N/A,FALSE,"New Entity (0502) Report";#N/A,#N/A,FALSE,"Bus Serv &amp; Invest ";#N/A,#N/A,FALSE,"Cash Flow"}</definedName>
    <definedName name="wrn.MRP._.Pack._.excl._.commentary." hidden="1">{#N/A,#N/A,FALSE,"Header";#N/A,#N/A,FALSE,"Group Statement";#N/A,#N/A,FALSE,"Group P&amp;L Analysis";#N/A,#N/A,FALSE,"Tog Report";#N/A,#N/A,FALSE,"Customer Admin Report";#N/A,#N/A,FALSE,"Insure Report";#N/A,#N/A,FALSE,"XCS Report";#N/A,#N/A,FALSE,"Proc Report";#N/A,#N/A,FALSE,"New Entity (0502) Report";#N/A,#N/A,FALSE,"Bus Serv &amp; Invest ";#N/A,#N/A,FALSE,"Cash Flow"}</definedName>
    <definedName name="wrn.MRP._.Pack._.inc._.commentary." localSheetId="12" hidden="1">{#N/A,#N/A,FALSE,"Header";#N/A,#N/A,FALSE,"Group Statement";#N/A,#N/A,FALSE,"Tog Report";#N/A,#N/A,FALSE,"Togethr Comments";#N/A,#N/A,FALSE,"Customer Admin Report";#N/A,#N/A,FALSE,"Insure Report";#N/A,#N/A,FALSE,"Insure Comments";#N/A,#N/A,FALSE,"XCS Report";#N/A,#N/A,FALSE,"XCS Comments";#N/A,#N/A,FALSE,"Proc Report";#N/A,#N/A,FALSE,"Proc Comments";#N/A,#N/A,FALSE,"New Entity (0502) Report";#N/A,#N/A,FALSE,"Bus Serv &amp; Invest ";#N/A,#N/A,FALSE,"Cash Flow"}</definedName>
    <definedName name="wrn.MRP._.Pack._.inc._.commentary." localSheetId="19" hidden="1">{#N/A,#N/A,FALSE,"Header";#N/A,#N/A,FALSE,"Group Statement";#N/A,#N/A,FALSE,"Tog Report";#N/A,#N/A,FALSE,"Togethr Comments";#N/A,#N/A,FALSE,"Customer Admin Report";#N/A,#N/A,FALSE,"Insure Report";#N/A,#N/A,FALSE,"Insure Comments";#N/A,#N/A,FALSE,"XCS Report";#N/A,#N/A,FALSE,"XCS Comments";#N/A,#N/A,FALSE,"Proc Report";#N/A,#N/A,FALSE,"Proc Comments";#N/A,#N/A,FALSE,"New Entity (0502) Report";#N/A,#N/A,FALSE,"Bus Serv &amp; Invest ";#N/A,#N/A,FALSE,"Cash Flow"}</definedName>
    <definedName name="wrn.MRP._.Pack._.inc._.commentary." localSheetId="11" hidden="1">{#N/A,#N/A,FALSE,"Header";#N/A,#N/A,FALSE,"Group Statement";#N/A,#N/A,FALSE,"Tog Report";#N/A,#N/A,FALSE,"Togethr Comments";#N/A,#N/A,FALSE,"Customer Admin Report";#N/A,#N/A,FALSE,"Insure Report";#N/A,#N/A,FALSE,"Insure Comments";#N/A,#N/A,FALSE,"XCS Report";#N/A,#N/A,FALSE,"XCS Comments";#N/A,#N/A,FALSE,"Proc Report";#N/A,#N/A,FALSE,"Proc Comments";#N/A,#N/A,FALSE,"New Entity (0502) Report";#N/A,#N/A,FALSE,"Bus Serv &amp; Invest ";#N/A,#N/A,FALSE,"Cash Flow"}</definedName>
    <definedName name="wrn.MRP._.Pack._.inc._.commentary." localSheetId="32" hidden="1">{#N/A,#N/A,FALSE,"Header";#N/A,#N/A,FALSE,"Group Statement";#N/A,#N/A,FALSE,"Tog Report";#N/A,#N/A,FALSE,"Togethr Comments";#N/A,#N/A,FALSE,"Customer Admin Report";#N/A,#N/A,FALSE,"Insure Report";#N/A,#N/A,FALSE,"Insure Comments";#N/A,#N/A,FALSE,"XCS Report";#N/A,#N/A,FALSE,"XCS Comments";#N/A,#N/A,FALSE,"Proc Report";#N/A,#N/A,FALSE,"Proc Comments";#N/A,#N/A,FALSE,"New Entity (0502) Report";#N/A,#N/A,FALSE,"Bus Serv &amp; Invest ";#N/A,#N/A,FALSE,"Cash Flow"}</definedName>
    <definedName name="wrn.MRP._.Pack._.inc._.commentary." hidden="1">{#N/A,#N/A,FALSE,"Header";#N/A,#N/A,FALSE,"Group Statement";#N/A,#N/A,FALSE,"Tog Report";#N/A,#N/A,FALSE,"Togethr Comments";#N/A,#N/A,FALSE,"Customer Admin Report";#N/A,#N/A,FALSE,"Insure Report";#N/A,#N/A,FALSE,"Insure Comments";#N/A,#N/A,FALSE,"XCS Report";#N/A,#N/A,FALSE,"XCS Comments";#N/A,#N/A,FALSE,"Proc Report";#N/A,#N/A,FALSE,"Proc Comments";#N/A,#N/A,FALSE,"New Entity (0502) Report";#N/A,#N/A,FALSE,"Bus Serv &amp; Invest ";#N/A,#N/A,FALSE,"Cash Flow"}</definedName>
    <definedName name="wrn.One._.Pager._.plus._.Technicals." localSheetId="12" hidden="1">{#N/A,#N/A,FALSE,"One Pager";#N/A,#N/A,FALSE,"Technical"}</definedName>
    <definedName name="wrn.One._.Pager._.plus._.Technicals." localSheetId="11" hidden="1">{#N/A,#N/A,FALSE,"One Pager";#N/A,#N/A,FALSE,"Technical"}</definedName>
    <definedName name="wrn.One._.Pager._.plus._.Technicals." hidden="1">{#N/A,#N/A,FALSE,"One Pager";#N/A,#N/A,FALSE,"Technical"}</definedName>
    <definedName name="wrn.piping."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olaroid." localSheetId="12" hidden="1">{#N/A,#N/A,FALSE,"profile ";#N/A,#N/A,FALSE,"rank";#N/A,#N/A,FALSE,"overbase";#N/A,#N/A,FALSE,"overcash";#N/A,#N/A,FALSE,"overtfp";#N/A,#N/A,FALSE,"overtcc"}</definedName>
    <definedName name="wrn.polaroid." localSheetId="19" hidden="1">{#N/A,#N/A,FALSE,"profile ";#N/A,#N/A,FALSE,"rank";#N/A,#N/A,FALSE,"overbase";#N/A,#N/A,FALSE,"overcash";#N/A,#N/A,FALSE,"overtfp";#N/A,#N/A,FALSE,"overtcc"}</definedName>
    <definedName name="wrn.polaroid." localSheetId="26" hidden="1">{#N/A,#N/A,FALSE,"profile ";#N/A,#N/A,FALSE,"rank";#N/A,#N/A,FALSE,"overbase";#N/A,#N/A,FALSE,"overcash";#N/A,#N/A,FALSE,"overtfp";#N/A,#N/A,FALSE,"overtcc"}</definedName>
    <definedName name="wrn.polaroid." localSheetId="11" hidden="1">{#N/A,#N/A,FALSE,"profile ";#N/A,#N/A,FALSE,"rank";#N/A,#N/A,FALSE,"overbase";#N/A,#N/A,FALSE,"overcash";#N/A,#N/A,FALSE,"overtfp";#N/A,#N/A,FALSE,"overtcc"}</definedName>
    <definedName name="wrn.polaroid." localSheetId="32" hidden="1">{#N/A,#N/A,FALSE,"profile ";#N/A,#N/A,FALSE,"rank";#N/A,#N/A,FALSE,"overbase";#N/A,#N/A,FALSE,"overcash";#N/A,#N/A,FALSE,"overtfp";#N/A,#N/A,FALSE,"overtcc"}</definedName>
    <definedName name="wrn.polaroid." hidden="1">{#N/A,#N/A,FALSE,"profile ";#N/A,#N/A,FALSE,"rank";#N/A,#N/A,FALSE,"overbase";#N/A,#N/A,FALSE,"overcash";#N/A,#N/A,FALSE,"overtfp";#N/A,#N/A,FALSE,"overtcc"}</definedName>
    <definedName name="wrn.polaroid._1" localSheetId="12" hidden="1">{#N/A,#N/A,FALSE,"profile ";#N/A,#N/A,FALSE,"rank";#N/A,#N/A,FALSE,"overbase";#N/A,#N/A,FALSE,"overcash";#N/A,#N/A,FALSE,"overtfp";#N/A,#N/A,FALSE,"overtcc"}</definedName>
    <definedName name="wrn.polaroid._1" localSheetId="19" hidden="1">{#N/A,#N/A,FALSE,"profile ";#N/A,#N/A,FALSE,"rank";#N/A,#N/A,FALSE,"overbase";#N/A,#N/A,FALSE,"overcash";#N/A,#N/A,FALSE,"overtfp";#N/A,#N/A,FALSE,"overtcc"}</definedName>
    <definedName name="wrn.polaroid._1" localSheetId="26" hidden="1">{#N/A,#N/A,FALSE,"profile ";#N/A,#N/A,FALSE,"rank";#N/A,#N/A,FALSE,"overbase";#N/A,#N/A,FALSE,"overcash";#N/A,#N/A,FALSE,"overtfp";#N/A,#N/A,FALSE,"overtcc"}</definedName>
    <definedName name="wrn.polaroid._1" localSheetId="11" hidden="1">{#N/A,#N/A,FALSE,"profile ";#N/A,#N/A,FALSE,"rank";#N/A,#N/A,FALSE,"overbase";#N/A,#N/A,FALSE,"overcash";#N/A,#N/A,FALSE,"overtfp";#N/A,#N/A,FALSE,"overtcc"}</definedName>
    <definedName name="wrn.polaroid._1" localSheetId="32" hidden="1">{#N/A,#N/A,FALSE,"profile ";#N/A,#N/A,FALSE,"rank";#N/A,#N/A,FALSE,"overbase";#N/A,#N/A,FALSE,"overcash";#N/A,#N/A,FALSE,"overtfp";#N/A,#N/A,FALSE,"overtcc"}</definedName>
    <definedName name="wrn.polaroid._1" hidden="1">{#N/A,#N/A,FALSE,"profile ";#N/A,#N/A,FALSE,"rank";#N/A,#N/A,FALSE,"overbase";#N/A,#N/A,FALSE,"overcash";#N/A,#N/A,FALSE,"overtfp";#N/A,#N/A,FALSE,"overtcc"}</definedName>
    <definedName name="wrn.polymwe." localSheetId="12"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9"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1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localSheetId="32"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12" hidden="1">{"vi1",#N/A,FALSE,"Financial Statements";"vi2",#N/A,FALSE,"Financial Statements";#N/A,#N/A,FALSE,"DCF"}</definedName>
    <definedName name="wrn.Print." localSheetId="19" hidden="1">{"vi1",#N/A,FALSE,"Financial Statements";"vi2",#N/A,FALSE,"Financial Statements";#N/A,#N/A,FALSE,"DCF"}</definedName>
    <definedName name="wrn.Print." localSheetId="11" hidden="1">{"vi1",#N/A,FALSE,"Financial Statements";"vi2",#N/A,FALSE,"Financial Statements";#N/A,#N/A,FALSE,"DCF"}</definedName>
    <definedName name="wrn.Print." localSheetId="32" hidden="1">{"vi1",#N/A,FALSE,"Financial Statements";"vi2",#N/A,FALSE,"Financial Statements";#N/A,#N/A,FALSE,"DCF"}</definedName>
    <definedName name="wrn.Print." hidden="1">{"vi1",#N/A,FALSE,"Financial Statements";"vi2",#N/A,FALSE,"Financial Statements";#N/A,#N/A,FALSE,"DCF"}</definedName>
    <definedName name="wrn.print._.standalone." localSheetId="12" hidden="1">{"standalone1",#N/A,FALSE,"DCFBase";"standalone2",#N/A,FALSE,"DCFBase"}</definedName>
    <definedName name="wrn.print._.standalone." localSheetId="19" hidden="1">{"standalone1",#N/A,FALSE,"DCFBase";"standalone2",#N/A,FALSE,"DCFBase"}</definedName>
    <definedName name="wrn.print._.standalone." localSheetId="11" hidden="1">{"standalone1",#N/A,FALSE,"DCFBase";"standalone2",#N/A,FALSE,"DCFBase"}</definedName>
    <definedName name="wrn.print._.standalone." localSheetId="32" hidden="1">{"standalone1",#N/A,FALSE,"DCFBase";"standalone2",#N/A,FALSE,"DCFBase"}</definedName>
    <definedName name="wrn.print._.standalone." hidden="1">{"standalone1",#N/A,FALSE,"DCFBase";"standalone2",#N/A,FALSE,"DCFBase"}</definedName>
    <definedName name="wrn.Qtrs_PL." localSheetId="12" hidden="1">{"Quarters",#N/A,FALSE,"1.2"}</definedName>
    <definedName name="wrn.Qtrs_PL." localSheetId="19" hidden="1">{"Quarters",#N/A,FALSE,"1.2"}</definedName>
    <definedName name="wrn.Qtrs_PL." localSheetId="11" hidden="1">{"Quarters",#N/A,FALSE,"1.2"}</definedName>
    <definedName name="wrn.Qtrs_PL." localSheetId="32" hidden="1">{"Quarters",#N/A,FALSE,"1.2"}</definedName>
    <definedName name="wrn.Qtrs_PL." hidden="1">{"Quarters",#N/A,FALSE,"1.2"}</definedName>
    <definedName name="wrn.RCC." localSheetId="12"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1"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2" hidden="1">{#N/A,#N/A,FALSE,"COVER.XLS";#N/A,#N/A,FALSE,"RACT1.XLS";#N/A,#N/A,FALSE,"RACT2.XLS";#N/A,#N/A,FALSE,"ECCMP";#N/A,#N/A,FALSE,"WELDER.XLS"}</definedName>
    <definedName name="wrn.report." localSheetId="11" hidden="1">{#N/A,#N/A,FALSE,"COVER.XLS";#N/A,#N/A,FALSE,"RACT1.XLS";#N/A,#N/A,FALSE,"RACT2.XLS";#N/A,#N/A,FALSE,"ECCMP";#N/A,#N/A,FALSE,"WELDER.XLS"}</definedName>
    <definedName name="wrn.report." hidden="1">{#N/A,#N/A,FALSE,"COVER.XLS";#N/A,#N/A,FALSE,"RACT1.XLS";#N/A,#N/A,FALSE,"RACT2.XLS";#N/A,#N/A,FALSE,"ECCMP";#N/A,#N/A,FALSE,"WELDER.XLS"}</definedName>
    <definedName name="wrn.report1" localSheetId="12" hidden="1">{#N/A,#N/A,FALSE,"COVER.XLS";#N/A,#N/A,FALSE,"RACT1.XLS";#N/A,#N/A,FALSE,"RACT2.XLS";#N/A,#N/A,FALSE,"ECCMP";#N/A,#N/A,FALSE,"WELDER.XLS"}</definedName>
    <definedName name="wrn.report1" localSheetId="11" hidden="1">{#N/A,#N/A,FALSE,"COVER.XLS";#N/A,#N/A,FALSE,"RACT1.XLS";#N/A,#N/A,FALSE,"RACT2.XLS";#N/A,#N/A,FALSE,"ECCMP";#N/A,#N/A,FALSE,"WELDER.XLS"}</definedName>
    <definedName name="wrn.report1" hidden="1">{#N/A,#N/A,FALSE,"COVER.XLS";#N/A,#N/A,FALSE,"RACT1.XLS";#N/A,#N/A,FALSE,"RACT2.XLS";#N/A,#N/A,FALSE,"ECCMP";#N/A,#N/A,FALSE,"WELDER.XLS"}</definedName>
    <definedName name="wrn.Report1." localSheetId="12" hidden="1">{#N/A,#N/A,FALSE,"July 95";#N/A,#N/A,FALSE,"Aug 95";#N/A,#N/A,FALSE,"Sep 95";#N/A,#N/A,FALSE,"October 95";#N/A,#N/A,FALSE,"November 95";#N/A,#N/A,FALSE,"December 95";#N/A,#N/A,FALSE,"February 96";#N/A,#N/A,FALSE,"March 96"}</definedName>
    <definedName name="wrn.Report1." localSheetId="19" hidden="1">{#N/A,#N/A,FALSE,"July 95";#N/A,#N/A,FALSE,"Aug 95";#N/A,#N/A,FALSE,"Sep 95";#N/A,#N/A,FALSE,"October 95";#N/A,#N/A,FALSE,"November 95";#N/A,#N/A,FALSE,"December 95";#N/A,#N/A,FALSE,"February 96";#N/A,#N/A,FALSE,"March 96"}</definedName>
    <definedName name="wrn.Report1." localSheetId="11" hidden="1">{#N/A,#N/A,FALSE,"July 95";#N/A,#N/A,FALSE,"Aug 95";#N/A,#N/A,FALSE,"Sep 95";#N/A,#N/A,FALSE,"October 95";#N/A,#N/A,FALSE,"November 95";#N/A,#N/A,FALSE,"December 95";#N/A,#N/A,FALSE,"February 96";#N/A,#N/A,FALSE,"March 96"}</definedName>
    <definedName name="wrn.Report1." localSheetId="32" hidden="1">{#N/A,#N/A,FALSE,"July 95";#N/A,#N/A,FALSE,"Aug 95";#N/A,#N/A,FALSE,"Sep 95";#N/A,#N/A,FALSE,"October 95";#N/A,#N/A,FALSE,"November 95";#N/A,#N/A,FALSE,"December 95";#N/A,#N/A,FALSE,"February 96";#N/A,#N/A,FALSE,"March 96"}</definedName>
    <definedName name="wrn.Report1." hidden="1">{#N/A,#N/A,FALSE,"July 95";#N/A,#N/A,FALSE,"Aug 95";#N/A,#N/A,FALSE,"Sep 95";#N/A,#N/A,FALSE,"October 95";#N/A,#N/A,FALSE,"November 95";#N/A,#N/A,FALSE,"December 95";#N/A,#N/A,FALSE,"February 96";#N/A,#N/A,FALSE,"March 96"}</definedName>
    <definedName name="wrn.repot."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localSheetId="3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PLINS." localSheetId="12" hidden="1">{#N/A,#N/A,FALSE,"str_title";#N/A,#N/A,FALSE,"SUM";#N/A,#N/A,FALSE,"Scope";#N/A,#N/A,FALSE,"PIE-Jn";#N/A,#N/A,FALSE,"PIE-Jn_Hz";#N/A,#N/A,FALSE,"Liq_Plan";#N/A,#N/A,FALSE,"S_Curve";#N/A,#N/A,FALSE,"Liq_Prof";#N/A,#N/A,FALSE,"Man_Pwr";#N/A,#N/A,FALSE,"Man_Prof"}</definedName>
    <definedName name="wrn.RPLINS." localSheetId="1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rpts." localSheetId="12" hidden="1">{#N/A,#N/A,TRUE,"Services";#N/A,#N/A,TRUE,"Sales - QM";#N/A,#N/A,TRUE,"Sales - HC";#N/A,#N/A,TRUE,"Int'l";#N/A,#N/A,TRUE,"PW Institute";#N/A,#N/A,TRUE,"Mktg Dept";#N/A,#N/A,TRUE,"R&amp;D";#N/A,#N/A,TRUE,"G&amp;A"}</definedName>
    <definedName name="wrn.rpts." localSheetId="19" hidden="1">{#N/A,#N/A,TRUE,"Services";#N/A,#N/A,TRUE,"Sales - QM";#N/A,#N/A,TRUE,"Sales - HC";#N/A,#N/A,TRUE,"Int'l";#N/A,#N/A,TRUE,"PW Institute";#N/A,#N/A,TRUE,"Mktg Dept";#N/A,#N/A,TRUE,"R&amp;D";#N/A,#N/A,TRUE,"G&amp;A"}</definedName>
    <definedName name="wrn.rpts." localSheetId="11" hidden="1">{#N/A,#N/A,TRUE,"Services";#N/A,#N/A,TRUE,"Sales - QM";#N/A,#N/A,TRUE,"Sales - HC";#N/A,#N/A,TRUE,"Int'l";#N/A,#N/A,TRUE,"PW Institute";#N/A,#N/A,TRUE,"Mktg Dept";#N/A,#N/A,TRUE,"R&amp;D";#N/A,#N/A,TRUE,"G&amp;A"}</definedName>
    <definedName name="wrn.rpts." localSheetId="32" hidden="1">{#N/A,#N/A,TRUE,"Services";#N/A,#N/A,TRUE,"Sales - QM";#N/A,#N/A,TRUE,"Sales - HC";#N/A,#N/A,TRUE,"Int'l";#N/A,#N/A,TRUE,"PW Institute";#N/A,#N/A,TRUE,"Mktg Dept";#N/A,#N/A,TRUE,"R&amp;D";#N/A,#N/A,TRUE,"G&amp;A"}</definedName>
    <definedName name="wrn.rpts." hidden="1">{#N/A,#N/A,TRUE,"Services";#N/A,#N/A,TRUE,"Sales - QM";#N/A,#N/A,TRUE,"Sales - HC";#N/A,#N/A,TRUE,"Int'l";#N/A,#N/A,TRUE,"PW Institute";#N/A,#N/A,TRUE,"Mktg Dept";#N/A,#N/A,TRUE,"R&amp;D";#N/A,#N/A,TRUE,"G&amp;A"}</definedName>
    <definedName name="wrn.Schedules." localSheetId="12" hidden="1">{"S 1 2",#N/A,FALSE,"Accounts2002 New";"S 3 4",#N/A,FALSE,"Accounts2002 New";"S 6 7 8",#N/A,FALSE,"Accounts2002 New";"S 9 10 11 12 13",#N/A,FALSE,"Accounts2002 New";"S 14 15 16 17",#N/A,FALSE,"Accounts2002 New";"S 18 19",#N/A,FALSE,"Accounts2002 New"}</definedName>
    <definedName name="wrn.Schedules." localSheetId="11" hidden="1">{"S 1 2",#N/A,FALSE,"Accounts2002 New";"S 3 4",#N/A,FALSE,"Accounts2002 New";"S 6 7 8",#N/A,FALSE,"Accounts2002 New";"S 9 10 11 12 13",#N/A,FALSE,"Accounts2002 New";"S 14 15 16 17",#N/A,FALSE,"Accounts2002 New";"S 18 19",#N/A,FALSE,"Accounts2002 New"}</definedName>
    <definedName name="wrn.Schedules." hidden="1">{"S 1 2",#N/A,FALSE,"Accounts2002 New";"S 3 4",#N/A,FALSE,"Accounts2002 New";"S 6 7 8",#N/A,FALSE,"Accounts2002 New";"S 9 10 11 12 13",#N/A,FALSE,"Accounts2002 New";"S 14 15 16 17",#N/A,FALSE,"Accounts2002 New";"S 18 19",#N/A,FALSE,"Accounts2002 New"}</definedName>
    <definedName name="wrn.SITARECCO."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ITARECCO."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ITARECCO."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ITARECCO."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ITARECCO."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ITARECCO."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ITARECCO.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ITARECCO.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ITARECCO.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ITARECCO.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ITARECCO.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ITARECCO.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KSCS1." localSheetId="12" hidden="1">{#N/A,#N/A,FALSE,"Antony Financials";#N/A,#N/A,FALSE,"Cowboy Financials";#N/A,#N/A,FALSE,"Combined";#N/A,#N/A,FALSE,"Valuematrix";#N/A,#N/A,FALSE,"DCFAntony";#N/A,#N/A,FALSE,"DCFCowboy";#N/A,#N/A,FALSE,"DCFCombined"}</definedName>
    <definedName name="wrn.SKSCS1." localSheetId="19" hidden="1">{#N/A,#N/A,FALSE,"Antony Financials";#N/A,#N/A,FALSE,"Cowboy Financials";#N/A,#N/A,FALSE,"Combined";#N/A,#N/A,FALSE,"Valuematrix";#N/A,#N/A,FALSE,"DCFAntony";#N/A,#N/A,FALSE,"DCFCowboy";#N/A,#N/A,FALSE,"DCFCombined"}</definedName>
    <definedName name="wrn.SKSCS1." localSheetId="11" hidden="1">{#N/A,#N/A,FALSE,"Antony Financials";#N/A,#N/A,FALSE,"Cowboy Financials";#N/A,#N/A,FALSE,"Combined";#N/A,#N/A,FALSE,"Valuematrix";#N/A,#N/A,FALSE,"DCFAntony";#N/A,#N/A,FALSE,"DCFCowboy";#N/A,#N/A,FALSE,"DCFCombined"}</definedName>
    <definedName name="wrn.SKSCS1." localSheetId="32"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tatus." localSheetId="12" hidden="1">{#N/A,#N/A,TRUE,"Summary - 1";#N/A,#N/A,TRUE,"Summary - 2";#N/A,#N/A,TRUE,"Group Analysis";#N/A,#N/A,TRUE,"FM Analysis";#N/A,#N/A,TRUE,"T&amp;M-Onsite";#N/A,#N/A,TRUE,"FP-Onsite";#N/A,#N/A,TRUE,"NB-Onsite";#N/A,#N/A,TRUE,"T&amp;M-Offshore";#N/A,#N/A,TRUE,"FP-Offshore";#N/A,#N/A,TRUE,"Appendix-A";#N/A,#N/A,TRUE,"Appendix-B"}</definedName>
    <definedName name="wrn.status." localSheetId="19" hidden="1">{#N/A,#N/A,TRUE,"Summary - 1";#N/A,#N/A,TRUE,"Summary - 2";#N/A,#N/A,TRUE,"Group Analysis";#N/A,#N/A,TRUE,"FM Analysis";#N/A,#N/A,TRUE,"T&amp;M-Onsite";#N/A,#N/A,TRUE,"FP-Onsite";#N/A,#N/A,TRUE,"NB-Onsite";#N/A,#N/A,TRUE,"T&amp;M-Offshore";#N/A,#N/A,TRUE,"FP-Offshore";#N/A,#N/A,TRUE,"Appendix-A";#N/A,#N/A,TRUE,"Appendix-B"}</definedName>
    <definedName name="wrn.status." localSheetId="11" hidden="1">{#N/A,#N/A,TRUE,"Summary - 1";#N/A,#N/A,TRUE,"Summary - 2";#N/A,#N/A,TRUE,"Group Analysis";#N/A,#N/A,TRUE,"FM Analysis";#N/A,#N/A,TRUE,"T&amp;M-Onsite";#N/A,#N/A,TRUE,"FP-Onsite";#N/A,#N/A,TRUE,"NB-Onsite";#N/A,#N/A,TRUE,"T&amp;M-Offshore";#N/A,#N/A,TRUE,"FP-Offshore";#N/A,#N/A,TRUE,"Appendix-A";#N/A,#N/A,TRUE,"Appendix-B"}</definedName>
    <definedName name="wrn.status." localSheetId="32" hidden="1">{#N/A,#N/A,TRUE,"Summary - 1";#N/A,#N/A,TRUE,"Summary - 2";#N/A,#N/A,TRUE,"Group Analysis";#N/A,#N/A,TRUE,"FM Analysis";#N/A,#N/A,TRUE,"T&amp;M-Onsite";#N/A,#N/A,TRUE,"FP-Onsite";#N/A,#N/A,TRUE,"NB-Onsite";#N/A,#N/A,TRUE,"T&amp;M-Offshore";#N/A,#N/A,TRUE,"FP-Offshore";#N/A,#N/A,TRUE,"Appendix-A";#N/A,#N/A,TRUE,"Appendix-B"}</definedName>
    <definedName name="wrn.status." hidden="1">{#N/A,#N/A,TRUE,"Summary - 1";#N/A,#N/A,TRUE,"Summary - 2";#N/A,#N/A,TRUE,"Group Analysis";#N/A,#N/A,TRUE,"FM Analysis";#N/A,#N/A,TRUE,"T&amp;M-Onsite";#N/A,#N/A,TRUE,"FP-Onsite";#N/A,#N/A,TRUE,"NB-Onsite";#N/A,#N/A,TRUE,"T&amp;M-Offshore";#N/A,#N/A,TRUE,"FP-Offshore";#N/A,#N/A,TRUE,"Appendix-A";#N/A,#N/A,TRUE,"Appendix-B"}</definedName>
    <definedName name="wrn.summ1" localSheetId="12" hidden="1">{#N/A,#N/A,FALSE,"COVER1.XLS ";#N/A,#N/A,FALSE,"RACT1.XLS";#N/A,#N/A,FALSE,"RACT2.XLS";#N/A,#N/A,FALSE,"ECCMP";#N/A,#N/A,FALSE,"WELDER.XLS"}</definedName>
    <definedName name="wrn.summ1" localSheetId="11" hidden="1">{#N/A,#N/A,FALSE,"COVER1.XLS ";#N/A,#N/A,FALSE,"RACT1.XLS";#N/A,#N/A,FALSE,"RACT2.XLS";#N/A,#N/A,FALSE,"ECCMP";#N/A,#N/A,FALSE,"WELDER.XLS"}</definedName>
    <definedName name="wrn.summ1" hidden="1">{#N/A,#N/A,FALSE,"COVER1.XLS ";#N/A,#N/A,FALSE,"RACT1.XLS";#N/A,#N/A,FALSE,"RACT2.XLS";#N/A,#N/A,FALSE,"ECCMP";#N/A,#N/A,FALSE,"WELDER.XLS"}</definedName>
    <definedName name="wrn.summary." localSheetId="12" hidden="1">{#N/A,#N/A,FALSE,"COVER1.XLS ";#N/A,#N/A,FALSE,"RACT1.XLS";#N/A,#N/A,FALSE,"RACT2.XLS";#N/A,#N/A,FALSE,"ECCMP";#N/A,#N/A,FALSE,"WELDER.XLS"}</definedName>
    <definedName name="wrn.summary." localSheetId="11" hidden="1">{#N/A,#N/A,FALSE,"COVER1.XLS ";#N/A,#N/A,FALSE,"RACT1.XLS";#N/A,#N/A,FALSE,"RACT2.XLS";#N/A,#N/A,FALSE,"ECCMP";#N/A,#N/A,FALSE,"WELDER.XLS"}</definedName>
    <definedName name="wrn.summary." hidden="1">{#N/A,#N/A,FALSE,"COVER1.XLS ";#N/A,#N/A,FALSE,"RACT1.XLS";#N/A,#N/A,FALSE,"RACT2.XLS";#N/A,#N/A,FALSE,"ECCMP";#N/A,#N/A,FALSE,"WELDER.XLS"}</definedName>
    <definedName name="wrn.SummaryPgs." localSheetId="12" hidden="1">{#N/A,#N/A,FALSE,"CreditStat";#N/A,#N/A,FALSE,"SPbrkup";#N/A,#N/A,FALSE,"MerSPsyn";#N/A,#N/A,FALSE,"MerSPwKCsyn";#N/A,#N/A,FALSE,"MerSPwKCsyn (2)";#N/A,#N/A,FALSE,"CreditStat (2)"}</definedName>
    <definedName name="wrn.SummaryPgs." localSheetId="19" hidden="1">{#N/A,#N/A,FALSE,"CreditStat";#N/A,#N/A,FALSE,"SPbrkup";#N/A,#N/A,FALSE,"MerSPsyn";#N/A,#N/A,FALSE,"MerSPwKCsyn";#N/A,#N/A,FALSE,"MerSPwKCsyn (2)";#N/A,#N/A,FALSE,"CreditStat (2)"}</definedName>
    <definedName name="wrn.SummaryPgs." localSheetId="11" hidden="1">{#N/A,#N/A,FALSE,"CreditStat";#N/A,#N/A,FALSE,"SPbrkup";#N/A,#N/A,FALSE,"MerSPsyn";#N/A,#N/A,FALSE,"MerSPwKCsyn";#N/A,#N/A,FALSE,"MerSPwKCsyn (2)";#N/A,#N/A,FALSE,"CreditStat (2)"}</definedName>
    <definedName name="wrn.SummaryPgs." localSheetId="32"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Tweety." localSheetId="12" hidden="1">{#N/A,#N/A,FALSE,"A&amp;E";#N/A,#N/A,FALSE,"HighTop";#N/A,#N/A,FALSE,"JG";#N/A,#N/A,FALSE,"RI";#N/A,#N/A,FALSE,"woHT";#N/A,#N/A,FALSE,"woHT&amp;JG"}</definedName>
    <definedName name="wrn.Tweety." localSheetId="19" hidden="1">{#N/A,#N/A,FALSE,"A&amp;E";#N/A,#N/A,FALSE,"HighTop";#N/A,#N/A,FALSE,"JG";#N/A,#N/A,FALSE,"RI";#N/A,#N/A,FALSE,"woHT";#N/A,#N/A,FALSE,"woHT&amp;JG"}</definedName>
    <definedName name="wrn.Tweety." localSheetId="11" hidden="1">{#N/A,#N/A,FALSE,"A&amp;E";#N/A,#N/A,FALSE,"HighTop";#N/A,#N/A,FALSE,"JG";#N/A,#N/A,FALSE,"RI";#N/A,#N/A,FALSE,"woHT";#N/A,#N/A,FALSE,"woHT&amp;JG"}</definedName>
    <definedName name="wrn.Tweety." localSheetId="32" hidden="1">{#N/A,#N/A,FALSE,"A&amp;E";#N/A,#N/A,FALSE,"HighTop";#N/A,#N/A,FALSE,"JG";#N/A,#N/A,FALSE,"RI";#N/A,#N/A,FALSE,"woHT";#N/A,#N/A,FALSE,"woHT&amp;JG"}</definedName>
    <definedName name="wrn.Tweety." hidden="1">{#N/A,#N/A,FALSE,"A&amp;E";#N/A,#N/A,FALSE,"HighTop";#N/A,#N/A,FALSE,"JG";#N/A,#N/A,FALSE,"RI";#N/A,#N/A,FALSE,"woHT";#N/A,#N/A,FALSE,"woHT&amp;JG"}</definedName>
    <definedName name="wrn.VALUATION." localSheetId="12" hidden="1">{#N/A,#N/A,FALSE,"Valuation Assumptions";#N/A,#N/A,FALSE,"Summary";#N/A,#N/A,FALSE,"DCF";#N/A,#N/A,FALSE,"Valuation";#N/A,#N/A,FALSE,"WACC";#N/A,#N/A,FALSE,"UBVH";#N/A,#N/A,FALSE,"Free Cash Flow"}</definedName>
    <definedName name="wrn.VALUATION." localSheetId="19" hidden="1">{#N/A,#N/A,FALSE,"Valuation Assumptions";#N/A,#N/A,FALSE,"Summary";#N/A,#N/A,FALSE,"DCF";#N/A,#N/A,FALSE,"Valuation";#N/A,#N/A,FALSE,"WACC";#N/A,#N/A,FALSE,"UBVH";#N/A,#N/A,FALSE,"Free Cash Flow"}</definedName>
    <definedName name="wrn.VALUATION." localSheetId="11" hidden="1">{#N/A,#N/A,FALSE,"Valuation Assumptions";#N/A,#N/A,FALSE,"Summary";#N/A,#N/A,FALSE,"DCF";#N/A,#N/A,FALSE,"Valuation";#N/A,#N/A,FALSE,"WACC";#N/A,#N/A,FALSE,"UBVH";#N/A,#N/A,FALSE,"Free Cash Flow"}</definedName>
    <definedName name="wrn.VALUATION." localSheetId="32"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YTD_ROY_PL." localSheetId="12" hidden="1">{"ROY_YTD",#N/A,FALSE,"1.2"}</definedName>
    <definedName name="wrn.YTD_ROY_PL." localSheetId="19" hidden="1">{"ROY_YTD",#N/A,FALSE,"1.2"}</definedName>
    <definedName name="wrn.YTD_ROY_PL." localSheetId="11" hidden="1">{"ROY_YTD",#N/A,FALSE,"1.2"}</definedName>
    <definedName name="wrn.YTD_ROY_PL." localSheetId="32" hidden="1">{"ROY_YTD",#N/A,FALSE,"1.2"}</definedName>
    <definedName name="wrn.YTD_ROY_PL." hidden="1">{"ROY_YTD",#N/A,FALSE,"1.2"}</definedName>
    <definedName name="wrn1.repot" localSheetId="1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9"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32"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ALL." localSheetId="12" hidden="1">{"SUMM_1",#N/A,FALSE,"SUMS";"SUMM_2",#N/A,FALSE,"SUMS";"SEC1",#N/A,FALSE,"SECTION 1";"SEC2",#N/A,FALSE,"SECTION 2";"SEC3",#N/A,FALSE,"SECTION 3";"SEC4",#N/A,FALSE,"SECTION 4";"SEC5622",#N/A,FALSE,"SECTION 5 622 Mbit";"SEC525",#N/A,FALSE,"SECTION 5 2.5Gbit"}</definedName>
    <definedName name="wrn2.ALL." localSheetId="11" hidden="1">{"SUMM_1",#N/A,FALSE,"SUMS";"SUMM_2",#N/A,FALSE,"SUMS";"SEC1",#N/A,FALSE,"SECTION 1";"SEC2",#N/A,FALSE,"SECTION 2";"SEC3",#N/A,FALSE,"SECTION 3";"SEC4",#N/A,FALSE,"SECTION 4";"SEC5622",#N/A,FALSE,"SECTION 5 622 Mbit";"SEC525",#N/A,FALSE,"SECTION 5 2.5Gbit"}</definedName>
    <definedName name="wrn2.ALL." hidden="1">{"SUMM_1",#N/A,FALSE,"SUMS";"SUMM_2",#N/A,FALSE,"SUMS";"SEC1",#N/A,FALSE,"SECTION 1";"SEC2",#N/A,FALSE,"SECTION 2";"SEC3",#N/A,FALSE,"SECTION 3";"SEC4",#N/A,FALSE,"SECTION 4";"SEC5622",#N/A,FALSE,"SECTION 5 622 Mbit";"SEC525",#N/A,FALSE,"SECTION 5 2.5Gbit"}</definedName>
    <definedName name="WTTSPG" localSheetId="12">[8]Input_B_V!#REF!</definedName>
    <definedName name="WTTSPG" localSheetId="26">[8]Input_B_V!#REF!</definedName>
    <definedName name="WTTSPG" localSheetId="11">[8]Input_B_V!#REF!</definedName>
    <definedName name="WTTSPG" localSheetId="20">[8]Input_B_V!#REF!</definedName>
    <definedName name="WTTSPG">[8]Input_B_V!#REF!</definedName>
    <definedName name="wvu.a." localSheetId="12" hidden="1">{TRUE,FALSE,-1.25,-15.5,484.5,293.25,FALSE,TRUE,TRUE,TRUE,0,1,3,329,#N/A,1,21.8823529411765,2,TRUE,FALSE,3,TRUE,1,TRUE,100,"Swvu.a.","ACwvu.a.",#N/A,FALSE,FALSE,0.1,2.66,1.35,0,2,"","",TRUE,FALSE,FALSE,TRUE,1,87,#N/A,#N/A,"=R354C1:R476C10",FALSE,FALSE,FALSE,FALSE,FALSE,FALSE,5,300,300,FALSE,FALSE,TRUE,TRUE,TRUE}</definedName>
    <definedName name="wvu.a." localSheetId="11" hidden="1">{TRUE,FALSE,-1.25,-15.5,484.5,293.25,FALSE,TRUE,TRUE,TRUE,0,1,3,329,#N/A,1,21.8823529411765,2,TRUE,FALSE,3,TRUE,1,TRUE,100,"Swvu.a.","ACwvu.a.",#N/A,FALSE,FALSE,0.1,2.66,1.35,0,2,"","",TRUE,FALSE,FALSE,TRUE,1,87,#N/A,#N/A,"=R354C1:R476C10",FALSE,FALSE,FALSE,FALSE,FALSE,FALSE,5,300,300,FALSE,FALSE,TRUE,TRUE,TRUE}</definedName>
    <definedName name="wvu.a." hidden="1">{TRUE,FALSE,-1.25,-15.5,484.5,293.25,FALSE,TRUE,TRUE,TRUE,0,1,3,329,#N/A,1,21.8823529411765,2,TRUE,FALSE,3,TRUE,1,TRUE,100,"Swvu.a.","ACwvu.a.",#N/A,FALSE,FALSE,0.1,2.66,1.35,0,2,"","",TRUE,FALSE,FALSE,TRUE,1,87,#N/A,#N/A,"=R354C1:R476C10",FALSE,FALSE,FALSE,FALSE,FALSE,FALSE,5,300,300,FALSE,FALSE,TRUE,TRUE,TRUE}</definedName>
    <definedName name="wvu.BTP." localSheetId="12" hidden="1">{TRUE,TRUE,7.75,2.5,467.25,234,FALSE,TRUE,TRUE,TRUE,0,21,#N/A,70,#N/A,3.96551724137931,9.21428571428571,1,FALSE,FALSE,1,TRUE,1,FALSE,100,"Swvu.BTP.","ACwvu.BTP.",#N/A,FALSE,FALSE,0.5,0.75,0.5,0.5,2,"","",TRUE,TRUE,FALSE,FALSE,1,#N/A,1,1,"=R2C1:R75C2",FALSE,"Rwvu.BTP.",#N/A,FALSE,FALSE,FALSE,8,180,180,FALSE,FALSE,TRUE,TRUE,TRUE}</definedName>
    <definedName name="wvu.BTP." localSheetId="19" hidden="1">{TRUE,TRUE,7.75,2.5,467.25,234,FALSE,TRUE,TRUE,TRUE,0,21,#N/A,70,#N/A,3.96551724137931,9.21428571428571,1,FALSE,FALSE,1,TRUE,1,FALSE,100,"Swvu.BTP.","ACwvu.BTP.",#N/A,FALSE,FALSE,0.5,0.75,0.5,0.5,2,"","",TRUE,TRUE,FALSE,FALSE,1,#N/A,1,1,"=R2C1:R75C2",FALSE,"Rwvu.BTP.",#N/A,FALSE,FALSE,FALSE,8,180,180,FALSE,FALSE,TRUE,TRUE,TRUE}</definedName>
    <definedName name="wvu.BTP." localSheetId="11" hidden="1">{TRUE,TRUE,7.75,2.5,467.25,234,FALSE,TRUE,TRUE,TRUE,0,21,#N/A,70,#N/A,3.96551724137931,9.21428571428571,1,FALSE,FALSE,1,TRUE,1,FALSE,100,"Swvu.BTP.","ACwvu.BTP.",#N/A,FALSE,FALSE,0.5,0.75,0.5,0.5,2,"","",TRUE,TRUE,FALSE,FALSE,1,#N/A,1,1,"=R2C1:R75C2",FALSE,"Rwvu.BTP.",#N/A,FALSE,FALSE,FALSE,8,180,180,FALSE,FALSE,TRUE,TRUE,TRUE}</definedName>
    <definedName name="wvu.BTP." localSheetId="32" hidden="1">{TRUE,TRUE,7.75,2.5,467.25,234,FALSE,TRUE,TRUE,TRUE,0,21,#N/A,70,#N/A,3.96551724137931,9.21428571428571,1,FALSE,FALSE,1,TRUE,1,FALSE,100,"Swvu.BTP.","ACwvu.BTP.",#N/A,FALSE,FALSE,0.5,0.75,0.5,0.5,2,"","",TRUE,TRUE,FALSE,FALSE,1,#N/A,1,1,"=R2C1:R75C2",FALSE,"Rwvu.BTP.",#N/A,FALSE,FALSE,FALSE,8,180,180,FALSE,FALSE,TRUE,TRUE,TRUE}</definedName>
    <definedName name="wvu.BTP." hidden="1">{TRUE,TRUE,7.75,2.5,467.25,234,FALSE,TRUE,TRUE,TRUE,0,21,#N/A,70,#N/A,3.96551724137931,9.21428571428571,1,FALSE,FALSE,1,TRUE,1,FALSE,100,"Swvu.BTP.","ACwvu.BTP.",#N/A,FALSE,FALSE,0.5,0.75,0.5,0.5,2,"","",TRUE,TRUE,FALSE,FALSE,1,#N/A,1,1,"=R2C1:R75C2",FALSE,"Rwvu.BTP.",#N/A,FALSE,FALSE,FALSE,8,180,180,FALSE,FALSE,TRUE,TRUE,TRUE}</definedName>
    <definedName name="wvu.KTP." localSheetId="12" hidden="1">{TRUE,TRUE,7.75,2.5,467.25,234,FALSE,TRUE,TRUE,TRUE,0,10,#N/A,73,#N/A,3.96551724137931,9.17857142857143,1,FALSE,FALSE,1,TRUE,1,FALSE,100,"Swvu.KTP.","ACwvu.KTP.",#N/A,FALSE,FALSE,0.5,0.75,0.5,0.5,2,"","",TRUE,TRUE,FALSE,FALSE,1,#N/A,1,1,"=R2C1:R75C2",FALSE,#N/A,#N/A,FALSE,FALSE,FALSE,8,180,180,FALSE,FALSE,TRUE,TRUE,TRUE}</definedName>
    <definedName name="wvu.KTP." localSheetId="19" hidden="1">{TRUE,TRUE,7.75,2.5,467.25,234,FALSE,TRUE,TRUE,TRUE,0,10,#N/A,73,#N/A,3.96551724137931,9.17857142857143,1,FALSE,FALSE,1,TRUE,1,FALSE,100,"Swvu.KTP.","ACwvu.KTP.",#N/A,FALSE,FALSE,0.5,0.75,0.5,0.5,2,"","",TRUE,TRUE,FALSE,FALSE,1,#N/A,1,1,"=R2C1:R75C2",FALSE,#N/A,#N/A,FALSE,FALSE,FALSE,8,180,180,FALSE,FALSE,TRUE,TRUE,TRUE}</definedName>
    <definedName name="wvu.KTP." localSheetId="11" hidden="1">{TRUE,TRUE,7.75,2.5,467.25,234,FALSE,TRUE,TRUE,TRUE,0,10,#N/A,73,#N/A,3.96551724137931,9.17857142857143,1,FALSE,FALSE,1,TRUE,1,FALSE,100,"Swvu.KTP.","ACwvu.KTP.",#N/A,FALSE,FALSE,0.5,0.75,0.5,0.5,2,"","",TRUE,TRUE,FALSE,FALSE,1,#N/A,1,1,"=R2C1:R75C2",FALSE,#N/A,#N/A,FALSE,FALSE,FALSE,8,180,180,FALSE,FALSE,TRUE,TRUE,TRUE}</definedName>
    <definedName name="wvu.KTP." localSheetId="32" hidden="1">{TRUE,TRUE,7.75,2.5,467.25,234,FALSE,TRUE,TRUE,TRUE,0,10,#N/A,73,#N/A,3.96551724137931,9.17857142857143,1,FALSE,FALSE,1,TRUE,1,FALSE,100,"Swvu.KTP.","ACwvu.KTP.",#N/A,FALSE,FALSE,0.5,0.75,0.5,0.5,2,"","",TRUE,TRUE,FALSE,FALSE,1,#N/A,1,1,"=R2C1:R75C2",FALSE,#N/A,#N/A,FALSE,FALSE,FALSE,8,180,180,FALSE,FALSE,TRUE,TRUE,TRUE}</definedName>
    <definedName name="wvu.KTP." hidden="1">{TRUE,TRUE,7.75,2.5,467.25,234,FALSE,TRUE,TRUE,TRUE,0,10,#N/A,73,#N/A,3.96551724137931,9.17857142857143,1,FALSE,FALSE,1,TRUE,1,FALSE,100,"Swvu.KTP.","ACwvu.KTP.",#N/A,FALSE,FALSE,0.5,0.75,0.5,0.5,2,"","",TRUE,TRUE,FALSE,FALSE,1,#N/A,1,1,"=R2C1:R75C2",FALSE,#N/A,#N/A,FALSE,FALSE,FALSE,8,180,180,FALSE,FALSE,TRUE,TRUE,TRUE}</definedName>
    <definedName name="wvu.TOTAL." localSheetId="12" hidden="1">{TRUE,TRUE,7.75,2.5,467.25,234,FALSE,TRUE,TRUE,TRUE,0,32,#N/A,69,#N/A,4.55555555555556,9.21428571428571,1,FALSE,FALSE,1,TRUE,1,FALSE,100,"Swvu.TOTAL.","ACwvu.TOTAL.",#N/A,FALSE,FALSE,0.5,0.75,0.5,0.5,2,"","",TRUE,TRUE,FALSE,FALSE,1,#N/A,1,1,"=R2C1:R75C2",FALSE,"Rwvu.TOTAL.",#N/A,FALSE,FALSE,FALSE,8,180,180,FALSE,FALSE,TRUE,TRUE,TRUE}</definedName>
    <definedName name="wvu.TOTAL." localSheetId="19" hidden="1">{TRUE,TRUE,7.75,2.5,467.25,234,FALSE,TRUE,TRUE,TRUE,0,32,#N/A,69,#N/A,4.55555555555556,9.21428571428571,1,FALSE,FALSE,1,TRUE,1,FALSE,100,"Swvu.TOTAL.","ACwvu.TOTAL.",#N/A,FALSE,FALSE,0.5,0.75,0.5,0.5,2,"","",TRUE,TRUE,FALSE,FALSE,1,#N/A,1,1,"=R2C1:R75C2",FALSE,"Rwvu.TOTAL.",#N/A,FALSE,FALSE,FALSE,8,180,180,FALSE,FALSE,TRUE,TRUE,TRUE}</definedName>
    <definedName name="wvu.TOTAL." localSheetId="11" hidden="1">{TRUE,TRUE,7.75,2.5,467.25,234,FALSE,TRUE,TRUE,TRUE,0,32,#N/A,69,#N/A,4.55555555555556,9.21428571428571,1,FALSE,FALSE,1,TRUE,1,FALSE,100,"Swvu.TOTAL.","ACwvu.TOTAL.",#N/A,FALSE,FALSE,0.5,0.75,0.5,0.5,2,"","",TRUE,TRUE,FALSE,FALSE,1,#N/A,1,1,"=R2C1:R75C2",FALSE,"Rwvu.TOTAL.",#N/A,FALSE,FALSE,FALSE,8,180,180,FALSE,FALSE,TRUE,TRUE,TRUE}</definedName>
    <definedName name="wvu.TOTAL." localSheetId="32" hidden="1">{TRUE,TRUE,7.75,2.5,467.25,234,FALSE,TRUE,TRUE,TRUE,0,32,#N/A,69,#N/A,4.55555555555556,9.21428571428571,1,FALSE,FALSE,1,TRUE,1,FALSE,100,"Swvu.TOTAL.","ACwvu.TOTAL.",#N/A,FALSE,FALSE,0.5,0.75,0.5,0.5,2,"","",TRUE,TRUE,FALSE,FALSE,1,#N/A,1,1,"=R2C1:R75C2",FALSE,"Rwvu.TOTAL.",#N/A,FALSE,FALSE,FALSE,8,180,180,FALSE,FALSE,TRUE,TRUE,TRUE}</definedName>
    <definedName name="wvu.TOTAL." hidden="1">{TRUE,TRUE,7.75,2.5,467.25,234,FALSE,TRUE,TRUE,TRUE,0,32,#N/A,69,#N/A,4.55555555555556,9.21428571428571,1,FALSE,FALSE,1,TRUE,1,FALSE,100,"Swvu.TOTAL.","ACwvu.TOTAL.",#N/A,FALSE,FALSE,0.5,0.75,0.5,0.5,2,"","",TRUE,TRUE,FALSE,FALSE,1,#N/A,1,1,"=R2C1:R75C2",FALSE,"Rwvu.TOTAL.",#N/A,FALSE,FALSE,FALSE,8,180,180,FALSE,FALSE,TRUE,TRUE,TRUE}</definedName>
    <definedName name="ww"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w"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w"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w"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w"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w"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w"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w_1"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w_1"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w_1" localSheetId="26"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w_1"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w_1"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w_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wwww" localSheetId="12" hidden="1">#REF!</definedName>
    <definedName name="wwwww" localSheetId="11" hidden="1">#REF!</definedName>
    <definedName name="wwwww" localSheetId="20" hidden="1">#REF!</definedName>
    <definedName name="wwwww" hidden="1">#REF!</definedName>
    <definedName name="x" localSheetId="1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x" localSheetId="1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x"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XREF_COLUMN_6" localSheetId="12" hidden="1">'[63]TOP SHEET'!#REF!</definedName>
    <definedName name="XREF_COLUMN_6" localSheetId="19" hidden="1">'[63]TOP SHEET'!#REF!</definedName>
    <definedName name="XREF_COLUMN_6" localSheetId="26" hidden="1">'[63]TOP SHEET'!#REF!</definedName>
    <definedName name="XREF_COLUMN_6" localSheetId="11" hidden="1">'[63]TOP SHEET'!#REF!</definedName>
    <definedName name="XREF_COLUMN_6" localSheetId="32" hidden="1">'[63]TOP SHEET'!#REF!</definedName>
    <definedName name="XREF_COLUMN_6" localSheetId="20" hidden="1">'[63]TOP SHEET'!#REF!</definedName>
    <definedName name="XREF_COLUMN_6" hidden="1">'[63]TOP SHEET'!#REF!</definedName>
    <definedName name="XRefColumnsCount" hidden="1">11</definedName>
    <definedName name="XRefCopyRangeCount" hidden="1">29</definedName>
    <definedName name="XRefPasteRangeCount" hidden="1">378</definedName>
    <definedName name="xy" localSheetId="1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localSheetId="11"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z" localSheetId="1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xyz" localSheetId="19"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xyz" localSheetId="11"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xyz" localSheetId="3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xyz"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yes" localSheetId="12" hidden="1">#REF!</definedName>
    <definedName name="yes" localSheetId="11" hidden="1">#REF!</definedName>
    <definedName name="yes" localSheetId="20" hidden="1">#REF!</definedName>
    <definedName name="yes" hidden="1">#REF!</definedName>
    <definedName name="yes1" localSheetId="12" hidden="1">#REF!</definedName>
    <definedName name="yes1" localSheetId="11" hidden="1">#REF!</definedName>
    <definedName name="yes1" localSheetId="20" hidden="1">#REF!</definedName>
    <definedName name="yes1" hidden="1">#REF!</definedName>
    <definedName name="yop1" localSheetId="12" hidden="1">#REF!</definedName>
    <definedName name="yop1" localSheetId="26" hidden="1">#REF!</definedName>
    <definedName name="yop1" localSheetId="11" hidden="1">#REF!</definedName>
    <definedName name="yop1" localSheetId="20" hidden="1">#REF!</definedName>
    <definedName name="yop1" hidden="1">#REF!</definedName>
    <definedName name="YSTable">'[32]YS-Bud'!$A$11:$Y$133</definedName>
    <definedName name="Z" localSheetId="12">#REF!</definedName>
    <definedName name="Z" localSheetId="26">#REF!</definedName>
    <definedName name="Z" localSheetId="11">#REF!</definedName>
    <definedName name="Z" localSheetId="20">#REF!</definedName>
    <definedName name="Z">#REF!</definedName>
    <definedName name="zep" localSheetId="1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localSheetId="1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x" localSheetId="12"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localSheetId="11"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zzzz" localSheetId="12" hidden="1">{#N/A,#N/A,FALSE,"COVER1.XLS ";#N/A,#N/A,FALSE,"RACT1.XLS";#N/A,#N/A,FALSE,"RACT2.XLS";#N/A,#N/A,FALSE,"ECCMP";#N/A,#N/A,FALSE,"WELDER.XLS"}</definedName>
    <definedName name="zzzzz" localSheetId="11" hidden="1">{#N/A,#N/A,FALSE,"COVER1.XLS ";#N/A,#N/A,FALSE,"RACT1.XLS";#N/A,#N/A,FALSE,"RACT2.XLS";#N/A,#N/A,FALSE,"ECCMP";#N/A,#N/A,FALSE,"WELDER.XLS"}</definedName>
    <definedName name="zzzzz" hidden="1">{#N/A,#N/A,FALSE,"COVER1.XLS ";#N/A,#N/A,FALSE,"RACT1.XLS";#N/A,#N/A,FALSE,"RACT2.XLS";#N/A,#N/A,FALSE,"ECCMP";#N/A,#N/A,FALSE,"WELDER.XLS"}</definedName>
    <definedName name="zzzzzz" localSheetId="12" hidden="1">{#N/A,#N/A,FALSE,"COVER.XLS";#N/A,#N/A,FALSE,"RACT1.XLS";#N/A,#N/A,FALSE,"RACT2.XLS";#N/A,#N/A,FALSE,"ECCMP";#N/A,#N/A,FALSE,"WELDER.XLS"}</definedName>
    <definedName name="zzzzzz" localSheetId="11" hidden="1">{#N/A,#N/A,FALSE,"COVER.XLS";#N/A,#N/A,FALSE,"RACT1.XLS";#N/A,#N/A,FALSE,"RACT2.XLS";#N/A,#N/A,FALSE,"ECCMP";#N/A,#N/A,FALSE,"WELDER.XLS"}</definedName>
    <definedName name="zzzzzz" hidden="1">{#N/A,#N/A,FALSE,"COVER.XLS";#N/A,#N/A,FALSE,"RACT1.XLS";#N/A,#N/A,FALSE,"RACT2.XLS";#N/A,#N/A,FALSE,"ECCMP";#N/A,#N/A,FALSE,"WELDER.XLS"}</definedName>
    <definedName name="zzzzzzz" localSheetId="12" hidden="1">{#N/A,#N/A,FALSE,"str_title";#N/A,#N/A,FALSE,"SUM";#N/A,#N/A,FALSE,"Scope";#N/A,#N/A,FALSE,"PIE-Jn";#N/A,#N/A,FALSE,"PIE-Jn_Hz";#N/A,#N/A,FALSE,"Liq_Plan";#N/A,#N/A,FALSE,"S_Curve";#N/A,#N/A,FALSE,"Liq_Prof";#N/A,#N/A,FALSE,"Man_Pwr";#N/A,#N/A,FALSE,"Man_Prof"}</definedName>
    <definedName name="zzzzzzz" localSheetId="11" hidden="1">{#N/A,#N/A,FALSE,"str_title";#N/A,#N/A,FALSE,"SUM";#N/A,#N/A,FALSE,"Scope";#N/A,#N/A,FALSE,"PIE-Jn";#N/A,#N/A,FALSE,"PIE-Jn_Hz";#N/A,#N/A,FALSE,"Liq_Plan";#N/A,#N/A,FALSE,"S_Curve";#N/A,#N/A,FALSE,"Liq_Prof";#N/A,#N/A,FALSE,"Man_Pwr";#N/A,#N/A,FALSE,"Man_Prof"}</definedName>
    <definedName name="zzzzzzz" hidden="1">{#N/A,#N/A,FALSE,"str_title";#N/A,#N/A,FALSE,"SUM";#N/A,#N/A,FALSE,"Scope";#N/A,#N/A,FALSE,"PIE-Jn";#N/A,#N/A,FALSE,"PIE-Jn_Hz";#N/A,#N/A,FALSE,"Liq_Plan";#N/A,#N/A,FALSE,"S_Curve";#N/A,#N/A,FALSE,"Liq_Prof";#N/A,#N/A,FALSE,"Man_Pwr";#N/A,#N/A,FALSE,"Man_Prof"}</definedName>
    <definedName name="zzzzzzzzzzzz" localSheetId="12" hidden="1">{#N/A,#N/A,FALSE,"COVER.XLS";#N/A,#N/A,FALSE,"RACT1.XLS";#N/A,#N/A,FALSE,"RACT2.XLS";#N/A,#N/A,FALSE,"ECCMP";#N/A,#N/A,FALSE,"WELDER.XLS"}</definedName>
    <definedName name="zzzzzzzzzzzz" localSheetId="11" hidden="1">{#N/A,#N/A,FALSE,"COVER.XLS";#N/A,#N/A,FALSE,"RACT1.XLS";#N/A,#N/A,FALSE,"RACT2.XLS";#N/A,#N/A,FALSE,"ECCMP";#N/A,#N/A,FALSE,"WELDER.XLS"}</definedName>
    <definedName name="zzzzzzzzzzzz" hidden="1">{#N/A,#N/A,FALSE,"COVER.XLS";#N/A,#N/A,FALSE,"RACT1.XLS";#N/A,#N/A,FALSE,"RACT2.XLS";#N/A,#N/A,FALSE,"ECCMP";#N/A,#N/A,FALSE,"WELDER.XLS"}</definedName>
  </definedNames>
  <calcPr calcId="152511"/>
  <pivotCaches>
    <pivotCache cacheId="0" r:id="rId106"/>
    <pivotCache cacheId="1" r:id="rId10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5" i="40" l="1"/>
  <c r="G105" i="38"/>
  <c r="M105" i="38" s="1"/>
  <c r="M104" i="38"/>
  <c r="G104" i="38"/>
  <c r="G103" i="38"/>
  <c r="M103" i="38"/>
  <c r="AD309" i="1"/>
  <c r="M38" i="38"/>
  <c r="M32" i="38"/>
  <c r="M26" i="38"/>
  <c r="M24" i="38"/>
  <c r="M16" i="38"/>
  <c r="M9" i="38"/>
  <c r="M2" i="38"/>
  <c r="AE6" i="1"/>
  <c r="AE7" i="1"/>
  <c r="AE8" i="1"/>
  <c r="AE9" i="1"/>
  <c r="AE10" i="1"/>
  <c r="AE11" i="1"/>
  <c r="AE12" i="1"/>
  <c r="AE13" i="1"/>
  <c r="AE14" i="1"/>
  <c r="AE15" i="1"/>
  <c r="AE5" i="1"/>
  <c r="Q170" i="38" l="1"/>
  <c r="Q169" i="38"/>
  <c r="Q168" i="38"/>
  <c r="Q167" i="38"/>
  <c r="Q166" i="38"/>
  <c r="Q165" i="38"/>
  <c r="Q164" i="38"/>
  <c r="Q163" i="38"/>
  <c r="Q162" i="38"/>
  <c r="Q161" i="38"/>
  <c r="Q160" i="38"/>
  <c r="Q159" i="38"/>
  <c r="Q158" i="38"/>
  <c r="Q157" i="38"/>
  <c r="Q156" i="38"/>
  <c r="Q155" i="38"/>
  <c r="Q154" i="38"/>
  <c r="Q153" i="38"/>
  <c r="Q152" i="38"/>
  <c r="Q151" i="38"/>
  <c r="Q150" i="38"/>
  <c r="Q149" i="38"/>
  <c r="Q148" i="38"/>
  <c r="Q147" i="38"/>
  <c r="Q146" i="38"/>
  <c r="Q145" i="38"/>
  <c r="Q144" i="38"/>
  <c r="Q143" i="38"/>
  <c r="Q142" i="38"/>
  <c r="Q141" i="38"/>
  <c r="Q140" i="38"/>
  <c r="Q139" i="38"/>
  <c r="Q138" i="38"/>
  <c r="Q137" i="38"/>
  <c r="Q136" i="38"/>
  <c r="Q135" i="38"/>
  <c r="Q134" i="38"/>
  <c r="Q133" i="38"/>
  <c r="Q132" i="38"/>
  <c r="Q131" i="38"/>
  <c r="Q130" i="38"/>
  <c r="Q129" i="38"/>
  <c r="Q128" i="38"/>
  <c r="Q127" i="38"/>
  <c r="Q126" i="38"/>
  <c r="Q125" i="38"/>
  <c r="Q124" i="38"/>
  <c r="Q123" i="38"/>
  <c r="Q122" i="38"/>
  <c r="Q121" i="38"/>
  <c r="Q120" i="38"/>
  <c r="Q119" i="38"/>
  <c r="Q118" i="38"/>
  <c r="Q117" i="38"/>
  <c r="Q116" i="38"/>
  <c r="Q115" i="38"/>
  <c r="Q114" i="38"/>
  <c r="Q113" i="38"/>
  <c r="Q112" i="38"/>
  <c r="Q111" i="38"/>
  <c r="Q110" i="38"/>
  <c r="Q109" i="38"/>
  <c r="Q108" i="38"/>
  <c r="Q107" i="38"/>
  <c r="Q106" i="38"/>
  <c r="Q105" i="38"/>
  <c r="Q104" i="38"/>
  <c r="Q103" i="38"/>
  <c r="Q102" i="38"/>
  <c r="Q101" i="38"/>
  <c r="Q100" i="38"/>
  <c r="Q99" i="38"/>
  <c r="Q98" i="38"/>
  <c r="Q97" i="38"/>
  <c r="Q96" i="38"/>
  <c r="Q95" i="38"/>
  <c r="Q94" i="38"/>
  <c r="Q93" i="38"/>
  <c r="Q92" i="38"/>
  <c r="Q91" i="38"/>
  <c r="Q90" i="38"/>
  <c r="Q89" i="38"/>
  <c r="Q88" i="38"/>
  <c r="Q87" i="38"/>
  <c r="Q86" i="38"/>
  <c r="Q85" i="38"/>
  <c r="Q84" i="38"/>
  <c r="Q83" i="38"/>
  <c r="Q82" i="38"/>
  <c r="Q81" i="38"/>
  <c r="Q80" i="38"/>
  <c r="Q79" i="38"/>
  <c r="Q78" i="38"/>
  <c r="Q77" i="38"/>
  <c r="Q76" i="38"/>
  <c r="Q75" i="38"/>
  <c r="Q74" i="38"/>
  <c r="Q73" i="38"/>
  <c r="Q72" i="38"/>
  <c r="Q71" i="38"/>
  <c r="Q70" i="38"/>
  <c r="Q69" i="38"/>
  <c r="Q68" i="38"/>
  <c r="Q67" i="38"/>
  <c r="Q66" i="38"/>
  <c r="Q65" i="38"/>
  <c r="Q64" i="38"/>
  <c r="Q63" i="38"/>
  <c r="Q62" i="38"/>
  <c r="Q61" i="38"/>
  <c r="Q60" i="38"/>
  <c r="Q59" i="38"/>
  <c r="Q58" i="38"/>
  <c r="Q57" i="38"/>
  <c r="Q56" i="38"/>
  <c r="Q55" i="38"/>
  <c r="Q54" i="38"/>
  <c r="Q53" i="38"/>
  <c r="G47" i="38" l="1"/>
  <c r="G43" i="38"/>
  <c r="G41" i="38"/>
  <c r="G39" i="38"/>
  <c r="AT368" i="1"/>
  <c r="AT367" i="1"/>
  <c r="F17" i="40"/>
  <c r="G17" i="40" s="1"/>
  <c r="F16" i="40"/>
  <c r="G16" i="40" s="1"/>
  <c r="I16" i="40" s="1"/>
  <c r="F15" i="40"/>
  <c r="F14" i="40"/>
  <c r="F13" i="40"/>
  <c r="F18" i="40"/>
  <c r="F12" i="40"/>
  <c r="F11" i="40"/>
  <c r="F10" i="40"/>
  <c r="D17" i="40"/>
  <c r="E17" i="40" s="1"/>
  <c r="D16" i="40"/>
  <c r="E16" i="40" s="1"/>
  <c r="D15" i="40"/>
  <c r="D14" i="40"/>
  <c r="D13" i="40"/>
  <c r="D18" i="40"/>
  <c r="D12" i="40"/>
  <c r="D11" i="40"/>
  <c r="D10" i="40"/>
  <c r="D9" i="40"/>
  <c r="D8" i="40"/>
  <c r="D7" i="40"/>
  <c r="D5" i="40"/>
  <c r="D4" i="40"/>
  <c r="D3" i="40"/>
  <c r="F9" i="40"/>
  <c r="I17" i="40" l="1"/>
  <c r="AC94" i="1"/>
  <c r="AC95" i="1"/>
  <c r="AC96" i="1"/>
  <c r="AC97" i="1"/>
  <c r="AC98" i="1"/>
  <c r="AC99" i="1"/>
  <c r="AC100" i="1"/>
  <c r="AC101" i="1"/>
  <c r="AC102" i="1"/>
  <c r="AC103" i="1"/>
  <c r="AC104" i="1"/>
  <c r="AJ104" i="1"/>
  <c r="AJ101" i="1"/>
  <c r="AI94" i="1"/>
  <c r="AI95" i="1"/>
  <c r="AI96" i="1"/>
  <c r="AI97" i="1"/>
  <c r="AI98" i="1"/>
  <c r="AI99" i="1"/>
  <c r="AI100" i="1"/>
  <c r="AI101" i="1"/>
  <c r="AI102" i="1"/>
  <c r="AI103" i="1"/>
  <c r="AI104" i="1"/>
  <c r="AI93" i="1"/>
  <c r="AH94" i="1"/>
  <c r="AH95" i="1"/>
  <c r="AH96" i="1"/>
  <c r="AH97" i="1"/>
  <c r="AH98" i="1"/>
  <c r="AH99" i="1"/>
  <c r="AH100" i="1"/>
  <c r="AH101" i="1"/>
  <c r="AH102" i="1"/>
  <c r="AH103" i="1"/>
  <c r="AH104" i="1"/>
  <c r="AH93" i="1"/>
  <c r="AJ94" i="1"/>
  <c r="AD6" i="1"/>
  <c r="AD7" i="1"/>
  <c r="AD8" i="1"/>
  <c r="AD9" i="1"/>
  <c r="AD10" i="1"/>
  <c r="AD11" i="1"/>
  <c r="AD12" i="1"/>
  <c r="AD13" i="1"/>
  <c r="AD14" i="1"/>
  <c r="AD15" i="1"/>
  <c r="AD5" i="1"/>
  <c r="G38" i="38"/>
  <c r="G32" i="38"/>
  <c r="G26" i="38"/>
  <c r="G24" i="38"/>
  <c r="F8" i="40"/>
  <c r="G8" i="40" s="1"/>
  <c r="F7" i="40"/>
  <c r="G7" i="40" s="1"/>
  <c r="F6" i="40"/>
  <c r="G6" i="40" s="1"/>
  <c r="F5" i="40"/>
  <c r="G5" i="40" s="1"/>
  <c r="F4" i="40"/>
  <c r="G4" i="40" s="1"/>
  <c r="I4" i="40" s="1"/>
  <c r="G16" i="38" s="1"/>
  <c r="F3" i="40"/>
  <c r="G3" i="40" s="1"/>
  <c r="F2" i="40"/>
  <c r="D269" i="39"/>
  <c r="P267" i="39"/>
  <c r="O267" i="39"/>
  <c r="N267" i="39"/>
  <c r="M267" i="39"/>
  <c r="L267" i="39"/>
  <c r="K267" i="39"/>
  <c r="J267" i="39"/>
  <c r="I267" i="39"/>
  <c r="H267" i="39"/>
  <c r="G267" i="39"/>
  <c r="F267" i="39"/>
  <c r="D267" i="39"/>
  <c r="R265" i="39"/>
  <c r="S265" i="39" s="1"/>
  <c r="P262" i="39"/>
  <c r="Q262" i="39" s="1"/>
  <c r="Q259" i="39"/>
  <c r="R259" i="39" s="1"/>
  <c r="Q258" i="39"/>
  <c r="R258" i="39" s="1"/>
  <c r="Q257" i="39"/>
  <c r="R257" i="39" s="1"/>
  <c r="Q256" i="39"/>
  <c r="R256" i="39" s="1"/>
  <c r="S256" i="39" s="1"/>
  <c r="R255" i="39"/>
  <c r="Q255" i="39"/>
  <c r="Q254" i="39"/>
  <c r="R254" i="39" s="1"/>
  <c r="Q252" i="39"/>
  <c r="R252" i="39" s="1"/>
  <c r="Q251" i="39"/>
  <c r="R251" i="39" s="1"/>
  <c r="Q250" i="39"/>
  <c r="R250" i="39" s="1"/>
  <c r="Q249" i="39"/>
  <c r="R249" i="39" s="1"/>
  <c r="AG248" i="39"/>
  <c r="AF248" i="39"/>
  <c r="AE248" i="39"/>
  <c r="AD248" i="39"/>
  <c r="AC248" i="39"/>
  <c r="AB248" i="39"/>
  <c r="AA248" i="39"/>
  <c r="Z248" i="39"/>
  <c r="Y248" i="39"/>
  <c r="X248" i="39"/>
  <c r="W248" i="39"/>
  <c r="V248" i="39"/>
  <c r="Q248" i="39"/>
  <c r="R248" i="39" s="1"/>
  <c r="S248" i="39" s="1"/>
  <c r="S205" i="39"/>
  <c r="S202" i="39"/>
  <c r="S201" i="39"/>
  <c r="S199" i="39"/>
  <c r="P198" i="39"/>
  <c r="O198" i="39"/>
  <c r="N198" i="39"/>
  <c r="M198" i="39"/>
  <c r="L198" i="39"/>
  <c r="K198" i="39"/>
  <c r="J198" i="39"/>
  <c r="I198" i="39"/>
  <c r="H198" i="39"/>
  <c r="G198" i="39"/>
  <c r="F198" i="39"/>
  <c r="D198" i="39"/>
  <c r="Q197" i="39"/>
  <c r="R197" i="39" s="1"/>
  <c r="Q196" i="39"/>
  <c r="R196" i="39" s="1"/>
  <c r="Q195" i="39"/>
  <c r="R195" i="39" s="1"/>
  <c r="AH194" i="39"/>
  <c r="AG194" i="39"/>
  <c r="AF194" i="39"/>
  <c r="AE194" i="39"/>
  <c r="AD194" i="39"/>
  <c r="AC194" i="39"/>
  <c r="AB194" i="39"/>
  <c r="AA194" i="39"/>
  <c r="Z194" i="39"/>
  <c r="Y194" i="39"/>
  <c r="X194" i="39"/>
  <c r="W194" i="39"/>
  <c r="Q194" i="39"/>
  <c r="R194" i="39" s="1"/>
  <c r="S194" i="39" s="1"/>
  <c r="Q193" i="39"/>
  <c r="R193" i="39" s="1"/>
  <c r="Q192" i="39"/>
  <c r="R192" i="39" s="1"/>
  <c r="AH191" i="39"/>
  <c r="AG191" i="39"/>
  <c r="AF191" i="39"/>
  <c r="AE191" i="39"/>
  <c r="AD191" i="39"/>
  <c r="AC191" i="39"/>
  <c r="AB191" i="39"/>
  <c r="AA191" i="39"/>
  <c r="Z191" i="39"/>
  <c r="Y191" i="39"/>
  <c r="X191" i="39"/>
  <c r="W191" i="39"/>
  <c r="Q191" i="39"/>
  <c r="R191" i="39" s="1"/>
  <c r="S191" i="39" s="1"/>
  <c r="AH190" i="39"/>
  <c r="AH195" i="39" s="1"/>
  <c r="AG190" i="39"/>
  <c r="AG195" i="39" s="1"/>
  <c r="AF190" i="39"/>
  <c r="AE190" i="39"/>
  <c r="AD190" i="39"/>
  <c r="AC190" i="39"/>
  <c r="AB190" i="39"/>
  <c r="AA190" i="39"/>
  <c r="Z190" i="39"/>
  <c r="Z195" i="39" s="1"/>
  <c r="Y190" i="39"/>
  <c r="Y195" i="39" s="1"/>
  <c r="X190" i="39"/>
  <c r="X195" i="39" s="1"/>
  <c r="W190" i="39"/>
  <c r="W195" i="39" s="1"/>
  <c r="Q190" i="39"/>
  <c r="R190" i="39" s="1"/>
  <c r="R189" i="39"/>
  <c r="Q189" i="39"/>
  <c r="Q188" i="39"/>
  <c r="R188" i="39" s="1"/>
  <c r="S188" i="39" s="1"/>
  <c r="Q185" i="39"/>
  <c r="R185" i="39" s="1"/>
  <c r="R184" i="39"/>
  <c r="Q184" i="39"/>
  <c r="Q183" i="39"/>
  <c r="R183" i="39" s="1"/>
  <c r="Q182" i="39"/>
  <c r="R182" i="39" s="1"/>
  <c r="N177" i="39"/>
  <c r="M177" i="39"/>
  <c r="L177" i="39"/>
  <c r="K177" i="39"/>
  <c r="J177" i="39"/>
  <c r="J178" i="39" s="1"/>
  <c r="I177" i="39"/>
  <c r="H177" i="39"/>
  <c r="G177" i="39"/>
  <c r="F177" i="39"/>
  <c r="D177" i="39"/>
  <c r="C177" i="39"/>
  <c r="B177" i="39"/>
  <c r="O165" i="39"/>
  <c r="N163" i="39"/>
  <c r="M163" i="39"/>
  <c r="L163" i="39"/>
  <c r="K163" i="39"/>
  <c r="J163" i="39"/>
  <c r="I163" i="39"/>
  <c r="H163" i="39"/>
  <c r="G163" i="39"/>
  <c r="F163" i="39"/>
  <c r="D163" i="39"/>
  <c r="D178" i="39" s="1"/>
  <c r="C163" i="39"/>
  <c r="B163" i="39"/>
  <c r="K160" i="39"/>
  <c r="J160" i="39"/>
  <c r="I160" i="39"/>
  <c r="N153" i="39"/>
  <c r="O153" i="39" s="1"/>
  <c r="P153" i="39" s="1"/>
  <c r="N145" i="39"/>
  <c r="O145" i="39" s="1"/>
  <c r="P145" i="39" s="1"/>
  <c r="N135" i="39"/>
  <c r="O135" i="39" s="1"/>
  <c r="P135" i="39" s="1"/>
  <c r="N124" i="39"/>
  <c r="O124" i="39" s="1"/>
  <c r="P124" i="39" s="1"/>
  <c r="N115" i="39"/>
  <c r="O115" i="39" s="1"/>
  <c r="P115" i="39" s="1"/>
  <c r="N105" i="39"/>
  <c r="O105" i="39" s="1"/>
  <c r="P105" i="39" s="1"/>
  <c r="P92" i="39"/>
  <c r="N90" i="39"/>
  <c r="O90" i="39" s="1"/>
  <c r="P90" i="39" s="1"/>
  <c r="N80" i="39"/>
  <c r="O80" i="39" s="1"/>
  <c r="N79" i="39"/>
  <c r="O79" i="39" s="1"/>
  <c r="N78" i="39"/>
  <c r="O78" i="39" s="1"/>
  <c r="N77" i="39"/>
  <c r="O77" i="39" s="1"/>
  <c r="N76" i="39"/>
  <c r="O76" i="39" s="1"/>
  <c r="N75" i="39"/>
  <c r="O75" i="39" s="1"/>
  <c r="N74" i="39"/>
  <c r="O74" i="39" s="1"/>
  <c r="N73" i="39"/>
  <c r="O73" i="39" s="1"/>
  <c r="N72" i="39"/>
  <c r="O72" i="39" s="1"/>
  <c r="N71" i="39"/>
  <c r="O71" i="39" s="1"/>
  <c r="N64" i="39"/>
  <c r="O64" i="39" s="1"/>
  <c r="P64" i="39" s="1"/>
  <c r="N49" i="39"/>
  <c r="O49" i="39" s="1"/>
  <c r="P49" i="39" s="1"/>
  <c r="P30" i="39"/>
  <c r="N30" i="39"/>
  <c r="N17" i="39"/>
  <c r="O17" i="39" s="1"/>
  <c r="N15" i="39"/>
  <c r="O15" i="39" s="1"/>
  <c r="N14" i="39"/>
  <c r="O14" i="39" s="1"/>
  <c r="P14" i="39" s="1"/>
  <c r="N11" i="39"/>
  <c r="O11" i="39" s="1"/>
  <c r="N9" i="39"/>
  <c r="O9" i="39" s="1"/>
  <c r="N7" i="39"/>
  <c r="O7" i="39" s="1"/>
  <c r="N5" i="39"/>
  <c r="O5" i="39" s="1"/>
  <c r="M1" i="39"/>
  <c r="K1" i="39"/>
  <c r="J1" i="39"/>
  <c r="H1" i="39"/>
  <c r="F1" i="39"/>
  <c r="C1" i="39"/>
  <c r="J79" i="1"/>
  <c r="G9" i="40"/>
  <c r="G10" i="40"/>
  <c r="G11" i="40"/>
  <c r="G12" i="40"/>
  <c r="G18" i="40"/>
  <c r="G13" i="40"/>
  <c r="G14" i="40"/>
  <c r="G15" i="40"/>
  <c r="E3" i="40"/>
  <c r="E4" i="40"/>
  <c r="E5" i="40"/>
  <c r="E6" i="40"/>
  <c r="E7" i="40"/>
  <c r="E8" i="40"/>
  <c r="E9" i="40"/>
  <c r="E10" i="40"/>
  <c r="E11" i="40"/>
  <c r="E12" i="40"/>
  <c r="E18" i="40"/>
  <c r="E13" i="40"/>
  <c r="E14" i="40"/>
  <c r="E15" i="40"/>
  <c r="I13" i="40" l="1"/>
  <c r="I18" i="40"/>
  <c r="I14" i="40"/>
  <c r="I12" i="40"/>
  <c r="I10" i="40"/>
  <c r="I11" i="40"/>
  <c r="I3" i="40"/>
  <c r="G9" i="38" s="1"/>
  <c r="I9" i="40"/>
  <c r="I8" i="40"/>
  <c r="I7" i="40"/>
  <c r="K178" i="39"/>
  <c r="B178" i="39"/>
  <c r="G178" i="39"/>
  <c r="AD195" i="39"/>
  <c r="AE195" i="39"/>
  <c r="I178" i="39"/>
  <c r="AF195" i="39"/>
  <c r="AA195" i="39"/>
  <c r="F178" i="39"/>
  <c r="AB195" i="39"/>
  <c r="AC195" i="39"/>
  <c r="M178" i="39"/>
  <c r="C178" i="39"/>
  <c r="N178" i="39"/>
  <c r="H178" i="39"/>
  <c r="L178" i="39"/>
  <c r="S182" i="39"/>
  <c r="T186" i="39"/>
  <c r="O177" i="39"/>
  <c r="P177" i="39" s="1"/>
  <c r="Q92" i="39"/>
  <c r="R92" i="39" s="1"/>
  <c r="R93" i="39" s="1"/>
  <c r="I6" i="40"/>
  <c r="I5" i="40"/>
  <c r="Q3" i="38"/>
  <c r="Q4" i="38"/>
  <c r="Q5" i="38"/>
  <c r="Q6" i="38"/>
  <c r="Q7" i="38"/>
  <c r="Q8" i="38"/>
  <c r="Q10" i="38"/>
  <c r="Q11" i="38"/>
  <c r="Q12" i="38"/>
  <c r="Q13" i="38"/>
  <c r="Q14" i="38"/>
  <c r="Q15" i="38"/>
  <c r="Q17" i="38"/>
  <c r="Q18" i="38"/>
  <c r="Q19" i="38"/>
  <c r="Q20" i="38"/>
  <c r="Q21" i="38"/>
  <c r="Q22" i="38"/>
  <c r="Q23" i="38"/>
  <c r="Q25" i="38"/>
  <c r="Q33" i="38"/>
  <c r="Q34" i="38"/>
  <c r="Q35" i="38"/>
  <c r="Q36" i="38"/>
  <c r="Q37" i="38"/>
  <c r="Q40" i="38"/>
  <c r="Q42" i="38"/>
  <c r="Q44" i="38"/>
  <c r="Q45" i="38"/>
  <c r="Q46" i="38"/>
  <c r="Q48" i="38"/>
  <c r="Q49" i="38"/>
  <c r="Q50" i="38"/>
  <c r="Q51" i="38"/>
  <c r="Q52" i="38"/>
  <c r="G2" i="40" l="1"/>
  <c r="J5" i="1"/>
  <c r="J6" i="1"/>
  <c r="J12" i="1"/>
  <c r="D2" i="40"/>
  <c r="E2" i="40" s="1"/>
  <c r="M47" i="38"/>
  <c r="Q47" i="38" s="1"/>
  <c r="M43" i="38"/>
  <c r="Q43" i="38" s="1"/>
  <c r="M41" i="38"/>
  <c r="Q41" i="38" s="1"/>
  <c r="AC147" i="1"/>
  <c r="AC148" i="1"/>
  <c r="AC149" i="1"/>
  <c r="AC150" i="1"/>
  <c r="AC139" i="1"/>
  <c r="M2" i="27"/>
  <c r="I2" i="40" l="1"/>
  <c r="G2" i="38" s="1"/>
  <c r="M39" i="38"/>
  <c r="Q39" i="38" s="1"/>
  <c r="Q38" i="38"/>
  <c r="M31" i="38"/>
  <c r="Q31" i="38" s="1"/>
  <c r="M30" i="38"/>
  <c r="Q30" i="38" s="1"/>
  <c r="M29" i="38"/>
  <c r="Q29" i="38" s="1"/>
  <c r="M28" i="38"/>
  <c r="Q28" i="38" s="1"/>
  <c r="M27" i="38"/>
  <c r="Q27" i="38" s="1"/>
  <c r="D41" i="4"/>
  <c r="Q26" i="38"/>
  <c r="Q24" i="38"/>
  <c r="Q16" i="38"/>
  <c r="Q9" i="38"/>
  <c r="AA318" i="1" l="1"/>
  <c r="AB318" i="1" s="1"/>
  <c r="AC318" i="1" s="1"/>
  <c r="AA317" i="1"/>
  <c r="AB317" i="1" s="1"/>
  <c r="AC317" i="1" s="1"/>
  <c r="AA316" i="1"/>
  <c r="AB316" i="1" s="1"/>
  <c r="AC316" i="1" s="1"/>
  <c r="AA315" i="1"/>
  <c r="AB315" i="1" s="1"/>
  <c r="AC315" i="1" s="1"/>
  <c r="AA314" i="1"/>
  <c r="AB314" i="1" s="1"/>
  <c r="AC314" i="1" s="1"/>
  <c r="AA313" i="1"/>
  <c r="AB313" i="1" s="1"/>
  <c r="AC313" i="1" s="1"/>
  <c r="AA312" i="1"/>
  <c r="AB312" i="1" s="1"/>
  <c r="AC312" i="1" s="1"/>
  <c r="AB311" i="1"/>
  <c r="AC311" i="1" s="1"/>
  <c r="AA311" i="1"/>
  <c r="AA310" i="1"/>
  <c r="AB310" i="1" s="1"/>
  <c r="AC310" i="1" s="1"/>
  <c r="AA309" i="1"/>
  <c r="AB309" i="1" s="1"/>
  <c r="AC309" i="1" s="1"/>
  <c r="AA308" i="1"/>
  <c r="AB308" i="1" s="1"/>
  <c r="AC308" i="1" s="1"/>
  <c r="AA307" i="1"/>
  <c r="AB307" i="1"/>
  <c r="AC307" i="1" s="1"/>
  <c r="X308" i="1"/>
  <c r="X309" i="1"/>
  <c r="X310" i="1"/>
  <c r="X311" i="1"/>
  <c r="X312" i="1"/>
  <c r="X313" i="1"/>
  <c r="X314" i="1"/>
  <c r="X315" i="1"/>
  <c r="X316" i="1"/>
  <c r="X317" i="1"/>
  <c r="X318" i="1"/>
  <c r="X307" i="1"/>
  <c r="W308" i="1"/>
  <c r="W309" i="1"/>
  <c r="W310" i="1"/>
  <c r="W311" i="1"/>
  <c r="W312" i="1"/>
  <c r="W313" i="1"/>
  <c r="W314" i="1"/>
  <c r="W315" i="1"/>
  <c r="W316" i="1"/>
  <c r="W317" i="1"/>
  <c r="W318" i="1"/>
  <c r="U308" i="1"/>
  <c r="U309" i="1"/>
  <c r="U310" i="1"/>
  <c r="U311" i="1"/>
  <c r="U312" i="1"/>
  <c r="U313" i="1"/>
  <c r="U314" i="1"/>
  <c r="U315" i="1"/>
  <c r="U316" i="1"/>
  <c r="U317" i="1"/>
  <c r="U318" i="1"/>
  <c r="U307" i="1"/>
  <c r="R224" i="1"/>
  <c r="R223" i="1"/>
  <c r="R222" i="1"/>
  <c r="R221" i="1"/>
  <c r="R220" i="1"/>
  <c r="R219" i="1"/>
  <c r="R218" i="1"/>
  <c r="R217" i="1"/>
  <c r="R216" i="1"/>
  <c r="R215" i="1"/>
  <c r="R214" i="1"/>
  <c r="Q224" i="1"/>
  <c r="Q223" i="1"/>
  <c r="Q222" i="1"/>
  <c r="Q221" i="1"/>
  <c r="Q220" i="1"/>
  <c r="Q219" i="1"/>
  <c r="Q218" i="1"/>
  <c r="Q217" i="1"/>
  <c r="Q216" i="1"/>
  <c r="Q215" i="1"/>
  <c r="Q214" i="1"/>
  <c r="R213" i="1"/>
  <c r="Q213" i="1"/>
  <c r="F258" i="4"/>
  <c r="J16" i="31"/>
  <c r="AH25" i="31" l="1"/>
  <c r="AE26" i="31"/>
  <c r="AE25" i="31"/>
  <c r="AD26" i="31"/>
  <c r="AN26" i="31"/>
  <c r="R16" i="31"/>
  <c r="H10" i="31"/>
  <c r="F10" i="31"/>
  <c r="J10" i="31"/>
  <c r="T207" i="1"/>
  <c r="T206" i="1"/>
  <c r="T205" i="1"/>
  <c r="T204" i="1"/>
  <c r="T202" i="1"/>
  <c r="T201" i="1"/>
  <c r="T200" i="1"/>
  <c r="S208" i="1"/>
  <c r="S207" i="1"/>
  <c r="S206" i="1"/>
  <c r="S205" i="1"/>
  <c r="S204" i="1"/>
  <c r="S203" i="1"/>
  <c r="S202" i="1"/>
  <c r="S201" i="1"/>
  <c r="S200" i="1"/>
  <c r="S199" i="1"/>
  <c r="S198" i="1"/>
  <c r="S197" i="1"/>
  <c r="R208" i="1"/>
  <c r="R207" i="1"/>
  <c r="R206" i="1"/>
  <c r="R205" i="1"/>
  <c r="R204" i="1"/>
  <c r="R202" i="1"/>
  <c r="R201" i="1"/>
  <c r="R200" i="1"/>
  <c r="AB27" i="31"/>
  <c r="AB16" i="31"/>
  <c r="AB15" i="31"/>
  <c r="AB14" i="31"/>
  <c r="AB13" i="31"/>
  <c r="AB12" i="31"/>
  <c r="AB11" i="31"/>
  <c r="AB10" i="31"/>
  <c r="AB9" i="31"/>
  <c r="AB26" i="31" s="1"/>
  <c r="AB28" i="31" s="1"/>
  <c r="AA16" i="31"/>
  <c r="AA15" i="31"/>
  <c r="AA14" i="31"/>
  <c r="AA13" i="31"/>
  <c r="AA12" i="31"/>
  <c r="AA11" i="31"/>
  <c r="AA10" i="31"/>
  <c r="AA9" i="31"/>
  <c r="Z27" i="31"/>
  <c r="X27" i="31"/>
  <c r="V27" i="31"/>
  <c r="T27" i="31"/>
  <c r="T10" i="31"/>
  <c r="R27" i="31"/>
  <c r="P27" i="31"/>
  <c r="N27" i="31"/>
  <c r="N16" i="31"/>
  <c r="N15" i="31"/>
  <c r="N14" i="31"/>
  <c r="N13" i="31"/>
  <c r="N12" i="31"/>
  <c r="N9" i="31"/>
  <c r="L27" i="31"/>
  <c r="L12" i="31"/>
  <c r="L10" i="31"/>
  <c r="L9" i="31"/>
  <c r="J27" i="31"/>
  <c r="J11" i="31"/>
  <c r="H27" i="31"/>
  <c r="H16" i="31"/>
  <c r="H15" i="31"/>
  <c r="Y16" i="31"/>
  <c r="Z16" i="31" s="1"/>
  <c r="Y15" i="31"/>
  <c r="Z15" i="31" s="1"/>
  <c r="Y14" i="31"/>
  <c r="Z14" i="31" s="1"/>
  <c r="Y13" i="31"/>
  <c r="Z13" i="31" s="1"/>
  <c r="Y12" i="31"/>
  <c r="Z12" i="31" s="1"/>
  <c r="Y11" i="31"/>
  <c r="Z11" i="31" s="1"/>
  <c r="Y10" i="31"/>
  <c r="Z10" i="31" s="1"/>
  <c r="Y9" i="31"/>
  <c r="Z9" i="31" s="1"/>
  <c r="W16" i="31"/>
  <c r="X16" i="31" s="1"/>
  <c r="W15" i="31"/>
  <c r="X15" i="31" s="1"/>
  <c r="W14" i="31"/>
  <c r="X14" i="31" s="1"/>
  <c r="W13" i="31"/>
  <c r="X13" i="31" s="1"/>
  <c r="W12" i="31"/>
  <c r="X12" i="31" s="1"/>
  <c r="W11" i="31"/>
  <c r="X11" i="31" s="1"/>
  <c r="W10" i="31"/>
  <c r="X10" i="31" s="1"/>
  <c r="W9" i="31"/>
  <c r="X9" i="31" s="1"/>
  <c r="U16" i="31"/>
  <c r="V16" i="31" s="1"/>
  <c r="U15" i="31"/>
  <c r="V15" i="31" s="1"/>
  <c r="U14" i="31"/>
  <c r="V14" i="31" s="1"/>
  <c r="U13" i="31"/>
  <c r="V13" i="31" s="1"/>
  <c r="U12" i="31"/>
  <c r="V12" i="31" s="1"/>
  <c r="U11" i="31"/>
  <c r="V11" i="31" s="1"/>
  <c r="U10" i="31"/>
  <c r="V10" i="31" s="1"/>
  <c r="U9" i="31"/>
  <c r="V9" i="31" s="1"/>
  <c r="S16" i="31"/>
  <c r="T16" i="31" s="1"/>
  <c r="S15" i="31"/>
  <c r="T15" i="31" s="1"/>
  <c r="S14" i="31"/>
  <c r="T14" i="31" s="1"/>
  <c r="S13" i="31"/>
  <c r="T13" i="31" s="1"/>
  <c r="S12" i="31"/>
  <c r="T12" i="31" s="1"/>
  <c r="S11" i="31"/>
  <c r="T11" i="31" s="1"/>
  <c r="S10" i="31"/>
  <c r="S9" i="31"/>
  <c r="T9" i="31" s="1"/>
  <c r="Q16" i="31"/>
  <c r="Q15" i="31"/>
  <c r="R15" i="31" s="1"/>
  <c r="Q14" i="31"/>
  <c r="R14" i="31" s="1"/>
  <c r="Q13" i="31"/>
  <c r="R13" i="31" s="1"/>
  <c r="Q12" i="31"/>
  <c r="R12" i="31" s="1"/>
  <c r="Q11" i="31"/>
  <c r="R11" i="31" s="1"/>
  <c r="Q10" i="31"/>
  <c r="R10" i="31" s="1"/>
  <c r="Q9" i="31"/>
  <c r="R9" i="31" s="1"/>
  <c r="O16" i="31"/>
  <c r="P16" i="31" s="1"/>
  <c r="O15" i="31"/>
  <c r="P15" i="31" s="1"/>
  <c r="O14" i="31"/>
  <c r="P14" i="31" s="1"/>
  <c r="O13" i="31"/>
  <c r="P13" i="31" s="1"/>
  <c r="O12" i="31"/>
  <c r="P12" i="31" s="1"/>
  <c r="O11" i="31"/>
  <c r="P11" i="31" s="1"/>
  <c r="O10" i="31"/>
  <c r="P10" i="31" s="1"/>
  <c r="O9" i="31"/>
  <c r="P9" i="31" s="1"/>
  <c r="P26" i="31" s="1"/>
  <c r="P28" i="31" s="1"/>
  <c r="M16" i="31"/>
  <c r="M15" i="31"/>
  <c r="M14" i="31"/>
  <c r="M13" i="31"/>
  <c r="M12" i="31"/>
  <c r="M11" i="31"/>
  <c r="N11" i="31" s="1"/>
  <c r="M10" i="31"/>
  <c r="N10" i="31" s="1"/>
  <c r="M9" i="31"/>
  <c r="K16" i="31"/>
  <c r="L16" i="31" s="1"/>
  <c r="K15" i="31"/>
  <c r="L15" i="31" s="1"/>
  <c r="K14" i="31"/>
  <c r="L14" i="31" s="1"/>
  <c r="K13" i="31"/>
  <c r="L13" i="31" s="1"/>
  <c r="K12" i="31"/>
  <c r="K11" i="31"/>
  <c r="L11" i="31" s="1"/>
  <c r="K10" i="31"/>
  <c r="K9" i="31"/>
  <c r="E12" i="31"/>
  <c r="F12" i="31" s="1"/>
  <c r="I10" i="31"/>
  <c r="I11" i="31"/>
  <c r="I12" i="31"/>
  <c r="J12" i="31" s="1"/>
  <c r="I13" i="31"/>
  <c r="J13" i="31" s="1"/>
  <c r="I14" i="31"/>
  <c r="J14" i="31" s="1"/>
  <c r="I15" i="31"/>
  <c r="J15" i="31" s="1"/>
  <c r="I16" i="31"/>
  <c r="I16" i="25"/>
  <c r="I13" i="25"/>
  <c r="I9" i="31"/>
  <c r="J9" i="31" s="1"/>
  <c r="G16" i="31"/>
  <c r="E10" i="31"/>
  <c r="G9" i="31"/>
  <c r="H9" i="31" s="1"/>
  <c r="E9" i="31"/>
  <c r="F9" i="31" s="1"/>
  <c r="G15" i="31"/>
  <c r="G14" i="31"/>
  <c r="H14" i="31" s="1"/>
  <c r="G13" i="31"/>
  <c r="H13" i="31" s="1"/>
  <c r="G12" i="31"/>
  <c r="H12" i="31" s="1"/>
  <c r="G11" i="31"/>
  <c r="H11" i="31" s="1"/>
  <c r="G10" i="31"/>
  <c r="G10" i="25"/>
  <c r="AB25" i="31" l="1"/>
  <c r="V26" i="31"/>
  <c r="V28" i="31" s="1"/>
  <c r="R26" i="31"/>
  <c r="X26" i="31"/>
  <c r="X28" i="31" s="1"/>
  <c r="J26" i="31"/>
  <c r="H26" i="31"/>
  <c r="L26" i="31"/>
  <c r="L28" i="31" s="1"/>
  <c r="T26" i="31"/>
  <c r="T28" i="31" s="1"/>
  <c r="Z26" i="31"/>
  <c r="Z28" i="31" s="1"/>
  <c r="N25" i="31"/>
  <c r="Z25" i="31"/>
  <c r="X25" i="31"/>
  <c r="V25" i="31"/>
  <c r="T25" i="31"/>
  <c r="R25" i="31"/>
  <c r="P25" i="31"/>
  <c r="N26" i="31"/>
  <c r="N28" i="31" s="1"/>
  <c r="L25" i="31"/>
  <c r="J25" i="31"/>
  <c r="H25" i="31"/>
  <c r="F27" i="31"/>
  <c r="E16" i="31"/>
  <c r="F16" i="31" s="1"/>
  <c r="E15" i="31"/>
  <c r="F15" i="31" s="1"/>
  <c r="E14" i="31"/>
  <c r="F14" i="31" s="1"/>
  <c r="E13" i="31"/>
  <c r="F13" i="31" s="1"/>
  <c r="E11" i="31"/>
  <c r="F11" i="31" s="1"/>
  <c r="AC146" i="1"/>
  <c r="AC145" i="1"/>
  <c r="AC144" i="1"/>
  <c r="AC143" i="1"/>
  <c r="AC142" i="1"/>
  <c r="AC141" i="1"/>
  <c r="AC140" i="1"/>
  <c r="AC163" i="1"/>
  <c r="AC162" i="1"/>
  <c r="AC161" i="1"/>
  <c r="AC160" i="1"/>
  <c r="AC159" i="1"/>
  <c r="AC158" i="1"/>
  <c r="AC157" i="1"/>
  <c r="AC156" i="1"/>
  <c r="AC155" i="1"/>
  <c r="AC154" i="1"/>
  <c r="AC153" i="1"/>
  <c r="AC152" i="1"/>
  <c r="R28" i="31" l="1"/>
  <c r="R203" i="1"/>
  <c r="T203" i="1" s="1"/>
  <c r="J28" i="31"/>
  <c r="R199" i="1"/>
  <c r="T199" i="1" s="1"/>
  <c r="H28" i="31"/>
  <c r="R198" i="1"/>
  <c r="T198" i="1" s="1"/>
  <c r="F25" i="31"/>
  <c r="F26" i="31"/>
  <c r="R197" i="1" s="1"/>
  <c r="AC368" i="1"/>
  <c r="AC369" i="1"/>
  <c r="AC370" i="1"/>
  <c r="AC367" i="1"/>
  <c r="AC371" i="1"/>
  <c r="AC372" i="1"/>
  <c r="AC373" i="1"/>
  <c r="AC374" i="1"/>
  <c r="AC375" i="1"/>
  <c r="AC376" i="1"/>
  <c r="AC377" i="1"/>
  <c r="AC378" i="1"/>
  <c r="X368" i="1"/>
  <c r="X369" i="1"/>
  <c r="AA369" i="1" s="1"/>
  <c r="X370" i="1"/>
  <c r="X371" i="1"/>
  <c r="X372" i="1"/>
  <c r="X373" i="1"/>
  <c r="X374" i="1"/>
  <c r="X375" i="1"/>
  <c r="AA375" i="1" s="1"/>
  <c r="X376" i="1"/>
  <c r="X377" i="1"/>
  <c r="X378" i="1"/>
  <c r="AA378" i="1" s="1"/>
  <c r="X367" i="1"/>
  <c r="U378" i="1"/>
  <c r="U377" i="1"/>
  <c r="U376" i="1"/>
  <c r="U375" i="1"/>
  <c r="U374" i="1"/>
  <c r="AA374" i="1" s="1"/>
  <c r="U373" i="1"/>
  <c r="AA373" i="1" s="1"/>
  <c r="AA372" i="1"/>
  <c r="U372" i="1"/>
  <c r="U371" i="1"/>
  <c r="AA371" i="1" s="1"/>
  <c r="U370" i="1"/>
  <c r="AA370" i="1" s="1"/>
  <c r="U369" i="1"/>
  <c r="U368" i="1"/>
  <c r="AA368" i="1" s="1"/>
  <c r="AA367" i="1"/>
  <c r="U367" i="1"/>
  <c r="W348" i="1"/>
  <c r="W347" i="1"/>
  <c r="W346" i="1"/>
  <c r="W345" i="1"/>
  <c r="W344" i="1"/>
  <c r="W343" i="1"/>
  <c r="W342" i="1"/>
  <c r="W341" i="1"/>
  <c r="W340" i="1"/>
  <c r="W339" i="1"/>
  <c r="W338" i="1"/>
  <c r="W363" i="1"/>
  <c r="W362" i="1"/>
  <c r="W361" i="1"/>
  <c r="W360" i="1"/>
  <c r="W359" i="1"/>
  <c r="W358" i="1"/>
  <c r="W357" i="1"/>
  <c r="W356" i="1"/>
  <c r="W355" i="1"/>
  <c r="W354" i="1"/>
  <c r="W353" i="1"/>
  <c r="P231" i="1"/>
  <c r="J192" i="4"/>
  <c r="AF156" i="1"/>
  <c r="AF155" i="1"/>
  <c r="AF154" i="1"/>
  <c r="X153" i="1"/>
  <c r="X154" i="1"/>
  <c r="X155" i="1"/>
  <c r="X156" i="1"/>
  <c r="X157" i="1"/>
  <c r="X158" i="1"/>
  <c r="X159" i="1"/>
  <c r="X160" i="1"/>
  <c r="X161" i="1"/>
  <c r="X162" i="1"/>
  <c r="X163" i="1"/>
  <c r="X152" i="1"/>
  <c r="U153" i="1"/>
  <c r="U154" i="1"/>
  <c r="U155" i="1"/>
  <c r="U156" i="1"/>
  <c r="U157" i="1"/>
  <c r="U158" i="1"/>
  <c r="U159" i="1"/>
  <c r="U160" i="1"/>
  <c r="U161" i="1"/>
  <c r="U162" i="1"/>
  <c r="U163" i="1"/>
  <c r="U150" i="1"/>
  <c r="U152" i="1"/>
  <c r="AA150" i="1"/>
  <c r="AB150" i="1" s="1"/>
  <c r="AA149" i="1"/>
  <c r="AB149" i="1" s="1"/>
  <c r="AA148" i="1"/>
  <c r="AB148" i="1" s="1"/>
  <c r="AA147" i="1"/>
  <c r="AB147" i="1" s="1"/>
  <c r="AA146" i="1"/>
  <c r="AB146" i="1" s="1"/>
  <c r="AA145" i="1"/>
  <c r="AB145" i="1" s="1"/>
  <c r="AA144" i="1"/>
  <c r="AB144" i="1" s="1"/>
  <c r="AA143" i="1"/>
  <c r="AB143" i="1" s="1"/>
  <c r="AA142" i="1"/>
  <c r="AB142" i="1" s="1"/>
  <c r="AA141" i="1"/>
  <c r="AB141" i="1" s="1"/>
  <c r="AA140" i="1"/>
  <c r="AB140" i="1" s="1"/>
  <c r="AA139" i="1"/>
  <c r="AB139" i="1" s="1"/>
  <c r="X150" i="1"/>
  <c r="X149" i="1"/>
  <c r="X148" i="1"/>
  <c r="X147" i="1"/>
  <c r="X146" i="1"/>
  <c r="X145" i="1"/>
  <c r="X144" i="1"/>
  <c r="X143" i="1"/>
  <c r="X142" i="1"/>
  <c r="X139" i="1"/>
  <c r="X140" i="1"/>
  <c r="X141" i="1"/>
  <c r="U149" i="1"/>
  <c r="U148" i="1"/>
  <c r="U147" i="1"/>
  <c r="U146" i="1"/>
  <c r="U145" i="1"/>
  <c r="U144" i="1"/>
  <c r="U143" i="1"/>
  <c r="U142" i="1"/>
  <c r="U141" i="1"/>
  <c r="U140" i="1"/>
  <c r="U139" i="1"/>
  <c r="O28" i="33"/>
  <c r="P28" i="33"/>
  <c r="P27" i="33"/>
  <c r="O27" i="33"/>
  <c r="N34" i="33"/>
  <c r="B37" i="33"/>
  <c r="B40" i="33"/>
  <c r="B22" i="33"/>
  <c r="B52" i="33"/>
  <c r="B53" i="33"/>
  <c r="B54" i="33"/>
  <c r="B63" i="33" s="1"/>
  <c r="B55" i="33"/>
  <c r="B56" i="33"/>
  <c r="B57" i="33"/>
  <c r="B58" i="33"/>
  <c r="B59" i="33"/>
  <c r="B60" i="33"/>
  <c r="B61" i="33"/>
  <c r="B62" i="33"/>
  <c r="B38" i="33"/>
  <c r="C38" i="33"/>
  <c r="D38" i="33"/>
  <c r="E38" i="33"/>
  <c r="F38" i="33"/>
  <c r="G38" i="33"/>
  <c r="H38" i="33"/>
  <c r="I38" i="33"/>
  <c r="J38" i="33"/>
  <c r="K38" i="33"/>
  <c r="L38" i="33"/>
  <c r="M38" i="33"/>
  <c r="B39" i="33"/>
  <c r="C39" i="33"/>
  <c r="D39" i="33"/>
  <c r="E39" i="33"/>
  <c r="F39" i="33"/>
  <c r="G39" i="33"/>
  <c r="H39" i="33"/>
  <c r="I39" i="33"/>
  <c r="J39" i="33"/>
  <c r="K39" i="33"/>
  <c r="L39" i="33"/>
  <c r="M39" i="33"/>
  <c r="C40" i="33"/>
  <c r="D40" i="33"/>
  <c r="E40" i="33"/>
  <c r="F40" i="33"/>
  <c r="G40" i="33"/>
  <c r="H40" i="33"/>
  <c r="I40" i="33"/>
  <c r="J40" i="33"/>
  <c r="K40" i="33"/>
  <c r="L40" i="33"/>
  <c r="M40" i="33"/>
  <c r="B41" i="33"/>
  <c r="C41" i="33"/>
  <c r="D41" i="33"/>
  <c r="E41" i="33"/>
  <c r="F41" i="33"/>
  <c r="G41" i="33"/>
  <c r="H41" i="33"/>
  <c r="I41" i="33"/>
  <c r="J41" i="33"/>
  <c r="K41" i="33"/>
  <c r="L41" i="33"/>
  <c r="M41" i="33"/>
  <c r="B42" i="33"/>
  <c r="C42" i="33"/>
  <c r="D42" i="33"/>
  <c r="E42" i="33"/>
  <c r="F42" i="33"/>
  <c r="G42" i="33"/>
  <c r="H42" i="33"/>
  <c r="I42" i="33"/>
  <c r="J42" i="33"/>
  <c r="K42" i="33"/>
  <c r="L42" i="33"/>
  <c r="M42" i="33"/>
  <c r="B43" i="33"/>
  <c r="C43" i="33"/>
  <c r="D43" i="33"/>
  <c r="E43" i="33"/>
  <c r="F43" i="33"/>
  <c r="G43" i="33"/>
  <c r="H43" i="33"/>
  <c r="I43" i="33"/>
  <c r="J43" i="33"/>
  <c r="K43" i="33"/>
  <c r="L43" i="33"/>
  <c r="M43" i="33"/>
  <c r="B44" i="33"/>
  <c r="C44" i="33"/>
  <c r="D44" i="33"/>
  <c r="E44" i="33"/>
  <c r="F44" i="33"/>
  <c r="G44" i="33"/>
  <c r="H44" i="33"/>
  <c r="I44" i="33"/>
  <c r="J44" i="33"/>
  <c r="K44" i="33"/>
  <c r="L44" i="33"/>
  <c r="M44" i="33"/>
  <c r="B45" i="33"/>
  <c r="C45" i="33"/>
  <c r="D45" i="33"/>
  <c r="E45" i="33"/>
  <c r="F45" i="33"/>
  <c r="G45" i="33"/>
  <c r="H45" i="33"/>
  <c r="I45" i="33"/>
  <c r="J45" i="33"/>
  <c r="K45" i="33"/>
  <c r="L45" i="33"/>
  <c r="M45" i="33"/>
  <c r="B46" i="33"/>
  <c r="C46" i="33"/>
  <c r="D46" i="33"/>
  <c r="E46" i="33"/>
  <c r="F46" i="33"/>
  <c r="G46" i="33"/>
  <c r="H46" i="33"/>
  <c r="I46" i="33"/>
  <c r="J46" i="33"/>
  <c r="K46" i="33"/>
  <c r="L46" i="33"/>
  <c r="M46" i="33"/>
  <c r="B47" i="33"/>
  <c r="C47" i="33"/>
  <c r="D47" i="33"/>
  <c r="E47" i="33"/>
  <c r="F47" i="33"/>
  <c r="G47" i="33"/>
  <c r="H47" i="33"/>
  <c r="I47" i="33"/>
  <c r="J47" i="33"/>
  <c r="K47" i="33"/>
  <c r="L47" i="33"/>
  <c r="M47" i="33"/>
  <c r="B48" i="33"/>
  <c r="C48" i="33"/>
  <c r="D48" i="33"/>
  <c r="E48" i="33"/>
  <c r="F48" i="33"/>
  <c r="G48" i="33"/>
  <c r="H48" i="33"/>
  <c r="I48" i="33"/>
  <c r="J48" i="33"/>
  <c r="K48" i="33"/>
  <c r="L48" i="33"/>
  <c r="M48" i="33"/>
  <c r="C37" i="33"/>
  <c r="D37" i="33"/>
  <c r="E37" i="33"/>
  <c r="F37" i="33"/>
  <c r="G37" i="33"/>
  <c r="H37" i="33"/>
  <c r="I37" i="33"/>
  <c r="J37" i="33"/>
  <c r="K37" i="33"/>
  <c r="L37" i="33"/>
  <c r="M37" i="33"/>
  <c r="N63" i="33"/>
  <c r="M58" i="33"/>
  <c r="L58" i="33"/>
  <c r="K58" i="33"/>
  <c r="J58" i="33"/>
  <c r="I58" i="33"/>
  <c r="H58" i="33"/>
  <c r="G58" i="33"/>
  <c r="F58" i="33"/>
  <c r="E58" i="33"/>
  <c r="D58" i="33"/>
  <c r="C58" i="33"/>
  <c r="M57" i="33"/>
  <c r="L57" i="33"/>
  <c r="K57" i="33"/>
  <c r="J57" i="33"/>
  <c r="I57" i="33"/>
  <c r="H57" i="33"/>
  <c r="G57" i="33"/>
  <c r="F57" i="33"/>
  <c r="E57" i="33"/>
  <c r="D57" i="33"/>
  <c r="C57" i="33"/>
  <c r="O16" i="33"/>
  <c r="AC93" i="1"/>
  <c r="W90" i="1"/>
  <c r="W89" i="1"/>
  <c r="W88" i="1"/>
  <c r="W87" i="1"/>
  <c r="W86" i="1"/>
  <c r="W85" i="1"/>
  <c r="W84" i="1"/>
  <c r="W83" i="1"/>
  <c r="W82" i="1"/>
  <c r="W81" i="1"/>
  <c r="W80" i="1"/>
  <c r="T197" i="1" l="1"/>
  <c r="F28" i="31"/>
  <c r="AA376" i="1"/>
  <c r="AA377" i="1"/>
  <c r="P29" i="33"/>
  <c r="W75" i="1"/>
  <c r="W74" i="1"/>
  <c r="W73" i="1"/>
  <c r="W72" i="1"/>
  <c r="W71" i="1"/>
  <c r="W70" i="1"/>
  <c r="W69" i="1"/>
  <c r="W68" i="1"/>
  <c r="W67" i="1"/>
  <c r="W66" i="1"/>
  <c r="W65" i="1"/>
  <c r="W60" i="1"/>
  <c r="W59" i="1"/>
  <c r="W58" i="1"/>
  <c r="W57" i="1"/>
  <c r="W56" i="1"/>
  <c r="W55" i="1"/>
  <c r="W54" i="1"/>
  <c r="W53" i="1"/>
  <c r="W52" i="1"/>
  <c r="W51" i="1"/>
  <c r="W50" i="1"/>
  <c r="Z44" i="1"/>
  <c r="Z43" i="1"/>
  <c r="Z42" i="1"/>
  <c r="Z41" i="1"/>
  <c r="Z40" i="1"/>
  <c r="Z39" i="1"/>
  <c r="Z38" i="1"/>
  <c r="Z37" i="1"/>
  <c r="Z36" i="1"/>
  <c r="Z35" i="1"/>
  <c r="Z34" i="1"/>
  <c r="Z33" i="1"/>
  <c r="W44" i="1"/>
  <c r="W43" i="1"/>
  <c r="W42" i="1"/>
  <c r="W41" i="1"/>
  <c r="W40" i="1"/>
  <c r="W39" i="1"/>
  <c r="W38" i="1"/>
  <c r="W37" i="1"/>
  <c r="W36" i="1"/>
  <c r="W35" i="1"/>
  <c r="W34" i="1"/>
  <c r="V44" i="1"/>
  <c r="V43" i="1"/>
  <c r="V42" i="1"/>
  <c r="V41" i="1"/>
  <c r="V40" i="1"/>
  <c r="V39" i="1"/>
  <c r="V38" i="1"/>
  <c r="V37" i="1"/>
  <c r="V36" i="1"/>
  <c r="V35" i="1"/>
  <c r="V34" i="1"/>
  <c r="V33" i="1"/>
  <c r="W33" i="1"/>
  <c r="W29" i="1"/>
  <c r="W28" i="1"/>
  <c r="W27" i="1"/>
  <c r="W26" i="1"/>
  <c r="W25" i="1"/>
  <c r="W24" i="1"/>
  <c r="W23" i="1"/>
  <c r="W22" i="1"/>
  <c r="W21" i="1"/>
  <c r="W20" i="1"/>
  <c r="W19" i="1"/>
  <c r="W15" i="1"/>
  <c r="W14" i="1"/>
  <c r="W13" i="1"/>
  <c r="W12" i="1"/>
  <c r="W11" i="1"/>
  <c r="W10" i="1"/>
  <c r="W9" i="1"/>
  <c r="W8" i="1"/>
  <c r="W7" i="1"/>
  <c r="W6" i="1"/>
  <c r="W5" i="1"/>
  <c r="W18" i="1"/>
  <c r="W352" i="1" l="1"/>
  <c r="W337" i="1"/>
  <c r="W322" i="1"/>
  <c r="W307" i="1"/>
  <c r="W79" i="1"/>
  <c r="W64" i="1"/>
  <c r="W49" i="1"/>
  <c r="AH36" i="1"/>
  <c r="AG36" i="1"/>
  <c r="AI35" i="1"/>
  <c r="AJ35" i="1" s="1"/>
  <c r="AI34" i="1"/>
  <c r="AJ34" i="1" s="1"/>
  <c r="AI33" i="1"/>
  <c r="AJ33" i="1" s="1"/>
  <c r="AH30" i="1"/>
  <c r="AH29" i="1"/>
  <c r="AH28" i="1"/>
  <c r="AH27" i="1"/>
  <c r="AH26" i="1"/>
  <c r="AH25" i="1"/>
  <c r="AH24" i="1"/>
  <c r="AH11" i="1"/>
  <c r="AH10" i="1"/>
  <c r="AH9" i="1"/>
  <c r="AH8" i="1"/>
  <c r="AH7" i="1"/>
  <c r="AH6" i="1"/>
  <c r="AH5" i="1"/>
  <c r="AH4" i="1"/>
  <c r="W4" i="1"/>
  <c r="AJ36" i="1" l="1"/>
  <c r="AJ37" i="1" s="1"/>
  <c r="K31" i="36"/>
  <c r="H31" i="36"/>
  <c r="D169" i="1" l="1"/>
  <c r="G169" i="1"/>
  <c r="D170" i="1"/>
  <c r="G170" i="1"/>
  <c r="D171" i="1"/>
  <c r="G171" i="1"/>
  <c r="D172" i="1"/>
  <c r="G172" i="1"/>
  <c r="D173" i="1"/>
  <c r="G173" i="1"/>
  <c r="D174" i="1"/>
  <c r="G174" i="1"/>
  <c r="D175" i="1"/>
  <c r="G175" i="1"/>
  <c r="D176" i="1"/>
  <c r="G176" i="1"/>
  <c r="D177" i="1"/>
  <c r="G177" i="1"/>
  <c r="D178" i="1"/>
  <c r="G178" i="1"/>
  <c r="D179" i="1"/>
  <c r="G179" i="1"/>
  <c r="G168" i="1"/>
  <c r="D168" i="1"/>
  <c r="H34" i="37"/>
  <c r="H32" i="37"/>
  <c r="H4" i="37"/>
  <c r="H265" i="36"/>
  <c r="G357" i="1" s="1"/>
  <c r="D353" i="1"/>
  <c r="E353" i="1"/>
  <c r="F353" i="1"/>
  <c r="G353" i="1"/>
  <c r="D354" i="1"/>
  <c r="E354" i="1"/>
  <c r="F354" i="1"/>
  <c r="G354" i="1"/>
  <c r="D355" i="1"/>
  <c r="E355" i="1"/>
  <c r="F355" i="1"/>
  <c r="G355" i="1"/>
  <c r="D356" i="1"/>
  <c r="E356" i="1"/>
  <c r="F356" i="1"/>
  <c r="G356" i="1"/>
  <c r="D357" i="1"/>
  <c r="E357" i="1"/>
  <c r="F357" i="1"/>
  <c r="D358" i="1"/>
  <c r="E358" i="1"/>
  <c r="F358" i="1"/>
  <c r="G358" i="1"/>
  <c r="D359" i="1"/>
  <c r="E359" i="1"/>
  <c r="F359" i="1"/>
  <c r="G359" i="1"/>
  <c r="D360" i="1"/>
  <c r="E360" i="1"/>
  <c r="F360" i="1"/>
  <c r="G360" i="1"/>
  <c r="D361" i="1"/>
  <c r="E361" i="1"/>
  <c r="F361" i="1"/>
  <c r="G361" i="1"/>
  <c r="D362" i="1"/>
  <c r="E362" i="1"/>
  <c r="F362" i="1"/>
  <c r="D363" i="1"/>
  <c r="E363" i="1"/>
  <c r="F363" i="1"/>
  <c r="G363" i="1"/>
  <c r="G352" i="1"/>
  <c r="F352" i="1"/>
  <c r="E352" i="1"/>
  <c r="L265" i="36"/>
  <c r="K265" i="36"/>
  <c r="L255" i="36"/>
  <c r="L256" i="36"/>
  <c r="L257" i="36"/>
  <c r="L258" i="36"/>
  <c r="L259" i="36"/>
  <c r="L260" i="36"/>
  <c r="L261" i="36"/>
  <c r="L262" i="36"/>
  <c r="L263" i="36"/>
  <c r="L264" i="36"/>
  <c r="L254" i="36"/>
  <c r="D352" i="1"/>
  <c r="G348" i="1"/>
  <c r="F348" i="1"/>
  <c r="E348" i="1"/>
  <c r="D348" i="1"/>
  <c r="G347" i="1"/>
  <c r="F347" i="1"/>
  <c r="E347" i="1"/>
  <c r="D347" i="1"/>
  <c r="G346" i="1"/>
  <c r="F346" i="1"/>
  <c r="E346" i="1"/>
  <c r="D346" i="1"/>
  <c r="G345" i="1"/>
  <c r="F345" i="1"/>
  <c r="E345" i="1"/>
  <c r="D345" i="1"/>
  <c r="G344" i="1"/>
  <c r="F344" i="1"/>
  <c r="E344" i="1"/>
  <c r="D344" i="1"/>
  <c r="G343" i="1"/>
  <c r="F343" i="1"/>
  <c r="E343" i="1"/>
  <c r="D343" i="1"/>
  <c r="G342" i="1"/>
  <c r="F342" i="1"/>
  <c r="E342" i="1"/>
  <c r="D342" i="1"/>
  <c r="G341" i="1"/>
  <c r="F341" i="1"/>
  <c r="E341" i="1"/>
  <c r="D341" i="1"/>
  <c r="G340" i="1"/>
  <c r="F340" i="1"/>
  <c r="E340" i="1"/>
  <c r="D340" i="1"/>
  <c r="G339" i="1"/>
  <c r="F339" i="1"/>
  <c r="E339" i="1"/>
  <c r="D339" i="1"/>
  <c r="G338" i="1"/>
  <c r="F338" i="1"/>
  <c r="E338" i="1"/>
  <c r="D338" i="1"/>
  <c r="F337" i="1"/>
  <c r="G337" i="1"/>
  <c r="E337" i="1"/>
  <c r="L238" i="36"/>
  <c r="L228" i="36"/>
  <c r="L229" i="36"/>
  <c r="L230" i="36"/>
  <c r="L231" i="36"/>
  <c r="L232" i="36"/>
  <c r="L233" i="36"/>
  <c r="L234" i="36"/>
  <c r="L235" i="36"/>
  <c r="L236" i="36"/>
  <c r="L237" i="36"/>
  <c r="L227" i="36"/>
  <c r="D337" i="1"/>
  <c r="B239" i="36"/>
  <c r="K228" i="36"/>
  <c r="K229" i="36"/>
  <c r="K230" i="36"/>
  <c r="K231" i="36"/>
  <c r="K232" i="36"/>
  <c r="K233" i="36"/>
  <c r="K234" i="36"/>
  <c r="K235" i="36"/>
  <c r="K236" i="36"/>
  <c r="K237" i="36"/>
  <c r="K227" i="36"/>
  <c r="K238" i="36"/>
  <c r="H238" i="36"/>
  <c r="B238" i="36"/>
  <c r="I227" i="36"/>
  <c r="I228" i="36" s="1"/>
  <c r="I229" i="36" s="1"/>
  <c r="F238" i="36"/>
  <c r="F241" i="36" s="1"/>
  <c r="G237" i="36"/>
  <c r="G236" i="36"/>
  <c r="G235" i="36"/>
  <c r="G234" i="36"/>
  <c r="G233" i="36"/>
  <c r="G232" i="36"/>
  <c r="G231" i="36"/>
  <c r="G230" i="36"/>
  <c r="G229" i="36"/>
  <c r="H228" i="36"/>
  <c r="H229" i="36" s="1"/>
  <c r="G228" i="36"/>
  <c r="H227" i="36"/>
  <c r="G227" i="36"/>
  <c r="E225" i="36"/>
  <c r="G225" i="36" s="1"/>
  <c r="F221" i="36"/>
  <c r="F222" i="36" s="1"/>
  <c r="G222" i="36" s="1"/>
  <c r="D308" i="1"/>
  <c r="E308" i="1"/>
  <c r="F308" i="1"/>
  <c r="H308" i="1"/>
  <c r="D309" i="1"/>
  <c r="E309" i="1"/>
  <c r="F309" i="1"/>
  <c r="H309" i="1"/>
  <c r="D310" i="1"/>
  <c r="E310" i="1"/>
  <c r="F310" i="1"/>
  <c r="H310" i="1"/>
  <c r="D311" i="1"/>
  <c r="E311" i="1"/>
  <c r="F311" i="1"/>
  <c r="H311" i="1"/>
  <c r="D312" i="1"/>
  <c r="E312" i="1"/>
  <c r="F312" i="1"/>
  <c r="H312" i="1"/>
  <c r="D313" i="1"/>
  <c r="E313" i="1"/>
  <c r="F313" i="1"/>
  <c r="H313" i="1"/>
  <c r="D314" i="1"/>
  <c r="E314" i="1"/>
  <c r="F314" i="1"/>
  <c r="H314" i="1"/>
  <c r="D315" i="1"/>
  <c r="E315" i="1"/>
  <c r="F315" i="1"/>
  <c r="H315" i="1"/>
  <c r="D316" i="1"/>
  <c r="E316" i="1"/>
  <c r="F316" i="1"/>
  <c r="H316" i="1"/>
  <c r="D317" i="1"/>
  <c r="E317" i="1"/>
  <c r="F317" i="1"/>
  <c r="H317" i="1"/>
  <c r="D318" i="1"/>
  <c r="E318" i="1"/>
  <c r="F318" i="1"/>
  <c r="H318" i="1"/>
  <c r="H307" i="1"/>
  <c r="I185" i="36"/>
  <c r="F307" i="1"/>
  <c r="K185" i="36"/>
  <c r="E307" i="1"/>
  <c r="D307" i="1"/>
  <c r="G184" i="36"/>
  <c r="G183" i="36"/>
  <c r="G182" i="36"/>
  <c r="G181" i="36"/>
  <c r="G180" i="36"/>
  <c r="G179" i="36"/>
  <c r="G177" i="36"/>
  <c r="G178" i="36"/>
  <c r="K178" i="36"/>
  <c r="K179" i="36"/>
  <c r="K180" i="36"/>
  <c r="K181" i="36"/>
  <c r="K182" i="36"/>
  <c r="K183" i="36"/>
  <c r="K184" i="36"/>
  <c r="K177" i="36"/>
  <c r="G362" i="1" l="1"/>
  <c r="N228" i="36"/>
  <c r="N227" i="36"/>
  <c r="N229" i="36"/>
  <c r="J238" i="36"/>
  <c r="H230" i="36"/>
  <c r="H231" i="36" s="1"/>
  <c r="H232" i="36" s="1"/>
  <c r="H233" i="36" s="1"/>
  <c r="I230" i="36"/>
  <c r="I231" i="36" s="1"/>
  <c r="I232" i="36" s="1"/>
  <c r="I233" i="36" s="1"/>
  <c r="N233" i="36" s="1"/>
  <c r="F239" i="36"/>
  <c r="N230" i="36" l="1"/>
  <c r="N232" i="36"/>
  <c r="I237" i="36"/>
  <c r="I235" i="36"/>
  <c r="I236" i="36" s="1"/>
  <c r="I234" i="36"/>
  <c r="I238" i="36" s="1"/>
  <c r="N231" i="36"/>
  <c r="H235" i="36"/>
  <c r="H234" i="36"/>
  <c r="N234" i="36" s="1"/>
  <c r="H344" i="1" l="1"/>
  <c r="H337" i="1"/>
  <c r="H339" i="1"/>
  <c r="H341" i="1"/>
  <c r="H343" i="1"/>
  <c r="H347" i="1"/>
  <c r="H346" i="1"/>
  <c r="H348" i="1"/>
  <c r="H338" i="1"/>
  <c r="H345" i="1"/>
  <c r="H342" i="1"/>
  <c r="H340" i="1"/>
  <c r="H236" i="36"/>
  <c r="N235" i="36"/>
  <c r="H237" i="36" l="1"/>
  <c r="N237" i="36" s="1"/>
  <c r="N236" i="36"/>
  <c r="N238" i="36" l="1"/>
  <c r="N239" i="36" s="1"/>
  <c r="F185" i="36" l="1"/>
  <c r="F188" i="36" s="1"/>
  <c r="I178" i="36"/>
  <c r="D185" i="36"/>
  <c r="E175" i="36"/>
  <c r="F170" i="36"/>
  <c r="F168" i="36"/>
  <c r="F171" i="36" s="1"/>
  <c r="P94" i="1"/>
  <c r="P95" i="1"/>
  <c r="P96" i="1"/>
  <c r="P97" i="1"/>
  <c r="P98" i="1"/>
  <c r="P99" i="1"/>
  <c r="P100" i="1"/>
  <c r="P101" i="1"/>
  <c r="P102" i="1"/>
  <c r="P103" i="1"/>
  <c r="P104" i="1"/>
  <c r="P93" i="1"/>
  <c r="E94" i="1"/>
  <c r="F94" i="1"/>
  <c r="G94" i="1"/>
  <c r="E95" i="1"/>
  <c r="F95" i="1"/>
  <c r="G95" i="1"/>
  <c r="E96" i="1"/>
  <c r="F96" i="1"/>
  <c r="G96" i="1"/>
  <c r="E97" i="1"/>
  <c r="F97" i="1"/>
  <c r="G97" i="1"/>
  <c r="E98" i="1"/>
  <c r="F98" i="1"/>
  <c r="G98" i="1"/>
  <c r="E99" i="1"/>
  <c r="F99" i="1"/>
  <c r="G99" i="1"/>
  <c r="E100" i="1"/>
  <c r="F100" i="1"/>
  <c r="G100" i="1"/>
  <c r="E101" i="1"/>
  <c r="F101" i="1"/>
  <c r="G101" i="1"/>
  <c r="E102" i="1"/>
  <c r="F102" i="1"/>
  <c r="G102" i="1"/>
  <c r="E103" i="1"/>
  <c r="F103" i="1"/>
  <c r="G103" i="1"/>
  <c r="E104" i="1"/>
  <c r="F104" i="1"/>
  <c r="G104" i="1"/>
  <c r="G93" i="1"/>
  <c r="F93" i="1"/>
  <c r="E93" i="1"/>
  <c r="L362" i="36"/>
  <c r="I362" i="36"/>
  <c r="D80" i="1"/>
  <c r="E80" i="1"/>
  <c r="F80" i="1"/>
  <c r="G80" i="1"/>
  <c r="D81" i="1"/>
  <c r="E81" i="1"/>
  <c r="F81" i="1"/>
  <c r="G81" i="1"/>
  <c r="D82" i="1"/>
  <c r="E82" i="1"/>
  <c r="F82" i="1"/>
  <c r="G82" i="1"/>
  <c r="D83" i="1"/>
  <c r="E83" i="1"/>
  <c r="F83" i="1"/>
  <c r="G83" i="1"/>
  <c r="D84" i="1"/>
  <c r="E84" i="1"/>
  <c r="F84" i="1"/>
  <c r="G84" i="1"/>
  <c r="D85" i="1"/>
  <c r="E85" i="1"/>
  <c r="F85" i="1"/>
  <c r="G85" i="1"/>
  <c r="D86" i="1"/>
  <c r="E86" i="1"/>
  <c r="F86" i="1"/>
  <c r="G86" i="1"/>
  <c r="D87" i="1"/>
  <c r="E87" i="1"/>
  <c r="F87" i="1"/>
  <c r="G87" i="1"/>
  <c r="D88" i="1"/>
  <c r="E88" i="1"/>
  <c r="F88" i="1"/>
  <c r="G88" i="1"/>
  <c r="D89" i="1"/>
  <c r="E89" i="1"/>
  <c r="F89" i="1"/>
  <c r="G89" i="1"/>
  <c r="D90" i="1"/>
  <c r="E90" i="1"/>
  <c r="F90" i="1"/>
  <c r="G90" i="1"/>
  <c r="G79" i="1"/>
  <c r="F79" i="1"/>
  <c r="E79" i="1"/>
  <c r="D79" i="1"/>
  <c r="N333" i="36"/>
  <c r="M333" i="36"/>
  <c r="L333" i="36"/>
  <c r="K333" i="36"/>
  <c r="I333" i="36"/>
  <c r="J90" i="1"/>
  <c r="J89" i="1"/>
  <c r="J88" i="1"/>
  <c r="J87" i="1"/>
  <c r="J86" i="1"/>
  <c r="J85" i="1"/>
  <c r="J84" i="1"/>
  <c r="J83" i="1"/>
  <c r="J82" i="1"/>
  <c r="J81" i="1"/>
  <c r="J80" i="1"/>
  <c r="J104" i="1"/>
  <c r="J103" i="1"/>
  <c r="J102" i="1"/>
  <c r="J101" i="1"/>
  <c r="J100" i="1"/>
  <c r="J99" i="1"/>
  <c r="J98" i="1"/>
  <c r="J97" i="1"/>
  <c r="J96" i="1"/>
  <c r="J95" i="1"/>
  <c r="J94" i="1"/>
  <c r="J93" i="1"/>
  <c r="F65" i="1"/>
  <c r="F66" i="1"/>
  <c r="F67" i="1"/>
  <c r="F68" i="1"/>
  <c r="F69" i="1"/>
  <c r="F70" i="1"/>
  <c r="F71" i="1"/>
  <c r="F72" i="1"/>
  <c r="F73" i="1"/>
  <c r="F74" i="1"/>
  <c r="F75" i="1"/>
  <c r="G34" i="1"/>
  <c r="G35" i="1"/>
  <c r="G36" i="1"/>
  <c r="G37" i="1"/>
  <c r="G38" i="1"/>
  <c r="G39" i="1"/>
  <c r="G40" i="1"/>
  <c r="G41" i="1"/>
  <c r="G42" i="1"/>
  <c r="G43" i="1"/>
  <c r="G44" i="1"/>
  <c r="G33" i="1"/>
  <c r="F19" i="1"/>
  <c r="G19" i="1"/>
  <c r="F20" i="1"/>
  <c r="G20" i="1"/>
  <c r="F21" i="1"/>
  <c r="G21" i="1"/>
  <c r="F22" i="1"/>
  <c r="G22" i="1"/>
  <c r="F23" i="1"/>
  <c r="G23" i="1"/>
  <c r="F24" i="1"/>
  <c r="G24" i="1"/>
  <c r="F25" i="1"/>
  <c r="G25" i="1"/>
  <c r="F26" i="1"/>
  <c r="G26" i="1"/>
  <c r="F27" i="1"/>
  <c r="G27" i="1"/>
  <c r="F28" i="1"/>
  <c r="G28" i="1"/>
  <c r="F29" i="1"/>
  <c r="G29" i="1"/>
  <c r="G18" i="1"/>
  <c r="G5" i="1"/>
  <c r="G6" i="1"/>
  <c r="G7" i="1"/>
  <c r="G8" i="1"/>
  <c r="G9" i="1"/>
  <c r="G10" i="1"/>
  <c r="G11" i="1"/>
  <c r="G12" i="1"/>
  <c r="G13" i="1"/>
  <c r="G14" i="1"/>
  <c r="G15" i="1"/>
  <c r="G4" i="1"/>
  <c r="L174" i="37"/>
  <c r="L173" i="37"/>
  <c r="L172" i="37"/>
  <c r="L171" i="37"/>
  <c r="L170" i="37"/>
  <c r="L169" i="37"/>
  <c r="L168" i="37"/>
  <c r="L167" i="37"/>
  <c r="L166" i="37"/>
  <c r="L165" i="37"/>
  <c r="L175" i="37" s="1"/>
  <c r="F162" i="37"/>
  <c r="E162" i="37"/>
  <c r="F161" i="37"/>
  <c r="E161" i="37"/>
  <c r="F160" i="37"/>
  <c r="E160" i="37"/>
  <c r="F159" i="37"/>
  <c r="E159" i="37"/>
  <c r="F158" i="37"/>
  <c r="E158" i="37"/>
  <c r="F157" i="37"/>
  <c r="E157" i="37"/>
  <c r="F156" i="37"/>
  <c r="E156" i="37"/>
  <c r="F155" i="37"/>
  <c r="E155" i="37"/>
  <c r="F154" i="37"/>
  <c r="E154" i="37"/>
  <c r="F153" i="37"/>
  <c r="E153" i="37"/>
  <c r="F152" i="37"/>
  <c r="E152" i="37"/>
  <c r="F151" i="37"/>
  <c r="E151" i="37"/>
  <c r="F150" i="37"/>
  <c r="E150" i="37"/>
  <c r="F149" i="37"/>
  <c r="E149" i="37"/>
  <c r="F148" i="37"/>
  <c r="E148" i="37"/>
  <c r="F147" i="37"/>
  <c r="E147" i="37"/>
  <c r="F146" i="37"/>
  <c r="E146" i="37"/>
  <c r="F145" i="37"/>
  <c r="E145" i="37"/>
  <c r="F144" i="37"/>
  <c r="E144" i="37"/>
  <c r="F143" i="37"/>
  <c r="E143" i="37"/>
  <c r="F142" i="37"/>
  <c r="E142" i="37"/>
  <c r="F141" i="37"/>
  <c r="E141" i="37"/>
  <c r="F140" i="37"/>
  <c r="E140" i="37"/>
  <c r="F139" i="37"/>
  <c r="E139" i="37"/>
  <c r="F138" i="37"/>
  <c r="E138" i="37"/>
  <c r="F137" i="37"/>
  <c r="E137" i="37"/>
  <c r="F136" i="37"/>
  <c r="E136" i="37"/>
  <c r="F135" i="37"/>
  <c r="E135" i="37"/>
  <c r="F134" i="37"/>
  <c r="E134" i="37"/>
  <c r="F133" i="37"/>
  <c r="E133" i="37"/>
  <c r="F132" i="37"/>
  <c r="E132" i="37"/>
  <c r="F131" i="37"/>
  <c r="E131" i="37"/>
  <c r="F130" i="37"/>
  <c r="E130" i="37"/>
  <c r="F129" i="37"/>
  <c r="E129" i="37"/>
  <c r="F128" i="37"/>
  <c r="E128" i="37"/>
  <c r="F127" i="37"/>
  <c r="E127" i="37"/>
  <c r="AW101" i="37"/>
  <c r="AV101" i="37"/>
  <c r="AU101" i="37"/>
  <c r="AT101" i="37"/>
  <c r="AS101" i="37"/>
  <c r="AR101" i="37"/>
  <c r="AQ101" i="37"/>
  <c r="AP101" i="37"/>
  <c r="AO101" i="37"/>
  <c r="AN101" i="37"/>
  <c r="AM101" i="37"/>
  <c r="AL101" i="37"/>
  <c r="AK101" i="37"/>
  <c r="AQ98" i="37"/>
  <c r="AM98" i="37"/>
  <c r="AV95" i="37"/>
  <c r="AU95" i="37"/>
  <c r="AT95" i="37"/>
  <c r="AS95" i="37"/>
  <c r="AR95" i="37"/>
  <c r="AQ95" i="37"/>
  <c r="AP95" i="37"/>
  <c r="AP98" i="37" s="1"/>
  <c r="AO95" i="37"/>
  <c r="AO98" i="37" s="1"/>
  <c r="AN95" i="37"/>
  <c r="AN98" i="37" s="1"/>
  <c r="AM95" i="37"/>
  <c r="AL95" i="37"/>
  <c r="AL98" i="37" s="1"/>
  <c r="AK95" i="37"/>
  <c r="AK98" i="37" s="1"/>
  <c r="I95" i="37"/>
  <c r="I96" i="37" s="1"/>
  <c r="H95" i="37"/>
  <c r="E95" i="37"/>
  <c r="E93" i="37"/>
  <c r="D93" i="37"/>
  <c r="D92" i="37"/>
  <c r="D90" i="37"/>
  <c r="AS87" i="37"/>
  <c r="AN87" i="37"/>
  <c r="AM87" i="37"/>
  <c r="AL87" i="37"/>
  <c r="AV84" i="37"/>
  <c r="AU84" i="37"/>
  <c r="AU87" i="37" s="1"/>
  <c r="AT84" i="37"/>
  <c r="AS84" i="37"/>
  <c r="AR84" i="37"/>
  <c r="AQ84" i="37"/>
  <c r="AQ87" i="37" s="1"/>
  <c r="AP84" i="37"/>
  <c r="AP87" i="37" s="1"/>
  <c r="AO84" i="37"/>
  <c r="AO87" i="37" s="1"/>
  <c r="AN84" i="37"/>
  <c r="AM84" i="37"/>
  <c r="AL84" i="37"/>
  <c r="AK84" i="37"/>
  <c r="I84" i="37"/>
  <c r="I85" i="37" s="1"/>
  <c r="J85" i="37" s="1"/>
  <c r="E84" i="37"/>
  <c r="H84" i="37" s="1"/>
  <c r="E82" i="37"/>
  <c r="D82" i="37"/>
  <c r="D79" i="37"/>
  <c r="D74" i="37"/>
  <c r="AP73" i="37"/>
  <c r="AP74" i="37" s="1"/>
  <c r="AW72" i="37"/>
  <c r="AV72" i="37"/>
  <c r="AU72" i="37"/>
  <c r="AU75" i="37" s="1"/>
  <c r="AT72" i="37"/>
  <c r="AS72" i="37"/>
  <c r="AR72" i="37"/>
  <c r="AQ72" i="37"/>
  <c r="AQ75" i="37" s="1"/>
  <c r="AP72" i="37"/>
  <c r="AP75" i="37" s="1"/>
  <c r="AO72" i="37"/>
  <c r="AO75" i="37" s="1"/>
  <c r="AN72" i="37"/>
  <c r="AM72" i="37"/>
  <c r="AM75" i="37" s="1"/>
  <c r="AL72" i="37"/>
  <c r="AL75" i="37" s="1"/>
  <c r="AK72" i="37"/>
  <c r="AK75" i="37" s="1"/>
  <c r="I72" i="37"/>
  <c r="I74" i="37" s="1"/>
  <c r="G72" i="37"/>
  <c r="F72" i="37"/>
  <c r="E72" i="37"/>
  <c r="H72" i="37" s="1"/>
  <c r="D70" i="37"/>
  <c r="E70" i="37" s="1"/>
  <c r="D69" i="37"/>
  <c r="D67" i="37"/>
  <c r="AW65" i="37"/>
  <c r="AK65" i="37"/>
  <c r="AU61" i="37"/>
  <c r="AU64" i="37" s="1"/>
  <c r="AQ61" i="37"/>
  <c r="AV60" i="37"/>
  <c r="AU60" i="37"/>
  <c r="AT60" i="37"/>
  <c r="AS60" i="37"/>
  <c r="AR60" i="37"/>
  <c r="AQ60" i="37"/>
  <c r="AP60" i="37"/>
  <c r="AO60" i="37"/>
  <c r="AN60" i="37"/>
  <c r="AM60" i="37"/>
  <c r="AL60" i="37"/>
  <c r="AK60" i="37"/>
  <c r="I60" i="37"/>
  <c r="I61" i="37" s="1"/>
  <c r="J59" i="37" s="1"/>
  <c r="AV59" i="37"/>
  <c r="AV61" i="37" s="1"/>
  <c r="AU59" i="37"/>
  <c r="AT59" i="37"/>
  <c r="AS59" i="37"/>
  <c r="AR59" i="37"/>
  <c r="AQ59" i="37"/>
  <c r="AP59" i="37"/>
  <c r="AO59" i="37"/>
  <c r="AN59" i="37"/>
  <c r="AM59" i="37"/>
  <c r="AL59" i="37"/>
  <c r="AK59" i="37"/>
  <c r="AW59" i="37" s="1"/>
  <c r="AX59" i="37" s="1"/>
  <c r="O59" i="37"/>
  <c r="AV58" i="37"/>
  <c r="AU58" i="37"/>
  <c r="AT58" i="37"/>
  <c r="AS58" i="37"/>
  <c r="AR58" i="37"/>
  <c r="AQ58" i="37"/>
  <c r="AP58" i="37"/>
  <c r="AP61" i="37" s="1"/>
  <c r="AP64" i="37" s="1"/>
  <c r="AO58" i="37"/>
  <c r="AO61" i="37" s="1"/>
  <c r="AN58" i="37"/>
  <c r="AN61" i="37" s="1"/>
  <c r="AM58" i="37"/>
  <c r="AM61" i="37" s="1"/>
  <c r="AL58" i="37"/>
  <c r="AK58" i="37"/>
  <c r="I58" i="37"/>
  <c r="F58" i="37"/>
  <c r="AS65" i="37" s="1"/>
  <c r="AV56" i="37"/>
  <c r="AU56" i="37"/>
  <c r="AT56" i="37"/>
  <c r="AS56" i="37"/>
  <c r="AR56" i="37"/>
  <c r="AQ56" i="37"/>
  <c r="AP56" i="37"/>
  <c r="AO56" i="37"/>
  <c r="AN56" i="37"/>
  <c r="AM56" i="37"/>
  <c r="AL56" i="37"/>
  <c r="AK56" i="37"/>
  <c r="T56" i="37"/>
  <c r="D56" i="37"/>
  <c r="E56" i="37" s="1"/>
  <c r="E58" i="37" s="1"/>
  <c r="T55" i="37"/>
  <c r="D55" i="37"/>
  <c r="T54" i="37"/>
  <c r="D53" i="37"/>
  <c r="P52" i="37"/>
  <c r="K50" i="37"/>
  <c r="AZ49" i="37"/>
  <c r="AV49" i="37"/>
  <c r="AU49" i="37"/>
  <c r="AT49" i="37"/>
  <c r="AN49" i="37"/>
  <c r="AM49" i="37"/>
  <c r="AL49" i="37"/>
  <c r="AK49" i="37"/>
  <c r="AH49" i="37"/>
  <c r="AG49" i="37"/>
  <c r="AF49" i="37"/>
  <c r="AE49" i="37"/>
  <c r="AS49" i="37" s="1"/>
  <c r="AD49" i="37"/>
  <c r="AR49" i="37" s="1"/>
  <c r="AC49" i="37"/>
  <c r="AQ49" i="37" s="1"/>
  <c r="AB49" i="37"/>
  <c r="AP49" i="37" s="1"/>
  <c r="AA49" i="37"/>
  <c r="Z49" i="37"/>
  <c r="Y49" i="37"/>
  <c r="X49" i="37"/>
  <c r="W49" i="37"/>
  <c r="P49" i="37"/>
  <c r="AZ48" i="37"/>
  <c r="AS48" i="37"/>
  <c r="AR48" i="37"/>
  <c r="AQ48" i="37"/>
  <c r="AP48" i="37"/>
  <c r="AO48" i="37"/>
  <c r="AN48" i="37"/>
  <c r="AM48" i="37"/>
  <c r="AG48" i="37"/>
  <c r="AU48" i="37" s="1"/>
  <c r="AD48" i="37"/>
  <c r="AC48" i="37"/>
  <c r="AB48" i="37"/>
  <c r="AA48" i="37"/>
  <c r="Z48" i="37"/>
  <c r="Y48" i="37"/>
  <c r="X48" i="37"/>
  <c r="AL48" i="37" s="1"/>
  <c r="AZ47" i="37"/>
  <c r="AR47" i="37"/>
  <c r="AQ47" i="37"/>
  <c r="AP47" i="37"/>
  <c r="AO47" i="37"/>
  <c r="AN47" i="37"/>
  <c r="AM47" i="37"/>
  <c r="AL47" i="37"/>
  <c r="AH47" i="37"/>
  <c r="AG47" i="37"/>
  <c r="AU47" i="37" s="1"/>
  <c r="AF47" i="37"/>
  <c r="AE47" i="37"/>
  <c r="AE48" i="37" s="1"/>
  <c r="AD47" i="37"/>
  <c r="AC47" i="37"/>
  <c r="AB47" i="37"/>
  <c r="AA47" i="37"/>
  <c r="Z47" i="37"/>
  <c r="Y47" i="37"/>
  <c r="X47" i="37"/>
  <c r="W47" i="37"/>
  <c r="P47" i="37"/>
  <c r="P48" i="37" s="1"/>
  <c r="AZ46" i="37"/>
  <c r="AU46" i="37"/>
  <c r="AT46" i="37"/>
  <c r="AS46" i="37"/>
  <c r="AR46" i="37"/>
  <c r="AQ46" i="37"/>
  <c r="AP46" i="37"/>
  <c r="AO46" i="37"/>
  <c r="AN46" i="37"/>
  <c r="AK46" i="37"/>
  <c r="AH46" i="37"/>
  <c r="AV46" i="37" s="1"/>
  <c r="AG46" i="37"/>
  <c r="AF46" i="37"/>
  <c r="AE46" i="37"/>
  <c r="AD46" i="37"/>
  <c r="AC46" i="37"/>
  <c r="AB46" i="37"/>
  <c r="AA46" i="37"/>
  <c r="Z46" i="37"/>
  <c r="Y46" i="37"/>
  <c r="AM46" i="37" s="1"/>
  <c r="X46" i="37"/>
  <c r="AL46" i="37" s="1"/>
  <c r="W46" i="37"/>
  <c r="P46" i="37"/>
  <c r="AZ44" i="37"/>
  <c r="AB44" i="37"/>
  <c r="Y44" i="37"/>
  <c r="Y45" i="37" s="1"/>
  <c r="AM45" i="37" s="1"/>
  <c r="X44" i="37"/>
  <c r="AL44" i="37" s="1"/>
  <c r="AZ43" i="37"/>
  <c r="AM43" i="37"/>
  <c r="AL43" i="37"/>
  <c r="AB43" i="37"/>
  <c r="AP43" i="37" s="1"/>
  <c r="AA43" i="37"/>
  <c r="Z43" i="37"/>
  <c r="Y43" i="37"/>
  <c r="X43" i="37"/>
  <c r="AZ42" i="37"/>
  <c r="AR42" i="37"/>
  <c r="AQ42" i="37"/>
  <c r="AP42" i="37"/>
  <c r="AO42" i="37"/>
  <c r="AN42" i="37"/>
  <c r="AM42" i="37"/>
  <c r="AL42" i="37"/>
  <c r="AD42" i="37"/>
  <c r="AD43" i="37" s="1"/>
  <c r="AC42" i="37"/>
  <c r="AC43" i="37" s="1"/>
  <c r="AB42" i="37"/>
  <c r="AA42" i="37"/>
  <c r="Z42" i="37"/>
  <c r="Y42" i="37"/>
  <c r="X42" i="37"/>
  <c r="P42" i="37"/>
  <c r="H42" i="37"/>
  <c r="AZ41" i="37"/>
  <c r="AT41" i="37"/>
  <c r="AS41" i="37"/>
  <c r="AR41" i="37"/>
  <c r="AQ41" i="37"/>
  <c r="AP41" i="37"/>
  <c r="AO41" i="37"/>
  <c r="AN41" i="37"/>
  <c r="AM41" i="37"/>
  <c r="AL41" i="37"/>
  <c r="AH41" i="37"/>
  <c r="AG41" i="37"/>
  <c r="AG42" i="37" s="1"/>
  <c r="AF41" i="37"/>
  <c r="AF42" i="37" s="1"/>
  <c r="AE41" i="37"/>
  <c r="AE42" i="37" s="1"/>
  <c r="AD41" i="37"/>
  <c r="AC41" i="37"/>
  <c r="AB41" i="37"/>
  <c r="AA41" i="37"/>
  <c r="Z41" i="37"/>
  <c r="Y41" i="37"/>
  <c r="X41" i="37"/>
  <c r="W41" i="37"/>
  <c r="P41" i="37"/>
  <c r="AZ40" i="37"/>
  <c r="AT40" i="37"/>
  <c r="AS40" i="37"/>
  <c r="AR40" i="37"/>
  <c r="AQ40" i="37"/>
  <c r="AP40" i="37"/>
  <c r="AO40" i="37"/>
  <c r="AN40" i="37"/>
  <c r="AK40" i="37"/>
  <c r="AW40" i="37" s="1"/>
  <c r="AH40" i="37"/>
  <c r="AV40" i="37" s="1"/>
  <c r="AG40" i="37"/>
  <c r="AU40" i="37" s="1"/>
  <c r="AF40" i="37"/>
  <c r="AE40" i="37"/>
  <c r="AD40" i="37"/>
  <c r="AC40" i="37"/>
  <c r="AB40" i="37"/>
  <c r="AA40" i="37"/>
  <c r="Z40" i="37"/>
  <c r="Y40" i="37"/>
  <c r="AM40" i="37" s="1"/>
  <c r="X40" i="37"/>
  <c r="AL40" i="37" s="1"/>
  <c r="W40" i="37"/>
  <c r="P40" i="37"/>
  <c r="AH39" i="37"/>
  <c r="AV39" i="37" s="1"/>
  <c r="Z39" i="37"/>
  <c r="AN39" i="37" s="1"/>
  <c r="W39" i="37"/>
  <c r="P39" i="37"/>
  <c r="AZ38" i="37"/>
  <c r="AV38" i="37"/>
  <c r="AN38" i="37"/>
  <c r="AL38" i="37"/>
  <c r="AK38" i="37"/>
  <c r="AH38" i="37"/>
  <c r="AA38" i="37"/>
  <c r="Z38" i="37"/>
  <c r="Y38" i="37"/>
  <c r="X38" i="37"/>
  <c r="W38" i="37"/>
  <c r="P38" i="37"/>
  <c r="A38" i="37"/>
  <c r="A39" i="37" s="1"/>
  <c r="A40" i="37" s="1"/>
  <c r="A41" i="37" s="1"/>
  <c r="A42" i="37" s="1"/>
  <c r="A43" i="37" s="1"/>
  <c r="A44" i="37" s="1"/>
  <c r="A45" i="37" s="1"/>
  <c r="A46" i="37" s="1"/>
  <c r="A47" i="37" s="1"/>
  <c r="A48" i="37" s="1"/>
  <c r="A49" i="37" s="1"/>
  <c r="AZ37" i="37"/>
  <c r="AV37" i="37"/>
  <c r="AO37" i="37"/>
  <c r="AN37" i="37"/>
  <c r="AM37" i="37"/>
  <c r="AL37" i="37"/>
  <c r="AK37" i="37"/>
  <c r="AH37" i="37"/>
  <c r="AD37" i="37"/>
  <c r="AB37" i="37"/>
  <c r="AA37" i="37"/>
  <c r="Z37" i="37"/>
  <c r="Y37" i="37"/>
  <c r="X37" i="37"/>
  <c r="W37" i="37"/>
  <c r="P37" i="37"/>
  <c r="A37" i="37"/>
  <c r="AZ36" i="37"/>
  <c r="AV36" i="37"/>
  <c r="AO36" i="37"/>
  <c r="AN36" i="37"/>
  <c r="AM36" i="37"/>
  <c r="AL36" i="37"/>
  <c r="AK36" i="37"/>
  <c r="AH36" i="37"/>
  <c r="AG36" i="37"/>
  <c r="AG37" i="37" s="1"/>
  <c r="AF36" i="37"/>
  <c r="AE36" i="37"/>
  <c r="AD36" i="37"/>
  <c r="AR36" i="37" s="1"/>
  <c r="AC36" i="37"/>
  <c r="AC37" i="37" s="1"/>
  <c r="AB36" i="37"/>
  <c r="AA36" i="37"/>
  <c r="Z36" i="37"/>
  <c r="Y36" i="37"/>
  <c r="X36" i="37"/>
  <c r="W36" i="37"/>
  <c r="P36" i="37"/>
  <c r="AZ35" i="37"/>
  <c r="AP35" i="37"/>
  <c r="AO35" i="37"/>
  <c r="AN35" i="37"/>
  <c r="AM35" i="37"/>
  <c r="AL35" i="37"/>
  <c r="AK35" i="37"/>
  <c r="AH35" i="37"/>
  <c r="AV35" i="37" s="1"/>
  <c r="AG35" i="37"/>
  <c r="AU35" i="37" s="1"/>
  <c r="AF35" i="37"/>
  <c r="AT35" i="37" s="1"/>
  <c r="AE35" i="37"/>
  <c r="AS35" i="37" s="1"/>
  <c r="AD35" i="37"/>
  <c r="AR35" i="37" s="1"/>
  <c r="AC35" i="37"/>
  <c r="AB35" i="37"/>
  <c r="AA35" i="37"/>
  <c r="Z35" i="37"/>
  <c r="Y35" i="37"/>
  <c r="X35" i="37"/>
  <c r="W35" i="37"/>
  <c r="P35" i="37"/>
  <c r="AZ34" i="37"/>
  <c r="AT34" i="37"/>
  <c r="AS34" i="37"/>
  <c r="AP34" i="37"/>
  <c r="AO34" i="37"/>
  <c r="AN34" i="37"/>
  <c r="AM34" i="37"/>
  <c r="AL34" i="37"/>
  <c r="AK34" i="37"/>
  <c r="AH34" i="37"/>
  <c r="AG34" i="37"/>
  <c r="AU34" i="37" s="1"/>
  <c r="AF34" i="37"/>
  <c r="AE34" i="37"/>
  <c r="AD34" i="37"/>
  <c r="AR34" i="37" s="1"/>
  <c r="AC34" i="37"/>
  <c r="AB34" i="37"/>
  <c r="AA34" i="37"/>
  <c r="Z34" i="37"/>
  <c r="Y34" i="37"/>
  <c r="X34" i="37"/>
  <c r="W34" i="37"/>
  <c r="AW33" i="37"/>
  <c r="AH33" i="37"/>
  <c r="AG33" i="37"/>
  <c r="AF33" i="37"/>
  <c r="AE33" i="37"/>
  <c r="AD33" i="37"/>
  <c r="AC33" i="37"/>
  <c r="AB33" i="37"/>
  <c r="AI33" i="37" s="1"/>
  <c r="AA33" i="37"/>
  <c r="Z33" i="37"/>
  <c r="Y33" i="37"/>
  <c r="X33" i="37"/>
  <c r="W33" i="37"/>
  <c r="P33" i="37"/>
  <c r="O33" i="37"/>
  <c r="AZ32" i="37"/>
  <c r="AV32" i="37"/>
  <c r="AO32" i="37"/>
  <c r="AN32" i="37"/>
  <c r="AM32" i="37"/>
  <c r="AL32" i="37"/>
  <c r="AK32" i="37"/>
  <c r="AH32" i="37"/>
  <c r="AG32" i="37"/>
  <c r="AU32" i="37" s="1"/>
  <c r="AF32" i="37"/>
  <c r="AT32" i="37" s="1"/>
  <c r="AE32" i="37"/>
  <c r="AS32" i="37" s="1"/>
  <c r="AD32" i="37"/>
  <c r="AR32" i="37" s="1"/>
  <c r="AC32" i="37"/>
  <c r="AQ32" i="37" s="1"/>
  <c r="AB32" i="37"/>
  <c r="AA32" i="37"/>
  <c r="Z32" i="37"/>
  <c r="Y32" i="37"/>
  <c r="X32" i="37"/>
  <c r="W32" i="37"/>
  <c r="P32" i="37"/>
  <c r="AW31" i="37"/>
  <c r="AH31" i="37"/>
  <c r="AG31" i="37"/>
  <c r="AF31" i="37"/>
  <c r="AE31" i="37"/>
  <c r="AD31" i="37"/>
  <c r="AC31" i="37"/>
  <c r="AB31" i="37"/>
  <c r="AA31" i="37"/>
  <c r="Z31" i="37"/>
  <c r="Y31" i="37"/>
  <c r="X31" i="37"/>
  <c r="W31" i="37"/>
  <c r="O31" i="37"/>
  <c r="AZ30" i="37"/>
  <c r="AV30" i="37"/>
  <c r="AU30" i="37"/>
  <c r="AN30" i="37"/>
  <c r="AM30" i="37"/>
  <c r="AL30" i="37"/>
  <c r="AK30" i="37"/>
  <c r="AH30" i="37"/>
  <c r="AG30" i="37"/>
  <c r="AF30" i="37"/>
  <c r="AE30" i="37"/>
  <c r="AD30" i="37"/>
  <c r="AC30" i="37"/>
  <c r="AB30" i="37"/>
  <c r="AA30" i="37"/>
  <c r="Z30" i="37"/>
  <c r="Y30" i="37"/>
  <c r="X30" i="37"/>
  <c r="W30" i="37"/>
  <c r="P30" i="37"/>
  <c r="Z28" i="37"/>
  <c r="AA28" i="37" s="1"/>
  <c r="AB28" i="37" s="1"/>
  <c r="AC28" i="37" s="1"/>
  <c r="AD28" i="37" s="1"/>
  <c r="AE28" i="37" s="1"/>
  <c r="AF28" i="37" s="1"/>
  <c r="AG28" i="37" s="1"/>
  <c r="AH28" i="37" s="1"/>
  <c r="AI28" i="37" s="1"/>
  <c r="Y28" i="37"/>
  <c r="X28" i="37"/>
  <c r="D27" i="37"/>
  <c r="D26" i="37"/>
  <c r="D22" i="37"/>
  <c r="D20" i="37"/>
  <c r="F17" i="37"/>
  <c r="F15" i="37"/>
  <c r="F16" i="37" s="1"/>
  <c r="I13" i="37"/>
  <c r="H13" i="37"/>
  <c r="I12" i="37"/>
  <c r="H12" i="37"/>
  <c r="I11" i="37"/>
  <c r="H11" i="37"/>
  <c r="I10" i="37"/>
  <c r="H10" i="37"/>
  <c r="I9" i="37"/>
  <c r="H9" i="37"/>
  <c r="I8" i="37"/>
  <c r="H8" i="37"/>
  <c r="I7" i="37"/>
  <c r="H7" i="37"/>
  <c r="I6" i="37"/>
  <c r="H6" i="37"/>
  <c r="I5" i="37"/>
  <c r="H5" i="37"/>
  <c r="I4" i="37"/>
  <c r="I14" i="37" s="1"/>
  <c r="H14" i="37"/>
  <c r="I381" i="36"/>
  <c r="J380" i="36"/>
  <c r="I380" i="36"/>
  <c r="J378" i="36"/>
  <c r="F378" i="36"/>
  <c r="H378" i="36" s="1"/>
  <c r="E378" i="36"/>
  <c r="J377" i="36"/>
  <c r="G377" i="36"/>
  <c r="G378" i="36" s="1"/>
  <c r="F377" i="36"/>
  <c r="H377" i="36" s="1"/>
  <c r="H380" i="36" s="1"/>
  <c r="E377" i="36"/>
  <c r="E375" i="36"/>
  <c r="F372" i="36"/>
  <c r="G372" i="36" s="1"/>
  <c r="F371" i="36"/>
  <c r="F369" i="36"/>
  <c r="G363" i="36"/>
  <c r="G362" i="36"/>
  <c r="H355" i="36" s="1"/>
  <c r="F361" i="36"/>
  <c r="I360" i="36"/>
  <c r="H360" i="36"/>
  <c r="F360" i="36"/>
  <c r="H359" i="36"/>
  <c r="F359" i="36"/>
  <c r="I358" i="36"/>
  <c r="F358" i="36"/>
  <c r="F357" i="36"/>
  <c r="I356" i="36"/>
  <c r="F356" i="36"/>
  <c r="F355" i="36"/>
  <c r="H354" i="36"/>
  <c r="F354" i="36"/>
  <c r="H353" i="36"/>
  <c r="F353" i="36"/>
  <c r="J352" i="36"/>
  <c r="F352" i="36"/>
  <c r="F351" i="36"/>
  <c r="F350" i="36"/>
  <c r="H349" i="36"/>
  <c r="F349" i="36"/>
  <c r="I348" i="36"/>
  <c r="F348" i="36"/>
  <c r="K347" i="36"/>
  <c r="J347" i="36"/>
  <c r="H347" i="36"/>
  <c r="F347" i="36"/>
  <c r="E345" i="36"/>
  <c r="F342" i="36"/>
  <c r="G342" i="36" s="1"/>
  <c r="I347" i="36" s="1"/>
  <c r="F341" i="36"/>
  <c r="F339" i="36"/>
  <c r="G336" i="36"/>
  <c r="G333" i="36"/>
  <c r="H330" i="36" s="1"/>
  <c r="L332" i="36"/>
  <c r="F332" i="36"/>
  <c r="H331" i="36"/>
  <c r="F331" i="36"/>
  <c r="L330" i="36"/>
  <c r="J330" i="36"/>
  <c r="F330" i="36"/>
  <c r="J329" i="36"/>
  <c r="F329" i="36"/>
  <c r="L328" i="36"/>
  <c r="M328" i="36" s="1"/>
  <c r="J328" i="36"/>
  <c r="F328" i="36"/>
  <c r="F327" i="36"/>
  <c r="L326" i="36"/>
  <c r="M326" i="36" s="1"/>
  <c r="F326" i="36"/>
  <c r="L325" i="36"/>
  <c r="M325" i="36" s="1"/>
  <c r="H325" i="36"/>
  <c r="F325" i="36"/>
  <c r="L324" i="36"/>
  <c r="F324" i="36"/>
  <c r="L323" i="36"/>
  <c r="F323" i="36"/>
  <c r="F322" i="36"/>
  <c r="L321" i="36"/>
  <c r="H321" i="36"/>
  <c r="F321" i="36"/>
  <c r="H320" i="36"/>
  <c r="F320" i="36"/>
  <c r="H319" i="36"/>
  <c r="F319" i="36"/>
  <c r="L318" i="36"/>
  <c r="H318" i="36"/>
  <c r="F318" i="36"/>
  <c r="F317" i="36"/>
  <c r="L316" i="36"/>
  <c r="H316" i="36"/>
  <c r="F316" i="36"/>
  <c r="F315" i="36"/>
  <c r="H314" i="36"/>
  <c r="F314" i="36"/>
  <c r="M313" i="36"/>
  <c r="F313" i="36"/>
  <c r="H312" i="36"/>
  <c r="F312" i="36"/>
  <c r="H311" i="36"/>
  <c r="F311" i="36"/>
  <c r="L310" i="36"/>
  <c r="H310" i="36"/>
  <c r="F310" i="36"/>
  <c r="H309" i="36"/>
  <c r="F309" i="36"/>
  <c r="F308" i="36"/>
  <c r="H307" i="36"/>
  <c r="F307" i="36"/>
  <c r="F306" i="36"/>
  <c r="J305" i="36"/>
  <c r="J306" i="36" s="1"/>
  <c r="H305" i="36"/>
  <c r="F305" i="36"/>
  <c r="L304" i="36"/>
  <c r="M304" i="36" s="1"/>
  <c r="F304" i="36"/>
  <c r="H303" i="36"/>
  <c r="F303" i="36"/>
  <c r="F302" i="36"/>
  <c r="H301" i="36"/>
  <c r="F301" i="36"/>
  <c r="H300" i="36"/>
  <c r="F300" i="36"/>
  <c r="H299" i="36"/>
  <c r="F299" i="36"/>
  <c r="H298" i="36"/>
  <c r="F298" i="36"/>
  <c r="L297" i="36"/>
  <c r="H297" i="36"/>
  <c r="F297" i="36"/>
  <c r="H296" i="36"/>
  <c r="F296" i="36"/>
  <c r="F295" i="36"/>
  <c r="H294" i="36"/>
  <c r="F294" i="36"/>
  <c r="H293" i="36"/>
  <c r="F293" i="36"/>
  <c r="L292" i="36"/>
  <c r="F292" i="36"/>
  <c r="H291" i="36"/>
  <c r="F291" i="36"/>
  <c r="L290" i="36"/>
  <c r="H290" i="36"/>
  <c r="F290" i="36"/>
  <c r="F289" i="36"/>
  <c r="H288" i="36"/>
  <c r="F288" i="36"/>
  <c r="F287" i="36"/>
  <c r="H286" i="36"/>
  <c r="F286" i="36"/>
  <c r="H285" i="36"/>
  <c r="F285" i="36"/>
  <c r="F333" i="36" s="1"/>
  <c r="L284" i="36"/>
  <c r="H284" i="36"/>
  <c r="F284" i="36"/>
  <c r="H283" i="36"/>
  <c r="F283" i="36"/>
  <c r="L282" i="36"/>
  <c r="F282" i="36"/>
  <c r="H281" i="36"/>
  <c r="F281" i="36"/>
  <c r="L280" i="36"/>
  <c r="F280" i="36"/>
  <c r="H279" i="36"/>
  <c r="F279" i="36"/>
  <c r="E277" i="36"/>
  <c r="L298" i="36" s="1"/>
  <c r="M298" i="36" s="1"/>
  <c r="F271" i="36"/>
  <c r="F274" i="36" s="1"/>
  <c r="G274" i="36" s="1"/>
  <c r="I305" i="36" s="1"/>
  <c r="F268" i="36"/>
  <c r="F265" i="36"/>
  <c r="K264" i="36"/>
  <c r="J264" i="36"/>
  <c r="G264" i="36"/>
  <c r="J263" i="36"/>
  <c r="G263" i="36"/>
  <c r="K262" i="36"/>
  <c r="J262" i="36"/>
  <c r="G262" i="36"/>
  <c r="J261" i="36"/>
  <c r="O260" i="36"/>
  <c r="J260" i="36"/>
  <c r="K259" i="36"/>
  <c r="J259" i="36"/>
  <c r="G259" i="36"/>
  <c r="K258" i="36"/>
  <c r="J258" i="36"/>
  <c r="O257" i="36"/>
  <c r="K257" i="36"/>
  <c r="J257" i="36"/>
  <c r="G257" i="36"/>
  <c r="K256" i="36"/>
  <c r="J256" i="36"/>
  <c r="J255" i="36"/>
  <c r="H255" i="36"/>
  <c r="G255" i="36"/>
  <c r="K254" i="36"/>
  <c r="J254" i="36"/>
  <c r="I254" i="36"/>
  <c r="E252" i="36"/>
  <c r="K255" i="36" s="1"/>
  <c r="F248" i="36"/>
  <c r="F249" i="36" s="1"/>
  <c r="G249" i="36" s="1"/>
  <c r="H254" i="36" s="1"/>
  <c r="F216" i="36"/>
  <c r="F213" i="36"/>
  <c r="K212" i="36"/>
  <c r="J212" i="36"/>
  <c r="G212" i="36"/>
  <c r="K211" i="36"/>
  <c r="J211" i="36"/>
  <c r="G211" i="36"/>
  <c r="K210" i="36"/>
  <c r="J210" i="36"/>
  <c r="G210" i="36"/>
  <c r="K209" i="36"/>
  <c r="J209" i="36"/>
  <c r="G209" i="36"/>
  <c r="K208" i="36"/>
  <c r="J208" i="36"/>
  <c r="G208" i="36"/>
  <c r="K207" i="36"/>
  <c r="J207" i="36"/>
  <c r="G207" i="36"/>
  <c r="K206" i="36"/>
  <c r="J206" i="36"/>
  <c r="G206" i="36"/>
  <c r="K205" i="36"/>
  <c r="J205" i="36"/>
  <c r="I205" i="36"/>
  <c r="G205" i="36"/>
  <c r="E203" i="36"/>
  <c r="F198" i="36"/>
  <c r="F196" i="36"/>
  <c r="F199" i="36" s="1"/>
  <c r="G199" i="36" s="1"/>
  <c r="H205" i="36" s="1"/>
  <c r="F162" i="36"/>
  <c r="G132" i="36" s="1"/>
  <c r="O161" i="36"/>
  <c r="O160" i="36"/>
  <c r="G160" i="36"/>
  <c r="O159" i="36"/>
  <c r="G159" i="36"/>
  <c r="O158" i="36"/>
  <c r="G158" i="36"/>
  <c r="O157" i="36"/>
  <c r="J157" i="36"/>
  <c r="O156" i="36"/>
  <c r="G156" i="36"/>
  <c r="O155" i="36"/>
  <c r="O154" i="36"/>
  <c r="O153" i="36"/>
  <c r="G153" i="36"/>
  <c r="O152" i="36"/>
  <c r="O151" i="36"/>
  <c r="G151" i="36"/>
  <c r="O150" i="36"/>
  <c r="G150" i="36"/>
  <c r="O149" i="36"/>
  <c r="G149" i="36"/>
  <c r="O148" i="36"/>
  <c r="O147" i="36"/>
  <c r="O146" i="36"/>
  <c r="G146" i="36"/>
  <c r="O145" i="36"/>
  <c r="G145" i="36"/>
  <c r="O144" i="36"/>
  <c r="G144" i="36"/>
  <c r="O143" i="36"/>
  <c r="O142" i="36"/>
  <c r="G142" i="36"/>
  <c r="O141" i="36"/>
  <c r="G141" i="36"/>
  <c r="O140" i="36"/>
  <c r="G140" i="36"/>
  <c r="O139" i="36"/>
  <c r="O138" i="36"/>
  <c r="G138" i="36"/>
  <c r="O137" i="36"/>
  <c r="O136" i="36"/>
  <c r="O135" i="36"/>
  <c r="O134" i="36"/>
  <c r="O133" i="36"/>
  <c r="O132" i="36"/>
  <c r="O131" i="36"/>
  <c r="O130" i="36"/>
  <c r="O129" i="36"/>
  <c r="O128" i="36"/>
  <c r="J128" i="36"/>
  <c r="O127" i="36"/>
  <c r="G127" i="36"/>
  <c r="O126" i="36"/>
  <c r="O125" i="36"/>
  <c r="O124" i="36"/>
  <c r="O123" i="36"/>
  <c r="G123" i="36"/>
  <c r="O122" i="36"/>
  <c r="O121" i="36"/>
  <c r="G121" i="36"/>
  <c r="O120" i="36"/>
  <c r="O119" i="36"/>
  <c r="O118" i="36"/>
  <c r="O117" i="36"/>
  <c r="O116" i="36"/>
  <c r="O115" i="36"/>
  <c r="G115" i="36"/>
  <c r="O114" i="36"/>
  <c r="O113" i="36"/>
  <c r="O112" i="36"/>
  <c r="O111" i="36"/>
  <c r="J111" i="36"/>
  <c r="O110" i="36"/>
  <c r="O109" i="36"/>
  <c r="O108" i="36"/>
  <c r="K108" i="36"/>
  <c r="K109" i="36" s="1"/>
  <c r="K110" i="36" s="1"/>
  <c r="K111" i="36" s="1"/>
  <c r="K112" i="36" s="1"/>
  <c r="K113" i="36" s="1"/>
  <c r="K114" i="36" s="1"/>
  <c r="K115" i="36" s="1"/>
  <c r="K116" i="36" s="1"/>
  <c r="K117" i="36" s="1"/>
  <c r="K118" i="36" s="1"/>
  <c r="K119" i="36" s="1"/>
  <c r="K120" i="36" s="1"/>
  <c r="K121" i="36" s="1"/>
  <c r="K122" i="36" s="1"/>
  <c r="K123" i="36" s="1"/>
  <c r="K124" i="36" s="1"/>
  <c r="K125" i="36" s="1"/>
  <c r="K126" i="36" s="1"/>
  <c r="K127" i="36" s="1"/>
  <c r="K128" i="36" s="1"/>
  <c r="K129" i="36" s="1"/>
  <c r="K130" i="36" s="1"/>
  <c r="K131" i="36" s="1"/>
  <c r="K132" i="36" s="1"/>
  <c r="K133" i="36" s="1"/>
  <c r="K134" i="36" s="1"/>
  <c r="K135" i="36" s="1"/>
  <c r="K136" i="36" s="1"/>
  <c r="K137" i="36" s="1"/>
  <c r="K138" i="36" s="1"/>
  <c r="K139" i="36" s="1"/>
  <c r="K140" i="36" s="1"/>
  <c r="K141" i="36" s="1"/>
  <c r="K142" i="36" s="1"/>
  <c r="K143" i="36" s="1"/>
  <c r="K144" i="36" s="1"/>
  <c r="K145" i="36" s="1"/>
  <c r="K146" i="36" s="1"/>
  <c r="K147" i="36" s="1"/>
  <c r="K148" i="36" s="1"/>
  <c r="K149" i="36" s="1"/>
  <c r="K150" i="36" s="1"/>
  <c r="K151" i="36" s="1"/>
  <c r="K152" i="36" s="1"/>
  <c r="K153" i="36" s="1"/>
  <c r="K154" i="36" s="1"/>
  <c r="K155" i="36" s="1"/>
  <c r="K156" i="36" s="1"/>
  <c r="K157" i="36" s="1"/>
  <c r="K158" i="36" s="1"/>
  <c r="K159" i="36" s="1"/>
  <c r="K160" i="36" s="1"/>
  <c r="K161" i="36" s="1"/>
  <c r="I108" i="36"/>
  <c r="I109" i="36" s="1"/>
  <c r="I110" i="36" s="1"/>
  <c r="H106" i="36"/>
  <c r="F106" i="36"/>
  <c r="E106" i="36"/>
  <c r="H104" i="36"/>
  <c r="H105" i="36" s="1"/>
  <c r="F101" i="36"/>
  <c r="F99" i="36"/>
  <c r="F102" i="36" s="1"/>
  <c r="G102" i="36" s="1"/>
  <c r="H108" i="36" s="1"/>
  <c r="F94" i="36"/>
  <c r="G93" i="36"/>
  <c r="E93" i="36"/>
  <c r="G92" i="36"/>
  <c r="E92" i="36"/>
  <c r="G91" i="36"/>
  <c r="E91" i="36"/>
  <c r="E90" i="36"/>
  <c r="G89" i="36"/>
  <c r="E89" i="36"/>
  <c r="E88" i="36"/>
  <c r="E87" i="36"/>
  <c r="I86" i="36"/>
  <c r="I87" i="36" s="1"/>
  <c r="I88" i="36" s="1"/>
  <c r="I89" i="36" s="1"/>
  <c r="I90" i="36" s="1"/>
  <c r="G86" i="36"/>
  <c r="E86" i="36"/>
  <c r="F83" i="36"/>
  <c r="G83" i="36" s="1"/>
  <c r="H86" i="36" s="1"/>
  <c r="F82" i="36"/>
  <c r="F74" i="36"/>
  <c r="L73" i="36"/>
  <c r="K73" i="36"/>
  <c r="M73" i="36" s="1"/>
  <c r="G73" i="36"/>
  <c r="M72" i="36"/>
  <c r="L72" i="36"/>
  <c r="K72" i="36"/>
  <c r="G72" i="36"/>
  <c r="L71" i="36"/>
  <c r="K71" i="36"/>
  <c r="M71" i="36" s="1"/>
  <c r="G71" i="36"/>
  <c r="E71" i="36"/>
  <c r="L70" i="36"/>
  <c r="K70" i="36"/>
  <c r="M70" i="36" s="1"/>
  <c r="L69" i="36"/>
  <c r="K69" i="36"/>
  <c r="M69" i="36" s="1"/>
  <c r="G69" i="36"/>
  <c r="L68" i="36"/>
  <c r="K68" i="36"/>
  <c r="M68" i="36" s="1"/>
  <c r="J68" i="36"/>
  <c r="G68" i="36"/>
  <c r="L67" i="36"/>
  <c r="K67" i="36"/>
  <c r="M67" i="36" s="1"/>
  <c r="L66" i="36"/>
  <c r="K66" i="36"/>
  <c r="M66" i="36" s="1"/>
  <c r="G66" i="36"/>
  <c r="L65" i="36"/>
  <c r="K65" i="36"/>
  <c r="M65" i="36" s="1"/>
  <c r="O64" i="36"/>
  <c r="M64" i="36"/>
  <c r="L64" i="36"/>
  <c r="K64" i="36"/>
  <c r="I64" i="36"/>
  <c r="I65" i="36" s="1"/>
  <c r="I68" i="36" s="1"/>
  <c r="I69" i="36" s="1"/>
  <c r="I70" i="36" s="1"/>
  <c r="G64" i="36"/>
  <c r="E64" i="36"/>
  <c r="F60" i="36"/>
  <c r="G60" i="36" s="1"/>
  <c r="H64" i="36" s="1"/>
  <c r="F59" i="36"/>
  <c r="F51" i="36"/>
  <c r="K50" i="36"/>
  <c r="K49" i="36"/>
  <c r="G49" i="36"/>
  <c r="K48" i="36"/>
  <c r="K47" i="36"/>
  <c r="K46" i="36"/>
  <c r="G46" i="36"/>
  <c r="K45" i="36"/>
  <c r="G45" i="36"/>
  <c r="K44" i="36"/>
  <c r="G44" i="36"/>
  <c r="K43" i="36"/>
  <c r="I43" i="36"/>
  <c r="I44" i="36" s="1"/>
  <c r="I45" i="36" s="1"/>
  <c r="I46" i="36" s="1"/>
  <c r="I47" i="36" s="1"/>
  <c r="G43" i="36"/>
  <c r="F39" i="36"/>
  <c r="F37" i="36"/>
  <c r="F40" i="36" s="1"/>
  <c r="F31" i="36"/>
  <c r="G21" i="36" s="1"/>
  <c r="K30" i="36"/>
  <c r="I30" i="36"/>
  <c r="K29" i="36"/>
  <c r="I29" i="36"/>
  <c r="K28" i="36"/>
  <c r="I28" i="36"/>
  <c r="K27" i="36"/>
  <c r="J27" i="36"/>
  <c r="I27" i="36"/>
  <c r="K26" i="36"/>
  <c r="I26" i="36"/>
  <c r="K25" i="36"/>
  <c r="I25" i="36"/>
  <c r="K24" i="36"/>
  <c r="J24" i="36"/>
  <c r="I24" i="36"/>
  <c r="K23" i="36"/>
  <c r="J23" i="36"/>
  <c r="I23" i="36"/>
  <c r="K22" i="36"/>
  <c r="I22" i="36"/>
  <c r="K21" i="36"/>
  <c r="J21" i="36"/>
  <c r="I21" i="36"/>
  <c r="K20" i="36"/>
  <c r="J20" i="36"/>
  <c r="I20" i="36"/>
  <c r="K19" i="36"/>
  <c r="J19" i="36"/>
  <c r="I19" i="36"/>
  <c r="K18" i="36"/>
  <c r="I18" i="36"/>
  <c r="K17" i="36"/>
  <c r="I17" i="36"/>
  <c r="K16" i="36"/>
  <c r="I16" i="36"/>
  <c r="K15" i="36"/>
  <c r="J15" i="36"/>
  <c r="I15" i="36"/>
  <c r="K14" i="36"/>
  <c r="J14" i="36"/>
  <c r="I14" i="36"/>
  <c r="K13" i="36"/>
  <c r="I13" i="36"/>
  <c r="K12" i="36"/>
  <c r="I12" i="36"/>
  <c r="K11" i="36"/>
  <c r="J11" i="36"/>
  <c r="I11" i="36"/>
  <c r="K10" i="36"/>
  <c r="I10" i="36"/>
  <c r="H8" i="1" s="1"/>
  <c r="G6" i="36"/>
  <c r="H10" i="36" s="1"/>
  <c r="F6" i="36"/>
  <c r="F5" i="36"/>
  <c r="F3" i="36"/>
  <c r="J72" i="37" l="1"/>
  <c r="AS61" i="37"/>
  <c r="AS64" i="37" s="1"/>
  <c r="AL61" i="37"/>
  <c r="AL64" i="37" s="1"/>
  <c r="AX72" i="37"/>
  <c r="AL73" i="37"/>
  <c r="AL74" i="37" s="1"/>
  <c r="AT61" i="37"/>
  <c r="AT64" i="37" s="1"/>
  <c r="AM64" i="37"/>
  <c r="AM63" i="37"/>
  <c r="AM66" i="37" s="1"/>
  <c r="AM67" i="37" s="1"/>
  <c r="AM62" i="37"/>
  <c r="AN64" i="37"/>
  <c r="AN62" i="37"/>
  <c r="AO63" i="37"/>
  <c r="AO64" i="37"/>
  <c r="AO62" i="37"/>
  <c r="AR64" i="37"/>
  <c r="AV65" i="37"/>
  <c r="AK73" i="37"/>
  <c r="AK74" i="37" s="1"/>
  <c r="I31" i="36"/>
  <c r="O31" i="36" s="1"/>
  <c r="O30" i="36"/>
  <c r="AW60" i="37"/>
  <c r="AX60" i="37" s="1"/>
  <c r="AK61" i="37"/>
  <c r="AK63" i="37" s="1"/>
  <c r="AL65" i="37"/>
  <c r="AR61" i="37"/>
  <c r="AM65" i="37"/>
  <c r="AN65" i="37"/>
  <c r="F169" i="1"/>
  <c r="F173" i="1"/>
  <c r="F177" i="1"/>
  <c r="F170" i="1"/>
  <c r="F174" i="1"/>
  <c r="F178" i="1"/>
  <c r="F171" i="1"/>
  <c r="F175" i="1"/>
  <c r="F179" i="1"/>
  <c r="F172" i="1"/>
  <c r="F176" i="1"/>
  <c r="F168" i="1"/>
  <c r="AO65" i="37"/>
  <c r="AL62" i="37"/>
  <c r="AQ65" i="37"/>
  <c r="AR65" i="37"/>
  <c r="F59" i="37"/>
  <c r="F60" i="37" s="1"/>
  <c r="AP65" i="37"/>
  <c r="H175" i="1"/>
  <c r="H178" i="1"/>
  <c r="H173" i="1"/>
  <c r="H170" i="1"/>
  <c r="H176" i="1"/>
  <c r="I176" i="1" s="1"/>
  <c r="H171" i="1"/>
  <c r="H169" i="1"/>
  <c r="I169" i="1" s="1"/>
  <c r="H177" i="1"/>
  <c r="H172" i="1"/>
  <c r="H179" i="1"/>
  <c r="H174" i="1"/>
  <c r="I174" i="1" s="1"/>
  <c r="H168" i="1"/>
  <c r="I255" i="36"/>
  <c r="N255" i="36" s="1"/>
  <c r="AT65" i="37"/>
  <c r="AU65" i="37"/>
  <c r="K213" i="36"/>
  <c r="F327" i="1" s="1"/>
  <c r="H22" i="1"/>
  <c r="H42" i="1"/>
  <c r="F325" i="1"/>
  <c r="F328" i="1"/>
  <c r="F329" i="1"/>
  <c r="F330" i="1"/>
  <c r="F333" i="1"/>
  <c r="F326" i="1"/>
  <c r="F324" i="1"/>
  <c r="F322" i="1"/>
  <c r="F332" i="1"/>
  <c r="F323" i="1"/>
  <c r="D213" i="36"/>
  <c r="H23" i="1"/>
  <c r="E213" i="36"/>
  <c r="H36" i="1"/>
  <c r="H35" i="1"/>
  <c r="H41" i="1"/>
  <c r="G171" i="36"/>
  <c r="H177" i="36" s="1"/>
  <c r="H178" i="36" s="1"/>
  <c r="N178" i="36" s="1"/>
  <c r="F186" i="36"/>
  <c r="H179" i="36"/>
  <c r="N179" i="36" s="1"/>
  <c r="B185" i="36"/>
  <c r="D186" i="36" s="1"/>
  <c r="I179" i="36"/>
  <c r="I180" i="36" s="1"/>
  <c r="I181" i="36" s="1"/>
  <c r="I182" i="36" s="1"/>
  <c r="I183" i="36" s="1"/>
  <c r="I184" i="36" s="1"/>
  <c r="J185" i="36"/>
  <c r="I134" i="36"/>
  <c r="I117" i="36"/>
  <c r="J314" i="36"/>
  <c r="J323" i="36" s="1"/>
  <c r="J332" i="36" s="1"/>
  <c r="H18" i="1"/>
  <c r="H26" i="1"/>
  <c r="H21" i="1"/>
  <c r="H25" i="1"/>
  <c r="H20" i="1"/>
  <c r="N254" i="36"/>
  <c r="H28" i="1"/>
  <c r="I156" i="36"/>
  <c r="H5" i="1"/>
  <c r="H11" i="1"/>
  <c r="I131" i="36"/>
  <c r="I137" i="36"/>
  <c r="I152" i="36"/>
  <c r="H14" i="1"/>
  <c r="H6" i="1"/>
  <c r="H9" i="1"/>
  <c r="H12" i="1"/>
  <c r="H15" i="1"/>
  <c r="H10" i="1"/>
  <c r="H13" i="1"/>
  <c r="H4" i="1"/>
  <c r="H7" i="1"/>
  <c r="H40" i="1"/>
  <c r="H27" i="1"/>
  <c r="H33" i="1"/>
  <c r="H34" i="1"/>
  <c r="H38" i="1"/>
  <c r="H39" i="1"/>
  <c r="H29" i="1"/>
  <c r="H44" i="1"/>
  <c r="H24" i="1"/>
  <c r="H43" i="1"/>
  <c r="H37" i="1"/>
  <c r="H19" i="1"/>
  <c r="I93" i="36"/>
  <c r="I91" i="36"/>
  <c r="I92" i="36" s="1"/>
  <c r="N108" i="36"/>
  <c r="H109" i="36"/>
  <c r="I50" i="36"/>
  <c r="I48" i="36"/>
  <c r="I49" i="36" s="1"/>
  <c r="H65" i="36"/>
  <c r="N64" i="36"/>
  <c r="N10" i="36"/>
  <c r="H11" i="36"/>
  <c r="H12" i="36" s="1"/>
  <c r="H87" i="36"/>
  <c r="H88" i="36" s="1"/>
  <c r="F52" i="36"/>
  <c r="G40" i="36"/>
  <c r="H43" i="36" s="1"/>
  <c r="I71" i="36"/>
  <c r="I73" i="36" s="1"/>
  <c r="I72" i="36"/>
  <c r="J265" i="36"/>
  <c r="G20" i="36"/>
  <c r="G22" i="36"/>
  <c r="G29" i="36"/>
  <c r="I66" i="36"/>
  <c r="I67" i="36" s="1"/>
  <c r="G15" i="36"/>
  <c r="G24" i="36"/>
  <c r="G48" i="36"/>
  <c r="J51" i="36" s="1"/>
  <c r="G50" i="36"/>
  <c r="F54" i="36"/>
  <c r="G111" i="36"/>
  <c r="I123" i="36"/>
  <c r="I148" i="36"/>
  <c r="F165" i="36"/>
  <c r="H256" i="36"/>
  <c r="H257" i="36"/>
  <c r="H258" i="36" s="1"/>
  <c r="H259" i="36" s="1"/>
  <c r="H260" i="36" s="1"/>
  <c r="AW49" i="37"/>
  <c r="AP37" i="37"/>
  <c r="AB38" i="37"/>
  <c r="K361" i="36"/>
  <c r="K358" i="36"/>
  <c r="K356" i="36"/>
  <c r="K353" i="36"/>
  <c r="K348" i="36"/>
  <c r="K360" i="36"/>
  <c r="K355" i="36"/>
  <c r="K354" i="36"/>
  <c r="K357" i="36"/>
  <c r="K352" i="36"/>
  <c r="O352" i="36" s="1"/>
  <c r="K359" i="36"/>
  <c r="I121" i="36"/>
  <c r="I160" i="36"/>
  <c r="I207" i="36"/>
  <c r="I208" i="36" s="1"/>
  <c r="I209" i="36" s="1"/>
  <c r="I210" i="36" s="1"/>
  <c r="I211" i="36" s="1"/>
  <c r="I212" i="36" s="1"/>
  <c r="I206" i="36"/>
  <c r="I213" i="36" s="1"/>
  <c r="H381" i="36"/>
  <c r="I382" i="36" s="1"/>
  <c r="J381" i="36"/>
  <c r="F214" i="36"/>
  <c r="I115" i="36"/>
  <c r="G14" i="36"/>
  <c r="G25" i="36"/>
  <c r="N86" i="36"/>
  <c r="G157" i="36"/>
  <c r="AQ36" i="37"/>
  <c r="G16" i="36"/>
  <c r="G23" i="36"/>
  <c r="G30" i="36"/>
  <c r="G47" i="36"/>
  <c r="G135" i="36"/>
  <c r="G147" i="36"/>
  <c r="G154" i="36"/>
  <c r="G161" i="36"/>
  <c r="K349" i="36"/>
  <c r="AC38" i="37"/>
  <c r="AQ37" i="37"/>
  <c r="G27" i="36"/>
  <c r="I157" i="36"/>
  <c r="I155" i="36"/>
  <c r="I153" i="36"/>
  <c r="I151" i="36"/>
  <c r="I149" i="36"/>
  <c r="I147" i="36"/>
  <c r="I145" i="36"/>
  <c r="I143" i="36"/>
  <c r="I141" i="36"/>
  <c r="I139" i="36"/>
  <c r="I161" i="36"/>
  <c r="I159" i="36"/>
  <c r="I126" i="36"/>
  <c r="I124" i="36"/>
  <c r="I122" i="36"/>
  <c r="I120" i="36"/>
  <c r="I118" i="36"/>
  <c r="I116" i="36"/>
  <c r="I114" i="36"/>
  <c r="I112" i="36"/>
  <c r="I150" i="36"/>
  <c r="I135" i="36"/>
  <c r="I158" i="36"/>
  <c r="I130" i="36"/>
  <c r="I142" i="36"/>
  <c r="I127" i="36"/>
  <c r="I119" i="36"/>
  <c r="G19" i="36"/>
  <c r="G67" i="36"/>
  <c r="G70" i="36"/>
  <c r="G65" i="36"/>
  <c r="E74" i="36" s="1"/>
  <c r="G113" i="36"/>
  <c r="G119" i="36"/>
  <c r="I125" i="36"/>
  <c r="I154" i="36"/>
  <c r="I257" i="36"/>
  <c r="I258" i="36" s="1"/>
  <c r="I259" i="36" s="1"/>
  <c r="I260" i="36" s="1"/>
  <c r="AB45" i="37"/>
  <c r="AP45" i="37" s="1"/>
  <c r="AP44" i="37"/>
  <c r="F34" i="36"/>
  <c r="G26" i="36"/>
  <c r="G13" i="36"/>
  <c r="H207" i="36"/>
  <c r="N205" i="36"/>
  <c r="G11" i="36"/>
  <c r="G18" i="36"/>
  <c r="I146" i="36"/>
  <c r="F32" i="36"/>
  <c r="G12" i="36"/>
  <c r="G28" i="36"/>
  <c r="F75" i="36"/>
  <c r="H206" i="36"/>
  <c r="K350" i="36"/>
  <c r="AV63" i="37"/>
  <c r="AV64" i="37"/>
  <c r="AV62" i="37"/>
  <c r="AM96" i="37"/>
  <c r="AM97" i="37" s="1"/>
  <c r="AL96" i="37"/>
  <c r="AL97" i="37" s="1"/>
  <c r="AK96" i="37"/>
  <c r="AK97" i="37" s="1"/>
  <c r="AQ96" i="37"/>
  <c r="AQ97" i="37" s="1"/>
  <c r="AP96" i="37"/>
  <c r="AP97" i="37" s="1"/>
  <c r="AO96" i="37"/>
  <c r="AO97" i="37" s="1"/>
  <c r="AN96" i="37"/>
  <c r="AN97" i="37" s="1"/>
  <c r="AU98" i="37"/>
  <c r="AU96" i="37"/>
  <c r="AU97" i="37" s="1"/>
  <c r="G17" i="36"/>
  <c r="I113" i="36"/>
  <c r="F163" i="36"/>
  <c r="G137" i="36"/>
  <c r="G139" i="36"/>
  <c r="G128" i="36"/>
  <c r="G126" i="36"/>
  <c r="G124" i="36"/>
  <c r="G122" i="36"/>
  <c r="G120" i="36"/>
  <c r="G118" i="36"/>
  <c r="G116" i="36"/>
  <c r="G114" i="36"/>
  <c r="G112" i="36"/>
  <c r="G110" i="36"/>
  <c r="G108" i="36"/>
  <c r="G155" i="36"/>
  <c r="G148" i="36"/>
  <c r="G143" i="36"/>
  <c r="G134" i="36"/>
  <c r="G131" i="36"/>
  <c r="G152" i="36"/>
  <c r="G136" i="36"/>
  <c r="G125" i="36"/>
  <c r="G117" i="36"/>
  <c r="G109" i="36"/>
  <c r="G133" i="36"/>
  <c r="G130" i="36"/>
  <c r="I306" i="36"/>
  <c r="I314" i="36"/>
  <c r="I323" i="36" s="1"/>
  <c r="J315" i="36"/>
  <c r="J324" i="36" s="1"/>
  <c r="J307" i="36"/>
  <c r="G10" i="36"/>
  <c r="J28" i="36"/>
  <c r="F77" i="36"/>
  <c r="F97" i="36"/>
  <c r="G88" i="36"/>
  <c r="F95" i="36"/>
  <c r="G90" i="36"/>
  <c r="G87" i="36"/>
  <c r="G129" i="36"/>
  <c r="I136" i="36"/>
  <c r="I140" i="36"/>
  <c r="I144" i="36"/>
  <c r="K351" i="36"/>
  <c r="AL50" i="37"/>
  <c r="J356" i="36"/>
  <c r="J354" i="36"/>
  <c r="J359" i="36"/>
  <c r="J351" i="36"/>
  <c r="J361" i="36"/>
  <c r="J358" i="36"/>
  <c r="J353" i="36"/>
  <c r="J348" i="36"/>
  <c r="J350" i="36"/>
  <c r="J360" i="36"/>
  <c r="J355" i="36"/>
  <c r="J349" i="36"/>
  <c r="H351" i="36"/>
  <c r="J357" i="36"/>
  <c r="AK39" i="37"/>
  <c r="Z44" i="37"/>
  <c r="AN43" i="37"/>
  <c r="AT73" i="37"/>
  <c r="AT74" i="37" s="1"/>
  <c r="AT87" i="37"/>
  <c r="AT85" i="37"/>
  <c r="AT86" i="37" s="1"/>
  <c r="AT75" i="37"/>
  <c r="H352" i="36"/>
  <c r="H350" i="36"/>
  <c r="H356" i="36"/>
  <c r="H361" i="36"/>
  <c r="H358" i="36"/>
  <c r="H348" i="36"/>
  <c r="F362" i="36" s="1"/>
  <c r="G365" i="36"/>
  <c r="H357" i="36"/>
  <c r="AI35" i="37"/>
  <c r="AJ35" i="37" s="1"/>
  <c r="AQ35" i="37"/>
  <c r="AW35" i="37" s="1"/>
  <c r="AE43" i="37"/>
  <c r="AS42" i="37"/>
  <c r="AA44" i="37"/>
  <c r="AO43" i="37"/>
  <c r="X45" i="37"/>
  <c r="AL45" i="37" s="1"/>
  <c r="AF48" i="37"/>
  <c r="AT48" i="37" s="1"/>
  <c r="AT47" i="37"/>
  <c r="I361" i="36"/>
  <c r="I359" i="36"/>
  <c r="I357" i="36"/>
  <c r="I355" i="36"/>
  <c r="I353" i="36"/>
  <c r="I351" i="36"/>
  <c r="I349" i="36"/>
  <c r="I354" i="36"/>
  <c r="I352" i="36"/>
  <c r="I350" i="36"/>
  <c r="O305" i="36"/>
  <c r="AI46" i="37"/>
  <c r="AJ46" i="37" s="1"/>
  <c r="AW46" i="37"/>
  <c r="AH48" i="37"/>
  <c r="AV48" i="37" s="1"/>
  <c r="AV47" i="37"/>
  <c r="AO85" i="37"/>
  <c r="AO86" i="37" s="1"/>
  <c r="AN85" i="37"/>
  <c r="AN86" i="37" s="1"/>
  <c r="AM85" i="37"/>
  <c r="AM86" i="37" s="1"/>
  <c r="AL85" i="37"/>
  <c r="AL86" i="37" s="1"/>
  <c r="AP85" i="37"/>
  <c r="AP86" i="37" s="1"/>
  <c r="AU85" i="37"/>
  <c r="AU86" i="37" s="1"/>
  <c r="AQ85" i="37"/>
  <c r="AQ86" i="37" s="1"/>
  <c r="AS63" i="37"/>
  <c r="AS66" i="37" s="1"/>
  <c r="AS62" i="37"/>
  <c r="AV87" i="37"/>
  <c r="AV85" i="37"/>
  <c r="AV86" i="37" s="1"/>
  <c r="AS96" i="37"/>
  <c r="AS97" i="37" s="1"/>
  <c r="L294" i="36"/>
  <c r="M294" i="36" s="1"/>
  <c r="L296" i="36"/>
  <c r="H328" i="36"/>
  <c r="O347" i="36"/>
  <c r="D23" i="37"/>
  <c r="D28" i="37" s="1"/>
  <c r="E28" i="37" s="1"/>
  <c r="F30" i="37" s="1"/>
  <c r="AI36" i="37"/>
  <c r="AJ36" i="37" s="1"/>
  <c r="AP36" i="37"/>
  <c r="AI40" i="37"/>
  <c r="AJ40" i="37" s="1"/>
  <c r="AG43" i="37"/>
  <c r="AU42" i="37"/>
  <c r="AU73" i="37"/>
  <c r="AU74" i="37" s="1"/>
  <c r="K72" i="37"/>
  <c r="AQ73" i="37"/>
  <c r="AQ74" i="37" s="1"/>
  <c r="AM73" i="37"/>
  <c r="AM74" i="37" s="1"/>
  <c r="H74" i="37"/>
  <c r="H76" i="37" s="1"/>
  <c r="L331" i="36"/>
  <c r="M331" i="36" s="1"/>
  <c r="L329" i="36"/>
  <c r="M329" i="36" s="1"/>
  <c r="L313" i="36"/>
  <c r="L311" i="36"/>
  <c r="L309" i="36"/>
  <c r="L307" i="36"/>
  <c r="L305" i="36"/>
  <c r="L317" i="36"/>
  <c r="L315" i="36"/>
  <c r="L300" i="36"/>
  <c r="M300" i="36" s="1"/>
  <c r="L293" i="36"/>
  <c r="M293" i="36" s="1"/>
  <c r="L291" i="36"/>
  <c r="L289" i="36"/>
  <c r="L287" i="36"/>
  <c r="L285" i="36"/>
  <c r="L283" i="36"/>
  <c r="L281" i="36"/>
  <c r="L279" i="36"/>
  <c r="L312" i="36"/>
  <c r="L314" i="36"/>
  <c r="L319" i="36"/>
  <c r="H324" i="36"/>
  <c r="H322" i="36"/>
  <c r="H302" i="36"/>
  <c r="H295" i="36"/>
  <c r="H326" i="36"/>
  <c r="P43" i="37"/>
  <c r="AR73" i="37"/>
  <c r="AR74" i="37" s="1"/>
  <c r="AR98" i="37"/>
  <c r="AW56" i="37"/>
  <c r="AR85" i="37"/>
  <c r="AR86" i="37" s="1"/>
  <c r="AR75" i="37"/>
  <c r="L288" i="36"/>
  <c r="L295" i="36"/>
  <c r="M295" i="36" s="1"/>
  <c r="L299" i="36"/>
  <c r="M299" i="36" s="1"/>
  <c r="L301" i="36"/>
  <c r="M301" i="36" s="1"/>
  <c r="L303" i="36"/>
  <c r="M303" i="36" s="1"/>
  <c r="H308" i="36"/>
  <c r="H317" i="36"/>
  <c r="L322" i="36"/>
  <c r="G334" i="36"/>
  <c r="AG38" i="37"/>
  <c r="AU37" i="37"/>
  <c r="AD38" i="37"/>
  <c r="AR37" i="37"/>
  <c r="AI49" i="37"/>
  <c r="AJ49" i="37" s="1"/>
  <c r="AO49" i="37"/>
  <c r="AS73" i="37"/>
  <c r="AS74" i="37" s="1"/>
  <c r="AS85" i="37"/>
  <c r="AS86" i="37" s="1"/>
  <c r="B213" i="36"/>
  <c r="K263" i="36"/>
  <c r="K261" i="36"/>
  <c r="K260" i="36"/>
  <c r="L286" i="36"/>
  <c r="H306" i="36"/>
  <c r="H313" i="36"/>
  <c r="H315" i="36"/>
  <c r="H327" i="36"/>
  <c r="H329" i="36"/>
  <c r="AI30" i="37"/>
  <c r="AO30" i="37"/>
  <c r="AW30" i="37" s="1"/>
  <c r="AW36" i="37"/>
  <c r="H58" i="37"/>
  <c r="E59" i="37"/>
  <c r="M58" i="37"/>
  <c r="AK87" i="37"/>
  <c r="AK85" i="37"/>
  <c r="AK86" i="37" s="1"/>
  <c r="AW84" i="37"/>
  <c r="G252" i="36"/>
  <c r="G256" i="36"/>
  <c r="G254" i="36"/>
  <c r="G260" i="36"/>
  <c r="G258" i="36"/>
  <c r="H282" i="36"/>
  <c r="H289" i="36"/>
  <c r="H304" i="36"/>
  <c r="L308" i="36"/>
  <c r="L320" i="36"/>
  <c r="H323" i="36"/>
  <c r="AP30" i="37"/>
  <c r="X39" i="37"/>
  <c r="AL39" i="37" s="1"/>
  <c r="AR63" i="37"/>
  <c r="AR62" i="37"/>
  <c r="AU63" i="37"/>
  <c r="AU62" i="37"/>
  <c r="AN75" i="37"/>
  <c r="AN73" i="37"/>
  <c r="AN74" i="37" s="1"/>
  <c r="AR87" i="37"/>
  <c r="AQ30" i="37"/>
  <c r="Y50" i="37"/>
  <c r="Y39" i="37"/>
  <c r="AM39" i="37" s="1"/>
  <c r="AM38" i="37"/>
  <c r="AM50" i="37" s="1"/>
  <c r="I62" i="37"/>
  <c r="J60" i="37"/>
  <c r="D62" i="37"/>
  <c r="J58" i="37"/>
  <c r="J213" i="36"/>
  <c r="G261" i="36"/>
  <c r="F266" i="36"/>
  <c r="H280" i="36"/>
  <c r="H287" i="36"/>
  <c r="H292" i="36"/>
  <c r="L302" i="36"/>
  <c r="M302" i="36" s="1"/>
  <c r="L306" i="36"/>
  <c r="L327" i="36"/>
  <c r="H332" i="36"/>
  <c r="AC44" i="37"/>
  <c r="AQ43" i="37"/>
  <c r="AS75" i="37"/>
  <c r="AR96" i="37"/>
  <c r="AR97" i="37" s="1"/>
  <c r="AI31" i="37"/>
  <c r="AF43" i="37"/>
  <c r="AT42" i="37"/>
  <c r="AU41" i="37"/>
  <c r="AD44" i="37"/>
  <c r="AR43" i="37"/>
  <c r="AS47" i="37"/>
  <c r="AT30" i="37"/>
  <c r="AI34" i="37"/>
  <c r="AQ34" i="37"/>
  <c r="AW34" i="37" s="1"/>
  <c r="AF37" i="37"/>
  <c r="AT36" i="37"/>
  <c r="AO73" i="37"/>
  <c r="AO74" i="37" s="1"/>
  <c r="J96" i="37"/>
  <c r="AH42" i="37"/>
  <c r="AV41" i="37"/>
  <c r="AM44" i="37"/>
  <c r="W48" i="37"/>
  <c r="AK47" i="37"/>
  <c r="AI47" i="37"/>
  <c r="AJ47" i="37" s="1"/>
  <c r="W42" i="37"/>
  <c r="AK41" i="37"/>
  <c r="AI41" i="37"/>
  <c r="AJ41" i="37" s="1"/>
  <c r="AV73" i="37"/>
  <c r="AV74" i="37" s="1"/>
  <c r="AV98" i="37"/>
  <c r="AV96" i="37"/>
  <c r="AV97" i="37" s="1"/>
  <c r="AV75" i="37"/>
  <c r="AS98" i="37"/>
  <c r="AT98" i="37"/>
  <c r="AT96" i="37"/>
  <c r="AT97" i="37" s="1"/>
  <c r="AR30" i="37"/>
  <c r="AI32" i="37"/>
  <c r="AJ32" i="37" s="1"/>
  <c r="AP32" i="37"/>
  <c r="AW32" i="37" s="1"/>
  <c r="AW58" i="37"/>
  <c r="AS30" i="37"/>
  <c r="AE37" i="37"/>
  <c r="AS36" i="37"/>
  <c r="AA39" i="37"/>
  <c r="AO38" i="37"/>
  <c r="AQ64" i="37"/>
  <c r="AQ63" i="37"/>
  <c r="AQ62" i="37"/>
  <c r="AW95" i="37"/>
  <c r="AN63" i="37"/>
  <c r="AN66" i="37" s="1"/>
  <c r="AN67" i="37" s="1"/>
  <c r="AV34" i="37"/>
  <c r="AP62" i="37"/>
  <c r="AU36" i="37"/>
  <c r="AP63" i="37"/>
  <c r="AP66" i="37" l="1"/>
  <c r="AT62" i="37"/>
  <c r="I175" i="1"/>
  <c r="AT63" i="37"/>
  <c r="I171" i="1"/>
  <c r="AL63" i="37"/>
  <c r="AL66" i="37" s="1"/>
  <c r="AL67" i="37" s="1"/>
  <c r="D185" i="1"/>
  <c r="D189" i="1"/>
  <c r="D191" i="1"/>
  <c r="D184" i="1"/>
  <c r="D188" i="1"/>
  <c r="D192" i="1"/>
  <c r="D193" i="1"/>
  <c r="D186" i="1"/>
  <c r="D190" i="1"/>
  <c r="D183" i="1"/>
  <c r="D182" i="1"/>
  <c r="D187" i="1"/>
  <c r="I177" i="1"/>
  <c r="I256" i="36"/>
  <c r="N256" i="36" s="1"/>
  <c r="I170" i="1"/>
  <c r="AR66" i="37"/>
  <c r="AR67" i="37" s="1"/>
  <c r="I173" i="1"/>
  <c r="G62" i="37"/>
  <c r="E62" i="37"/>
  <c r="U176" i="1"/>
  <c r="X176" i="1" s="1"/>
  <c r="AC176" i="1" s="1"/>
  <c r="AQ66" i="37"/>
  <c r="AQ67" i="37" s="1"/>
  <c r="I178" i="1"/>
  <c r="AO66" i="37"/>
  <c r="AO67" i="37" s="1"/>
  <c r="U175" i="1"/>
  <c r="X175" i="1" s="1"/>
  <c r="AC175" i="1" s="1"/>
  <c r="AK64" i="37"/>
  <c r="AK66" i="37" s="1"/>
  <c r="AK62" i="37"/>
  <c r="U169" i="1"/>
  <c r="X169" i="1" s="1"/>
  <c r="AC169" i="1" s="1"/>
  <c r="F62" i="37"/>
  <c r="H189" i="1" s="1"/>
  <c r="AV66" i="37"/>
  <c r="AV67" i="37" s="1"/>
  <c r="I179" i="1"/>
  <c r="U171" i="1"/>
  <c r="X171" i="1"/>
  <c r="AC171" i="1" s="1"/>
  <c r="U174" i="1"/>
  <c r="X174" i="1" s="1"/>
  <c r="AC174" i="1" s="1"/>
  <c r="I172" i="1"/>
  <c r="AU66" i="37"/>
  <c r="AU67" i="37" s="1"/>
  <c r="AT66" i="37"/>
  <c r="AT67" i="37" s="1"/>
  <c r="AS67" i="37"/>
  <c r="F331" i="1"/>
  <c r="H327" i="1"/>
  <c r="H330" i="1"/>
  <c r="H322" i="1"/>
  <c r="H329" i="1"/>
  <c r="H332" i="1"/>
  <c r="H323" i="1"/>
  <c r="H328" i="1"/>
  <c r="H333" i="1"/>
  <c r="H325" i="1"/>
  <c r="H326" i="1"/>
  <c r="H331" i="1"/>
  <c r="H324" i="1"/>
  <c r="D214" i="36"/>
  <c r="C213" i="36"/>
  <c r="J362" i="36"/>
  <c r="H96" i="1" s="1"/>
  <c r="O314" i="36"/>
  <c r="D323" i="1"/>
  <c r="D322" i="1"/>
  <c r="D332" i="1"/>
  <c r="D330" i="1"/>
  <c r="D328" i="1"/>
  <c r="D326" i="1"/>
  <c r="D331" i="1"/>
  <c r="D324" i="1"/>
  <c r="D329" i="1"/>
  <c r="D325" i="1"/>
  <c r="D333" i="1"/>
  <c r="D327" i="1"/>
  <c r="J94" i="36"/>
  <c r="D57" i="1" s="1"/>
  <c r="N177" i="36"/>
  <c r="H180" i="36"/>
  <c r="N180" i="36" s="1"/>
  <c r="I163" i="36"/>
  <c r="K362" i="36"/>
  <c r="D97" i="1" s="1"/>
  <c r="O356" i="36"/>
  <c r="I94" i="36"/>
  <c r="H60" i="1" s="1"/>
  <c r="D27" i="1"/>
  <c r="D19" i="1"/>
  <c r="D20" i="1"/>
  <c r="D26" i="1"/>
  <c r="D25" i="1"/>
  <c r="D18" i="1"/>
  <c r="D21" i="1"/>
  <c r="D23" i="1"/>
  <c r="D28" i="1"/>
  <c r="D24" i="1"/>
  <c r="D22" i="1"/>
  <c r="D29" i="1"/>
  <c r="D54" i="1"/>
  <c r="D60" i="1"/>
  <c r="D163" i="36"/>
  <c r="B163" i="36"/>
  <c r="O353" i="36"/>
  <c r="O358" i="36"/>
  <c r="I162" i="36"/>
  <c r="E38" i="1"/>
  <c r="E44" i="1"/>
  <c r="E36" i="1"/>
  <c r="E39" i="1"/>
  <c r="E35" i="1"/>
  <c r="E41" i="1"/>
  <c r="E33" i="1"/>
  <c r="E34" i="1"/>
  <c r="E40" i="1"/>
  <c r="E42" i="1"/>
  <c r="E43" i="1"/>
  <c r="E37" i="1"/>
  <c r="N206" i="36"/>
  <c r="J74" i="36"/>
  <c r="O360" i="36"/>
  <c r="O163" i="36"/>
  <c r="B51" i="36"/>
  <c r="O348" i="36"/>
  <c r="Z45" i="37"/>
  <c r="AN45" i="37" s="1"/>
  <c r="AN44" i="37"/>
  <c r="AN50" i="37" s="1"/>
  <c r="N258" i="36"/>
  <c r="N257" i="36"/>
  <c r="AO39" i="37"/>
  <c r="AK48" i="37"/>
  <c r="AW48" i="37" s="1"/>
  <c r="AI48" i="37"/>
  <c r="AJ48" i="37" s="1"/>
  <c r="K74" i="37"/>
  <c r="AE44" i="37"/>
  <c r="AS43" i="37"/>
  <c r="H66" i="36"/>
  <c r="H68" i="36"/>
  <c r="N65" i="36"/>
  <c r="AE38" i="37"/>
  <c r="AS37" i="37"/>
  <c r="AW37" i="37" s="1"/>
  <c r="AP67" i="37"/>
  <c r="AD45" i="37"/>
  <c r="AR45" i="37" s="1"/>
  <c r="AR44" i="37"/>
  <c r="N87" i="36"/>
  <c r="J308" i="36"/>
  <c r="J316" i="36"/>
  <c r="J325" i="36" s="1"/>
  <c r="F36" i="37"/>
  <c r="F48" i="37"/>
  <c r="F42" i="37"/>
  <c r="F35" i="37"/>
  <c r="F34" i="37"/>
  <c r="F32" i="37"/>
  <c r="G161" i="37"/>
  <c r="F47" i="37"/>
  <c r="F41" i="37"/>
  <c r="R30" i="37"/>
  <c r="F46" i="37"/>
  <c r="F40" i="37"/>
  <c r="F49" i="37"/>
  <c r="F45" i="37"/>
  <c r="F44" i="37"/>
  <c r="F43" i="37"/>
  <c r="F39" i="37"/>
  <c r="F33" i="37"/>
  <c r="G158" i="37"/>
  <c r="F37" i="37"/>
  <c r="J30" i="37"/>
  <c r="F31" i="37"/>
  <c r="F38" i="37"/>
  <c r="AF44" i="37"/>
  <c r="AT43" i="37"/>
  <c r="AD39" i="37"/>
  <c r="AR39" i="37" s="1"/>
  <c r="AR38" i="37"/>
  <c r="AR50" i="37" s="1"/>
  <c r="O323" i="36"/>
  <c r="I332" i="36"/>
  <c r="O332" i="36" s="1"/>
  <c r="AW41" i="37"/>
  <c r="I315" i="36"/>
  <c r="I307" i="36"/>
  <c r="O306" i="36"/>
  <c r="I262" i="36"/>
  <c r="I263" i="36" s="1"/>
  <c r="I261" i="36"/>
  <c r="I264" i="36"/>
  <c r="H110" i="36"/>
  <c r="N109" i="36"/>
  <c r="AW98" i="37"/>
  <c r="AW96" i="37"/>
  <c r="AW97" i="37" s="1"/>
  <c r="AX95" i="37"/>
  <c r="W43" i="37"/>
  <c r="AK42" i="37"/>
  <c r="AI42" i="37"/>
  <c r="AJ42" i="37" s="1"/>
  <c r="H59" i="37"/>
  <c r="K59" i="37" s="1"/>
  <c r="N59" i="37" s="1"/>
  <c r="E60" i="37"/>
  <c r="AG39" i="37"/>
  <c r="AU38" i="37"/>
  <c r="E162" i="36"/>
  <c r="O162" i="36"/>
  <c r="J162" i="36"/>
  <c r="O361" i="36"/>
  <c r="H13" i="36"/>
  <c r="N12" i="36"/>
  <c r="AF38" i="37"/>
  <c r="AT37" i="37"/>
  <c r="X50" i="37"/>
  <c r="H54" i="37"/>
  <c r="K58" i="37"/>
  <c r="N58" i="37" s="1"/>
  <c r="AW75" i="37"/>
  <c r="AW73" i="37"/>
  <c r="AW74" i="37" s="1"/>
  <c r="AA45" i="37"/>
  <c r="AO45" i="37" s="1"/>
  <c r="AO44" i="37"/>
  <c r="AB39" i="37"/>
  <c r="AP38" i="37"/>
  <c r="AI38" i="37"/>
  <c r="AJ38" i="37" s="1"/>
  <c r="H261" i="36"/>
  <c r="H262" i="36"/>
  <c r="AX58" i="37"/>
  <c r="AW61" i="37"/>
  <c r="AW63" i="37" s="1"/>
  <c r="AW64" i="37"/>
  <c r="AW47" i="37"/>
  <c r="D265" i="36"/>
  <c r="B265" i="36"/>
  <c r="D266" i="36" s="1"/>
  <c r="J74" i="37"/>
  <c r="O351" i="36"/>
  <c r="O359" i="36"/>
  <c r="E94" i="36"/>
  <c r="N11" i="36"/>
  <c r="H89" i="36"/>
  <c r="N88" i="36"/>
  <c r="N260" i="36"/>
  <c r="AC45" i="37"/>
  <c r="AQ45" i="37" s="1"/>
  <c r="AQ44" i="37"/>
  <c r="AG44" i="37"/>
  <c r="AU43" i="37"/>
  <c r="J31" i="36"/>
  <c r="B31" i="36"/>
  <c r="G31" i="36"/>
  <c r="O357" i="36"/>
  <c r="AI37" i="37"/>
  <c r="AJ37" i="37" s="1"/>
  <c r="AW87" i="37"/>
  <c r="AW85" i="37"/>
  <c r="AW86" i="37" s="1"/>
  <c r="AX84" i="37"/>
  <c r="AO50" i="37"/>
  <c r="P44" i="37"/>
  <c r="N207" i="36"/>
  <c r="H208" i="36"/>
  <c r="AC39" i="37"/>
  <c r="AQ38" i="37"/>
  <c r="O354" i="36"/>
  <c r="AH43" i="37"/>
  <c r="AV42" i="37"/>
  <c r="AJ30" i="37"/>
  <c r="N259" i="36"/>
  <c r="O350" i="36"/>
  <c r="O349" i="36"/>
  <c r="O355" i="36"/>
  <c r="H44" i="36"/>
  <c r="N43" i="36"/>
  <c r="H187" i="1" l="1"/>
  <c r="H183" i="1"/>
  <c r="H193" i="1"/>
  <c r="H191" i="1"/>
  <c r="I191" i="1" s="1"/>
  <c r="AW66" i="37"/>
  <c r="H192" i="1"/>
  <c r="H95" i="1"/>
  <c r="H182" i="1"/>
  <c r="U178" i="1"/>
  <c r="X178" i="1" s="1"/>
  <c r="AC178" i="1" s="1"/>
  <c r="H97" i="1"/>
  <c r="I97" i="1" s="1"/>
  <c r="H188" i="1"/>
  <c r="I188" i="1" s="1"/>
  <c r="U179" i="1"/>
  <c r="X179" i="1" s="1"/>
  <c r="AC179" i="1" s="1"/>
  <c r="I265" i="36"/>
  <c r="H352" i="1" s="1"/>
  <c r="H186" i="1"/>
  <c r="AK67" i="37"/>
  <c r="AK68" i="37" s="1"/>
  <c r="AK69" i="37" s="1"/>
  <c r="F182" i="1"/>
  <c r="F188" i="1"/>
  <c r="F185" i="1"/>
  <c r="F193" i="1"/>
  <c r="F191" i="1"/>
  <c r="F184" i="1"/>
  <c r="F192" i="1"/>
  <c r="I192" i="1" s="1"/>
  <c r="F189" i="1"/>
  <c r="F183" i="1"/>
  <c r="F186" i="1"/>
  <c r="F190" i="1"/>
  <c r="F187" i="1"/>
  <c r="U170" i="1"/>
  <c r="X170" i="1" s="1"/>
  <c r="AC170" i="1" s="1"/>
  <c r="H185" i="1"/>
  <c r="G183" i="1"/>
  <c r="I183" i="1" s="1"/>
  <c r="G187" i="1"/>
  <c r="G191" i="1"/>
  <c r="G188" i="1"/>
  <c r="G192" i="1"/>
  <c r="G185" i="1"/>
  <c r="G189" i="1"/>
  <c r="G193" i="1"/>
  <c r="G186" i="1"/>
  <c r="G182" i="1"/>
  <c r="G190" i="1"/>
  <c r="G184" i="1"/>
  <c r="U172" i="1"/>
  <c r="X172" i="1"/>
  <c r="AC172" i="1" s="1"/>
  <c r="AV68" i="37"/>
  <c r="AV69" i="37" s="1"/>
  <c r="H190" i="1"/>
  <c r="H184" i="1"/>
  <c r="U173" i="1"/>
  <c r="X173" i="1" s="1"/>
  <c r="AC173" i="1" s="1"/>
  <c r="U177" i="1"/>
  <c r="X177" i="1" s="1"/>
  <c r="AC177" i="1" s="1"/>
  <c r="H356" i="1"/>
  <c r="H362" i="1"/>
  <c r="H357" i="1"/>
  <c r="H354" i="1"/>
  <c r="H355" i="1"/>
  <c r="H363" i="1"/>
  <c r="H353" i="1"/>
  <c r="H358" i="1"/>
  <c r="H103" i="1"/>
  <c r="H99" i="1"/>
  <c r="H93" i="1"/>
  <c r="H104" i="1"/>
  <c r="D58" i="1"/>
  <c r="H102" i="1"/>
  <c r="D59" i="1"/>
  <c r="H100" i="1"/>
  <c r="D52" i="1"/>
  <c r="H94" i="1"/>
  <c r="D51" i="1"/>
  <c r="D95" i="1"/>
  <c r="D104" i="1"/>
  <c r="D50" i="1"/>
  <c r="D55" i="1"/>
  <c r="H52" i="1"/>
  <c r="D102" i="1"/>
  <c r="H101" i="1"/>
  <c r="D94" i="1"/>
  <c r="D93" i="1"/>
  <c r="I93" i="1" s="1"/>
  <c r="H51" i="1"/>
  <c r="D100" i="1"/>
  <c r="H54" i="1"/>
  <c r="D96" i="1"/>
  <c r="I96" i="1" s="1"/>
  <c r="H56" i="1"/>
  <c r="D98" i="1"/>
  <c r="D53" i="1"/>
  <c r="H50" i="1"/>
  <c r="D103" i="1"/>
  <c r="D49" i="1"/>
  <c r="H59" i="1"/>
  <c r="D101" i="1"/>
  <c r="D56" i="1"/>
  <c r="H53" i="1"/>
  <c r="H98" i="1"/>
  <c r="D99" i="1"/>
  <c r="E330" i="1"/>
  <c r="E329" i="1"/>
  <c r="E327" i="1"/>
  <c r="E323" i="1"/>
  <c r="E333" i="1"/>
  <c r="E326" i="1"/>
  <c r="E331" i="1"/>
  <c r="E324" i="1"/>
  <c r="E328" i="1"/>
  <c r="E332" i="1"/>
  <c r="E325" i="1"/>
  <c r="E322" i="1"/>
  <c r="H49" i="1"/>
  <c r="H181" i="36"/>
  <c r="N181" i="36" s="1"/>
  <c r="C163" i="36"/>
  <c r="E64" i="1" s="1"/>
  <c r="H58" i="1"/>
  <c r="O362" i="36"/>
  <c r="O363" i="36" s="1"/>
  <c r="H57" i="1"/>
  <c r="H55" i="1"/>
  <c r="E22" i="1"/>
  <c r="I22" i="1" s="1"/>
  <c r="U22" i="1" s="1"/>
  <c r="E28" i="1"/>
  <c r="I28" i="1" s="1"/>
  <c r="U28" i="1" s="1"/>
  <c r="E21" i="1"/>
  <c r="I21" i="1" s="1"/>
  <c r="U21" i="1" s="1"/>
  <c r="E27" i="1"/>
  <c r="I27" i="1" s="1"/>
  <c r="U27" i="1" s="1"/>
  <c r="E25" i="1"/>
  <c r="I25" i="1" s="1"/>
  <c r="U25" i="1" s="1"/>
  <c r="E20" i="1"/>
  <c r="I20" i="1" s="1"/>
  <c r="U20" i="1" s="1"/>
  <c r="E26" i="1"/>
  <c r="I26" i="1" s="1"/>
  <c r="U26" i="1" s="1"/>
  <c r="E23" i="1"/>
  <c r="I23" i="1" s="1"/>
  <c r="U23" i="1" s="1"/>
  <c r="E18" i="1"/>
  <c r="E24" i="1"/>
  <c r="I24" i="1" s="1"/>
  <c r="U24" i="1" s="1"/>
  <c r="E29" i="1"/>
  <c r="I29" i="1" s="1"/>
  <c r="U29" i="1" s="1"/>
  <c r="E19" i="1"/>
  <c r="I19" i="1" s="1"/>
  <c r="U19" i="1" s="1"/>
  <c r="H66" i="1"/>
  <c r="H71" i="1"/>
  <c r="H69" i="1"/>
  <c r="H72" i="1"/>
  <c r="H65" i="1"/>
  <c r="H70" i="1"/>
  <c r="H74" i="1"/>
  <c r="H67" i="1"/>
  <c r="H73" i="1"/>
  <c r="H68" i="1"/>
  <c r="H75" i="1"/>
  <c r="H64" i="1"/>
  <c r="D40" i="1"/>
  <c r="I40" i="1" s="1"/>
  <c r="D39" i="1"/>
  <c r="I39" i="1" s="1"/>
  <c r="D34" i="1"/>
  <c r="I34" i="1" s="1"/>
  <c r="D42" i="1"/>
  <c r="I42" i="1" s="1"/>
  <c r="D36" i="1"/>
  <c r="I36" i="1" s="1"/>
  <c r="D33" i="1"/>
  <c r="I33" i="1" s="1"/>
  <c r="D35" i="1"/>
  <c r="I35" i="1" s="1"/>
  <c r="D41" i="1"/>
  <c r="I41" i="1" s="1"/>
  <c r="D38" i="1"/>
  <c r="I38" i="1" s="1"/>
  <c r="D43" i="1"/>
  <c r="I43" i="1" s="1"/>
  <c r="D44" i="1"/>
  <c r="I44" i="1" s="1"/>
  <c r="D37" i="1"/>
  <c r="I37" i="1" s="1"/>
  <c r="E53" i="1"/>
  <c r="E59" i="1"/>
  <c r="E54" i="1"/>
  <c r="E60" i="1"/>
  <c r="E50" i="1"/>
  <c r="E56" i="1"/>
  <c r="E51" i="1"/>
  <c r="E57" i="1"/>
  <c r="E55" i="1"/>
  <c r="E49" i="1"/>
  <c r="E52" i="1"/>
  <c r="E58" i="1"/>
  <c r="E6" i="1"/>
  <c r="E9" i="1"/>
  <c r="E12" i="1"/>
  <c r="E15" i="1"/>
  <c r="E4" i="1"/>
  <c r="E5" i="1"/>
  <c r="E8" i="1"/>
  <c r="E7" i="1"/>
  <c r="E10" i="1"/>
  <c r="E13" i="1"/>
  <c r="E14" i="1"/>
  <c r="E11" i="1"/>
  <c r="D7" i="1"/>
  <c r="D8" i="1"/>
  <c r="D10" i="1"/>
  <c r="D14" i="1"/>
  <c r="D5" i="1"/>
  <c r="D11" i="1"/>
  <c r="D13" i="1"/>
  <c r="D4" i="1"/>
  <c r="D15" i="1"/>
  <c r="D9" i="1"/>
  <c r="D12" i="1"/>
  <c r="D6" i="1"/>
  <c r="E66" i="1"/>
  <c r="E71" i="1"/>
  <c r="D74" i="1"/>
  <c r="D67" i="1"/>
  <c r="D72" i="1"/>
  <c r="D65" i="1"/>
  <c r="D68" i="1"/>
  <c r="D64" i="1"/>
  <c r="D73" i="1"/>
  <c r="D66" i="1"/>
  <c r="D70" i="1"/>
  <c r="D75" i="1"/>
  <c r="D71" i="1"/>
  <c r="D69" i="1"/>
  <c r="AQ50" i="37"/>
  <c r="J39" i="37"/>
  <c r="R39" i="37"/>
  <c r="P45" i="37"/>
  <c r="AR68" i="37"/>
  <c r="AR69" i="37" s="1"/>
  <c r="AU39" i="37"/>
  <c r="N110" i="36"/>
  <c r="H111" i="36"/>
  <c r="L30" i="37"/>
  <c r="O30" i="37"/>
  <c r="J317" i="36"/>
  <c r="J326" i="36" s="1"/>
  <c r="J327" i="36" s="1"/>
  <c r="J309" i="36"/>
  <c r="J310" i="36" s="1"/>
  <c r="J311" i="36" s="1"/>
  <c r="J312" i="36" s="1"/>
  <c r="J279" i="36" s="1"/>
  <c r="AM68" i="37"/>
  <c r="AM69" i="37" s="1"/>
  <c r="J47" i="37"/>
  <c r="G152" i="37"/>
  <c r="G140" i="37"/>
  <c r="G131" i="37"/>
  <c r="R47" i="37"/>
  <c r="AH44" i="37"/>
  <c r="AV43" i="37"/>
  <c r="AE45" i="37"/>
  <c r="AS45" i="37" s="1"/>
  <c r="AS44" i="37"/>
  <c r="AX61" i="37"/>
  <c r="AW62" i="37"/>
  <c r="AW67" i="37" s="1"/>
  <c r="AW68" i="37" s="1"/>
  <c r="AW69" i="37" s="1"/>
  <c r="N57" i="37"/>
  <c r="O58" i="37"/>
  <c r="O60" i="37" s="1"/>
  <c r="N13" i="36"/>
  <c r="H14" i="36"/>
  <c r="R43" i="37"/>
  <c r="J43" i="37"/>
  <c r="R34" i="37"/>
  <c r="J34" i="37"/>
  <c r="AP68" i="37"/>
  <c r="AP69" i="37" s="1"/>
  <c r="H45" i="36"/>
  <c r="N44" i="36"/>
  <c r="N261" i="36"/>
  <c r="AI43" i="37"/>
  <c r="AJ43" i="37" s="1"/>
  <c r="AK43" i="37"/>
  <c r="AW43" i="37" s="1"/>
  <c r="W44" i="37"/>
  <c r="J35" i="37"/>
  <c r="G145" i="37"/>
  <c r="G137" i="37"/>
  <c r="G144" i="37"/>
  <c r="R35" i="37"/>
  <c r="G146" i="37"/>
  <c r="G150" i="37"/>
  <c r="G138" i="37"/>
  <c r="J41" i="37"/>
  <c r="G135" i="37"/>
  <c r="G154" i="37"/>
  <c r="G130" i="37"/>
  <c r="R41" i="37"/>
  <c r="AN68" i="37"/>
  <c r="AN69" i="37" s="1"/>
  <c r="G153" i="37"/>
  <c r="G129" i="37"/>
  <c r="R32" i="37"/>
  <c r="J32" i="37"/>
  <c r="N262" i="36"/>
  <c r="H263" i="36"/>
  <c r="AW42" i="37"/>
  <c r="AQ39" i="37"/>
  <c r="AC50" i="37"/>
  <c r="I316" i="36"/>
  <c r="I308" i="36"/>
  <c r="O307" i="36"/>
  <c r="R44" i="37"/>
  <c r="J44" i="37"/>
  <c r="R42" i="37"/>
  <c r="J42" i="37"/>
  <c r="AE39" i="37"/>
  <c r="AS39" i="37" s="1"/>
  <c r="AS38" i="37"/>
  <c r="AA50" i="37"/>
  <c r="I324" i="36"/>
  <c r="O324" i="36" s="1"/>
  <c r="O315" i="36"/>
  <c r="AF45" i="37"/>
  <c r="AT45" i="37" s="1"/>
  <c r="AT44" i="37"/>
  <c r="J45" i="37"/>
  <c r="R45" i="37"/>
  <c r="J48" i="37"/>
  <c r="R48" i="37"/>
  <c r="H60" i="37"/>
  <c r="H62" i="37" s="1"/>
  <c r="AO68" i="37"/>
  <c r="AO69" i="37" s="1"/>
  <c r="G141" i="37"/>
  <c r="R33" i="37"/>
  <c r="G156" i="37"/>
  <c r="G132" i="37"/>
  <c r="G162" i="37"/>
  <c r="G159" i="37"/>
  <c r="J33" i="37"/>
  <c r="L33" i="37" s="1"/>
  <c r="AT68" i="37"/>
  <c r="AT69" i="37" s="1"/>
  <c r="H209" i="36"/>
  <c r="N208" i="36"/>
  <c r="AD50" i="37"/>
  <c r="AU68" i="37"/>
  <c r="AU69" i="37" s="1"/>
  <c r="G133" i="37"/>
  <c r="R49" i="37"/>
  <c r="G160" i="37"/>
  <c r="J49" i="37"/>
  <c r="G157" i="37"/>
  <c r="R36" i="37"/>
  <c r="G136" i="37"/>
  <c r="G128" i="37"/>
  <c r="G127" i="37"/>
  <c r="G155" i="37"/>
  <c r="G143" i="37"/>
  <c r="J36" i="37"/>
  <c r="N68" i="36"/>
  <c r="H69" i="36"/>
  <c r="R37" i="37"/>
  <c r="J37" i="37"/>
  <c r="AU44" i="37"/>
  <c r="AG45" i="37"/>
  <c r="AU45" i="37" s="1"/>
  <c r="AS68" i="37"/>
  <c r="AS69" i="37" s="1"/>
  <c r="AP39" i="37"/>
  <c r="AB50" i="37"/>
  <c r="R38" i="37"/>
  <c r="J38" i="37"/>
  <c r="J40" i="37"/>
  <c r="G148" i="37"/>
  <c r="R40" i="37"/>
  <c r="H67" i="36"/>
  <c r="N67" i="36" s="1"/>
  <c r="N66" i="36"/>
  <c r="AL68" i="37"/>
  <c r="AL69" i="37" s="1"/>
  <c r="H90" i="36"/>
  <c r="N89" i="36"/>
  <c r="AF39" i="37"/>
  <c r="AT38" i="37"/>
  <c r="AQ68" i="37"/>
  <c r="AQ69" i="37" s="1"/>
  <c r="R31" i="37"/>
  <c r="J31" i="37"/>
  <c r="L31" i="37" s="1"/>
  <c r="G149" i="37"/>
  <c r="J46" i="37"/>
  <c r="G151" i="37"/>
  <c r="R46" i="37"/>
  <c r="G142" i="37"/>
  <c r="G139" i="37"/>
  <c r="G134" i="37"/>
  <c r="G147" i="37"/>
  <c r="Z50" i="37"/>
  <c r="I187" i="1" l="1"/>
  <c r="I186" i="1"/>
  <c r="I193" i="1"/>
  <c r="I189" i="1"/>
  <c r="U193" i="1"/>
  <c r="X193" i="1" s="1"/>
  <c r="AC193" i="1" s="1"/>
  <c r="U187" i="1"/>
  <c r="X187" i="1"/>
  <c r="AC187" i="1" s="1"/>
  <c r="U183" i="1"/>
  <c r="X183" i="1" s="1"/>
  <c r="AC183" i="1" s="1"/>
  <c r="U189" i="1"/>
  <c r="X189" i="1"/>
  <c r="AC189" i="1" s="1"/>
  <c r="U192" i="1"/>
  <c r="X192" i="1" s="1"/>
  <c r="AC192" i="1" s="1"/>
  <c r="U34" i="1"/>
  <c r="X34" i="1"/>
  <c r="AA34" i="1" s="1"/>
  <c r="AB34" i="1" s="1"/>
  <c r="AC34" i="1" s="1"/>
  <c r="U186" i="1"/>
  <c r="X186" i="1"/>
  <c r="AC186" i="1" s="1"/>
  <c r="X39" i="1"/>
  <c r="AA39" i="1" s="1"/>
  <c r="AB39" i="1" s="1"/>
  <c r="AC39" i="1" s="1"/>
  <c r="U39" i="1"/>
  <c r="X40" i="1"/>
  <c r="AA40" i="1" s="1"/>
  <c r="AB40" i="1" s="1"/>
  <c r="AC40" i="1" s="1"/>
  <c r="U40" i="1"/>
  <c r="I101" i="1"/>
  <c r="L93" i="1"/>
  <c r="U93" i="1"/>
  <c r="X93" i="1" s="1"/>
  <c r="AA93" i="1" s="1"/>
  <c r="AB93" i="1" s="1"/>
  <c r="I184" i="1"/>
  <c r="X37" i="1"/>
  <c r="AA37" i="1" s="1"/>
  <c r="AB37" i="1" s="1"/>
  <c r="AC37" i="1" s="1"/>
  <c r="U37" i="1"/>
  <c r="H360" i="1"/>
  <c r="I190" i="1"/>
  <c r="H361" i="1"/>
  <c r="L97" i="1"/>
  <c r="U97" i="1"/>
  <c r="X97" i="1" s="1"/>
  <c r="AA97" i="1" s="1"/>
  <c r="X38" i="1"/>
  <c r="AA38" i="1" s="1"/>
  <c r="AB38" i="1" s="1"/>
  <c r="AC38" i="1" s="1"/>
  <c r="U38" i="1"/>
  <c r="X41" i="1"/>
  <c r="AA41" i="1" s="1"/>
  <c r="AB41" i="1" s="1"/>
  <c r="AC41" i="1" s="1"/>
  <c r="U41" i="1"/>
  <c r="U188" i="1"/>
  <c r="X188" i="1" s="1"/>
  <c r="AC188" i="1" s="1"/>
  <c r="U33" i="1"/>
  <c r="X33" i="1"/>
  <c r="AA33" i="1" s="1"/>
  <c r="AB33" i="1" s="1"/>
  <c r="AC33" i="1" s="1"/>
  <c r="H359" i="1"/>
  <c r="U42" i="1"/>
  <c r="X42" i="1"/>
  <c r="AA42" i="1" s="1"/>
  <c r="AB42" i="1" s="1"/>
  <c r="AC42" i="1" s="1"/>
  <c r="U44" i="1"/>
  <c r="X44" i="1"/>
  <c r="AA44" i="1" s="1"/>
  <c r="AB44" i="1" s="1"/>
  <c r="AC44" i="1" s="1"/>
  <c r="U191" i="1"/>
  <c r="X191" i="1"/>
  <c r="AC191" i="1" s="1"/>
  <c r="X43" i="1"/>
  <c r="AA43" i="1" s="1"/>
  <c r="AB43" i="1" s="1"/>
  <c r="AC43" i="1" s="1"/>
  <c r="U43" i="1"/>
  <c r="I185" i="1"/>
  <c r="U35" i="1"/>
  <c r="X35" i="1"/>
  <c r="AA35" i="1" s="1"/>
  <c r="AB35" i="1" s="1"/>
  <c r="AC35" i="1" s="1"/>
  <c r="U36" i="1"/>
  <c r="X36" i="1"/>
  <c r="AA36" i="1" s="1"/>
  <c r="AB36" i="1" s="1"/>
  <c r="AC36" i="1" s="1"/>
  <c r="L96" i="1"/>
  <c r="U96" i="1"/>
  <c r="X96" i="1" s="1"/>
  <c r="AA96" i="1" s="1"/>
  <c r="I95" i="1"/>
  <c r="M93" i="1"/>
  <c r="N93" i="1" s="1"/>
  <c r="O93" i="1" s="1"/>
  <c r="Q93" i="1" s="1"/>
  <c r="R93" i="1" s="1"/>
  <c r="T93" i="1" s="1"/>
  <c r="Y93" i="1"/>
  <c r="I100" i="1"/>
  <c r="I94" i="1"/>
  <c r="I102" i="1"/>
  <c r="I103" i="1"/>
  <c r="I99" i="1"/>
  <c r="I104" i="1"/>
  <c r="E74" i="1"/>
  <c r="E69" i="1"/>
  <c r="I98" i="1"/>
  <c r="E67" i="1"/>
  <c r="I12" i="1"/>
  <c r="U12" i="1" s="1"/>
  <c r="O364" i="36"/>
  <c r="E70" i="1"/>
  <c r="E65" i="1"/>
  <c r="E73" i="1"/>
  <c r="E68" i="1"/>
  <c r="I13" i="1"/>
  <c r="U13" i="1" s="1"/>
  <c r="I11" i="1"/>
  <c r="U11" i="1" s="1"/>
  <c r="E72" i="1"/>
  <c r="E75" i="1"/>
  <c r="H182" i="36"/>
  <c r="I10" i="1"/>
  <c r="U10" i="1" s="1"/>
  <c r="I8" i="1"/>
  <c r="U8" i="1" s="1"/>
  <c r="I4" i="1"/>
  <c r="U4" i="1" s="1"/>
  <c r="I6" i="1"/>
  <c r="U6" i="1" s="1"/>
  <c r="I9" i="1"/>
  <c r="U9" i="1" s="1"/>
  <c r="I15" i="1"/>
  <c r="U15" i="1" s="1"/>
  <c r="I5" i="1"/>
  <c r="U5" i="1" s="1"/>
  <c r="I14" i="1"/>
  <c r="U14" i="1" s="1"/>
  <c r="J280" i="36"/>
  <c r="J281" i="36" s="1"/>
  <c r="J282" i="36" s="1"/>
  <c r="J283" i="36" s="1"/>
  <c r="J284" i="36" s="1"/>
  <c r="J285" i="36" s="1"/>
  <c r="J286" i="36" s="1"/>
  <c r="J287" i="36" s="1"/>
  <c r="J288" i="36" s="1"/>
  <c r="J289" i="36" s="1"/>
  <c r="J290" i="36" s="1"/>
  <c r="J291" i="36" s="1"/>
  <c r="J292" i="36" s="1"/>
  <c r="J293" i="36" s="1"/>
  <c r="J294" i="36" s="1"/>
  <c r="J295" i="36" s="1"/>
  <c r="J296" i="36" s="1"/>
  <c r="J297" i="36" s="1"/>
  <c r="J298" i="36" s="1"/>
  <c r="J299" i="36" s="1"/>
  <c r="J300" i="36" s="1"/>
  <c r="J301" i="36" s="1"/>
  <c r="J302" i="36" s="1"/>
  <c r="J303" i="36" s="1"/>
  <c r="J304" i="36" s="1"/>
  <c r="J313" i="36" s="1"/>
  <c r="J322" i="36" s="1"/>
  <c r="I7" i="1"/>
  <c r="U7" i="1" s="1"/>
  <c r="O46" i="37"/>
  <c r="Q46" i="37" s="1"/>
  <c r="L46" i="37"/>
  <c r="O37" i="37"/>
  <c r="Q37" i="37" s="1"/>
  <c r="L37" i="37"/>
  <c r="O39" i="37"/>
  <c r="Q39" i="37" s="1"/>
  <c r="L39" i="37"/>
  <c r="M33" i="37"/>
  <c r="N33" i="37"/>
  <c r="O45" i="37"/>
  <c r="Q45" i="37" s="1"/>
  <c r="L45" i="37"/>
  <c r="H46" i="36"/>
  <c r="N45" i="36"/>
  <c r="L47" i="37"/>
  <c r="O47" i="37"/>
  <c r="Q47" i="37" s="1"/>
  <c r="I309" i="36"/>
  <c r="O308" i="36"/>
  <c r="I317" i="36"/>
  <c r="O49" i="37"/>
  <c r="Q49" i="37" s="1"/>
  <c r="L49" i="37"/>
  <c r="O40" i="37"/>
  <c r="Q40" i="37" s="1"/>
  <c r="L40" i="37"/>
  <c r="O38" i="37"/>
  <c r="Q38" i="37" s="1"/>
  <c r="L38" i="37"/>
  <c r="AE50" i="37"/>
  <c r="AI44" i="37"/>
  <c r="AJ44" i="37" s="1"/>
  <c r="W45" i="37"/>
  <c r="AK44" i="37"/>
  <c r="W50" i="37"/>
  <c r="H15" i="36"/>
  <c r="N14" i="36"/>
  <c r="M30" i="37"/>
  <c r="N30" i="37"/>
  <c r="N31" i="37"/>
  <c r="M31" i="37"/>
  <c r="Q30" i="37"/>
  <c r="H70" i="36"/>
  <c r="N69" i="36"/>
  <c r="J50" i="37"/>
  <c r="AT50" i="37"/>
  <c r="L36" i="37"/>
  <c r="O36" i="37"/>
  <c r="Q36" i="37" s="1"/>
  <c r="AS50" i="37"/>
  <c r="AW38" i="37"/>
  <c r="AV44" i="37"/>
  <c r="AH45" i="37"/>
  <c r="H112" i="36"/>
  <c r="N111" i="36"/>
  <c r="AI39" i="37"/>
  <c r="O34" i="37"/>
  <c r="Q34" i="37" s="1"/>
  <c r="L34" i="37"/>
  <c r="I325" i="36"/>
  <c r="O325" i="36" s="1"/>
  <c r="O316" i="36"/>
  <c r="H64" i="37"/>
  <c r="J62" i="37"/>
  <c r="AT39" i="37"/>
  <c r="AF50" i="37"/>
  <c r="K60" i="37"/>
  <c r="K61" i="37" s="1"/>
  <c r="H55" i="37"/>
  <c r="L41" i="37"/>
  <c r="O41" i="37"/>
  <c r="Q41" i="37" s="1"/>
  <c r="O43" i="37"/>
  <c r="Q43" i="37" s="1"/>
  <c r="L43" i="37"/>
  <c r="AP50" i="37"/>
  <c r="AW39" i="37"/>
  <c r="O42" i="37"/>
  <c r="Q42" i="37" s="1"/>
  <c r="L42" i="37"/>
  <c r="H264" i="36"/>
  <c r="N264" i="36" s="1"/>
  <c r="N263" i="36"/>
  <c r="P50" i="37"/>
  <c r="AG50" i="37"/>
  <c r="L35" i="37"/>
  <c r="O35" i="37"/>
  <c r="Q35" i="37" s="1"/>
  <c r="H91" i="36"/>
  <c r="N90" i="36"/>
  <c r="H93" i="36"/>
  <c r="N93" i="36" s="1"/>
  <c r="N209" i="36"/>
  <c r="H210" i="36"/>
  <c r="L48" i="37"/>
  <c r="O48" i="37"/>
  <c r="Q48" i="37" s="1"/>
  <c r="AU50" i="37"/>
  <c r="O44" i="37"/>
  <c r="Q44" i="37" s="1"/>
  <c r="L44" i="37"/>
  <c r="L32" i="37"/>
  <c r="O32" i="37"/>
  <c r="Q32" i="37" s="1"/>
  <c r="AB96" i="1" l="1"/>
  <c r="L99" i="1"/>
  <c r="U99" i="1"/>
  <c r="X99" i="1" s="1"/>
  <c r="AA99" i="1" s="1"/>
  <c r="L100" i="1"/>
  <c r="U100" i="1"/>
  <c r="X100" i="1" s="1"/>
  <c r="AA100" i="1" s="1"/>
  <c r="AB100" i="1" s="1"/>
  <c r="L98" i="1"/>
  <c r="U98" i="1"/>
  <c r="X98" i="1" s="1"/>
  <c r="AA98" i="1" s="1"/>
  <c r="AB98" i="1" s="1"/>
  <c r="L95" i="1"/>
  <c r="U95" i="1"/>
  <c r="X95" i="1" s="1"/>
  <c r="AA95" i="1" s="1"/>
  <c r="AB95" i="1" s="1"/>
  <c r="L101" i="1"/>
  <c r="U101" i="1"/>
  <c r="X101" i="1" s="1"/>
  <c r="AA101" i="1" s="1"/>
  <c r="AB101" i="1" s="1"/>
  <c r="U184" i="1"/>
  <c r="X184" i="1" s="1"/>
  <c r="AC184" i="1" s="1"/>
  <c r="M96" i="1"/>
  <c r="N96" i="1" s="1"/>
  <c r="O96" i="1" s="1"/>
  <c r="Q96" i="1" s="1"/>
  <c r="R96" i="1" s="1"/>
  <c r="T96" i="1" s="1"/>
  <c r="Y96" i="1"/>
  <c r="AB97" i="1"/>
  <c r="L104" i="1"/>
  <c r="U104" i="1"/>
  <c r="X104" i="1"/>
  <c r="AA104" i="1" s="1"/>
  <c r="AB104" i="1" s="1"/>
  <c r="M97" i="1"/>
  <c r="N97" i="1" s="1"/>
  <c r="O97" i="1" s="1"/>
  <c r="Q97" i="1" s="1"/>
  <c r="R97" i="1" s="1"/>
  <c r="T97" i="1" s="1"/>
  <c r="Y97" i="1"/>
  <c r="L103" i="1"/>
  <c r="U103" i="1"/>
  <c r="X103" i="1" s="1"/>
  <c r="AA103" i="1" s="1"/>
  <c r="U190" i="1"/>
  <c r="X190" i="1" s="1"/>
  <c r="AC190" i="1" s="1"/>
  <c r="L102" i="1"/>
  <c r="U102" i="1"/>
  <c r="X102" i="1" s="1"/>
  <c r="AA102" i="1" s="1"/>
  <c r="L94" i="1"/>
  <c r="U94" i="1"/>
  <c r="X94" i="1" s="1"/>
  <c r="AA94" i="1" s="1"/>
  <c r="U185" i="1"/>
  <c r="X185" i="1"/>
  <c r="AC185" i="1" s="1"/>
  <c r="K62" i="37"/>
  <c r="N61" i="37"/>
  <c r="N62" i="37" s="1"/>
  <c r="J333" i="36"/>
  <c r="H83" i="1" s="1"/>
  <c r="I83" i="1" s="1"/>
  <c r="N182" i="36"/>
  <c r="H183" i="36"/>
  <c r="N183" i="36" s="1"/>
  <c r="H16" i="36"/>
  <c r="N15" i="36"/>
  <c r="I326" i="36"/>
  <c r="O326" i="36" s="1"/>
  <c r="O317" i="36"/>
  <c r="N34" i="37"/>
  <c r="M34" i="37"/>
  <c r="N37" i="37"/>
  <c r="M37" i="37"/>
  <c r="M32" i="37"/>
  <c r="M50" i="37" s="1"/>
  <c r="N32" i="37"/>
  <c r="N35" i="37"/>
  <c r="M35" i="37"/>
  <c r="AJ39" i="37"/>
  <c r="N46" i="37"/>
  <c r="M46" i="37"/>
  <c r="L50" i="37"/>
  <c r="N49" i="37"/>
  <c r="M49" i="37"/>
  <c r="M36" i="37"/>
  <c r="N36" i="37"/>
  <c r="N39" i="37"/>
  <c r="M39" i="37"/>
  <c r="M41" i="37"/>
  <c r="N41" i="37"/>
  <c r="M47" i="37"/>
  <c r="N47" i="37"/>
  <c r="E50" i="37"/>
  <c r="F51" i="37" s="1"/>
  <c r="P51" i="37"/>
  <c r="G50" i="37"/>
  <c r="F50" i="37"/>
  <c r="H113" i="36"/>
  <c r="N112" i="36"/>
  <c r="O50" i="37"/>
  <c r="Q50" i="37" s="1"/>
  <c r="M43" i="37"/>
  <c r="N43" i="37"/>
  <c r="AV45" i="37"/>
  <c r="AV50" i="37" s="1"/>
  <c r="AH50" i="37"/>
  <c r="I318" i="36"/>
  <c r="I310" i="36"/>
  <c r="O309" i="36"/>
  <c r="AI45" i="37"/>
  <c r="AJ45" i="37" s="1"/>
  <c r="AK45" i="37"/>
  <c r="N265" i="36"/>
  <c r="N266" i="36" s="1"/>
  <c r="N45" i="37"/>
  <c r="M45" i="37"/>
  <c r="H92" i="36"/>
  <c r="N92" i="36" s="1"/>
  <c r="N91" i="36"/>
  <c r="N70" i="36"/>
  <c r="H71" i="36"/>
  <c r="H72" i="36"/>
  <c r="N72" i="36" s="1"/>
  <c r="H211" i="36"/>
  <c r="N210" i="36"/>
  <c r="N42" i="37"/>
  <c r="M42" i="37"/>
  <c r="N40" i="37"/>
  <c r="M40" i="37"/>
  <c r="AW44" i="37"/>
  <c r="AK50" i="37"/>
  <c r="N44" i="37"/>
  <c r="M44" i="37"/>
  <c r="N38" i="37"/>
  <c r="M38" i="37"/>
  <c r="N46" i="36"/>
  <c r="H47" i="36"/>
  <c r="M48" i="37"/>
  <c r="N48" i="37"/>
  <c r="AB94" i="1" l="1"/>
  <c r="AB102" i="1"/>
  <c r="AB99" i="1"/>
  <c r="AB103" i="1"/>
  <c r="M104" i="1"/>
  <c r="N104" i="1" s="1"/>
  <c r="O104" i="1" s="1"/>
  <c r="Q104" i="1" s="1"/>
  <c r="R104" i="1" s="1"/>
  <c r="T104" i="1" s="1"/>
  <c r="Y104" i="1"/>
  <c r="M95" i="1"/>
  <c r="N95" i="1" s="1"/>
  <c r="O95" i="1" s="1"/>
  <c r="Q95" i="1" s="1"/>
  <c r="R95" i="1" s="1"/>
  <c r="T95" i="1" s="1"/>
  <c r="Y95" i="1"/>
  <c r="M100" i="1"/>
  <c r="N100" i="1" s="1"/>
  <c r="O100" i="1" s="1"/>
  <c r="Q100" i="1" s="1"/>
  <c r="R100" i="1" s="1"/>
  <c r="T100" i="1" s="1"/>
  <c r="Y100" i="1"/>
  <c r="M103" i="1"/>
  <c r="N103" i="1" s="1"/>
  <c r="O103" i="1" s="1"/>
  <c r="Q103" i="1" s="1"/>
  <c r="R103" i="1" s="1"/>
  <c r="T103" i="1" s="1"/>
  <c r="Y103" i="1"/>
  <c r="M101" i="1"/>
  <c r="N101" i="1" s="1"/>
  <c r="O101" i="1" s="1"/>
  <c r="Q101" i="1" s="1"/>
  <c r="R101" i="1" s="1"/>
  <c r="T101" i="1" s="1"/>
  <c r="Y101" i="1"/>
  <c r="M102" i="1"/>
  <c r="N102" i="1" s="1"/>
  <c r="O102" i="1" s="1"/>
  <c r="Q102" i="1" s="1"/>
  <c r="R102" i="1" s="1"/>
  <c r="T102" i="1" s="1"/>
  <c r="Y102" i="1"/>
  <c r="M99" i="1"/>
  <c r="N99" i="1" s="1"/>
  <c r="O99" i="1" s="1"/>
  <c r="Q99" i="1" s="1"/>
  <c r="R99" i="1" s="1"/>
  <c r="T99" i="1" s="1"/>
  <c r="Y99" i="1"/>
  <c r="M94" i="1"/>
  <c r="N94" i="1" s="1"/>
  <c r="O94" i="1" s="1"/>
  <c r="Q94" i="1" s="1"/>
  <c r="R94" i="1" s="1"/>
  <c r="T94" i="1" s="1"/>
  <c r="Y94" i="1"/>
  <c r="M98" i="1"/>
  <c r="N98" i="1" s="1"/>
  <c r="O98" i="1" s="1"/>
  <c r="Q98" i="1" s="1"/>
  <c r="R98" i="1" s="1"/>
  <c r="T98" i="1" s="1"/>
  <c r="Y98" i="1"/>
  <c r="U83" i="1"/>
  <c r="X83" i="1"/>
  <c r="AA83" i="1" s="1"/>
  <c r="AB83" i="1" s="1"/>
  <c r="AC83" i="1" s="1"/>
  <c r="Q52" i="37"/>
  <c r="N50" i="37"/>
  <c r="H85" i="1"/>
  <c r="I85" i="1" s="1"/>
  <c r="H81" i="1"/>
  <c r="I81" i="1" s="1"/>
  <c r="H88" i="1"/>
  <c r="I88" i="1" s="1"/>
  <c r="H87" i="1"/>
  <c r="I87" i="1" s="1"/>
  <c r="H79" i="1"/>
  <c r="I79" i="1" s="1"/>
  <c r="H90" i="1"/>
  <c r="I90" i="1" s="1"/>
  <c r="H86" i="1"/>
  <c r="I86" i="1" s="1"/>
  <c r="H84" i="1"/>
  <c r="I84" i="1" s="1"/>
  <c r="H82" i="1"/>
  <c r="I82" i="1" s="1"/>
  <c r="H80" i="1"/>
  <c r="I80" i="1" s="1"/>
  <c r="H89" i="1"/>
  <c r="I89" i="1" s="1"/>
  <c r="H184" i="36"/>
  <c r="H114" i="36"/>
  <c r="N113" i="36"/>
  <c r="N47" i="36"/>
  <c r="H50" i="36"/>
  <c r="N50" i="36" s="1"/>
  <c r="H48" i="36"/>
  <c r="AW45" i="37"/>
  <c r="AW50" i="37" s="1"/>
  <c r="I327" i="36"/>
  <c r="O327" i="36" s="1"/>
  <c r="O318" i="36"/>
  <c r="H73" i="36"/>
  <c r="N73" i="36" s="1"/>
  <c r="N71" i="36"/>
  <c r="AI50" i="37"/>
  <c r="N94" i="36"/>
  <c r="N95" i="36" s="1"/>
  <c r="H17" i="36"/>
  <c r="N16" i="36"/>
  <c r="N211" i="36"/>
  <c r="H212" i="36"/>
  <c r="I311" i="36"/>
  <c r="I319" i="36"/>
  <c r="O310" i="36"/>
  <c r="T53" i="37"/>
  <c r="T57" i="37" s="1"/>
  <c r="O51" i="37"/>
  <c r="P55" i="37"/>
  <c r="H94" i="36"/>
  <c r="U85" i="1" l="1"/>
  <c r="X85" i="1" s="1"/>
  <c r="AA85" i="1" s="1"/>
  <c r="AB85" i="1" s="1"/>
  <c r="AC85" i="1" s="1"/>
  <c r="U84" i="1"/>
  <c r="X84" i="1"/>
  <c r="AA84" i="1" s="1"/>
  <c r="U86" i="1"/>
  <c r="X86" i="1"/>
  <c r="AA86" i="1" s="1"/>
  <c r="AB86" i="1" s="1"/>
  <c r="AC86" i="1" s="1"/>
  <c r="U90" i="1"/>
  <c r="X90" i="1" s="1"/>
  <c r="AA90" i="1" s="1"/>
  <c r="AB90" i="1" s="1"/>
  <c r="AC90" i="1" s="1"/>
  <c r="U89" i="1"/>
  <c r="X89" i="1"/>
  <c r="AA89" i="1" s="1"/>
  <c r="AB89" i="1" s="1"/>
  <c r="AC89" i="1" s="1"/>
  <c r="U82" i="1"/>
  <c r="X82" i="1" s="1"/>
  <c r="AA82" i="1" s="1"/>
  <c r="AB82" i="1" s="1"/>
  <c r="AC82" i="1" s="1"/>
  <c r="X79" i="1"/>
  <c r="U79" i="1"/>
  <c r="U87" i="1"/>
  <c r="X87" i="1"/>
  <c r="AA87" i="1" s="1"/>
  <c r="U80" i="1"/>
  <c r="X80" i="1"/>
  <c r="AA80" i="1" s="1"/>
  <c r="U88" i="1"/>
  <c r="X88" i="1" s="1"/>
  <c r="AA88" i="1" s="1"/>
  <c r="AB88" i="1" s="1"/>
  <c r="AC88" i="1" s="1"/>
  <c r="U81" i="1"/>
  <c r="X81" i="1"/>
  <c r="AA81" i="1" s="1"/>
  <c r="N212" i="36"/>
  <c r="N213" i="36" s="1"/>
  <c r="N214" i="36" s="1"/>
  <c r="H213" i="36"/>
  <c r="N184" i="36"/>
  <c r="N185" i="36" s="1"/>
  <c r="N186" i="36" s="1"/>
  <c r="H185" i="36"/>
  <c r="N74" i="36"/>
  <c r="N75" i="36" s="1"/>
  <c r="G54" i="1"/>
  <c r="I54" i="1" s="1"/>
  <c r="G56" i="1"/>
  <c r="I56" i="1" s="1"/>
  <c r="G53" i="1"/>
  <c r="I53" i="1" s="1"/>
  <c r="G59" i="1"/>
  <c r="I59" i="1" s="1"/>
  <c r="G60" i="1"/>
  <c r="I60" i="1" s="1"/>
  <c r="G55" i="1"/>
  <c r="I55" i="1" s="1"/>
  <c r="G49" i="1"/>
  <c r="I49" i="1" s="1"/>
  <c r="G50" i="1"/>
  <c r="I50" i="1" s="1"/>
  <c r="G52" i="1"/>
  <c r="I52" i="1" s="1"/>
  <c r="G57" i="1"/>
  <c r="I57" i="1" s="1"/>
  <c r="G58" i="1"/>
  <c r="I58" i="1" s="1"/>
  <c r="G51" i="1"/>
  <c r="I51" i="1" s="1"/>
  <c r="I328" i="36"/>
  <c r="O328" i="36" s="1"/>
  <c r="O319" i="36"/>
  <c r="I320" i="36"/>
  <c r="I312" i="36"/>
  <c r="O311" i="36"/>
  <c r="N48" i="36"/>
  <c r="H49" i="36"/>
  <c r="N49" i="36" s="1"/>
  <c r="H18" i="36"/>
  <c r="N17" i="36"/>
  <c r="H115" i="36"/>
  <c r="N114" i="36"/>
  <c r="AA79" i="1" l="1"/>
  <c r="AC79" i="1" s="1"/>
  <c r="Q32" i="38"/>
  <c r="AB80" i="1"/>
  <c r="AC80" i="1"/>
  <c r="AB87" i="1"/>
  <c r="AC87" i="1"/>
  <c r="AB84" i="1"/>
  <c r="AC84" i="1"/>
  <c r="U51" i="1"/>
  <c r="X51" i="1"/>
  <c r="AA51" i="1" s="1"/>
  <c r="AB51" i="1" s="1"/>
  <c r="AC51" i="1" s="1"/>
  <c r="U58" i="1"/>
  <c r="X58" i="1"/>
  <c r="AA58" i="1" s="1"/>
  <c r="AB58" i="1" s="1"/>
  <c r="AC58" i="1" s="1"/>
  <c r="U57" i="1"/>
  <c r="X57" i="1"/>
  <c r="AA57" i="1" s="1"/>
  <c r="AB57" i="1" s="1"/>
  <c r="AC57" i="1" s="1"/>
  <c r="AB79" i="1"/>
  <c r="U52" i="1"/>
  <c r="X52" i="1"/>
  <c r="AA52" i="1" s="1"/>
  <c r="AB52" i="1" s="1"/>
  <c r="AC52" i="1" s="1"/>
  <c r="U59" i="1"/>
  <c r="X59" i="1"/>
  <c r="AA59" i="1" s="1"/>
  <c r="AB59" i="1" s="1"/>
  <c r="AC59" i="1" s="1"/>
  <c r="X53" i="1"/>
  <c r="AA53" i="1" s="1"/>
  <c r="AB53" i="1" s="1"/>
  <c r="AC53" i="1" s="1"/>
  <c r="U53" i="1"/>
  <c r="U56" i="1"/>
  <c r="X56" i="1"/>
  <c r="AA56" i="1" s="1"/>
  <c r="AB56" i="1" s="1"/>
  <c r="AC56" i="1" s="1"/>
  <c r="U54" i="1"/>
  <c r="X54" i="1"/>
  <c r="AA54" i="1" s="1"/>
  <c r="AB54" i="1" s="1"/>
  <c r="AC54" i="1" s="1"/>
  <c r="U49" i="1"/>
  <c r="X49" i="1"/>
  <c r="AA49" i="1" s="1"/>
  <c r="AB49" i="1" s="1"/>
  <c r="AC49" i="1" s="1"/>
  <c r="U50" i="1"/>
  <c r="X50" i="1"/>
  <c r="AA50" i="1" s="1"/>
  <c r="AB50" i="1" s="1"/>
  <c r="AC50" i="1" s="1"/>
  <c r="AB81" i="1"/>
  <c r="AC81" i="1"/>
  <c r="U55" i="1"/>
  <c r="X55" i="1"/>
  <c r="AA55" i="1" s="1"/>
  <c r="AB55" i="1" s="1"/>
  <c r="AC55" i="1" s="1"/>
  <c r="U60" i="1"/>
  <c r="X60" i="1"/>
  <c r="AA60" i="1" s="1"/>
  <c r="AB60" i="1" s="1"/>
  <c r="AC60" i="1" s="1"/>
  <c r="N51" i="36"/>
  <c r="N52" i="36" s="1"/>
  <c r="G332" i="1"/>
  <c r="G330" i="1"/>
  <c r="G323" i="1"/>
  <c r="I323" i="1" s="1"/>
  <c r="G324" i="1"/>
  <c r="G325" i="1"/>
  <c r="G328" i="1"/>
  <c r="G333" i="1"/>
  <c r="G327" i="1"/>
  <c r="G326" i="1"/>
  <c r="G331" i="1"/>
  <c r="G329" i="1"/>
  <c r="G322" i="1"/>
  <c r="G314" i="1"/>
  <c r="I314" i="1" s="1"/>
  <c r="G317" i="1"/>
  <c r="I317" i="1" s="1"/>
  <c r="G315" i="1"/>
  <c r="I315" i="1" s="1"/>
  <c r="G311" i="1"/>
  <c r="I311" i="1" s="1"/>
  <c r="G318" i="1"/>
  <c r="I318" i="1" s="1"/>
  <c r="G316" i="1"/>
  <c r="I316" i="1" s="1"/>
  <c r="G312" i="1"/>
  <c r="I312" i="1" s="1"/>
  <c r="G307" i="1"/>
  <c r="G310" i="1"/>
  <c r="I310" i="1" s="1"/>
  <c r="G308" i="1"/>
  <c r="I308" i="1" s="1"/>
  <c r="G313" i="1"/>
  <c r="I313" i="1" s="1"/>
  <c r="G309" i="1"/>
  <c r="I309" i="1" s="1"/>
  <c r="H116" i="36"/>
  <c r="N115" i="36"/>
  <c r="I279" i="36"/>
  <c r="I321" i="36"/>
  <c r="O312" i="36"/>
  <c r="I329" i="36"/>
  <c r="O329" i="36" s="1"/>
  <c r="O320" i="36"/>
  <c r="H19" i="36"/>
  <c r="N18" i="36"/>
  <c r="U323" i="1" l="1"/>
  <c r="X323" i="1"/>
  <c r="AA323" i="1" s="1"/>
  <c r="AB323" i="1" s="1"/>
  <c r="AC323" i="1" s="1"/>
  <c r="H20" i="36"/>
  <c r="N19" i="36"/>
  <c r="I330" i="36"/>
  <c r="O330" i="36" s="1"/>
  <c r="O321" i="36"/>
  <c r="O279" i="36"/>
  <c r="I280" i="36"/>
  <c r="N116" i="36"/>
  <c r="H117" i="36"/>
  <c r="H118" i="36" l="1"/>
  <c r="N117" i="36"/>
  <c r="I281" i="36"/>
  <c r="O280" i="36"/>
  <c r="H21" i="36"/>
  <c r="N20" i="36"/>
  <c r="I282" i="36" l="1"/>
  <c r="O281" i="36"/>
  <c r="H22" i="36"/>
  <c r="N21" i="36"/>
  <c r="H119" i="36"/>
  <c r="N118" i="36"/>
  <c r="N119" i="36" l="1"/>
  <c r="H120" i="36"/>
  <c r="H23" i="36"/>
  <c r="N22" i="36"/>
  <c r="O282" i="36"/>
  <c r="I283" i="36"/>
  <c r="I284" i="36" l="1"/>
  <c r="O283" i="36"/>
  <c r="H24" i="36"/>
  <c r="N23" i="36"/>
  <c r="H121" i="36"/>
  <c r="N120" i="36"/>
  <c r="H122" i="36" l="1"/>
  <c r="N121" i="36"/>
  <c r="H30" i="36"/>
  <c r="N30" i="36" s="1"/>
  <c r="H25" i="36"/>
  <c r="N24" i="36"/>
  <c r="I285" i="36"/>
  <c r="O284" i="36"/>
  <c r="I286" i="36" l="1"/>
  <c r="O285" i="36"/>
  <c r="H26" i="36"/>
  <c r="N25" i="36"/>
  <c r="H123" i="36"/>
  <c r="N122" i="36"/>
  <c r="H124" i="36" l="1"/>
  <c r="N123" i="36"/>
  <c r="N26" i="36"/>
  <c r="H27" i="36"/>
  <c r="I287" i="36"/>
  <c r="O286" i="36"/>
  <c r="H28" i="36" l="1"/>
  <c r="N27" i="36"/>
  <c r="I288" i="36"/>
  <c r="O287" i="36"/>
  <c r="H125" i="36"/>
  <c r="N124" i="36"/>
  <c r="H126" i="36" l="1"/>
  <c r="N125" i="36"/>
  <c r="I289" i="36"/>
  <c r="O288" i="36"/>
  <c r="H29" i="36"/>
  <c r="N29" i="36" s="1"/>
  <c r="N28" i="36"/>
  <c r="N31" i="36" l="1"/>
  <c r="I290" i="36"/>
  <c r="O289" i="36"/>
  <c r="H127" i="36"/>
  <c r="N126" i="36"/>
  <c r="N127" i="36" l="1"/>
  <c r="H128" i="36"/>
  <c r="I291" i="36"/>
  <c r="O290" i="36"/>
  <c r="N32" i="36"/>
  <c r="N33" i="36"/>
  <c r="O291" i="36" l="1"/>
  <c r="I292" i="36"/>
  <c r="N128" i="36"/>
  <c r="H129" i="36"/>
  <c r="H130" i="36" l="1"/>
  <c r="N129" i="36"/>
  <c r="I293" i="36"/>
  <c r="O292" i="36"/>
  <c r="I294" i="36" l="1"/>
  <c r="O293" i="36"/>
  <c r="N130" i="36"/>
  <c r="H131" i="36"/>
  <c r="I295" i="36" l="1"/>
  <c r="O294" i="36"/>
  <c r="H132" i="36"/>
  <c r="N131" i="36"/>
  <c r="N132" i="36" l="1"/>
  <c r="H133" i="36"/>
  <c r="I296" i="36"/>
  <c r="O295" i="36"/>
  <c r="H134" i="36" l="1"/>
  <c r="N133" i="36"/>
  <c r="I297" i="36"/>
  <c r="O296" i="36"/>
  <c r="P296" i="36" s="1"/>
  <c r="I298" i="36" l="1"/>
  <c r="O297" i="36"/>
  <c r="H135" i="36"/>
  <c r="N134" i="36"/>
  <c r="H136" i="36" l="1"/>
  <c r="N135" i="36"/>
  <c r="I299" i="36"/>
  <c r="O298" i="36"/>
  <c r="I300" i="36" l="1"/>
  <c r="O299" i="36"/>
  <c r="H137" i="36"/>
  <c r="N136" i="36"/>
  <c r="N137" i="36" l="1"/>
  <c r="H138" i="36"/>
  <c r="O300" i="36"/>
  <c r="I301" i="36"/>
  <c r="I302" i="36" l="1"/>
  <c r="O301" i="36"/>
  <c r="H139" i="36"/>
  <c r="N138" i="36"/>
  <c r="H140" i="36" l="1"/>
  <c r="N139" i="36"/>
  <c r="O302" i="36"/>
  <c r="I303" i="36"/>
  <c r="I304" i="36" l="1"/>
  <c r="O303" i="36"/>
  <c r="H141" i="36"/>
  <c r="N140" i="36"/>
  <c r="I313" i="36" l="1"/>
  <c r="O304" i="36"/>
  <c r="H142" i="36"/>
  <c r="N141" i="36"/>
  <c r="H143" i="36" l="1"/>
  <c r="N142" i="36"/>
  <c r="I322" i="36"/>
  <c r="O313" i="36"/>
  <c r="I331" i="36" l="1"/>
  <c r="O331" i="36" s="1"/>
  <c r="O322" i="36"/>
  <c r="H144" i="36"/>
  <c r="N143" i="36"/>
  <c r="H145" i="36" l="1"/>
  <c r="N144" i="36"/>
  <c r="O333" i="36"/>
  <c r="O335" i="36" l="1"/>
  <c r="O334" i="36"/>
  <c r="H146" i="36"/>
  <c r="N145" i="36"/>
  <c r="N146" i="36" l="1"/>
  <c r="H147" i="36"/>
  <c r="H148" i="36" l="1"/>
  <c r="N147" i="36"/>
  <c r="H149" i="36" l="1"/>
  <c r="N148" i="36"/>
  <c r="H150" i="36" l="1"/>
  <c r="N149" i="36"/>
  <c r="H151" i="36" l="1"/>
  <c r="N150" i="36"/>
  <c r="N151" i="36" l="1"/>
  <c r="H152" i="36"/>
  <c r="H153" i="36" l="1"/>
  <c r="N152" i="36"/>
  <c r="H154" i="36" l="1"/>
  <c r="N153" i="36"/>
  <c r="N154" i="36" l="1"/>
  <c r="H155" i="36"/>
  <c r="H156" i="36" l="1"/>
  <c r="N155" i="36"/>
  <c r="N156" i="36" l="1"/>
  <c r="H157" i="36"/>
  <c r="H158" i="36" l="1"/>
  <c r="N157" i="36"/>
  <c r="H159" i="36" l="1"/>
  <c r="N158" i="36"/>
  <c r="H160" i="36" l="1"/>
  <c r="N159" i="36"/>
  <c r="H161" i="36" l="1"/>
  <c r="N160" i="36"/>
  <c r="H162" i="36" l="1"/>
  <c r="N161" i="36"/>
  <c r="N162" i="36" s="1"/>
  <c r="G71" i="1" l="1"/>
  <c r="I71" i="1" s="1"/>
  <c r="G70" i="1"/>
  <c r="I70" i="1" s="1"/>
  <c r="G69" i="1"/>
  <c r="I69" i="1" s="1"/>
  <c r="G74" i="1"/>
  <c r="I74" i="1" s="1"/>
  <c r="G65" i="1"/>
  <c r="I65" i="1" s="1"/>
  <c r="G75" i="1"/>
  <c r="I75" i="1" s="1"/>
  <c r="G67" i="1"/>
  <c r="I67" i="1" s="1"/>
  <c r="G72" i="1"/>
  <c r="I72" i="1" s="1"/>
  <c r="G66" i="1"/>
  <c r="I66" i="1" s="1"/>
  <c r="G73" i="1"/>
  <c r="I73" i="1" s="1"/>
  <c r="G68" i="1"/>
  <c r="I68" i="1" s="1"/>
  <c r="G64" i="1"/>
  <c r="N163" i="36"/>
  <c r="N164" i="36"/>
  <c r="U65" i="1" l="1"/>
  <c r="X65" i="1" s="1"/>
  <c r="AA65" i="1" s="1"/>
  <c r="AB65" i="1" s="1"/>
  <c r="AC65" i="1" s="1"/>
  <c r="U75" i="1"/>
  <c r="X75" i="1"/>
  <c r="AA75" i="1" s="1"/>
  <c r="AB75" i="1" s="1"/>
  <c r="AC75" i="1" s="1"/>
  <c r="U69" i="1"/>
  <c r="X69" i="1" s="1"/>
  <c r="AA69" i="1" s="1"/>
  <c r="AB69" i="1" s="1"/>
  <c r="AC69" i="1" s="1"/>
  <c r="U71" i="1"/>
  <c r="X71" i="1"/>
  <c r="AA71" i="1" s="1"/>
  <c r="U72" i="1"/>
  <c r="X72" i="1"/>
  <c r="AA72" i="1" s="1"/>
  <c r="U74" i="1"/>
  <c r="X74" i="1"/>
  <c r="AA74" i="1" s="1"/>
  <c r="AB74" i="1" s="1"/>
  <c r="AC74" i="1" s="1"/>
  <c r="U70" i="1"/>
  <c r="X70" i="1" s="1"/>
  <c r="AA70" i="1" s="1"/>
  <c r="AB70" i="1" s="1"/>
  <c r="AC70" i="1" s="1"/>
  <c r="U68" i="1"/>
  <c r="X68" i="1"/>
  <c r="AA68" i="1" s="1"/>
  <c r="AB68" i="1" s="1"/>
  <c r="AC68" i="1" s="1"/>
  <c r="U73" i="1"/>
  <c r="X73" i="1"/>
  <c r="AA73" i="1" s="1"/>
  <c r="AB73" i="1" s="1"/>
  <c r="AC73" i="1" s="1"/>
  <c r="U66" i="1"/>
  <c r="X66" i="1"/>
  <c r="AA66" i="1" s="1"/>
  <c r="AB66" i="1" s="1"/>
  <c r="AC66" i="1" s="1"/>
  <c r="U67" i="1"/>
  <c r="X67" i="1" s="1"/>
  <c r="AA67" i="1" s="1"/>
  <c r="AB67" i="1" s="1"/>
  <c r="AC67" i="1" s="1"/>
  <c r="K10" i="32"/>
  <c r="K9" i="32"/>
  <c r="K8" i="32"/>
  <c r="K6" i="32"/>
  <c r="AC72" i="1" l="1"/>
  <c r="AB72" i="1"/>
  <c r="AC71" i="1"/>
  <c r="AB71" i="1"/>
  <c r="D46" i="4"/>
  <c r="F45" i="4"/>
  <c r="AO1" i="31"/>
  <c r="AN1" i="31"/>
  <c r="AM1" i="31"/>
  <c r="AL1" i="31"/>
  <c r="AK1" i="31"/>
  <c r="AJ1" i="31"/>
  <c r="AI1" i="31"/>
  <c r="AH1" i="31"/>
  <c r="AG1" i="31"/>
  <c r="AF1" i="31"/>
  <c r="AE1" i="31"/>
  <c r="AD1" i="31"/>
  <c r="P229" i="1" l="1"/>
  <c r="Q229" i="1"/>
  <c r="P230" i="1"/>
  <c r="Q230" i="1"/>
  <c r="Q231" i="1"/>
  <c r="P232" i="1"/>
  <c r="Q232" i="1"/>
  <c r="P233" i="1"/>
  <c r="Q233" i="1"/>
  <c r="P234" i="1"/>
  <c r="Q234" i="1"/>
  <c r="P235" i="1"/>
  <c r="Q235" i="1"/>
  <c r="P236" i="1"/>
  <c r="Q236" i="1"/>
  <c r="P237" i="1"/>
  <c r="Q237" i="1"/>
  <c r="P238" i="1"/>
  <c r="Q238" i="1"/>
  <c r="P239" i="1"/>
  <c r="Q239" i="1"/>
  <c r="T214" i="1"/>
  <c r="T215" i="1"/>
  <c r="T216" i="1"/>
  <c r="T217" i="1"/>
  <c r="T218" i="1"/>
  <c r="T219" i="1"/>
  <c r="T220" i="1"/>
  <c r="T221" i="1"/>
  <c r="T222" i="1"/>
  <c r="T223" i="1"/>
  <c r="T224" i="1"/>
  <c r="V12" i="30" l="1"/>
  <c r="U12" i="30"/>
  <c r="U11" i="30"/>
  <c r="U9" i="30"/>
  <c r="U5" i="30"/>
  <c r="G11" i="30" l="1"/>
  <c r="G10" i="30"/>
  <c r="G5" i="30"/>
  <c r="AA11" i="30" l="1"/>
  <c r="Q9" i="35"/>
  <c r="R9" i="35"/>
  <c r="P9" i="35"/>
  <c r="Q10" i="35"/>
  <c r="R10" i="35" s="1"/>
  <c r="P10" i="35"/>
  <c r="P8" i="35" l="1"/>
  <c r="Q30" i="5"/>
  <c r="P4" i="35" s="1"/>
  <c r="Q4" i="35" s="1"/>
  <c r="R4" i="35" s="1"/>
  <c r="M8" i="35"/>
  <c r="Q8" i="35" s="1"/>
  <c r="R8" i="35" s="1"/>
  <c r="M7" i="35"/>
  <c r="M6" i="35"/>
  <c r="M5" i="35"/>
  <c r="M4" i="35"/>
  <c r="M3" i="35"/>
  <c r="AM7" i="30" l="1"/>
  <c r="AM8" i="30"/>
  <c r="AM9" i="30"/>
  <c r="AM10" i="30"/>
  <c r="AM6" i="30"/>
  <c r="E46" i="32"/>
  <c r="D46" i="32"/>
  <c r="C46" i="32"/>
  <c r="T14" i="32"/>
  <c r="T13" i="32"/>
  <c r="T12" i="32"/>
  <c r="T10" i="32"/>
  <c r="T9" i="32"/>
  <c r="T8" i="32"/>
  <c r="T6" i="32"/>
  <c r="T5" i="32"/>
  <c r="T4" i="32"/>
  <c r="AA52" i="32"/>
  <c r="J14" i="32"/>
  <c r="I14" i="32"/>
  <c r="H14" i="32"/>
  <c r="G14" i="32"/>
  <c r="D14" i="32"/>
  <c r="C14" i="32"/>
  <c r="D39" i="32" l="1"/>
  <c r="D43" i="32" s="1"/>
  <c r="D38" i="32" s="1"/>
  <c r="C39" i="32"/>
  <c r="C37" i="32"/>
  <c r="C36" i="32"/>
  <c r="D37" i="32"/>
  <c r="D36" i="32"/>
  <c r="E37" i="32"/>
  <c r="E36" i="32"/>
  <c r="E39" i="32"/>
  <c r="E43" i="32" s="1"/>
  <c r="E38" i="32" s="1"/>
  <c r="E14" i="32" l="1"/>
  <c r="E33" i="32" l="1"/>
  <c r="D33" i="32"/>
  <c r="C33" i="32"/>
  <c r="E25" i="32" l="1"/>
  <c r="D25" i="32"/>
  <c r="C25" i="32"/>
  <c r="E24" i="32"/>
  <c r="D24" i="32"/>
  <c r="C24" i="32"/>
  <c r="E22" i="32"/>
  <c r="D22" i="32"/>
  <c r="C22" i="32"/>
  <c r="O22" i="7"/>
  <c r="N22" i="7"/>
  <c r="M22" i="7"/>
  <c r="L22" i="7"/>
  <c r="K22" i="7"/>
  <c r="J22" i="7"/>
  <c r="I22" i="7"/>
  <c r="H22" i="7"/>
  <c r="G22" i="7"/>
  <c r="F22" i="7"/>
  <c r="E22" i="7"/>
  <c r="D22" i="7"/>
  <c r="C26" i="32" l="1"/>
  <c r="D26" i="32"/>
  <c r="E26" i="32"/>
  <c r="W17" i="27" l="1"/>
  <c r="W16" i="27"/>
  <c r="W15" i="27"/>
  <c r="W14" i="27"/>
  <c r="W13" i="27"/>
  <c r="W12" i="27"/>
  <c r="W11" i="27"/>
  <c r="W10" i="27"/>
  <c r="W9" i="27"/>
  <c r="W8" i="27"/>
  <c r="W7" i="27"/>
  <c r="W6" i="27"/>
  <c r="W5" i="27"/>
  <c r="W4" i="27"/>
  <c r="J9" i="32" l="1"/>
  <c r="J8" i="32"/>
  <c r="J6" i="32"/>
  <c r="J10" i="32" l="1"/>
  <c r="M2" i="33"/>
  <c r="L2" i="33"/>
  <c r="K2" i="33"/>
  <c r="J2" i="33"/>
  <c r="I2" i="33"/>
  <c r="H2" i="33"/>
  <c r="G2" i="33"/>
  <c r="F2" i="33"/>
  <c r="E2" i="33"/>
  <c r="D2" i="33"/>
  <c r="C2" i="33"/>
  <c r="B2" i="33"/>
  <c r="AK86" i="1"/>
  <c r="AK82" i="1"/>
  <c r="AK83" i="1"/>
  <c r="AK87" i="1"/>
  <c r="AK89" i="1"/>
  <c r="AK90" i="1"/>
  <c r="AK88" i="1"/>
  <c r="AK85" i="1"/>
  <c r="AK84" i="1"/>
  <c r="AK81" i="1"/>
  <c r="AK80" i="1"/>
  <c r="AK79" i="1"/>
  <c r="B30" i="34" l="1"/>
  <c r="B31" i="34"/>
  <c r="B32" i="34"/>
  <c r="B33" i="34"/>
  <c r="B34" i="34"/>
  <c r="B35" i="34"/>
  <c r="B36" i="34"/>
  <c r="B37" i="34"/>
  <c r="B38" i="34"/>
  <c r="B39" i="34"/>
  <c r="B40" i="34"/>
  <c r="B29" i="34"/>
  <c r="B16" i="34"/>
  <c r="B5" i="33" s="1"/>
  <c r="B23" i="33" s="1"/>
  <c r="C16" i="34"/>
  <c r="C5" i="33" s="1"/>
  <c r="C23" i="33" s="1"/>
  <c r="C52" i="33" s="1"/>
  <c r="D16" i="34"/>
  <c r="D5" i="33" s="1"/>
  <c r="D23" i="33" s="1"/>
  <c r="D52" i="33" s="1"/>
  <c r="E16" i="34"/>
  <c r="E5" i="33" s="1"/>
  <c r="E23" i="33" s="1"/>
  <c r="E52" i="33" s="1"/>
  <c r="F16" i="34"/>
  <c r="F5" i="33" s="1"/>
  <c r="F23" i="33" s="1"/>
  <c r="F52" i="33" s="1"/>
  <c r="G16" i="34"/>
  <c r="G5" i="33" s="1"/>
  <c r="G23" i="33" s="1"/>
  <c r="G52" i="33" s="1"/>
  <c r="H16" i="34"/>
  <c r="H5" i="33" s="1"/>
  <c r="H23" i="33" s="1"/>
  <c r="H52" i="33" s="1"/>
  <c r="I16" i="34"/>
  <c r="I5" i="33" s="1"/>
  <c r="I23" i="33" s="1"/>
  <c r="I52" i="33" s="1"/>
  <c r="J16" i="34"/>
  <c r="J5" i="33" s="1"/>
  <c r="J23" i="33" s="1"/>
  <c r="J52" i="33" s="1"/>
  <c r="K16" i="34"/>
  <c r="K5" i="33" s="1"/>
  <c r="K23" i="33" s="1"/>
  <c r="K52" i="33" s="1"/>
  <c r="L16" i="34"/>
  <c r="L5" i="33" s="1"/>
  <c r="L23" i="33" s="1"/>
  <c r="L52" i="33" s="1"/>
  <c r="M16" i="34"/>
  <c r="M5" i="33" s="1"/>
  <c r="M23" i="33" s="1"/>
  <c r="M52" i="33" s="1"/>
  <c r="B17" i="34"/>
  <c r="B6" i="33" s="1"/>
  <c r="B24" i="33" s="1"/>
  <c r="C17" i="34"/>
  <c r="C6" i="33" s="1"/>
  <c r="C24" i="33" s="1"/>
  <c r="C53" i="33" s="1"/>
  <c r="D17" i="34"/>
  <c r="D6" i="33" s="1"/>
  <c r="D24" i="33" s="1"/>
  <c r="D53" i="33" s="1"/>
  <c r="E17" i="34"/>
  <c r="E6" i="33" s="1"/>
  <c r="E24" i="33" s="1"/>
  <c r="E53" i="33" s="1"/>
  <c r="F17" i="34"/>
  <c r="F6" i="33" s="1"/>
  <c r="F24" i="33" s="1"/>
  <c r="F53" i="33" s="1"/>
  <c r="G17" i="34"/>
  <c r="G6" i="33" s="1"/>
  <c r="G24" i="33" s="1"/>
  <c r="G53" i="33" s="1"/>
  <c r="H17" i="34"/>
  <c r="H6" i="33" s="1"/>
  <c r="H24" i="33" s="1"/>
  <c r="H53" i="33" s="1"/>
  <c r="I17" i="34"/>
  <c r="I6" i="33" s="1"/>
  <c r="I24" i="33" s="1"/>
  <c r="I53" i="33" s="1"/>
  <c r="J17" i="34"/>
  <c r="J6" i="33" s="1"/>
  <c r="J24" i="33" s="1"/>
  <c r="J53" i="33" s="1"/>
  <c r="K17" i="34"/>
  <c r="K6" i="33" s="1"/>
  <c r="K24" i="33" s="1"/>
  <c r="K53" i="33" s="1"/>
  <c r="L17" i="34"/>
  <c r="L6" i="33" s="1"/>
  <c r="L24" i="33" s="1"/>
  <c r="L53" i="33" s="1"/>
  <c r="M17" i="34"/>
  <c r="M6" i="33" s="1"/>
  <c r="M24" i="33" s="1"/>
  <c r="M53" i="33" s="1"/>
  <c r="B18" i="34"/>
  <c r="B7" i="33" s="1"/>
  <c r="B25" i="33" s="1"/>
  <c r="C18" i="34"/>
  <c r="C7" i="33" s="1"/>
  <c r="C25" i="33" s="1"/>
  <c r="C54" i="33" s="1"/>
  <c r="D18" i="34"/>
  <c r="D7" i="33" s="1"/>
  <c r="D25" i="33" s="1"/>
  <c r="D54" i="33" s="1"/>
  <c r="E18" i="34"/>
  <c r="E7" i="33" s="1"/>
  <c r="E25" i="33" s="1"/>
  <c r="E54" i="33" s="1"/>
  <c r="F18" i="34"/>
  <c r="F7" i="33" s="1"/>
  <c r="F25" i="33" s="1"/>
  <c r="F54" i="33" s="1"/>
  <c r="G18" i="34"/>
  <c r="G7" i="33" s="1"/>
  <c r="G25" i="33" s="1"/>
  <c r="G54" i="33" s="1"/>
  <c r="H18" i="34"/>
  <c r="H7" i="33" s="1"/>
  <c r="H25" i="33" s="1"/>
  <c r="H54" i="33" s="1"/>
  <c r="I18" i="34"/>
  <c r="I7" i="33" s="1"/>
  <c r="I25" i="33" s="1"/>
  <c r="I54" i="33" s="1"/>
  <c r="J18" i="34"/>
  <c r="J7" i="33" s="1"/>
  <c r="J25" i="33" s="1"/>
  <c r="J54" i="33" s="1"/>
  <c r="K18" i="34"/>
  <c r="K7" i="33" s="1"/>
  <c r="K25" i="33" s="1"/>
  <c r="K54" i="33" s="1"/>
  <c r="L18" i="34"/>
  <c r="L7" i="33" s="1"/>
  <c r="L25" i="33" s="1"/>
  <c r="L54" i="33" s="1"/>
  <c r="M18" i="34"/>
  <c r="M7" i="33" s="1"/>
  <c r="M25" i="33" s="1"/>
  <c r="M54" i="33" s="1"/>
  <c r="B19" i="34"/>
  <c r="B8" i="33" s="1"/>
  <c r="B26" i="33" s="1"/>
  <c r="C19" i="34"/>
  <c r="C8" i="33" s="1"/>
  <c r="C26" i="33" s="1"/>
  <c r="C55" i="33" s="1"/>
  <c r="D19" i="34"/>
  <c r="D8" i="33" s="1"/>
  <c r="D26" i="33" s="1"/>
  <c r="D55" i="33" s="1"/>
  <c r="E19" i="34"/>
  <c r="E8" i="33" s="1"/>
  <c r="E26" i="33" s="1"/>
  <c r="E55" i="33" s="1"/>
  <c r="F19" i="34"/>
  <c r="F8" i="33" s="1"/>
  <c r="F26" i="33" s="1"/>
  <c r="F55" i="33" s="1"/>
  <c r="G19" i="34"/>
  <c r="G8" i="33" s="1"/>
  <c r="G26" i="33" s="1"/>
  <c r="G55" i="33" s="1"/>
  <c r="H19" i="34"/>
  <c r="H8" i="33" s="1"/>
  <c r="H26" i="33" s="1"/>
  <c r="H55" i="33" s="1"/>
  <c r="I19" i="34"/>
  <c r="I8" i="33" s="1"/>
  <c r="I26" i="33" s="1"/>
  <c r="I55" i="33" s="1"/>
  <c r="J19" i="34"/>
  <c r="J8" i="33" s="1"/>
  <c r="J26" i="33" s="1"/>
  <c r="J55" i="33" s="1"/>
  <c r="K19" i="34"/>
  <c r="K8" i="33" s="1"/>
  <c r="K26" i="33" s="1"/>
  <c r="K55" i="33" s="1"/>
  <c r="L19" i="34"/>
  <c r="L8" i="33" s="1"/>
  <c r="L26" i="33" s="1"/>
  <c r="L55" i="33" s="1"/>
  <c r="M19" i="34"/>
  <c r="M8" i="33" s="1"/>
  <c r="M26" i="33" s="1"/>
  <c r="M55" i="33" s="1"/>
  <c r="B20" i="34"/>
  <c r="C20" i="34"/>
  <c r="D20" i="34"/>
  <c r="E20" i="34"/>
  <c r="F20" i="34"/>
  <c r="G20" i="34"/>
  <c r="H20" i="34"/>
  <c r="I20" i="34"/>
  <c r="J20" i="34"/>
  <c r="K20" i="34"/>
  <c r="L20" i="34"/>
  <c r="M20" i="34"/>
  <c r="B21" i="34"/>
  <c r="C21" i="34"/>
  <c r="D21" i="34"/>
  <c r="E21" i="34"/>
  <c r="F21" i="34"/>
  <c r="G21" i="34"/>
  <c r="H21" i="34"/>
  <c r="I21" i="34"/>
  <c r="J21" i="34"/>
  <c r="K21" i="34"/>
  <c r="L21" i="34"/>
  <c r="M21" i="34"/>
  <c r="B22" i="34"/>
  <c r="C22" i="34"/>
  <c r="D22" i="34"/>
  <c r="E22" i="34"/>
  <c r="F22" i="34"/>
  <c r="G22" i="34"/>
  <c r="H22" i="34"/>
  <c r="I22" i="34"/>
  <c r="J22" i="34"/>
  <c r="K22" i="34"/>
  <c r="L22" i="34"/>
  <c r="M22" i="34"/>
  <c r="B23" i="34"/>
  <c r="B12" i="33" s="1"/>
  <c r="B30" i="33" s="1"/>
  <c r="C23" i="34"/>
  <c r="C12" i="33" s="1"/>
  <c r="C30" i="33" s="1"/>
  <c r="C59" i="33" s="1"/>
  <c r="D23" i="34"/>
  <c r="D12" i="33" s="1"/>
  <c r="D30" i="33" s="1"/>
  <c r="D59" i="33" s="1"/>
  <c r="E23" i="34"/>
  <c r="E12" i="33" s="1"/>
  <c r="E30" i="33" s="1"/>
  <c r="E59" i="33" s="1"/>
  <c r="F23" i="34"/>
  <c r="F12" i="33" s="1"/>
  <c r="F30" i="33" s="1"/>
  <c r="F59" i="33" s="1"/>
  <c r="G23" i="34"/>
  <c r="G12" i="33" s="1"/>
  <c r="G30" i="33" s="1"/>
  <c r="G59" i="33" s="1"/>
  <c r="H23" i="34"/>
  <c r="H12" i="33" s="1"/>
  <c r="H30" i="33" s="1"/>
  <c r="H59" i="33" s="1"/>
  <c r="I23" i="34"/>
  <c r="I12" i="33" s="1"/>
  <c r="I30" i="33" s="1"/>
  <c r="I59" i="33" s="1"/>
  <c r="J23" i="34"/>
  <c r="J12" i="33" s="1"/>
  <c r="J30" i="33" s="1"/>
  <c r="J59" i="33" s="1"/>
  <c r="K23" i="34"/>
  <c r="K12" i="33" s="1"/>
  <c r="K30" i="33" s="1"/>
  <c r="K59" i="33" s="1"/>
  <c r="L23" i="34"/>
  <c r="L12" i="33" s="1"/>
  <c r="L30" i="33" s="1"/>
  <c r="L59" i="33" s="1"/>
  <c r="M23" i="34"/>
  <c r="M12" i="33" s="1"/>
  <c r="M30" i="33" s="1"/>
  <c r="M59" i="33" s="1"/>
  <c r="B24" i="34"/>
  <c r="B13" i="33" s="1"/>
  <c r="B31" i="33" s="1"/>
  <c r="C24" i="34"/>
  <c r="C13" i="33" s="1"/>
  <c r="C31" i="33" s="1"/>
  <c r="C60" i="33" s="1"/>
  <c r="D24" i="34"/>
  <c r="D13" i="33" s="1"/>
  <c r="D31" i="33" s="1"/>
  <c r="D60" i="33" s="1"/>
  <c r="E24" i="34"/>
  <c r="E13" i="33" s="1"/>
  <c r="E31" i="33" s="1"/>
  <c r="E60" i="33" s="1"/>
  <c r="F24" i="34"/>
  <c r="F13" i="33" s="1"/>
  <c r="F31" i="33" s="1"/>
  <c r="F60" i="33" s="1"/>
  <c r="G24" i="34"/>
  <c r="G13" i="33" s="1"/>
  <c r="G31" i="33" s="1"/>
  <c r="G60" i="33" s="1"/>
  <c r="H24" i="34"/>
  <c r="H13" i="33" s="1"/>
  <c r="H31" i="33" s="1"/>
  <c r="H60" i="33" s="1"/>
  <c r="I24" i="34"/>
  <c r="I13" i="33" s="1"/>
  <c r="I31" i="33" s="1"/>
  <c r="I60" i="33" s="1"/>
  <c r="J24" i="34"/>
  <c r="J13" i="33" s="1"/>
  <c r="J31" i="33" s="1"/>
  <c r="J60" i="33" s="1"/>
  <c r="K24" i="34"/>
  <c r="K13" i="33" s="1"/>
  <c r="K31" i="33" s="1"/>
  <c r="K60" i="33" s="1"/>
  <c r="L24" i="34"/>
  <c r="L13" i="33" s="1"/>
  <c r="L31" i="33" s="1"/>
  <c r="L60" i="33" s="1"/>
  <c r="M24" i="34"/>
  <c r="M13" i="33" s="1"/>
  <c r="M31" i="33" s="1"/>
  <c r="M60" i="33" s="1"/>
  <c r="B25" i="34"/>
  <c r="B14" i="33" s="1"/>
  <c r="B32" i="33" s="1"/>
  <c r="C25" i="34"/>
  <c r="C14" i="33" s="1"/>
  <c r="C32" i="33" s="1"/>
  <c r="C61" i="33" s="1"/>
  <c r="D25" i="34"/>
  <c r="D14" i="33" s="1"/>
  <c r="D32" i="33" s="1"/>
  <c r="D61" i="33" s="1"/>
  <c r="E25" i="34"/>
  <c r="E14" i="33" s="1"/>
  <c r="E32" i="33" s="1"/>
  <c r="E61" i="33" s="1"/>
  <c r="F25" i="34"/>
  <c r="F14" i="33" s="1"/>
  <c r="F32" i="33" s="1"/>
  <c r="F61" i="33" s="1"/>
  <c r="G25" i="34"/>
  <c r="G14" i="33" s="1"/>
  <c r="G32" i="33" s="1"/>
  <c r="G61" i="33" s="1"/>
  <c r="H25" i="34"/>
  <c r="H14" i="33" s="1"/>
  <c r="H32" i="33" s="1"/>
  <c r="H61" i="33" s="1"/>
  <c r="I25" i="34"/>
  <c r="I14" i="33" s="1"/>
  <c r="I32" i="33" s="1"/>
  <c r="I61" i="33" s="1"/>
  <c r="J25" i="34"/>
  <c r="J14" i="33" s="1"/>
  <c r="J32" i="33" s="1"/>
  <c r="J61" i="33" s="1"/>
  <c r="K25" i="34"/>
  <c r="K14" i="33" s="1"/>
  <c r="K32" i="33" s="1"/>
  <c r="K61" i="33" s="1"/>
  <c r="L25" i="34"/>
  <c r="L14" i="33" s="1"/>
  <c r="L32" i="33" s="1"/>
  <c r="L61" i="33" s="1"/>
  <c r="M25" i="34"/>
  <c r="M14" i="33" s="1"/>
  <c r="M32" i="33" s="1"/>
  <c r="M61" i="33" s="1"/>
  <c r="B26" i="34"/>
  <c r="B15" i="33" s="1"/>
  <c r="B33" i="33" s="1"/>
  <c r="C26" i="34"/>
  <c r="C15" i="33" s="1"/>
  <c r="C33" i="33" s="1"/>
  <c r="C62" i="33" s="1"/>
  <c r="D26" i="34"/>
  <c r="D15" i="33" s="1"/>
  <c r="D33" i="33" s="1"/>
  <c r="D62" i="33" s="1"/>
  <c r="E26" i="34"/>
  <c r="E15" i="33" s="1"/>
  <c r="E33" i="33" s="1"/>
  <c r="E62" i="33" s="1"/>
  <c r="F26" i="34"/>
  <c r="F15" i="33" s="1"/>
  <c r="F33" i="33" s="1"/>
  <c r="F62" i="33" s="1"/>
  <c r="G26" i="34"/>
  <c r="G15" i="33" s="1"/>
  <c r="G33" i="33" s="1"/>
  <c r="G62" i="33" s="1"/>
  <c r="H26" i="34"/>
  <c r="H15" i="33" s="1"/>
  <c r="H33" i="33" s="1"/>
  <c r="H62" i="33" s="1"/>
  <c r="I26" i="34"/>
  <c r="I15" i="33" s="1"/>
  <c r="I33" i="33" s="1"/>
  <c r="I62" i="33" s="1"/>
  <c r="J26" i="34"/>
  <c r="J15" i="33" s="1"/>
  <c r="J33" i="33" s="1"/>
  <c r="J62" i="33" s="1"/>
  <c r="K26" i="34"/>
  <c r="K15" i="33" s="1"/>
  <c r="K33" i="33" s="1"/>
  <c r="K62" i="33" s="1"/>
  <c r="L26" i="34"/>
  <c r="L15" i="33" s="1"/>
  <c r="L33" i="33" s="1"/>
  <c r="L62" i="33" s="1"/>
  <c r="M26" i="34"/>
  <c r="M15" i="33" s="1"/>
  <c r="M33" i="33" s="1"/>
  <c r="M62" i="33" s="1"/>
  <c r="M15" i="34"/>
  <c r="M4" i="33" s="1"/>
  <c r="M22" i="33" s="1"/>
  <c r="L15" i="34"/>
  <c r="L4" i="33" s="1"/>
  <c r="L22" i="33" s="1"/>
  <c r="K15" i="34"/>
  <c r="K4" i="33" s="1"/>
  <c r="J15" i="34"/>
  <c r="J4" i="33" s="1"/>
  <c r="I15" i="34"/>
  <c r="I4" i="33" s="1"/>
  <c r="H15" i="34"/>
  <c r="H4" i="33" s="1"/>
  <c r="G15" i="34"/>
  <c r="G4" i="33" s="1"/>
  <c r="F15" i="34"/>
  <c r="F4" i="33" s="1"/>
  <c r="E15" i="34"/>
  <c r="E4" i="33" s="1"/>
  <c r="D15" i="34"/>
  <c r="D4" i="33" s="1"/>
  <c r="C15" i="34"/>
  <c r="C4" i="33" s="1"/>
  <c r="B15" i="34"/>
  <c r="B4" i="33" s="1"/>
  <c r="D1" i="33" l="1"/>
  <c r="D22" i="33"/>
  <c r="B1" i="33"/>
  <c r="E1" i="33"/>
  <c r="E22" i="33"/>
  <c r="H1" i="33"/>
  <c r="H22" i="33"/>
  <c r="F1" i="33"/>
  <c r="F22" i="33"/>
  <c r="C22" i="33"/>
  <c r="C1" i="33"/>
  <c r="G1" i="33"/>
  <c r="G22" i="33"/>
  <c r="K1" i="33"/>
  <c r="K22" i="33"/>
  <c r="J1" i="33"/>
  <c r="J22" i="33"/>
  <c r="I1" i="33"/>
  <c r="I22" i="33"/>
  <c r="L51" i="33"/>
  <c r="M51" i="33"/>
  <c r="M27" i="34"/>
  <c r="M9" i="33" s="1"/>
  <c r="L27" i="34"/>
  <c r="L9" i="33" s="1"/>
  <c r="G27" i="34"/>
  <c r="G9" i="33" s="1"/>
  <c r="K27" i="34"/>
  <c r="K9" i="33" s="1"/>
  <c r="F27" i="34"/>
  <c r="F9" i="33" s="1"/>
  <c r="H27" i="34"/>
  <c r="H9" i="33" s="1"/>
  <c r="D27" i="34"/>
  <c r="D9" i="33" s="1"/>
  <c r="C27" i="34"/>
  <c r="C9" i="33" s="1"/>
  <c r="B27" i="34"/>
  <c r="B9" i="33" s="1"/>
  <c r="E27" i="34"/>
  <c r="E9" i="33" s="1"/>
  <c r="J27" i="34"/>
  <c r="J9" i="33" s="1"/>
  <c r="I27" i="34"/>
  <c r="I9" i="33" s="1"/>
  <c r="E16" i="33" l="1"/>
  <c r="E17" i="33" s="1"/>
  <c r="J110" i="1" s="1"/>
  <c r="E27" i="33"/>
  <c r="E56" i="33" s="1"/>
  <c r="C51" i="33"/>
  <c r="F51" i="33"/>
  <c r="B16" i="33"/>
  <c r="B27" i="33"/>
  <c r="I16" i="33"/>
  <c r="I17" i="33" s="1"/>
  <c r="J114" i="1" s="1"/>
  <c r="I27" i="33"/>
  <c r="I56" i="33" s="1"/>
  <c r="J16" i="33"/>
  <c r="J17" i="33" s="1"/>
  <c r="J115" i="1" s="1"/>
  <c r="J27" i="33"/>
  <c r="J56" i="33" s="1"/>
  <c r="C16" i="33"/>
  <c r="C17" i="33" s="1"/>
  <c r="J108" i="1" s="1"/>
  <c r="C27" i="33"/>
  <c r="C56" i="33" s="1"/>
  <c r="I51" i="33"/>
  <c r="H51" i="33"/>
  <c r="D16" i="33"/>
  <c r="D17" i="33" s="1"/>
  <c r="J109" i="1" s="1"/>
  <c r="D27" i="33"/>
  <c r="D56" i="33" s="1"/>
  <c r="H16" i="33"/>
  <c r="H17" i="33" s="1"/>
  <c r="J113" i="1" s="1"/>
  <c r="H27" i="33"/>
  <c r="H56" i="33" s="1"/>
  <c r="J51" i="33"/>
  <c r="E34" i="33"/>
  <c r="E51" i="33"/>
  <c r="E63" i="33" s="1"/>
  <c r="F16" i="33"/>
  <c r="F17" i="33" s="1"/>
  <c r="J111" i="1" s="1"/>
  <c r="F27" i="33"/>
  <c r="F56" i="33" s="1"/>
  <c r="K16" i="33"/>
  <c r="K17" i="33" s="1"/>
  <c r="J116" i="1" s="1"/>
  <c r="K27" i="33"/>
  <c r="K56" i="33" s="1"/>
  <c r="K51" i="33"/>
  <c r="G16" i="33"/>
  <c r="G17" i="33" s="1"/>
  <c r="J112" i="1" s="1"/>
  <c r="G27" i="33"/>
  <c r="G56" i="33" s="1"/>
  <c r="L16" i="33"/>
  <c r="L17" i="33" s="1"/>
  <c r="J117" i="1" s="1"/>
  <c r="L27" i="33"/>
  <c r="G34" i="33"/>
  <c r="G51" i="33"/>
  <c r="G63" i="33" s="1"/>
  <c r="D51" i="33"/>
  <c r="D63" i="33" s="1"/>
  <c r="M16" i="33"/>
  <c r="M17" i="33" s="1"/>
  <c r="J118" i="1" s="1"/>
  <c r="M27" i="33"/>
  <c r="S92" i="5"/>
  <c r="N17" i="33"/>
  <c r="I115" i="1" s="1"/>
  <c r="U115" i="1" s="1"/>
  <c r="AW107" i="1"/>
  <c r="P15" i="33"/>
  <c r="P14" i="33"/>
  <c r="P13" i="33"/>
  <c r="P12" i="33"/>
  <c r="P9" i="33"/>
  <c r="P8" i="33"/>
  <c r="P7" i="33"/>
  <c r="P6" i="33"/>
  <c r="P5" i="33"/>
  <c r="P4" i="33"/>
  <c r="R5" i="33"/>
  <c r="S5" i="33"/>
  <c r="T5" i="33"/>
  <c r="U5" i="33"/>
  <c r="V5" i="33"/>
  <c r="W5" i="33"/>
  <c r="X5" i="33"/>
  <c r="Y5" i="33"/>
  <c r="Z5" i="33"/>
  <c r="AA5" i="33"/>
  <c r="AB5" i="33"/>
  <c r="AO5" i="33" s="1"/>
  <c r="BB5" i="33" s="1"/>
  <c r="R6" i="33"/>
  <c r="S6" i="33"/>
  <c r="T6" i="33"/>
  <c r="U6" i="33"/>
  <c r="V6" i="33"/>
  <c r="W6" i="33"/>
  <c r="X6" i="33"/>
  <c r="Y6" i="33"/>
  <c r="Z6" i="33"/>
  <c r="AA6" i="33"/>
  <c r="AB6" i="33"/>
  <c r="AO6" i="33" s="1"/>
  <c r="BB6" i="33" s="1"/>
  <c r="R7" i="33"/>
  <c r="S7" i="33"/>
  <c r="T7" i="33"/>
  <c r="U7" i="33"/>
  <c r="V7" i="33"/>
  <c r="W7" i="33"/>
  <c r="X7" i="33"/>
  <c r="Y7" i="33"/>
  <c r="Z7" i="33"/>
  <c r="AA7" i="33"/>
  <c r="AB7" i="33"/>
  <c r="AO7" i="33" s="1"/>
  <c r="BB7" i="33" s="1"/>
  <c r="R8" i="33"/>
  <c r="S8" i="33"/>
  <c r="T8" i="33"/>
  <c r="U8" i="33"/>
  <c r="V8" i="33"/>
  <c r="W8" i="33"/>
  <c r="X8" i="33"/>
  <c r="Y8" i="33"/>
  <c r="Z8" i="33"/>
  <c r="AA8" i="33"/>
  <c r="AB8" i="33"/>
  <c r="AO8" i="33" s="1"/>
  <c r="BB8" i="33" s="1"/>
  <c r="R9" i="33"/>
  <c r="AE9" i="33" s="1"/>
  <c r="AR9" i="33" s="1"/>
  <c r="S9" i="33"/>
  <c r="T9" i="33"/>
  <c r="U9" i="33"/>
  <c r="V9" i="33"/>
  <c r="W9" i="33"/>
  <c r="X9" i="33"/>
  <c r="Y9" i="33"/>
  <c r="Z9" i="33"/>
  <c r="AA9" i="33"/>
  <c r="AB9" i="33"/>
  <c r="AO9" i="33" s="1"/>
  <c r="BB9" i="33" s="1"/>
  <c r="R12" i="33"/>
  <c r="AE12" i="33" s="1"/>
  <c r="AR12" i="33" s="1"/>
  <c r="S12" i="33"/>
  <c r="AF12" i="33" s="1"/>
  <c r="AS12" i="33" s="1"/>
  <c r="T12" i="33"/>
  <c r="U12" i="33"/>
  <c r="V12" i="33"/>
  <c r="W12" i="33"/>
  <c r="X12" i="33"/>
  <c r="Y12" i="33"/>
  <c r="Z12" i="33"/>
  <c r="AA12" i="33"/>
  <c r="AB12" i="33"/>
  <c r="AO12" i="33" s="1"/>
  <c r="BB12" i="33" s="1"/>
  <c r="R13" i="33"/>
  <c r="AE13" i="33" s="1"/>
  <c r="AR13" i="33" s="1"/>
  <c r="S13" i="33"/>
  <c r="AF13" i="33" s="1"/>
  <c r="AS13" i="33" s="1"/>
  <c r="T13" i="33"/>
  <c r="AG13" i="33" s="1"/>
  <c r="AT13" i="33" s="1"/>
  <c r="U13" i="33"/>
  <c r="V13" i="33"/>
  <c r="W13" i="33"/>
  <c r="X13" i="33"/>
  <c r="Y13" i="33"/>
  <c r="Z13" i="33"/>
  <c r="AA13" i="33"/>
  <c r="AB13" i="33"/>
  <c r="AO13" i="33" s="1"/>
  <c r="BB13" i="33" s="1"/>
  <c r="R14" i="33"/>
  <c r="AE14" i="33" s="1"/>
  <c r="AR14" i="33" s="1"/>
  <c r="S14" i="33"/>
  <c r="AF14" i="33" s="1"/>
  <c r="AS14" i="33" s="1"/>
  <c r="T14" i="33"/>
  <c r="AG14" i="33" s="1"/>
  <c r="AT14" i="33" s="1"/>
  <c r="U14" i="33"/>
  <c r="AH14" i="33" s="1"/>
  <c r="AU14" i="33" s="1"/>
  <c r="V14" i="33"/>
  <c r="AI14" i="33" s="1"/>
  <c r="AV14" i="33" s="1"/>
  <c r="W14" i="33"/>
  <c r="X14" i="33"/>
  <c r="Y14" i="33"/>
  <c r="Z14" i="33"/>
  <c r="AA14" i="33"/>
  <c r="AN14" i="33" s="1"/>
  <c r="BA14" i="33" s="1"/>
  <c r="AB14" i="33"/>
  <c r="AO14" i="33" s="1"/>
  <c r="BB14" i="33" s="1"/>
  <c r="R15" i="33"/>
  <c r="AE15" i="33" s="1"/>
  <c r="AR15" i="33" s="1"/>
  <c r="S15" i="33"/>
  <c r="AF15" i="33" s="1"/>
  <c r="AS15" i="33" s="1"/>
  <c r="T15" i="33"/>
  <c r="AG15" i="33" s="1"/>
  <c r="AT15" i="33" s="1"/>
  <c r="U15" i="33"/>
  <c r="AH15" i="33" s="1"/>
  <c r="AU15" i="33" s="1"/>
  <c r="V15" i="33"/>
  <c r="AI15" i="33" s="1"/>
  <c r="AV15" i="33" s="1"/>
  <c r="W15" i="33"/>
  <c r="AJ15" i="33" s="1"/>
  <c r="AW15" i="33" s="1"/>
  <c r="X15" i="33"/>
  <c r="Y15" i="33"/>
  <c r="Z15" i="33"/>
  <c r="AA15" i="33"/>
  <c r="AB15" i="33"/>
  <c r="AO15" i="33" s="1"/>
  <c r="BB15" i="33" s="1"/>
  <c r="AB4" i="33"/>
  <c r="AO4" i="33" s="1"/>
  <c r="AA4" i="33"/>
  <c r="AN4" i="33" s="1"/>
  <c r="Z4" i="33"/>
  <c r="AM4" i="33" s="1"/>
  <c r="Y4" i="33"/>
  <c r="AL4" i="33" s="1"/>
  <c r="X4" i="33"/>
  <c r="AK4" i="33" s="1"/>
  <c r="W4" i="33"/>
  <c r="AJ4" i="33" s="1"/>
  <c r="V4" i="33"/>
  <c r="AI4" i="33" s="1"/>
  <c r="U4" i="33"/>
  <c r="AH4" i="33" s="1"/>
  <c r="AU4" i="33" s="1"/>
  <c r="T4" i="33"/>
  <c r="AG4" i="33" s="1"/>
  <c r="S4" i="33"/>
  <c r="AF4" i="33" s="1"/>
  <c r="R4" i="33"/>
  <c r="AE4" i="33" s="1"/>
  <c r="Q15" i="33"/>
  <c r="AD15" i="33" s="1"/>
  <c r="AQ15" i="33" s="1"/>
  <c r="Q14" i="33"/>
  <c r="AD14" i="33" s="1"/>
  <c r="AQ14" i="33" s="1"/>
  <c r="Q13" i="33"/>
  <c r="AD13" i="33" s="1"/>
  <c r="AQ13" i="33" s="1"/>
  <c r="Q12" i="33"/>
  <c r="AD12" i="33" s="1"/>
  <c r="AQ12" i="33" s="1"/>
  <c r="Q5" i="33"/>
  <c r="Q6" i="33"/>
  <c r="Q7" i="33"/>
  <c r="AD7" i="33" s="1"/>
  <c r="AQ7" i="33" s="1"/>
  <c r="Q8" i="33"/>
  <c r="Q9" i="33"/>
  <c r="Q4" i="33"/>
  <c r="CV16" i="2"/>
  <c r="CT8" i="2"/>
  <c r="CW8" i="2" s="1"/>
  <c r="CT9" i="2"/>
  <c r="CV9" i="2"/>
  <c r="CR15" i="2"/>
  <c r="CS15" i="2" s="1"/>
  <c r="CP18" i="2"/>
  <c r="CP17" i="2"/>
  <c r="CW4" i="2"/>
  <c r="CW5" i="2"/>
  <c r="CW6" i="2"/>
  <c r="CW7" i="2"/>
  <c r="CW10" i="2"/>
  <c r="CW11" i="2"/>
  <c r="CW12" i="2"/>
  <c r="CW13" i="2"/>
  <c r="CW14" i="2"/>
  <c r="CW3" i="2"/>
  <c r="CS3" i="2"/>
  <c r="CR3" i="2"/>
  <c r="CQ3" i="2"/>
  <c r="CQ4" i="2"/>
  <c r="CV11" i="2"/>
  <c r="CV5" i="2"/>
  <c r="CV4" i="2"/>
  <c r="CV10" i="2"/>
  <c r="CV7" i="2"/>
  <c r="CV12" i="2"/>
  <c r="CV13" i="2"/>
  <c r="CV14" i="2"/>
  <c r="CV6" i="2"/>
  <c r="CT11" i="2"/>
  <c r="CT6" i="2"/>
  <c r="CT5" i="2"/>
  <c r="CU14" i="2"/>
  <c r="CU13" i="2"/>
  <c r="CU12" i="2"/>
  <c r="CU11" i="2"/>
  <c r="CU10" i="2"/>
  <c r="CU9" i="2"/>
  <c r="CU8" i="2"/>
  <c r="CU7" i="2"/>
  <c r="CU6" i="2"/>
  <c r="CU5" i="2"/>
  <c r="CU4" i="2"/>
  <c r="CU3" i="2"/>
  <c r="CT14" i="2"/>
  <c r="CT13" i="2"/>
  <c r="CT12" i="2"/>
  <c r="CT10" i="2"/>
  <c r="CT7" i="2"/>
  <c r="CT4" i="2"/>
  <c r="CS14" i="2"/>
  <c r="CS13" i="2"/>
  <c r="CS12" i="2"/>
  <c r="CS11" i="2"/>
  <c r="CS10" i="2"/>
  <c r="CS9" i="2"/>
  <c r="CS8" i="2"/>
  <c r="CS7" i="2"/>
  <c r="CS6" i="2"/>
  <c r="CS5" i="2"/>
  <c r="CS4" i="2"/>
  <c r="CR14" i="2"/>
  <c r="CR13" i="2"/>
  <c r="CR12" i="2"/>
  <c r="CR11" i="2"/>
  <c r="CR10" i="2"/>
  <c r="CR9" i="2"/>
  <c r="CR8" i="2"/>
  <c r="CR7" i="2"/>
  <c r="CR6" i="2"/>
  <c r="CR5" i="2"/>
  <c r="CR4" i="2"/>
  <c r="CT3" i="2"/>
  <c r="CQ14" i="2"/>
  <c r="CQ13" i="2"/>
  <c r="CQ12" i="2"/>
  <c r="CQ11" i="2"/>
  <c r="CQ10" i="2"/>
  <c r="CQ9" i="2"/>
  <c r="CQ8" i="2"/>
  <c r="CQ7" i="2"/>
  <c r="CQ6" i="2"/>
  <c r="CQ5" i="2"/>
  <c r="BQ23" i="2"/>
  <c r="BP23" i="2"/>
  <c r="BO23" i="2"/>
  <c r="BN23" i="2"/>
  <c r="BM23" i="2"/>
  <c r="BL23" i="2"/>
  <c r="BK23" i="2"/>
  <c r="BJ23" i="2"/>
  <c r="BI23" i="2"/>
  <c r="BH23" i="2"/>
  <c r="BG23" i="2"/>
  <c r="BF23" i="2"/>
  <c r="AQ24" i="2"/>
  <c r="AP24" i="2"/>
  <c r="AO24" i="2"/>
  <c r="AN24" i="2"/>
  <c r="AM24" i="2"/>
  <c r="AL24" i="2"/>
  <c r="AK24" i="2"/>
  <c r="AJ24" i="2"/>
  <c r="AI24" i="2"/>
  <c r="AH24" i="2"/>
  <c r="AG24" i="2"/>
  <c r="AF24" i="2"/>
  <c r="BQ24" i="2"/>
  <c r="BP24" i="2"/>
  <c r="BO24" i="2"/>
  <c r="BN24" i="2"/>
  <c r="BM24" i="2"/>
  <c r="BL24" i="2"/>
  <c r="BK24" i="2"/>
  <c r="BJ24" i="2"/>
  <c r="BI24" i="2"/>
  <c r="BH24" i="2"/>
  <c r="BG24" i="2"/>
  <c r="BF24" i="2"/>
  <c r="AN25" i="2"/>
  <c r="AN15" i="33" l="1"/>
  <c r="BA15" i="33" s="1"/>
  <c r="AM15" i="33"/>
  <c r="AZ15" i="33" s="1"/>
  <c r="AI5" i="33"/>
  <c r="AV5" i="33" s="1"/>
  <c r="AH5" i="33"/>
  <c r="AU5" i="33" s="1"/>
  <c r="AJ5" i="33"/>
  <c r="AW5" i="33" s="1"/>
  <c r="AG5" i="33"/>
  <c r="AT5" i="33" s="1"/>
  <c r="AN5" i="33"/>
  <c r="BA5" i="33" s="1"/>
  <c r="AD5" i="33"/>
  <c r="AQ5" i="33" s="1"/>
  <c r="AK5" i="33"/>
  <c r="AX5" i="33" s="1"/>
  <c r="AE5" i="33"/>
  <c r="AR5" i="33" s="1"/>
  <c r="AM14" i="33"/>
  <c r="AZ14" i="33" s="1"/>
  <c r="AK15" i="33"/>
  <c r="AX15" i="33" s="1"/>
  <c r="AL14" i="33"/>
  <c r="AY14" i="33" s="1"/>
  <c r="AL15" i="33"/>
  <c r="AY15" i="33" s="1"/>
  <c r="AN13" i="33"/>
  <c r="BA13" i="33" s="1"/>
  <c r="AJ14" i="33"/>
  <c r="AW14" i="33" s="1"/>
  <c r="AL13" i="33"/>
  <c r="AY13" i="33" s="1"/>
  <c r="AK13" i="33"/>
  <c r="AX13" i="33" s="1"/>
  <c r="AF5" i="33"/>
  <c r="AS5" i="33" s="1"/>
  <c r="AK14" i="33"/>
  <c r="AX14" i="33" s="1"/>
  <c r="AM13" i="33"/>
  <c r="AZ13" i="33" s="1"/>
  <c r="AJ13" i="33"/>
  <c r="AW13" i="33" s="1"/>
  <c r="AN6" i="33"/>
  <c r="BA6" i="33" s="1"/>
  <c r="AL6" i="33"/>
  <c r="AY6" i="33" s="1"/>
  <c r="AK6" i="33"/>
  <c r="AX6" i="33" s="1"/>
  <c r="AJ6" i="33"/>
  <c r="AW6" i="33" s="1"/>
  <c r="AD6" i="33"/>
  <c r="AQ6" i="33" s="1"/>
  <c r="AI6" i="33"/>
  <c r="AV6" i="33" s="1"/>
  <c r="AH6" i="33"/>
  <c r="AU6" i="33" s="1"/>
  <c r="AG6" i="33"/>
  <c r="AT6" i="33" s="1"/>
  <c r="AF6" i="33"/>
  <c r="AS6" i="33" s="1"/>
  <c r="AM6" i="33"/>
  <c r="AZ6" i="33" s="1"/>
  <c r="AE6" i="33"/>
  <c r="AR6" i="33" s="1"/>
  <c r="AN8" i="33"/>
  <c r="BA8" i="33" s="1"/>
  <c r="AD8" i="33"/>
  <c r="AQ8" i="33" s="1"/>
  <c r="AH13" i="33"/>
  <c r="AU13" i="33" s="1"/>
  <c r="AG12" i="33"/>
  <c r="AT12" i="33" s="1"/>
  <c r="AF9" i="33"/>
  <c r="AS9" i="33" s="1"/>
  <c r="AE8" i="33"/>
  <c r="AR8" i="33" s="1"/>
  <c r="AL8" i="33"/>
  <c r="AY8" i="33" s="1"/>
  <c r="AK7" i="33"/>
  <c r="AX7" i="33" s="1"/>
  <c r="AN7" i="33"/>
  <c r="BA7" i="33" s="1"/>
  <c r="AM7" i="33"/>
  <c r="AZ7" i="33" s="1"/>
  <c r="AM12" i="33"/>
  <c r="AZ12" i="33" s="1"/>
  <c r="AL9" i="33"/>
  <c r="AY9" i="33" s="1"/>
  <c r="AK8" i="33"/>
  <c r="AX8" i="33" s="1"/>
  <c r="AJ7" i="33"/>
  <c r="AW7" i="33" s="1"/>
  <c r="J63" i="33"/>
  <c r="AL12" i="33"/>
  <c r="AY12" i="33" s="1"/>
  <c r="AK9" i="33"/>
  <c r="AX9" i="33" s="1"/>
  <c r="AJ8" i="33"/>
  <c r="AW8" i="33" s="1"/>
  <c r="AI7" i="33"/>
  <c r="AV7" i="33" s="1"/>
  <c r="B18" i="33"/>
  <c r="AK12" i="33"/>
  <c r="AX12" i="33" s="1"/>
  <c r="AJ9" i="33"/>
  <c r="AW9" i="33" s="1"/>
  <c r="AI8" i="33"/>
  <c r="AV8" i="33" s="1"/>
  <c r="AH7" i="33"/>
  <c r="AU7" i="33" s="1"/>
  <c r="F63" i="33"/>
  <c r="AL7" i="33"/>
  <c r="AY7" i="33" s="1"/>
  <c r="AJ12" i="33"/>
  <c r="AW12" i="33" s="1"/>
  <c r="AI9" i="33"/>
  <c r="AV9" i="33" s="1"/>
  <c r="AH8" i="33"/>
  <c r="AU8" i="33" s="1"/>
  <c r="AG7" i="33"/>
  <c r="AT7" i="33" s="1"/>
  <c r="H63" i="33"/>
  <c r="AM8" i="33"/>
  <c r="AZ8" i="33" s="1"/>
  <c r="AI12" i="33"/>
  <c r="AV12" i="33" s="1"/>
  <c r="AH9" i="33"/>
  <c r="AU9" i="33" s="1"/>
  <c r="AG8" i="33"/>
  <c r="AT8" i="33" s="1"/>
  <c r="AF7" i="33"/>
  <c r="AS7" i="33" s="1"/>
  <c r="H34" i="33"/>
  <c r="AD9" i="33"/>
  <c r="AQ9" i="33" s="1"/>
  <c r="AI13" i="33"/>
  <c r="AV13" i="33" s="1"/>
  <c r="AH12" i="33"/>
  <c r="AU12" i="33" s="1"/>
  <c r="AG9" i="33"/>
  <c r="AT9" i="33" s="1"/>
  <c r="AF8" i="33"/>
  <c r="AS8" i="33" s="1"/>
  <c r="AE7" i="33"/>
  <c r="AR7" i="33" s="1"/>
  <c r="B17" i="33"/>
  <c r="J107" i="1" s="1"/>
  <c r="N16" i="33"/>
  <c r="M56" i="33"/>
  <c r="M63" i="33" s="1"/>
  <c r="M34" i="33"/>
  <c r="K63" i="33"/>
  <c r="K34" i="33"/>
  <c r="D34" i="33"/>
  <c r="I63" i="33"/>
  <c r="F34" i="33"/>
  <c r="I34" i="33"/>
  <c r="C34" i="33"/>
  <c r="L56" i="33"/>
  <c r="L63" i="33" s="1"/>
  <c r="L34" i="33"/>
  <c r="C63" i="33"/>
  <c r="B34" i="33"/>
  <c r="J34" i="33"/>
  <c r="AN9" i="33"/>
  <c r="BA9" i="33" s="1"/>
  <c r="AN12" i="33"/>
  <c r="BA12" i="33" s="1"/>
  <c r="AM9" i="33"/>
  <c r="AZ9" i="33" s="1"/>
  <c r="I114" i="1"/>
  <c r="U114" i="1" s="1"/>
  <c r="I113" i="1"/>
  <c r="U113" i="1" s="1"/>
  <c r="I112" i="1"/>
  <c r="U112" i="1" s="1"/>
  <c r="I111" i="1"/>
  <c r="U111" i="1" s="1"/>
  <c r="I110" i="1"/>
  <c r="U110" i="1" s="1"/>
  <c r="I109" i="1"/>
  <c r="U109" i="1" s="1"/>
  <c r="I107" i="1"/>
  <c r="U107" i="1" s="1"/>
  <c r="I118" i="1"/>
  <c r="U118" i="1" s="1"/>
  <c r="I117" i="1"/>
  <c r="U117" i="1" s="1"/>
  <c r="I116" i="1"/>
  <c r="U116" i="1" s="1"/>
  <c r="I108" i="1"/>
  <c r="U108" i="1" s="1"/>
  <c r="Q17" i="33"/>
  <c r="M107" i="1" s="1"/>
  <c r="N107" i="1" s="1"/>
  <c r="Z17" i="33"/>
  <c r="M116" i="1" s="1"/>
  <c r="N116" i="1" s="1"/>
  <c r="AS4" i="33"/>
  <c r="AT4" i="33"/>
  <c r="AO18" i="33"/>
  <c r="AW4" i="33"/>
  <c r="AR4" i="33"/>
  <c r="AX4" i="33"/>
  <c r="AY4" i="33"/>
  <c r="AZ4" i="33"/>
  <c r="BA4" i="33"/>
  <c r="Y17" i="33"/>
  <c r="M115" i="1" s="1"/>
  <c r="N115" i="1" s="1"/>
  <c r="X17" i="33"/>
  <c r="M114" i="1" s="1"/>
  <c r="N114" i="1" s="1"/>
  <c r="W17" i="33"/>
  <c r="M113" i="1" s="1"/>
  <c r="N113" i="1" s="1"/>
  <c r="AV4" i="33"/>
  <c r="BB4" i="33"/>
  <c r="BB16" i="33" s="1"/>
  <c r="AD4" i="33"/>
  <c r="R17" i="33"/>
  <c r="M108" i="1" s="1"/>
  <c r="N108" i="1" s="1"/>
  <c r="AO17" i="33"/>
  <c r="U17" i="33"/>
  <c r="M111" i="1" s="1"/>
  <c r="N111" i="1" s="1"/>
  <c r="V17" i="33"/>
  <c r="M112" i="1" s="1"/>
  <c r="N112" i="1" s="1"/>
  <c r="T17" i="33"/>
  <c r="M110" i="1" s="1"/>
  <c r="N110" i="1" s="1"/>
  <c r="S17" i="33"/>
  <c r="M109" i="1" s="1"/>
  <c r="N109" i="1" s="1"/>
  <c r="AB17" i="33"/>
  <c r="M118" i="1" s="1"/>
  <c r="N118" i="1" s="1"/>
  <c r="AM5" i="33"/>
  <c r="AZ5" i="33" s="1"/>
  <c r="AA17" i="33"/>
  <c r="M117" i="1" s="1"/>
  <c r="N117" i="1" s="1"/>
  <c r="AL5" i="33"/>
  <c r="AY5" i="33" s="1"/>
  <c r="CW9" i="2"/>
  <c r="CW15" i="2" s="1"/>
  <c r="CW16" i="2" s="1"/>
  <c r="CV8" i="2"/>
  <c r="CT15" i="2"/>
  <c r="CT16" i="2" s="1"/>
  <c r="CV3" i="2"/>
  <c r="CV15" i="2" s="1"/>
  <c r="AK17" i="33" l="1"/>
  <c r="AU16" i="33"/>
  <c r="AU17" i="33" s="1"/>
  <c r="AX16" i="33"/>
  <c r="R114" i="1" s="1"/>
  <c r="AW16" i="33"/>
  <c r="AK18" i="33"/>
  <c r="AH18" i="33"/>
  <c r="AE17" i="33"/>
  <c r="AG17" i="33"/>
  <c r="AF17" i="33"/>
  <c r="AH17" i="33"/>
  <c r="AS16" i="33"/>
  <c r="AS17" i="33" s="1"/>
  <c r="AI17" i="33"/>
  <c r="AE18" i="33"/>
  <c r="AG18" i="33"/>
  <c r="AT16" i="33"/>
  <c r="AT17" i="33" s="1"/>
  <c r="AI18" i="33"/>
  <c r="AF18" i="33"/>
  <c r="AV16" i="33"/>
  <c r="AV17" i="33" s="1"/>
  <c r="AR16" i="33"/>
  <c r="AR17" i="33" s="1"/>
  <c r="AJ17" i="33"/>
  <c r="AJ18" i="33"/>
  <c r="BA16" i="33"/>
  <c r="BA17" i="33" s="1"/>
  <c r="AN17" i="33"/>
  <c r="AN18" i="33"/>
  <c r="AZ16" i="33"/>
  <c r="R116" i="1" s="1"/>
  <c r="AM17" i="33"/>
  <c r="AM18" i="33"/>
  <c r="AD18" i="33"/>
  <c r="AD17" i="33"/>
  <c r="AQ4" i="33"/>
  <c r="AQ16" i="33" s="1"/>
  <c r="R118" i="1"/>
  <c r="BB17" i="33"/>
  <c r="AY16" i="33"/>
  <c r="AL17" i="33"/>
  <c r="R113" i="1"/>
  <c r="AW17" i="33"/>
  <c r="AL18" i="33"/>
  <c r="CX16" i="2"/>
  <c r="AX17" i="33" l="1"/>
  <c r="R108" i="1"/>
  <c r="R111" i="1"/>
  <c r="R112" i="1"/>
  <c r="R109" i="1"/>
  <c r="R110" i="1"/>
  <c r="R117" i="1"/>
  <c r="AZ17" i="33"/>
  <c r="R115" i="1"/>
  <c r="AY17" i="33"/>
  <c r="AQ17" i="33"/>
  <c r="R107" i="1"/>
  <c r="H46" i="4"/>
  <c r="G46" i="4"/>
  <c r="H2" i="28"/>
  <c r="AO2" i="31"/>
  <c r="AN2" i="31"/>
  <c r="AM2" i="31"/>
  <c r="AL2" i="31"/>
  <c r="AK2" i="31"/>
  <c r="AJ2" i="31"/>
  <c r="AI2" i="31"/>
  <c r="AH2" i="31"/>
  <c r="AG2" i="31"/>
  <c r="AF2" i="31"/>
  <c r="AE2" i="31"/>
  <c r="AD2" i="31"/>
  <c r="V194" i="5"/>
  <c r="P50" i="1"/>
  <c r="Q50" i="1" s="1"/>
  <c r="P51" i="1"/>
  <c r="Q51" i="1" s="1"/>
  <c r="P52" i="1"/>
  <c r="Q52" i="1" s="1"/>
  <c r="P53" i="1"/>
  <c r="Q53" i="1" s="1"/>
  <c r="P54" i="1"/>
  <c r="Q54" i="1" s="1"/>
  <c r="P55" i="1"/>
  <c r="Q55" i="1" s="1"/>
  <c r="P56" i="1"/>
  <c r="Q56" i="1" s="1"/>
  <c r="P57" i="1"/>
  <c r="Q57" i="1" s="1"/>
  <c r="P58" i="1"/>
  <c r="Q58" i="1" s="1"/>
  <c r="P59" i="1"/>
  <c r="Q59" i="1" s="1"/>
  <c r="P60" i="1"/>
  <c r="Q60" i="1" s="1"/>
  <c r="P49" i="1"/>
  <c r="Q49" i="1" s="1"/>
  <c r="P5" i="32"/>
  <c r="Q5" i="32"/>
  <c r="R5" i="32"/>
  <c r="R4" i="32"/>
  <c r="Q4" i="32"/>
  <c r="P4" i="32"/>
  <c r="I9" i="32"/>
  <c r="I8" i="32"/>
  <c r="I10" i="32" s="1"/>
  <c r="I6" i="32"/>
  <c r="F85" i="4" l="1"/>
  <c r="E85" i="4"/>
  <c r="AO13" i="31" l="1"/>
  <c r="AN13" i="31"/>
  <c r="AM13" i="31"/>
  <c r="AL13" i="31"/>
  <c r="AK13" i="31"/>
  <c r="AJ13" i="31"/>
  <c r="AI13" i="31"/>
  <c r="AH13" i="31"/>
  <c r="AG13" i="31"/>
  <c r="AF13" i="31"/>
  <c r="AE13" i="31"/>
  <c r="AD13" i="31"/>
  <c r="AO16" i="31"/>
  <c r="AN16" i="31"/>
  <c r="AM16" i="31"/>
  <c r="AL16" i="31"/>
  <c r="AK16" i="31"/>
  <c r="AJ16" i="31"/>
  <c r="AI16" i="31"/>
  <c r="AH16" i="31"/>
  <c r="AG16" i="31"/>
  <c r="AF16" i="31"/>
  <c r="AE16" i="31"/>
  <c r="AD16" i="31"/>
  <c r="H70" i="4"/>
  <c r="I69" i="4"/>
  <c r="I70" i="4" s="1"/>
  <c r="J70" i="4" s="1"/>
  <c r="J66" i="4"/>
  <c r="I56" i="4"/>
  <c r="I66" i="4" s="1"/>
  <c r="H56" i="4"/>
  <c r="H66" i="4" s="1"/>
  <c r="G56" i="4"/>
  <c r="G66" i="4" s="1"/>
  <c r="H54" i="4"/>
  <c r="G54" i="4"/>
  <c r="K66" i="4" l="1"/>
  <c r="G67" i="4" s="1"/>
  <c r="AM153" i="1"/>
  <c r="AN153" i="1"/>
  <c r="AO153" i="1"/>
  <c r="AM154" i="1"/>
  <c r="AN154" i="1"/>
  <c r="AO154" i="1"/>
  <c r="AM155" i="1"/>
  <c r="AN155" i="1"/>
  <c r="AO155" i="1"/>
  <c r="AM156" i="1"/>
  <c r="AN156" i="1"/>
  <c r="AO156" i="1"/>
  <c r="AM157" i="1"/>
  <c r="AN157" i="1"/>
  <c r="AO157" i="1"/>
  <c r="AM158" i="1"/>
  <c r="AN158" i="1"/>
  <c r="AO158" i="1"/>
  <c r="AM159" i="1"/>
  <c r="AN159" i="1"/>
  <c r="AO159" i="1"/>
  <c r="AM160" i="1"/>
  <c r="AN160" i="1"/>
  <c r="AO160" i="1"/>
  <c r="AM161" i="1"/>
  <c r="AN161" i="1"/>
  <c r="AO161" i="1"/>
  <c r="AM162" i="1"/>
  <c r="AN162" i="1"/>
  <c r="AO162" i="1"/>
  <c r="AM163" i="1"/>
  <c r="AN163" i="1"/>
  <c r="AO163" i="1"/>
  <c r="AO152" i="1"/>
  <c r="AN152" i="1"/>
  <c r="AM152" i="1"/>
  <c r="J98" i="4"/>
  <c r="I98" i="4"/>
  <c r="H98" i="4"/>
  <c r="J95" i="4"/>
  <c r="I95" i="4"/>
  <c r="H95" i="4"/>
  <c r="J92" i="4"/>
  <c r="I92" i="4"/>
  <c r="H92" i="4"/>
  <c r="J91" i="4"/>
  <c r="I91" i="4"/>
  <c r="H91" i="4"/>
  <c r="J90" i="4"/>
  <c r="I90" i="4"/>
  <c r="H90" i="4"/>
  <c r="J89" i="4"/>
  <c r="I89" i="4"/>
  <c r="H89" i="4"/>
  <c r="J88" i="4"/>
  <c r="I88" i="4"/>
  <c r="H88" i="4"/>
  <c r="J84" i="4"/>
  <c r="I84" i="4"/>
  <c r="H84" i="4"/>
  <c r="J83" i="4"/>
  <c r="I83" i="4"/>
  <c r="H83" i="4"/>
  <c r="J82" i="4"/>
  <c r="I82" i="4"/>
  <c r="H82" i="4"/>
  <c r="J81" i="4"/>
  <c r="I81" i="4"/>
  <c r="H81" i="4"/>
  <c r="J80" i="4"/>
  <c r="I80" i="4"/>
  <c r="H80" i="4"/>
  <c r="J67" i="4" l="1"/>
  <c r="I67" i="4"/>
  <c r="H67" i="4"/>
  <c r="H93" i="4"/>
  <c r="H85" i="4"/>
  <c r="H96" i="4" s="1"/>
  <c r="H97" i="4" s="1"/>
  <c r="I93" i="4"/>
  <c r="J93" i="4"/>
  <c r="I85" i="4"/>
  <c r="I96" i="4" s="1"/>
  <c r="J85" i="4"/>
  <c r="AM164" i="1"/>
  <c r="AM165" i="1" s="1"/>
  <c r="AN164" i="1"/>
  <c r="AN165" i="1" s="1"/>
  <c r="AO164" i="1"/>
  <c r="AO165" i="1" s="1"/>
  <c r="H99" i="4" l="1"/>
  <c r="I97" i="4"/>
  <c r="I99" i="4" s="1"/>
  <c r="J96" i="4"/>
  <c r="J99" i="4" s="1"/>
  <c r="CE30" i="28"/>
  <c r="CF14" i="28"/>
  <c r="CF27" i="28" l="1"/>
  <c r="CF24" i="28"/>
  <c r="CF13" i="28" l="1"/>
  <c r="CF6" i="28"/>
  <c r="H276" i="4" l="1"/>
  <c r="H275" i="4"/>
  <c r="H274" i="4"/>
  <c r="H273" i="4"/>
  <c r="H272" i="4"/>
  <c r="H271" i="4"/>
  <c r="H270" i="4"/>
  <c r="H269" i="4"/>
  <c r="H268" i="4"/>
  <c r="H267" i="4"/>
  <c r="H266" i="4"/>
  <c r="H265" i="4"/>
  <c r="H264" i="4"/>
  <c r="H263" i="4"/>
  <c r="H262" i="4"/>
  <c r="AV24" i="31"/>
  <c r="AV23" i="31"/>
  <c r="AV22" i="31"/>
  <c r="AV21" i="31"/>
  <c r="AV20" i="31"/>
  <c r="AV18" i="31"/>
  <c r="AV16" i="31"/>
  <c r="AV13" i="31"/>
  <c r="C20" i="7"/>
  <c r="C21" i="27" s="1"/>
  <c r="C8" i="27"/>
  <c r="C10" i="27"/>
  <c r="C11" i="27"/>
  <c r="C14" i="27"/>
  <c r="C15" i="27"/>
  <c r="W23" i="27"/>
  <c r="W29" i="27"/>
  <c r="W26" i="27"/>
  <c r="E9" i="32" l="1"/>
  <c r="P9" i="32" s="1"/>
  <c r="D9" i="32"/>
  <c r="C9" i="32"/>
  <c r="E8" i="32"/>
  <c r="P8" i="32" s="1"/>
  <c r="E6" i="32"/>
  <c r="P6" i="32" s="1"/>
  <c r="H9" i="32"/>
  <c r="G9" i="32"/>
  <c r="R9" i="32" s="1"/>
  <c r="F9" i="32"/>
  <c r="Q9" i="32" s="1"/>
  <c r="H6" i="32"/>
  <c r="G6" i="32"/>
  <c r="R6" i="32" s="1"/>
  <c r="F6" i="32"/>
  <c r="Q6" i="32" s="1"/>
  <c r="D8" i="32"/>
  <c r="C8" i="32"/>
  <c r="P153" i="1"/>
  <c r="P154" i="1"/>
  <c r="P155" i="1"/>
  <c r="P156" i="1"/>
  <c r="P157" i="1"/>
  <c r="P158" i="1"/>
  <c r="P159" i="1"/>
  <c r="P160" i="1"/>
  <c r="P161" i="1"/>
  <c r="P162" i="1"/>
  <c r="P163" i="1"/>
  <c r="P152" i="1"/>
  <c r="D38" i="4"/>
  <c r="D32" i="4"/>
  <c r="S193" i="1"/>
  <c r="S192" i="1"/>
  <c r="S191" i="1"/>
  <c r="S190" i="1"/>
  <c r="S189" i="1"/>
  <c r="S188" i="1"/>
  <c r="S187" i="1"/>
  <c r="S186" i="1"/>
  <c r="S185" i="1"/>
  <c r="S184" i="1"/>
  <c r="S183" i="1"/>
  <c r="S179" i="1"/>
  <c r="S178" i="1"/>
  <c r="S177" i="1"/>
  <c r="S176" i="1"/>
  <c r="S175" i="1"/>
  <c r="S174" i="1"/>
  <c r="S173" i="1"/>
  <c r="S172" i="1"/>
  <c r="S171" i="1"/>
  <c r="S170" i="1"/>
  <c r="S169" i="1"/>
  <c r="S150" i="1"/>
  <c r="S149" i="1"/>
  <c r="S148" i="1"/>
  <c r="S147" i="1"/>
  <c r="S146" i="1"/>
  <c r="S145" i="1"/>
  <c r="S144" i="1"/>
  <c r="S143" i="1"/>
  <c r="S142" i="1"/>
  <c r="S141" i="1"/>
  <c r="S140" i="1"/>
  <c r="S60" i="1"/>
  <c r="S59" i="1"/>
  <c r="S58" i="1"/>
  <c r="S57" i="1"/>
  <c r="S56" i="1"/>
  <c r="S55" i="1"/>
  <c r="S54" i="1"/>
  <c r="S53" i="1"/>
  <c r="S52" i="1"/>
  <c r="S51" i="1"/>
  <c r="S50" i="1"/>
  <c r="AO28" i="31"/>
  <c r="AO29" i="31" s="1"/>
  <c r="AN28" i="31"/>
  <c r="AN29" i="31" s="1"/>
  <c r="AM28" i="31"/>
  <c r="AM29" i="31" s="1"/>
  <c r="AL28" i="31"/>
  <c r="AL29" i="31" s="1"/>
  <c r="AK28" i="31"/>
  <c r="AK29" i="31" s="1"/>
  <c r="AJ28" i="31"/>
  <c r="AJ29" i="31" s="1"/>
  <c r="AI28" i="31"/>
  <c r="AI29" i="31" s="1"/>
  <c r="AH28" i="31"/>
  <c r="AH29" i="31" s="1"/>
  <c r="AG28" i="31"/>
  <c r="AG29" i="31" s="1"/>
  <c r="AF28" i="31"/>
  <c r="AF29" i="31" s="1"/>
  <c r="AE28" i="31"/>
  <c r="AE29" i="31" s="1"/>
  <c r="AD28" i="31"/>
  <c r="AD29" i="31" s="1"/>
  <c r="AO19" i="31"/>
  <c r="AN19" i="31"/>
  <c r="AM19" i="31"/>
  <c r="AL19" i="31"/>
  <c r="AK19" i="31"/>
  <c r="AJ19" i="31"/>
  <c r="AI19" i="31"/>
  <c r="AH19" i="31"/>
  <c r="AG19" i="31"/>
  <c r="AF19" i="31"/>
  <c r="AE19" i="31"/>
  <c r="AD19" i="31"/>
  <c r="AO17" i="31"/>
  <c r="AN17" i="31"/>
  <c r="AM17" i="31"/>
  <c r="AL17" i="31"/>
  <c r="AK17" i="31"/>
  <c r="AJ17" i="31"/>
  <c r="AI17" i="31"/>
  <c r="AH17" i="31"/>
  <c r="AG17" i="31"/>
  <c r="AF17" i="31"/>
  <c r="AE17" i="31"/>
  <c r="AD17" i="31"/>
  <c r="AT16" i="31"/>
  <c r="AO15" i="31"/>
  <c r="AN15" i="31"/>
  <c r="AM15" i="31"/>
  <c r="AL15" i="31"/>
  <c r="AK15" i="31"/>
  <c r="AJ15" i="31"/>
  <c r="AI15" i="31"/>
  <c r="AH15" i="31"/>
  <c r="AG15" i="31"/>
  <c r="AF15" i="31"/>
  <c r="AT15" i="31" s="1"/>
  <c r="AE15" i="31"/>
  <c r="AD15" i="31"/>
  <c r="AO14" i="31"/>
  <c r="AN14" i="31"/>
  <c r="AM14" i="31"/>
  <c r="AL14" i="31"/>
  <c r="AK14" i="31"/>
  <c r="AJ14" i="31"/>
  <c r="AI14" i="31"/>
  <c r="AH14" i="31"/>
  <c r="AG14" i="31"/>
  <c r="AF14" i="31"/>
  <c r="AT14" i="31" s="1"/>
  <c r="AE14" i="31"/>
  <c r="AD14" i="31"/>
  <c r="AT13" i="31"/>
  <c r="AO12" i="31"/>
  <c r="AN12" i="31"/>
  <c r="AM12" i="31"/>
  <c r="AL12" i="31"/>
  <c r="AK12" i="31"/>
  <c r="AJ12" i="31"/>
  <c r="AI12" i="31"/>
  <c r="AH12" i="31"/>
  <c r="AG12" i="31"/>
  <c r="AF12" i="31"/>
  <c r="AE12" i="31"/>
  <c r="AD12" i="31"/>
  <c r="AO11" i="31"/>
  <c r="AN11" i="31"/>
  <c r="AM11" i="31"/>
  <c r="AL11" i="31"/>
  <c r="AK11" i="31"/>
  <c r="AJ11" i="31"/>
  <c r="AI11" i="31"/>
  <c r="AH11" i="31"/>
  <c r="AG11" i="31"/>
  <c r="AF11" i="31"/>
  <c r="AE11" i="31"/>
  <c r="AD11" i="31"/>
  <c r="AO10" i="31"/>
  <c r="AN10" i="31"/>
  <c r="AM10" i="31"/>
  <c r="AL10" i="31"/>
  <c r="AK10" i="31"/>
  <c r="AJ10" i="31"/>
  <c r="AI10" i="31"/>
  <c r="AH10" i="31"/>
  <c r="AG10" i="31"/>
  <c r="AF10" i="31"/>
  <c r="AE10" i="31"/>
  <c r="AD10" i="31"/>
  <c r="AO9" i="31"/>
  <c r="AN9" i="31"/>
  <c r="AM9" i="31"/>
  <c r="AL9" i="31"/>
  <c r="AK9" i="31"/>
  <c r="AJ9" i="31"/>
  <c r="AI9" i="31"/>
  <c r="AH9" i="31"/>
  <c r="AG9" i="31"/>
  <c r="AF9" i="31"/>
  <c r="AE9" i="31"/>
  <c r="AD9" i="31"/>
  <c r="AS7" i="31"/>
  <c r="AR7" i="31"/>
  <c r="AO5" i="31"/>
  <c r="AO7" i="31" s="1"/>
  <c r="AN5" i="31"/>
  <c r="AN7" i="31" s="1"/>
  <c r="AM5" i="31"/>
  <c r="AM7" i="31" s="1"/>
  <c r="AL5" i="31"/>
  <c r="AL7" i="31" s="1"/>
  <c r="AK5" i="31"/>
  <c r="AK7" i="31" s="1"/>
  <c r="AJ5" i="31"/>
  <c r="AJ7" i="31" s="1"/>
  <c r="AI5" i="31"/>
  <c r="AI7" i="31" s="1"/>
  <c r="AH5" i="31"/>
  <c r="AH7" i="31" s="1"/>
  <c r="AG5" i="31"/>
  <c r="AG7" i="31" s="1"/>
  <c r="AF5" i="31"/>
  <c r="AF7" i="31" s="1"/>
  <c r="AE5" i="31"/>
  <c r="AE7" i="31" s="1"/>
  <c r="AD5" i="31"/>
  <c r="AD7" i="31" s="1"/>
  <c r="AF42" i="31" l="1"/>
  <c r="D10" i="32"/>
  <c r="AL25" i="31"/>
  <c r="AF41" i="31"/>
  <c r="AK25" i="31"/>
  <c r="AL26" i="31" s="1"/>
  <c r="AE45" i="31" s="1"/>
  <c r="AV17" i="31"/>
  <c r="AV19" i="31"/>
  <c r="AF39" i="31"/>
  <c r="AJ25" i="31"/>
  <c r="AK26" i="31" s="1"/>
  <c r="AE44" i="31" s="1"/>
  <c r="AI25" i="31"/>
  <c r="AF38" i="31"/>
  <c r="AG25" i="31"/>
  <c r="AI26" i="31" s="1"/>
  <c r="AE42" i="31" s="1"/>
  <c r="AF37" i="31"/>
  <c r="AM25" i="31"/>
  <c r="AF48" i="31"/>
  <c r="AN25" i="31"/>
  <c r="AF47" i="31"/>
  <c r="AO25" i="31"/>
  <c r="AF46" i="31"/>
  <c r="AF40" i="31"/>
  <c r="AD25" i="31"/>
  <c r="AV9" i="31"/>
  <c r="AV10" i="31"/>
  <c r="AV11" i="31"/>
  <c r="AV12" i="31"/>
  <c r="AT7" i="31"/>
  <c r="AF45" i="31"/>
  <c r="AG26" i="31"/>
  <c r="AE40" i="31" s="1"/>
  <c r="AV14" i="31"/>
  <c r="AF44" i="31"/>
  <c r="AF25" i="31"/>
  <c r="AF26" i="31" s="1"/>
  <c r="AE39" i="31" s="1"/>
  <c r="AV15" i="31"/>
  <c r="AF43" i="31"/>
  <c r="C10" i="32"/>
  <c r="E10" i="32"/>
  <c r="P10" i="32" s="1"/>
  <c r="O6" i="32"/>
  <c r="N6" i="32"/>
  <c r="M6" i="32"/>
  <c r="M9" i="32"/>
  <c r="O9" i="32"/>
  <c r="N9" i="32"/>
  <c r="M5" i="32"/>
  <c r="N5" i="32"/>
  <c r="C6" i="32"/>
  <c r="M4" i="32"/>
  <c r="D6" i="32"/>
  <c r="G8" i="32"/>
  <c r="O5" i="32"/>
  <c r="F8" i="32"/>
  <c r="N4" i="32"/>
  <c r="H8" i="32"/>
  <c r="O4" i="32"/>
  <c r="AD30" i="31"/>
  <c r="AJ26" i="31" l="1"/>
  <c r="AE43" i="31" s="1"/>
  <c r="AE38" i="31"/>
  <c r="AO26" i="31"/>
  <c r="AE48" i="31" s="1"/>
  <c r="AM26" i="31"/>
  <c r="AE46" i="31" s="1"/>
  <c r="AE47" i="31"/>
  <c r="AH26" i="31"/>
  <c r="AE41" i="31" s="1"/>
  <c r="F10" i="32"/>
  <c r="Q10" i="32" s="1"/>
  <c r="Q8" i="32"/>
  <c r="G10" i="32"/>
  <c r="R10" i="32" s="1"/>
  <c r="R8" i="32"/>
  <c r="AI3" i="31"/>
  <c r="AJ3" i="31"/>
  <c r="AF3" i="31"/>
  <c r="T208" i="1"/>
  <c r="AO3" i="31"/>
  <c r="AK3" i="31"/>
  <c r="AE3" i="31"/>
  <c r="AN3" i="31"/>
  <c r="AH3" i="31"/>
  <c r="AM3" i="31"/>
  <c r="AL3" i="31"/>
  <c r="AD3" i="31"/>
  <c r="AG3" i="31"/>
  <c r="AF8" i="31"/>
  <c r="AE8" i="31"/>
  <c r="AK8" i="31"/>
  <c r="AN8" i="31"/>
  <c r="AJ8" i="31"/>
  <c r="AL8" i="31"/>
  <c r="AH8" i="31"/>
  <c r="AO8" i="31"/>
  <c r="AD8" i="31"/>
  <c r="AG8" i="31"/>
  <c r="AP25" i="31"/>
  <c r="AV25" i="31"/>
  <c r="AI8" i="31"/>
  <c r="AM8" i="31"/>
  <c r="O8" i="32"/>
  <c r="N8" i="32"/>
  <c r="M8" i="32"/>
  <c r="H10" i="32"/>
  <c r="AE37" i="31" l="1"/>
  <c r="AP26" i="31"/>
  <c r="AP27" i="31" s="1"/>
  <c r="AV26" i="31"/>
  <c r="AR25" i="31"/>
  <c r="O10" i="32"/>
  <c r="N10" i="32"/>
  <c r="M10" i="32"/>
  <c r="S182" i="1" l="1"/>
  <c r="S168" i="1"/>
  <c r="S139" i="1"/>
  <c r="S49" i="1"/>
  <c r="B13" i="25" l="1"/>
  <c r="AA10" i="30" l="1"/>
  <c r="W12" i="30"/>
  <c r="X12" i="30" s="1"/>
  <c r="W11" i="30"/>
  <c r="X11" i="30" s="1"/>
  <c r="AH11" i="30" s="1"/>
  <c r="AN9" i="30" s="1"/>
  <c r="W10" i="30"/>
  <c r="X10" i="30" s="1"/>
  <c r="W9" i="30"/>
  <c r="X9" i="30" s="1"/>
  <c r="W5" i="30"/>
  <c r="X5" i="30" s="1"/>
  <c r="AH12" i="30" l="1"/>
  <c r="AN10" i="30" s="1"/>
  <c r="AH10" i="30"/>
  <c r="AN8" i="30" s="1"/>
  <c r="AN7" i="30"/>
  <c r="AH9" i="30"/>
  <c r="AH5" i="30"/>
  <c r="AN6" i="30" s="1"/>
  <c r="AB17" i="30"/>
  <c r="H17" i="30"/>
  <c r="AI17" i="30" l="1"/>
  <c r="AA5" i="30"/>
  <c r="AA12" i="30"/>
  <c r="AA9" i="30"/>
  <c r="R29" i="4" l="1"/>
  <c r="R28" i="4"/>
  <c r="R27" i="4"/>
  <c r="R26" i="4"/>
  <c r="R25" i="4"/>
  <c r="R24" i="4"/>
  <c r="R23" i="4"/>
  <c r="R22" i="4"/>
  <c r="R21" i="4"/>
  <c r="R20" i="4"/>
  <c r="R19" i="4"/>
  <c r="R18" i="4"/>
  <c r="R17" i="4"/>
  <c r="P26" i="29"/>
  <c r="P25" i="29"/>
  <c r="P24" i="29"/>
  <c r="P23" i="29"/>
  <c r="P22" i="29"/>
  <c r="P21" i="29"/>
  <c r="P20" i="29"/>
  <c r="P19" i="29"/>
  <c r="P18" i="29"/>
  <c r="P17" i="29"/>
  <c r="R30" i="4" l="1"/>
  <c r="Q26" i="29"/>
  <c r="Q25" i="29"/>
  <c r="Q24" i="29"/>
  <c r="Q23" i="29"/>
  <c r="Q22" i="29"/>
  <c r="Q21" i="29"/>
  <c r="Q20" i="29"/>
  <c r="Q19" i="29"/>
  <c r="Q18" i="29"/>
  <c r="Q17" i="29"/>
  <c r="R32" i="4" l="1"/>
  <c r="J26" i="29"/>
  <c r="J23" i="29"/>
  <c r="J25" i="29"/>
  <c r="J24" i="29"/>
  <c r="J22" i="29"/>
  <c r="J21" i="29"/>
  <c r="J20" i="29"/>
  <c r="J19" i="29"/>
  <c r="J18" i="29"/>
  <c r="J17" i="29"/>
  <c r="H26" i="29"/>
  <c r="H25" i="29"/>
  <c r="H24" i="29"/>
  <c r="H23" i="29"/>
  <c r="H22" i="29"/>
  <c r="H21" i="29"/>
  <c r="H20" i="29"/>
  <c r="H19" i="29"/>
  <c r="H18" i="29"/>
  <c r="H17" i="29"/>
  <c r="G26" i="29"/>
  <c r="G25" i="29"/>
  <c r="G24" i="29"/>
  <c r="G23" i="29"/>
  <c r="G22" i="29"/>
  <c r="G21" i="29"/>
  <c r="G20" i="29"/>
  <c r="G19" i="29"/>
  <c r="G18" i="29"/>
  <c r="G17" i="29"/>
  <c r="V17" i="29" l="1"/>
  <c r="V18" i="29"/>
  <c r="V19" i="29"/>
  <c r="P41" i="1"/>
  <c r="P33" i="1"/>
  <c r="P35" i="1"/>
  <c r="P39" i="1"/>
  <c r="P42" i="1"/>
  <c r="P43" i="1"/>
  <c r="P44" i="1"/>
  <c r="P34" i="1"/>
  <c r="P36" i="1"/>
  <c r="P37" i="1"/>
  <c r="P38" i="1"/>
  <c r="P40" i="1"/>
  <c r="J59" i="27"/>
  <c r="I59" i="27"/>
  <c r="H59" i="27"/>
  <c r="AF248" i="5" l="1"/>
  <c r="AE248" i="5"/>
  <c r="AD248" i="5"/>
  <c r="AC248" i="5"/>
  <c r="AB248" i="5"/>
  <c r="AA248" i="5"/>
  <c r="Z248" i="5"/>
  <c r="Y248" i="5"/>
  <c r="X248" i="5"/>
  <c r="W248" i="5"/>
  <c r="V248" i="5"/>
  <c r="U248" i="5"/>
  <c r="K31" i="27"/>
  <c r="J31" i="27"/>
  <c r="I31" i="27"/>
  <c r="H31" i="27"/>
  <c r="K42" i="27"/>
  <c r="J42" i="27"/>
  <c r="I42" i="27"/>
  <c r="H42" i="27"/>
  <c r="L41" i="27"/>
  <c r="L40" i="27"/>
  <c r="L39" i="27"/>
  <c r="L38" i="27"/>
  <c r="L37" i="27"/>
  <c r="L36" i="27"/>
  <c r="L29" i="27"/>
  <c r="L28" i="27"/>
  <c r="L27" i="27"/>
  <c r="L26" i="27"/>
  <c r="L25" i="27"/>
  <c r="L24" i="27"/>
  <c r="L23" i="27"/>
  <c r="L22" i="27"/>
  <c r="L21" i="27"/>
  <c r="L20" i="27"/>
  <c r="L19" i="27"/>
  <c r="L18" i="27"/>
  <c r="L17" i="27"/>
  <c r="L16" i="27"/>
  <c r="L15" i="27"/>
  <c r="L14" i="27"/>
  <c r="L13" i="27"/>
  <c r="L12" i="27"/>
  <c r="L11" i="27"/>
  <c r="L10" i="27"/>
  <c r="L9" i="27"/>
  <c r="L8" i="27"/>
  <c r="L7" i="27"/>
  <c r="L6" i="27"/>
  <c r="L5" i="27"/>
  <c r="L4" i="27"/>
  <c r="I44" i="27" l="1"/>
  <c r="L42" i="27"/>
  <c r="J44" i="27"/>
  <c r="K44" i="27"/>
  <c r="H44" i="27"/>
  <c r="L31" i="27"/>
  <c r="L44" i="27" l="1"/>
  <c r="F42" i="27" l="1"/>
  <c r="D47" i="28" l="1"/>
  <c r="CB35" i="28" l="1"/>
  <c r="CA35" i="28"/>
  <c r="BZ35" i="28"/>
  <c r="BY35" i="28"/>
  <c r="BP35" i="28"/>
  <c r="BJ35" i="28"/>
  <c r="BD35" i="28"/>
  <c r="AX35" i="28"/>
  <c r="AR35" i="28"/>
  <c r="AL35" i="28"/>
  <c r="AF35" i="28"/>
  <c r="Z35" i="28"/>
  <c r="T35" i="28"/>
  <c r="N35" i="28"/>
  <c r="H35" i="28"/>
  <c r="BU28" i="28"/>
  <c r="BP28" i="28"/>
  <c r="BO28" i="28"/>
  <c r="BJ28" i="28"/>
  <c r="BI28" i="28"/>
  <c r="BD28" i="28"/>
  <c r="BC28" i="28"/>
  <c r="AX28" i="28"/>
  <c r="AW28" i="28"/>
  <c r="AR28" i="28"/>
  <c r="AQ28" i="28"/>
  <c r="AL28" i="28"/>
  <c r="AK28" i="28"/>
  <c r="AF28" i="28"/>
  <c r="AE28" i="28"/>
  <c r="Z28" i="28"/>
  <c r="Y28" i="28"/>
  <c r="T28" i="28"/>
  <c r="S28" i="28"/>
  <c r="N28" i="28"/>
  <c r="M28" i="28"/>
  <c r="H28" i="28"/>
  <c r="B35" i="28"/>
  <c r="B28" i="28"/>
  <c r="BX35" i="28" l="1"/>
  <c r="I54" i="28"/>
  <c r="H54" i="28"/>
  <c r="P3" i="27" l="1"/>
  <c r="Q3" i="27"/>
  <c r="R3" i="27"/>
  <c r="S3" i="27"/>
  <c r="T3" i="27"/>
  <c r="U3" i="27"/>
  <c r="V3" i="27"/>
  <c r="W3" i="27"/>
  <c r="W18" i="27"/>
  <c r="W19" i="27"/>
  <c r="W20" i="27"/>
  <c r="W21" i="27"/>
  <c r="P22" i="27"/>
  <c r="W22" i="27"/>
  <c r="P23" i="27"/>
  <c r="P24" i="27"/>
  <c r="W24" i="27"/>
  <c r="P25" i="27"/>
  <c r="W25" i="27"/>
  <c r="P26" i="27"/>
  <c r="P27" i="27"/>
  <c r="W27" i="27"/>
  <c r="P28" i="27"/>
  <c r="W28" i="27"/>
  <c r="P29" i="27"/>
  <c r="P36" i="27"/>
  <c r="W36" i="27"/>
  <c r="P37" i="27"/>
  <c r="W37" i="27"/>
  <c r="P38" i="27"/>
  <c r="W38" i="27"/>
  <c r="P39" i="27"/>
  <c r="Q39" i="27"/>
  <c r="R39" i="27"/>
  <c r="S39" i="27"/>
  <c r="T39" i="27"/>
  <c r="U39" i="27"/>
  <c r="W39" i="27"/>
  <c r="P40" i="27"/>
  <c r="W40" i="27"/>
  <c r="P41" i="27"/>
  <c r="W41" i="27"/>
  <c r="P42" i="27"/>
  <c r="S42" i="27"/>
  <c r="W42" i="27"/>
  <c r="P43" i="27"/>
  <c r="Q43" i="27"/>
  <c r="R43" i="27"/>
  <c r="S43" i="27"/>
  <c r="T43" i="27"/>
  <c r="U43" i="27"/>
  <c r="V43" i="27"/>
  <c r="W43" i="27"/>
  <c r="P44" i="27"/>
  <c r="W44" i="27"/>
  <c r="O30" i="27"/>
  <c r="O39" i="27"/>
  <c r="BU35" i="28"/>
  <c r="BO35" i="28"/>
  <c r="BI35" i="28"/>
  <c r="BC35" i="28"/>
  <c r="AW35" i="28"/>
  <c r="AQ35" i="28"/>
  <c r="AK35" i="28"/>
  <c r="AE35" i="28"/>
  <c r="Y35" i="28"/>
  <c r="S35" i="28"/>
  <c r="M35" i="28"/>
  <c r="G35" i="28"/>
  <c r="G36" i="28"/>
  <c r="AO169" i="1"/>
  <c r="AO168" i="1"/>
  <c r="O262" i="5"/>
  <c r="P262" i="5" s="1"/>
  <c r="CC35" i="28" l="1"/>
  <c r="V39" i="27" s="1"/>
  <c r="Z25" i="28"/>
  <c r="K253" i="4"/>
  <c r="L253" i="4"/>
  <c r="K254" i="4"/>
  <c r="L254" i="4"/>
  <c r="K255" i="4"/>
  <c r="L255" i="4"/>
  <c r="K256" i="4"/>
  <c r="L256" i="4"/>
  <c r="L252" i="4"/>
  <c r="K252" i="4"/>
  <c r="I286" i="4" l="1"/>
  <c r="I246" i="4"/>
  <c r="I245" i="4"/>
  <c r="I244" i="4"/>
  <c r="I241" i="4"/>
  <c r="I240" i="4"/>
  <c r="I239" i="4"/>
  <c r="I238" i="4"/>
  <c r="N238" i="4" s="1"/>
  <c r="I237" i="4"/>
  <c r="N237" i="4" s="1"/>
  <c r="I236" i="4"/>
  <c r="I234" i="4"/>
  <c r="I233" i="4"/>
  <c r="I232" i="4"/>
  <c r="I231" i="4"/>
  <c r="T278" i="1" l="1"/>
  <c r="T281" i="1"/>
  <c r="T282" i="1"/>
  <c r="T283" i="1"/>
  <c r="T284" i="1"/>
  <c r="T285" i="1"/>
  <c r="T274" i="1"/>
  <c r="T276" i="1"/>
  <c r="T277" i="1"/>
  <c r="T279" i="1"/>
  <c r="T280" i="1"/>
  <c r="T275" i="1"/>
  <c r="H21" i="28"/>
  <c r="DL37" i="28" l="1"/>
  <c r="DL14" i="28"/>
  <c r="DL13" i="28"/>
  <c r="DL7" i="28"/>
  <c r="DL2" i="28"/>
  <c r="DK37" i="28"/>
  <c r="DK14" i="28"/>
  <c r="DK13" i="28"/>
  <c r="DK7" i="28"/>
  <c r="DK2" i="28"/>
  <c r="DJ37" i="28"/>
  <c r="DJ14" i="28"/>
  <c r="DJ13" i="28"/>
  <c r="DJ7" i="28"/>
  <c r="DJ2" i="28"/>
  <c r="DI37" i="28"/>
  <c r="DH37" i="28"/>
  <c r="DG37" i="28"/>
  <c r="DF37" i="28"/>
  <c r="DE37" i="28"/>
  <c r="DD37" i="28"/>
  <c r="DC37" i="28"/>
  <c r="DB37" i="28"/>
  <c r="DI14" i="28"/>
  <c r="DH14" i="28"/>
  <c r="DG14" i="28"/>
  <c r="DF14" i="28"/>
  <c r="DE14" i="28"/>
  <c r="DD14" i="28"/>
  <c r="DC14" i="28"/>
  <c r="DB14" i="28"/>
  <c r="DI13" i="28"/>
  <c r="DH13" i="28"/>
  <c r="DG13" i="28"/>
  <c r="DF13" i="28"/>
  <c r="DE13" i="28"/>
  <c r="DD13" i="28"/>
  <c r="DC13" i="28"/>
  <c r="DB13" i="28"/>
  <c r="DI7" i="28"/>
  <c r="DH7" i="28"/>
  <c r="DG7" i="28"/>
  <c r="DF7" i="28"/>
  <c r="DE7" i="28"/>
  <c r="DD7" i="28"/>
  <c r="DC7" i="28"/>
  <c r="DB7" i="28"/>
  <c r="DI2" i="28"/>
  <c r="DH2" i="28"/>
  <c r="DG2" i="28"/>
  <c r="DF2" i="28"/>
  <c r="DE2" i="28"/>
  <c r="DD2" i="28"/>
  <c r="DC2" i="28"/>
  <c r="DB2" i="28"/>
  <c r="DA37" i="28"/>
  <c r="DA14" i="28"/>
  <c r="DA13" i="28"/>
  <c r="DA7" i="28"/>
  <c r="DA2" i="28"/>
  <c r="AB29" i="17"/>
  <c r="AA29" i="17"/>
  <c r="Z29" i="17"/>
  <c r="Y29" i="17"/>
  <c r="X29" i="17"/>
  <c r="CT3" i="28"/>
  <c r="CT4" i="28" s="1"/>
  <c r="CT5" i="28" s="1"/>
  <c r="CT6" i="28" s="1"/>
  <c r="CT7" i="28" s="1"/>
  <c r="CT8" i="28" s="1"/>
  <c r="CT9" i="28" s="1"/>
  <c r="CT10" i="28" s="1"/>
  <c r="CT11" i="28" s="1"/>
  <c r="CT12" i="28" s="1"/>
  <c r="CT13" i="28" s="1"/>
  <c r="CT14" i="28" s="1"/>
  <c r="N4" i="26"/>
  <c r="N5" i="26"/>
  <c r="N6" i="26"/>
  <c r="N7" i="26"/>
  <c r="N8" i="26"/>
  <c r="N9" i="26"/>
  <c r="N10" i="26"/>
  <c r="N11" i="26"/>
  <c r="N12" i="26"/>
  <c r="N13" i="26"/>
  <c r="N14" i="26"/>
  <c r="N3" i="26"/>
  <c r="BW7" i="28"/>
  <c r="P8" i="27" s="1"/>
  <c r="BW13" i="28"/>
  <c r="P14" i="27" s="1"/>
  <c r="BW14" i="28"/>
  <c r="P15" i="27" s="1"/>
  <c r="CB15" i="28"/>
  <c r="CB37" i="28"/>
  <c r="U41" i="27" s="1"/>
  <c r="CA37" i="28"/>
  <c r="T41" i="27" s="1"/>
  <c r="BZ37" i="28"/>
  <c r="S41" i="27" s="1"/>
  <c r="BY37" i="28"/>
  <c r="R41" i="27" s="1"/>
  <c r="CB36" i="28"/>
  <c r="U40" i="27" s="1"/>
  <c r="CA36" i="28"/>
  <c r="T40" i="27" s="1"/>
  <c r="BZ36" i="28"/>
  <c r="S40" i="27" s="1"/>
  <c r="BY36" i="28"/>
  <c r="R40" i="27" s="1"/>
  <c r="CB34" i="28"/>
  <c r="U38" i="27" s="1"/>
  <c r="CA34" i="28"/>
  <c r="T38" i="27" s="1"/>
  <c r="BZ34" i="28"/>
  <c r="S38" i="27" s="1"/>
  <c r="BY34" i="28"/>
  <c r="R38" i="27" s="1"/>
  <c r="CB33" i="28"/>
  <c r="U37" i="27" s="1"/>
  <c r="CA33" i="28"/>
  <c r="T37" i="27" s="1"/>
  <c r="BZ33" i="28"/>
  <c r="S37" i="27" s="1"/>
  <c r="BY33" i="28"/>
  <c r="R37" i="27" s="1"/>
  <c r="CB32" i="28"/>
  <c r="U36" i="27" s="1"/>
  <c r="CA32" i="28"/>
  <c r="T36" i="27" s="1"/>
  <c r="BZ32" i="28"/>
  <c r="S36" i="27" s="1"/>
  <c r="BY32" i="28"/>
  <c r="R36" i="27" s="1"/>
  <c r="BY4" i="28"/>
  <c r="R5" i="27" s="1"/>
  <c r="CA4" i="28"/>
  <c r="T5" i="27" s="1"/>
  <c r="CB4" i="28"/>
  <c r="U5" i="27" s="1"/>
  <c r="BY5" i="28"/>
  <c r="R6" i="27" s="1"/>
  <c r="BZ5" i="28"/>
  <c r="S6" i="27" s="1"/>
  <c r="CA5" i="28"/>
  <c r="T6" i="27" s="1"/>
  <c r="BY6" i="28"/>
  <c r="R7" i="27" s="1"/>
  <c r="BZ6" i="28"/>
  <c r="S7" i="27" s="1"/>
  <c r="CA6" i="28"/>
  <c r="T7" i="27" s="1"/>
  <c r="BY7" i="28"/>
  <c r="R8" i="27" s="1"/>
  <c r="BZ7" i="28"/>
  <c r="S8" i="27" s="1"/>
  <c r="CA7" i="28"/>
  <c r="T8" i="27" s="1"/>
  <c r="CB7" i="28"/>
  <c r="U8" i="27" s="1"/>
  <c r="BY8" i="28"/>
  <c r="R9" i="27" s="1"/>
  <c r="BZ8" i="28"/>
  <c r="S9" i="27" s="1"/>
  <c r="CA8" i="28"/>
  <c r="T9" i="27" s="1"/>
  <c r="BY9" i="28"/>
  <c r="R10" i="27" s="1"/>
  <c r="BZ9" i="28"/>
  <c r="S10" i="27" s="1"/>
  <c r="CA9" i="28"/>
  <c r="T10" i="27" s="1"/>
  <c r="CB9" i="28"/>
  <c r="U10" i="27" s="1"/>
  <c r="BY10" i="28"/>
  <c r="R11" i="27" s="1"/>
  <c r="BZ10" i="28"/>
  <c r="S11" i="27" s="1"/>
  <c r="CA10" i="28"/>
  <c r="T11" i="27" s="1"/>
  <c r="CB10" i="28"/>
  <c r="U11" i="27" s="1"/>
  <c r="BY11" i="28"/>
  <c r="R12" i="27" s="1"/>
  <c r="BZ11" i="28"/>
  <c r="S12" i="27" s="1"/>
  <c r="CA11" i="28"/>
  <c r="T12" i="27" s="1"/>
  <c r="BY12" i="28"/>
  <c r="R13" i="27" s="1"/>
  <c r="BZ12" i="28"/>
  <c r="S13" i="27" s="1"/>
  <c r="CA12" i="28"/>
  <c r="T13" i="27" s="1"/>
  <c r="CB12" i="28"/>
  <c r="U13" i="27" s="1"/>
  <c r="BY13" i="28"/>
  <c r="R14" i="27" s="1"/>
  <c r="BZ13" i="28"/>
  <c r="S14" i="27" s="1"/>
  <c r="CA13" i="28"/>
  <c r="T14" i="27" s="1"/>
  <c r="CB13" i="28"/>
  <c r="BY14" i="28"/>
  <c r="R15" i="27" s="1"/>
  <c r="BZ14" i="28"/>
  <c r="S15" i="27" s="1"/>
  <c r="CA14" i="28"/>
  <c r="T15" i="27" s="1"/>
  <c r="CB14" i="28"/>
  <c r="U15" i="27" s="1"/>
  <c r="BY15" i="28"/>
  <c r="BZ15" i="28"/>
  <c r="S16" i="27" s="1"/>
  <c r="BY16" i="28"/>
  <c r="BZ16" i="28"/>
  <c r="S17" i="27" s="1"/>
  <c r="CA16" i="28"/>
  <c r="CB16" i="28"/>
  <c r="U17" i="27" s="1"/>
  <c r="BY17" i="28"/>
  <c r="R18" i="27" s="1"/>
  <c r="BZ17" i="28"/>
  <c r="S18" i="27" s="1"/>
  <c r="CA17" i="28"/>
  <c r="T18" i="27" s="1"/>
  <c r="CB17" i="28"/>
  <c r="U18" i="27" s="1"/>
  <c r="BY18" i="28"/>
  <c r="BZ18" i="28"/>
  <c r="S19" i="27" s="1"/>
  <c r="CA18" i="28"/>
  <c r="CB18" i="28"/>
  <c r="U19" i="27" s="1"/>
  <c r="BY19" i="28"/>
  <c r="R20" i="27" s="1"/>
  <c r="BZ19" i="28"/>
  <c r="S20" i="27" s="1"/>
  <c r="CA19" i="28"/>
  <c r="T20" i="27" s="1"/>
  <c r="CB19" i="28"/>
  <c r="U20" i="27" s="1"/>
  <c r="BY20" i="28"/>
  <c r="BZ20" i="28"/>
  <c r="S21" i="27" s="1"/>
  <c r="CA20" i="28"/>
  <c r="T21" i="27" s="1"/>
  <c r="BY21" i="28"/>
  <c r="R22" i="27" s="1"/>
  <c r="BZ21" i="28"/>
  <c r="S22" i="27" s="1"/>
  <c r="CA21" i="28"/>
  <c r="T22" i="27" s="1"/>
  <c r="CB21" i="28"/>
  <c r="U22" i="27" s="1"/>
  <c r="BY22" i="28"/>
  <c r="R23" i="27" s="1"/>
  <c r="BZ22" i="28"/>
  <c r="S23" i="27" s="1"/>
  <c r="CA22" i="28"/>
  <c r="T23" i="27" s="1"/>
  <c r="CB22" i="28"/>
  <c r="U23" i="27" s="1"/>
  <c r="BY23" i="28"/>
  <c r="R24" i="27" s="1"/>
  <c r="BZ23" i="28"/>
  <c r="S24" i="27" s="1"/>
  <c r="CA23" i="28"/>
  <c r="T24" i="27" s="1"/>
  <c r="CB23" i="28"/>
  <c r="U24" i="27" s="1"/>
  <c r="BY24" i="28"/>
  <c r="R25" i="27" s="1"/>
  <c r="BZ24" i="28"/>
  <c r="S25" i="27" s="1"/>
  <c r="CA24" i="28"/>
  <c r="T25" i="27" s="1"/>
  <c r="CB24" i="28"/>
  <c r="BY25" i="28"/>
  <c r="R26" i="27" s="1"/>
  <c r="BZ25" i="28"/>
  <c r="S26" i="27" s="1"/>
  <c r="CA25" i="28"/>
  <c r="T26" i="27" s="1"/>
  <c r="CB25" i="28"/>
  <c r="U26" i="27" s="1"/>
  <c r="BY26" i="28"/>
  <c r="R27" i="27" s="1"/>
  <c r="BZ26" i="28"/>
  <c r="S27" i="27" s="1"/>
  <c r="CA26" i="28"/>
  <c r="T27" i="27" s="1"/>
  <c r="CB26" i="28"/>
  <c r="U27" i="27" s="1"/>
  <c r="BY27" i="28"/>
  <c r="R28" i="27" s="1"/>
  <c r="BZ27" i="28"/>
  <c r="S28" i="27" s="1"/>
  <c r="CA27" i="28"/>
  <c r="T28" i="27" s="1"/>
  <c r="CB27" i="28"/>
  <c r="BY28" i="28"/>
  <c r="R29" i="27" s="1"/>
  <c r="BZ28" i="28"/>
  <c r="S29" i="27" s="1"/>
  <c r="CA28" i="28"/>
  <c r="T29" i="27" s="1"/>
  <c r="CB28" i="28"/>
  <c r="U29" i="27" s="1"/>
  <c r="CB3" i="28"/>
  <c r="U4" i="27" s="1"/>
  <c r="CA3" i="28"/>
  <c r="T4" i="27" s="1"/>
  <c r="BZ3" i="28"/>
  <c r="S4" i="27" s="1"/>
  <c r="BY3" i="28"/>
  <c r="R4" i="27" s="1"/>
  <c r="AO28" i="2"/>
  <c r="E39" i="6"/>
  <c r="E38" i="6"/>
  <c r="E37" i="6"/>
  <c r="E36" i="6"/>
  <c r="E34" i="6"/>
  <c r="E32" i="6"/>
  <c r="E31" i="6"/>
  <c r="E29" i="6"/>
  <c r="D39" i="6"/>
  <c r="D38" i="6"/>
  <c r="D37" i="6"/>
  <c r="D36" i="6"/>
  <c r="D34" i="6"/>
  <c r="D32" i="6"/>
  <c r="D31" i="6"/>
  <c r="D29" i="6"/>
  <c r="B39" i="6"/>
  <c r="B38" i="6"/>
  <c r="B37" i="6"/>
  <c r="B36" i="6"/>
  <c r="B34" i="6"/>
  <c r="B32" i="6"/>
  <c r="B31" i="6"/>
  <c r="B29" i="6"/>
  <c r="I39" i="6"/>
  <c r="I38" i="6"/>
  <c r="I37" i="6"/>
  <c r="I36" i="6"/>
  <c r="I35" i="6"/>
  <c r="I34" i="6"/>
  <c r="I33" i="6"/>
  <c r="I32" i="6"/>
  <c r="I31" i="6"/>
  <c r="I30" i="6"/>
  <c r="I29" i="6"/>
  <c r="I28" i="6"/>
  <c r="B25" i="6"/>
  <c r="B24" i="6"/>
  <c r="B23" i="6"/>
  <c r="B22" i="6"/>
  <c r="B20" i="6"/>
  <c r="B18" i="6"/>
  <c r="B17" i="6"/>
  <c r="B15" i="6"/>
  <c r="H25" i="6"/>
  <c r="H24" i="6"/>
  <c r="H23" i="6"/>
  <c r="H22" i="6"/>
  <c r="H21" i="6"/>
  <c r="H20" i="6"/>
  <c r="H19" i="6"/>
  <c r="H18" i="6"/>
  <c r="H17" i="6"/>
  <c r="H16" i="6"/>
  <c r="H15" i="6"/>
  <c r="H14" i="6"/>
  <c r="B14" i="6" s="1"/>
  <c r="J208" i="1"/>
  <c r="J207" i="1"/>
  <c r="J206" i="1"/>
  <c r="J205" i="1"/>
  <c r="J204" i="1"/>
  <c r="J203" i="1"/>
  <c r="J202" i="1"/>
  <c r="J201" i="1"/>
  <c r="J200" i="1"/>
  <c r="J199" i="1"/>
  <c r="J198" i="1"/>
  <c r="J197" i="1"/>
  <c r="J179" i="1"/>
  <c r="J178" i="1"/>
  <c r="J177" i="1"/>
  <c r="J176" i="1"/>
  <c r="J175" i="1"/>
  <c r="J174" i="1"/>
  <c r="J173" i="1"/>
  <c r="J172" i="1"/>
  <c r="J171" i="1"/>
  <c r="J170" i="1"/>
  <c r="J169" i="1"/>
  <c r="J168" i="1"/>
  <c r="J163" i="1"/>
  <c r="J162" i="1"/>
  <c r="J161" i="1"/>
  <c r="J160" i="1"/>
  <c r="J159" i="1"/>
  <c r="J158" i="1"/>
  <c r="J157" i="1"/>
  <c r="J156" i="1"/>
  <c r="J155" i="1"/>
  <c r="J154" i="1"/>
  <c r="J153" i="1"/>
  <c r="J152" i="1"/>
  <c r="J150" i="1"/>
  <c r="J149" i="1"/>
  <c r="J148" i="1"/>
  <c r="J147" i="1"/>
  <c r="J146" i="1"/>
  <c r="J145" i="1"/>
  <c r="J144" i="1"/>
  <c r="J143" i="1"/>
  <c r="J142" i="1"/>
  <c r="J141" i="1"/>
  <c r="J140" i="1"/>
  <c r="J139" i="1"/>
  <c r="AJ90" i="1"/>
  <c r="AJ89" i="1"/>
  <c r="AJ88" i="1"/>
  <c r="AJ87" i="1"/>
  <c r="AJ86" i="1"/>
  <c r="AJ85" i="1"/>
  <c r="AJ84" i="1"/>
  <c r="AJ83" i="1"/>
  <c r="AJ82" i="1"/>
  <c r="AJ81" i="1"/>
  <c r="AJ80" i="1"/>
  <c r="AJ79" i="1"/>
  <c r="J75" i="1"/>
  <c r="J74" i="1"/>
  <c r="J73" i="1"/>
  <c r="J72" i="1"/>
  <c r="J71" i="1"/>
  <c r="J70" i="1"/>
  <c r="J69" i="1"/>
  <c r="J68" i="1"/>
  <c r="J67" i="1"/>
  <c r="J66" i="1"/>
  <c r="J65" i="1"/>
  <c r="J64" i="1"/>
  <c r="J60" i="1"/>
  <c r="J59" i="1"/>
  <c r="J58" i="1"/>
  <c r="J57" i="1"/>
  <c r="J56" i="1"/>
  <c r="J55" i="1"/>
  <c r="J54" i="1"/>
  <c r="J53" i="1"/>
  <c r="J52" i="1"/>
  <c r="J51" i="1"/>
  <c r="J50" i="1"/>
  <c r="J49" i="1"/>
  <c r="J43" i="1"/>
  <c r="J42" i="1"/>
  <c r="J41" i="1"/>
  <c r="J40" i="1"/>
  <c r="J39" i="1"/>
  <c r="J38" i="1"/>
  <c r="J37" i="1"/>
  <c r="J36" i="1"/>
  <c r="J35" i="1"/>
  <c r="J34" i="1"/>
  <c r="J15" i="1"/>
  <c r="X15" i="1" s="1"/>
  <c r="AA15" i="1" s="1"/>
  <c r="J14" i="1"/>
  <c r="X14" i="1" s="1"/>
  <c r="AA14" i="1" s="1"/>
  <c r="AC14" i="1" s="1"/>
  <c r="J13" i="1"/>
  <c r="X13" i="1" s="1"/>
  <c r="AA13" i="1" s="1"/>
  <c r="X12" i="1"/>
  <c r="AA12" i="1" s="1"/>
  <c r="AB12" i="1" s="1"/>
  <c r="AC12" i="1" s="1"/>
  <c r="J11" i="1"/>
  <c r="X11" i="1" s="1"/>
  <c r="AA11" i="1" s="1"/>
  <c r="AB11" i="1" s="1"/>
  <c r="AC11" i="1" s="1"/>
  <c r="J10" i="1"/>
  <c r="X10" i="1" s="1"/>
  <c r="AA10" i="1" s="1"/>
  <c r="AB10" i="1" s="1"/>
  <c r="AC10" i="1" s="1"/>
  <c r="J9" i="1"/>
  <c r="X9" i="1" s="1"/>
  <c r="AA9" i="1" s="1"/>
  <c r="AB9" i="1" s="1"/>
  <c r="AC9" i="1" s="1"/>
  <c r="J8" i="1"/>
  <c r="X8" i="1" s="1"/>
  <c r="AA8" i="1" s="1"/>
  <c r="AB8" i="1" s="1"/>
  <c r="AC8" i="1" s="1"/>
  <c r="J7" i="1"/>
  <c r="X7" i="1" s="1"/>
  <c r="AA7" i="1" s="1"/>
  <c r="AB7" i="1" s="1"/>
  <c r="AC7" i="1" s="1"/>
  <c r="X6" i="1"/>
  <c r="AA6" i="1" s="1"/>
  <c r="AB6" i="1" s="1"/>
  <c r="AC6" i="1" s="1"/>
  <c r="X5" i="1"/>
  <c r="AA5" i="1" s="1"/>
  <c r="J4" i="1"/>
  <c r="J28" i="1"/>
  <c r="X28" i="1" s="1"/>
  <c r="AA28" i="1" s="1"/>
  <c r="AB28" i="1" s="1"/>
  <c r="AC28" i="1" s="1"/>
  <c r="J27" i="1"/>
  <c r="X27" i="1" s="1"/>
  <c r="AA27" i="1" s="1"/>
  <c r="AB27" i="1" s="1"/>
  <c r="AC27" i="1" s="1"/>
  <c r="J26" i="1"/>
  <c r="X26" i="1" s="1"/>
  <c r="AA26" i="1" s="1"/>
  <c r="J25" i="1"/>
  <c r="X25" i="1" s="1"/>
  <c r="AA25" i="1" s="1"/>
  <c r="AB25" i="1" s="1"/>
  <c r="AC25" i="1" s="1"/>
  <c r="J24" i="1"/>
  <c r="X24" i="1" s="1"/>
  <c r="AA24" i="1" s="1"/>
  <c r="AB24" i="1" s="1"/>
  <c r="AC24" i="1" s="1"/>
  <c r="J23" i="1"/>
  <c r="X23" i="1" s="1"/>
  <c r="AA23" i="1" s="1"/>
  <c r="AB23" i="1" s="1"/>
  <c r="AC23" i="1" s="1"/>
  <c r="J22" i="1"/>
  <c r="X22" i="1" s="1"/>
  <c r="AA22" i="1" s="1"/>
  <c r="J21" i="1"/>
  <c r="X21" i="1" s="1"/>
  <c r="AA21" i="1" s="1"/>
  <c r="J20" i="1"/>
  <c r="X20" i="1" s="1"/>
  <c r="AA20" i="1" s="1"/>
  <c r="AB20" i="1" s="1"/>
  <c r="AC20" i="1" s="1"/>
  <c r="J19" i="1"/>
  <c r="X19" i="1" s="1"/>
  <c r="AA19" i="1" s="1"/>
  <c r="AB19" i="1" s="1"/>
  <c r="AC19" i="1" s="1"/>
  <c r="J193" i="1"/>
  <c r="J192" i="1"/>
  <c r="J191" i="1"/>
  <c r="J190" i="1"/>
  <c r="J189" i="1"/>
  <c r="J188" i="1"/>
  <c r="J187" i="1"/>
  <c r="J186" i="1"/>
  <c r="J185" i="1"/>
  <c r="J184" i="1"/>
  <c r="J183" i="1"/>
  <c r="J182" i="1"/>
  <c r="AG194" i="5"/>
  <c r="AF194" i="5"/>
  <c r="AE194" i="5"/>
  <c r="AD194" i="5"/>
  <c r="AC194" i="5"/>
  <c r="AB194" i="5"/>
  <c r="AA194" i="5"/>
  <c r="Z194" i="5"/>
  <c r="Y194" i="5"/>
  <c r="X194" i="5"/>
  <c r="W194" i="5"/>
  <c r="AG191" i="5"/>
  <c r="AF191" i="5"/>
  <c r="AE191" i="5"/>
  <c r="AD191" i="5"/>
  <c r="AC191" i="5"/>
  <c r="AB191" i="5"/>
  <c r="AA191" i="5"/>
  <c r="Z191" i="5"/>
  <c r="Y191" i="5"/>
  <c r="X191" i="5"/>
  <c r="W191" i="5"/>
  <c r="AG190" i="5"/>
  <c r="AF190" i="5"/>
  <c r="AE190" i="5"/>
  <c r="AD190" i="5"/>
  <c r="AC190" i="5"/>
  <c r="AB190" i="5"/>
  <c r="AA190" i="5"/>
  <c r="Z190" i="5"/>
  <c r="Y190" i="5"/>
  <c r="X190" i="5"/>
  <c r="W190" i="5"/>
  <c r="V191" i="5"/>
  <c r="V190" i="5"/>
  <c r="E153" i="1"/>
  <c r="E154" i="1"/>
  <c r="E155" i="1"/>
  <c r="E156" i="1"/>
  <c r="E157" i="1"/>
  <c r="E158" i="1"/>
  <c r="E159" i="1"/>
  <c r="E160" i="1"/>
  <c r="E161" i="1"/>
  <c r="E162" i="1"/>
  <c r="E163" i="1"/>
  <c r="E150" i="1"/>
  <c r="E149" i="1"/>
  <c r="E148" i="1"/>
  <c r="E147" i="1"/>
  <c r="E146" i="1"/>
  <c r="E145" i="1"/>
  <c r="E144" i="1"/>
  <c r="E143" i="1"/>
  <c r="E142" i="1"/>
  <c r="E141" i="1"/>
  <c r="E140" i="1"/>
  <c r="G23" i="2"/>
  <c r="J44" i="1"/>
  <c r="J33" i="1"/>
  <c r="J29" i="1"/>
  <c r="X29" i="1" s="1"/>
  <c r="AA29" i="1" s="1"/>
  <c r="AB29" i="1" s="1"/>
  <c r="AC29" i="1" s="1"/>
  <c r="J18" i="1"/>
  <c r="AB15" i="1" l="1"/>
  <c r="AC15" i="1"/>
  <c r="AB5" i="1"/>
  <c r="AC5" i="1"/>
  <c r="AB21" i="1"/>
  <c r="AC21" i="1" s="1"/>
  <c r="AB22" i="1"/>
  <c r="AC22" i="1" s="1"/>
  <c r="AB26" i="1"/>
  <c r="AC26" i="1" s="1"/>
  <c r="AB13" i="1"/>
  <c r="AC13" i="1"/>
  <c r="AB14" i="1"/>
  <c r="X4" i="1"/>
  <c r="AG195" i="5"/>
  <c r="AC195" i="5"/>
  <c r="W195" i="5"/>
  <c r="AA195" i="5"/>
  <c r="AB195" i="5"/>
  <c r="AD195" i="5"/>
  <c r="AE195" i="5"/>
  <c r="V195" i="5"/>
  <c r="AF195" i="5"/>
  <c r="Y195" i="5"/>
  <c r="X195" i="5"/>
  <c r="Z195" i="5"/>
  <c r="U28" i="27"/>
  <c r="CE27" i="28"/>
  <c r="U25" i="27"/>
  <c r="CE24" i="28"/>
  <c r="U14" i="27"/>
  <c r="CE13" i="28"/>
  <c r="U16" i="27"/>
  <c r="CE15" i="28"/>
  <c r="R17" i="27"/>
  <c r="Y11" i="30"/>
  <c r="T19" i="27"/>
  <c r="Z10" i="30"/>
  <c r="R19" i="27"/>
  <c r="Y10" i="30"/>
  <c r="R21" i="27"/>
  <c r="Y12" i="30"/>
  <c r="DM37" i="28"/>
  <c r="T17" i="27"/>
  <c r="Z11" i="30"/>
  <c r="R16" i="27"/>
  <c r="Y9" i="30"/>
  <c r="CT15" i="28"/>
  <c r="AA4" i="1" l="1"/>
  <c r="AB4" i="1" s="1"/>
  <c r="AC4" i="1" s="1"/>
  <c r="Q2" i="38"/>
  <c r="R31" i="27"/>
  <c r="AB10" i="30"/>
  <c r="AB11" i="30"/>
  <c r="F81" i="28"/>
  <c r="F74" i="28" s="1"/>
  <c r="F73" i="28"/>
  <c r="F72" i="28"/>
  <c r="F71" i="28"/>
  <c r="F63" i="28"/>
  <c r="F68" i="28" s="1"/>
  <c r="H87" i="28"/>
  <c r="K81" i="28"/>
  <c r="K80" i="28"/>
  <c r="I81" i="28"/>
  <c r="I80" i="28"/>
  <c r="F65" i="28" l="1"/>
  <c r="F66" i="28"/>
  <c r="F67" i="28"/>
  <c r="F75" i="28"/>
  <c r="F76" i="28" s="1"/>
  <c r="F69" i="28" l="1"/>
  <c r="F82" i="28"/>
  <c r="K74" i="28"/>
  <c r="K73" i="28"/>
  <c r="K72" i="28"/>
  <c r="K71" i="28"/>
  <c r="K63" i="28"/>
  <c r="K65" i="28" s="1"/>
  <c r="J74" i="28"/>
  <c r="J73" i="28"/>
  <c r="J72" i="28"/>
  <c r="J71" i="28"/>
  <c r="J63" i="28"/>
  <c r="J65" i="28" s="1"/>
  <c r="H74" i="28"/>
  <c r="H73" i="28"/>
  <c r="H72" i="28"/>
  <c r="H71" i="28"/>
  <c r="H63" i="28"/>
  <c r="H65" i="28" s="1"/>
  <c r="BT38" i="28"/>
  <c r="BS38" i="28"/>
  <c r="BQ38" i="28"/>
  <c r="BN38" i="28"/>
  <c r="BM38" i="28"/>
  <c r="BK38" i="28"/>
  <c r="BH38" i="28"/>
  <c r="BG38" i="28"/>
  <c r="BE38" i="28"/>
  <c r="BB38" i="28"/>
  <c r="BA38" i="28"/>
  <c r="AY38" i="28"/>
  <c r="AV38" i="28"/>
  <c r="AU38" i="28"/>
  <c r="AS38" i="28"/>
  <c r="AP38" i="28"/>
  <c r="AO38" i="28"/>
  <c r="AM38" i="28"/>
  <c r="AJ38" i="28"/>
  <c r="AI38" i="28"/>
  <c r="AG38" i="28"/>
  <c r="AD38" i="28"/>
  <c r="AC38" i="28"/>
  <c r="AA38" i="28"/>
  <c r="X38" i="28"/>
  <c r="W38" i="28"/>
  <c r="U38" i="28"/>
  <c r="R38" i="28"/>
  <c r="Q38" i="28"/>
  <c r="O38" i="28"/>
  <c r="L38" i="28"/>
  <c r="K38" i="28"/>
  <c r="I38" i="28"/>
  <c r="F38" i="28"/>
  <c r="CV3" i="28" s="1"/>
  <c r="E38" i="28"/>
  <c r="C38" i="28"/>
  <c r="CS3" i="28" s="1"/>
  <c r="CS4" i="28" s="1"/>
  <c r="BU37" i="28"/>
  <c r="BO37" i="28"/>
  <c r="BI37" i="28"/>
  <c r="BC37" i="28"/>
  <c r="AW37" i="28"/>
  <c r="AQ37" i="28"/>
  <c r="AK37" i="28"/>
  <c r="AE37" i="28"/>
  <c r="Y37" i="28"/>
  <c r="S37" i="28"/>
  <c r="M37" i="28"/>
  <c r="G37" i="28"/>
  <c r="BQ29" i="28"/>
  <c r="CK14" i="28" s="1"/>
  <c r="BK29" i="28"/>
  <c r="CK13" i="28" s="1"/>
  <c r="BE29" i="28"/>
  <c r="CK12" i="28" s="1"/>
  <c r="AY29" i="28"/>
  <c r="CK11" i="28" s="1"/>
  <c r="AS29" i="28"/>
  <c r="AM29" i="28"/>
  <c r="CK9" i="28" s="1"/>
  <c r="AG29" i="28"/>
  <c r="CK8" i="28" s="1"/>
  <c r="AA29" i="28"/>
  <c r="CK7" i="28" s="1"/>
  <c r="U29" i="28"/>
  <c r="CK6" i="28" s="1"/>
  <c r="O29" i="28"/>
  <c r="CK5" i="28" s="1"/>
  <c r="I29" i="28"/>
  <c r="CK4" i="28" s="1"/>
  <c r="C29" i="28"/>
  <c r="R55" i="28"/>
  <c r="H68" i="28" l="1"/>
  <c r="H75" i="28"/>
  <c r="H90" i="28" s="1"/>
  <c r="H91" i="28" s="1"/>
  <c r="CK21" i="28"/>
  <c r="H67" i="28"/>
  <c r="CS5" i="28"/>
  <c r="CS6" i="28" s="1"/>
  <c r="CS7" i="28" s="1"/>
  <c r="CS8" i="28" s="1"/>
  <c r="CS9" i="28" s="1"/>
  <c r="CS10" i="28" s="1"/>
  <c r="CS11" i="28" s="1"/>
  <c r="CS12" i="28" s="1"/>
  <c r="CS13" i="28" s="1"/>
  <c r="CS14" i="28" s="1"/>
  <c r="CK31" i="28" s="1"/>
  <c r="H66" i="28"/>
  <c r="K66" i="28"/>
  <c r="K67" i="28"/>
  <c r="K68" i="28"/>
  <c r="J66" i="28"/>
  <c r="J67" i="28"/>
  <c r="J68" i="28"/>
  <c r="CV4" i="28"/>
  <c r="CV5" i="28" s="1"/>
  <c r="CV6" i="28" s="1"/>
  <c r="CV7" i="28" s="1"/>
  <c r="CV8" i="28" s="1"/>
  <c r="CV9" i="28" s="1"/>
  <c r="CV10" i="28" s="1"/>
  <c r="CV11" i="28" s="1"/>
  <c r="CV12" i="28" s="1"/>
  <c r="CV13" i="28" s="1"/>
  <c r="CV14" i="28" s="1"/>
  <c r="BY38" i="28"/>
  <c r="R42" i="27" s="1"/>
  <c r="E47" i="28"/>
  <c r="CB38" i="28"/>
  <c r="U42" i="27" s="1"/>
  <c r="C47" i="28"/>
  <c r="F47" i="28"/>
  <c r="CC37" i="28"/>
  <c r="V41" i="27" s="1"/>
  <c r="CU3" i="28"/>
  <c r="CA38" i="28"/>
  <c r="T42" i="27" s="1"/>
  <c r="BE40" i="28"/>
  <c r="BQ40" i="28"/>
  <c r="AM40" i="28"/>
  <c r="O40" i="28"/>
  <c r="AS40" i="28"/>
  <c r="CK10" i="28"/>
  <c r="AG40" i="28"/>
  <c r="U40" i="28"/>
  <c r="I40" i="28"/>
  <c r="BY29" i="28"/>
  <c r="CK3" i="28"/>
  <c r="CK20" i="28" s="1"/>
  <c r="BK40" i="28"/>
  <c r="AY40" i="28"/>
  <c r="C46" i="28"/>
  <c r="I59" i="28" s="1"/>
  <c r="I71" i="28" s="1"/>
  <c r="AA40" i="28"/>
  <c r="K75" i="28"/>
  <c r="K76" i="28" s="1"/>
  <c r="J75" i="28"/>
  <c r="J76" i="28" s="1"/>
  <c r="C40" i="28"/>
  <c r="H76" i="28" l="1"/>
  <c r="H69" i="28"/>
  <c r="K82" i="28"/>
  <c r="CK24" i="28"/>
  <c r="H82" i="28"/>
  <c r="J82" i="28"/>
  <c r="J69" i="28"/>
  <c r="CS15" i="28"/>
  <c r="CK25" i="28"/>
  <c r="CK30" i="28"/>
  <c r="K69" i="28"/>
  <c r="CK26" i="28"/>
  <c r="CV15" i="28"/>
  <c r="CK29" i="28"/>
  <c r="CK23" i="28"/>
  <c r="CK22" i="28"/>
  <c r="CK27" i="28"/>
  <c r="CK28" i="28"/>
  <c r="CU4" i="28"/>
  <c r="CK15" i="28"/>
  <c r="BY40" i="28"/>
  <c r="R44" i="27" s="1"/>
  <c r="CK32" i="28" l="1"/>
  <c r="CU5" i="28"/>
  <c r="CU6" i="28" l="1"/>
  <c r="CU7" i="28" l="1"/>
  <c r="CU8" i="28" l="1"/>
  <c r="CU9" i="28" l="1"/>
  <c r="CU10" i="28" l="1"/>
  <c r="CU11" i="28" l="1"/>
  <c r="CU12" i="28" l="1"/>
  <c r="CU13" i="28" l="1"/>
  <c r="CU14" i="28" l="1"/>
  <c r="CU15" i="28" l="1"/>
  <c r="C75" i="28" l="1"/>
  <c r="D75" i="28"/>
  <c r="E76" i="28" s="1"/>
  <c r="G81" i="28"/>
  <c r="G80" i="28"/>
  <c r="E72" i="28"/>
  <c r="E71" i="28"/>
  <c r="D68" i="28"/>
  <c r="C68" i="28"/>
  <c r="D67" i="28"/>
  <c r="C67" i="28"/>
  <c r="D66" i="28"/>
  <c r="C66" i="28"/>
  <c r="D65" i="28"/>
  <c r="C65" i="28"/>
  <c r="E68" i="28"/>
  <c r="E67" i="28"/>
  <c r="E66" i="28"/>
  <c r="E65" i="28"/>
  <c r="H86" i="28"/>
  <c r="E82" i="28" l="1"/>
  <c r="E75" i="28"/>
  <c r="C69" i="28"/>
  <c r="D69" i="28"/>
  <c r="C82" i="28"/>
  <c r="D82" i="28"/>
  <c r="E69" i="28"/>
  <c r="H34" i="28"/>
  <c r="N34" i="28"/>
  <c r="BU36" i="28"/>
  <c r="BU34" i="28"/>
  <c r="BU33" i="28"/>
  <c r="BU32" i="28"/>
  <c r="BU27" i="28"/>
  <c r="BU26" i="28"/>
  <c r="BU25" i="28"/>
  <c r="BU24" i="28"/>
  <c r="BU23" i="28"/>
  <c r="BU22" i="28"/>
  <c r="BU21" i="28"/>
  <c r="BU19" i="28"/>
  <c r="BU18" i="28"/>
  <c r="BU17" i="28"/>
  <c r="BU16" i="28"/>
  <c r="BU14" i="28"/>
  <c r="BU13" i="28"/>
  <c r="BU12" i="28"/>
  <c r="BU10" i="28"/>
  <c r="BU9" i="28"/>
  <c r="BU7" i="28"/>
  <c r="BU3" i="28"/>
  <c r="BO36" i="28"/>
  <c r="BO34" i="28"/>
  <c r="BO33" i="28"/>
  <c r="BO32" i="28"/>
  <c r="BO27" i="28"/>
  <c r="BO26" i="28"/>
  <c r="BO25" i="28"/>
  <c r="BO24" i="28"/>
  <c r="BO23" i="28"/>
  <c r="BO22" i="28"/>
  <c r="BO21" i="28"/>
  <c r="BO19" i="28"/>
  <c r="BO18" i="28"/>
  <c r="BO17" i="28"/>
  <c r="BO16" i="28"/>
  <c r="BO14" i="28"/>
  <c r="BO13" i="28"/>
  <c r="BO12" i="28"/>
  <c r="BO10" i="28"/>
  <c r="BO9" i="28"/>
  <c r="BO7" i="28"/>
  <c r="BO3" i="28"/>
  <c r="BI36" i="28"/>
  <c r="BI34" i="28"/>
  <c r="BI33" i="28"/>
  <c r="BI32" i="28"/>
  <c r="BI27" i="28"/>
  <c r="BI26" i="28"/>
  <c r="BI25" i="28"/>
  <c r="BI24" i="28"/>
  <c r="BI23" i="28"/>
  <c r="BI22" i="28"/>
  <c r="BI21" i="28"/>
  <c r="BI19" i="28"/>
  <c r="BI18" i="28"/>
  <c r="BI17" i="28"/>
  <c r="BI16" i="28"/>
  <c r="BI14" i="28"/>
  <c r="BI13" i="28"/>
  <c r="BI12" i="28"/>
  <c r="BI10" i="28"/>
  <c r="BI9" i="28"/>
  <c r="BI7" i="28"/>
  <c r="BI3" i="28"/>
  <c r="BC36" i="28"/>
  <c r="BC34" i="28"/>
  <c r="BC33" i="28"/>
  <c r="BC32" i="28"/>
  <c r="BC27" i="28"/>
  <c r="BC26" i="28"/>
  <c r="BC25" i="28"/>
  <c r="BC24" i="28"/>
  <c r="BC23" i="28"/>
  <c r="BC22" i="28"/>
  <c r="BC21" i="28"/>
  <c r="BC19" i="28"/>
  <c r="BC18" i="28"/>
  <c r="BC17" i="28"/>
  <c r="BC16" i="28"/>
  <c r="BC14" i="28"/>
  <c r="BC13" i="28"/>
  <c r="BC12" i="28"/>
  <c r="BC10" i="28"/>
  <c r="BC9" i="28"/>
  <c r="BC7" i="28"/>
  <c r="BC3" i="28"/>
  <c r="AW36" i="28"/>
  <c r="AW34" i="28"/>
  <c r="AW33" i="28"/>
  <c r="AW32" i="28"/>
  <c r="AW27" i="28"/>
  <c r="AW26" i="28"/>
  <c r="AW25" i="28"/>
  <c r="AW24" i="28"/>
  <c r="AW23" i="28"/>
  <c r="AW22" i="28"/>
  <c r="AW21" i="28"/>
  <c r="AW19" i="28"/>
  <c r="AW18" i="28"/>
  <c r="AW17" i="28"/>
  <c r="AW16" i="28"/>
  <c r="AW14" i="28"/>
  <c r="AW13" i="28"/>
  <c r="AW12" i="28"/>
  <c r="AW10" i="28"/>
  <c r="AW9" i="28"/>
  <c r="AW7" i="28"/>
  <c r="AW3" i="28"/>
  <c r="AQ36" i="28"/>
  <c r="AQ34" i="28"/>
  <c r="AQ33" i="28"/>
  <c r="AQ32" i="28"/>
  <c r="AQ27" i="28"/>
  <c r="AQ26" i="28"/>
  <c r="AQ25" i="28"/>
  <c r="AQ24" i="28"/>
  <c r="AQ23" i="28"/>
  <c r="AQ22" i="28"/>
  <c r="AQ21" i="28"/>
  <c r="AQ19" i="28"/>
  <c r="AQ18" i="28"/>
  <c r="AQ17" i="28"/>
  <c r="AQ16" i="28"/>
  <c r="AQ14" i="28"/>
  <c r="AQ13" i="28"/>
  <c r="AQ12" i="28"/>
  <c r="AQ10" i="28"/>
  <c r="AQ9" i="28"/>
  <c r="AQ7" i="28"/>
  <c r="AQ3" i="28"/>
  <c r="AK36" i="28"/>
  <c r="AK34" i="28"/>
  <c r="AK33" i="28"/>
  <c r="AK32" i="28"/>
  <c r="AK27" i="28"/>
  <c r="AK26" i="28"/>
  <c r="AK25" i="28"/>
  <c r="AK24" i="28"/>
  <c r="AK23" i="28"/>
  <c r="AK22" i="28"/>
  <c r="AK21" i="28"/>
  <c r="AK19" i="28"/>
  <c r="AK18" i="28"/>
  <c r="AK17" i="28"/>
  <c r="AK16" i="28"/>
  <c r="AK14" i="28"/>
  <c r="AK13" i="28"/>
  <c r="AK12" i="28"/>
  <c r="AK10" i="28"/>
  <c r="AK9" i="28"/>
  <c r="AK7" i="28"/>
  <c r="AK3" i="28"/>
  <c r="AE36" i="28"/>
  <c r="AE34" i="28"/>
  <c r="AE33" i="28"/>
  <c r="AE32" i="28"/>
  <c r="AE27" i="28"/>
  <c r="AE26" i="28"/>
  <c r="AE25" i="28"/>
  <c r="AE24" i="28"/>
  <c r="AE23" i="28"/>
  <c r="AE22" i="28"/>
  <c r="AE21" i="28"/>
  <c r="AE19" i="28"/>
  <c r="AE18" i="28"/>
  <c r="AE17" i="28"/>
  <c r="AE16" i="28"/>
  <c r="AE14" i="28"/>
  <c r="AE13" i="28"/>
  <c r="AE12" i="28"/>
  <c r="AE10" i="28"/>
  <c r="AE9" i="28"/>
  <c r="AE7" i="28"/>
  <c r="AE3" i="28"/>
  <c r="Y36" i="28"/>
  <c r="Y34" i="28"/>
  <c r="Y33" i="28"/>
  <c r="Y32" i="28"/>
  <c r="Y27" i="28"/>
  <c r="Y26" i="28"/>
  <c r="Y25" i="28"/>
  <c r="Y24" i="28"/>
  <c r="Y23" i="28"/>
  <c r="Y22" i="28"/>
  <c r="Y21" i="28"/>
  <c r="Y19" i="28"/>
  <c r="Y18" i="28"/>
  <c r="Y17" i="28"/>
  <c r="Y16" i="28"/>
  <c r="Y14" i="28"/>
  <c r="Y13" i="28"/>
  <c r="Y12" i="28"/>
  <c r="Y10" i="28"/>
  <c r="Y9" i="28"/>
  <c r="Y7" i="28"/>
  <c r="Y3" i="28"/>
  <c r="S36" i="28"/>
  <c r="S34" i="28"/>
  <c r="S33" i="28"/>
  <c r="S32" i="28"/>
  <c r="S27" i="28"/>
  <c r="S26" i="28"/>
  <c r="S25" i="28"/>
  <c r="S24" i="28"/>
  <c r="S23" i="28"/>
  <c r="S22" i="28"/>
  <c r="S21" i="28"/>
  <c r="S19" i="28"/>
  <c r="S18" i="28"/>
  <c r="S17" i="28"/>
  <c r="S16" i="28"/>
  <c r="S14" i="28"/>
  <c r="S13" i="28"/>
  <c r="S12" i="28"/>
  <c r="S10" i="28"/>
  <c r="S9" i="28"/>
  <c r="S7" i="28"/>
  <c r="S3" i="28"/>
  <c r="M36" i="28"/>
  <c r="M34" i="28"/>
  <c r="M33" i="28"/>
  <c r="M32" i="28"/>
  <c r="M27" i="28"/>
  <c r="M26" i="28"/>
  <c r="M25" i="28"/>
  <c r="M24" i="28"/>
  <c r="M23" i="28"/>
  <c r="M22" i="28"/>
  <c r="M21" i="28"/>
  <c r="M19" i="28"/>
  <c r="M18" i="28"/>
  <c r="M17" i="28"/>
  <c r="M16" i="28"/>
  <c r="M14" i="28"/>
  <c r="M13" i="28"/>
  <c r="M12" i="28"/>
  <c r="M10" i="28"/>
  <c r="M9" i="28"/>
  <c r="M7" i="28"/>
  <c r="M3" i="28"/>
  <c r="G34" i="28"/>
  <c r="G33" i="28"/>
  <c r="G32" i="28"/>
  <c r="G28" i="28"/>
  <c r="CC28" i="28" s="1"/>
  <c r="G27" i="28"/>
  <c r="G26" i="28"/>
  <c r="G25" i="28"/>
  <c r="G24" i="28"/>
  <c r="G23" i="28"/>
  <c r="G22" i="28"/>
  <c r="G21" i="28"/>
  <c r="G19" i="28"/>
  <c r="G18" i="28"/>
  <c r="G17" i="28"/>
  <c r="G16" i="28"/>
  <c r="G14" i="28"/>
  <c r="G13" i="28"/>
  <c r="G12" i="28"/>
  <c r="G10" i="28"/>
  <c r="G9" i="28"/>
  <c r="G7" i="28"/>
  <c r="G3" i="28"/>
  <c r="AK38" i="28" l="1"/>
  <c r="AW38" i="28"/>
  <c r="AQ38" i="28"/>
  <c r="V29" i="27"/>
  <c r="CC9" i="28"/>
  <c r="V10" i="27" s="1"/>
  <c r="CC10" i="28"/>
  <c r="V11" i="27" s="1"/>
  <c r="CC13" i="28"/>
  <c r="V14" i="27" s="1"/>
  <c r="CC14" i="28"/>
  <c r="V15" i="27" s="1"/>
  <c r="CC23" i="28"/>
  <c r="CC24" i="28"/>
  <c r="CC25" i="28"/>
  <c r="V26" i="27" s="1"/>
  <c r="CC26" i="28"/>
  <c r="V27" i="27" s="1"/>
  <c r="CC27" i="28"/>
  <c r="V28" i="27" s="1"/>
  <c r="Y38" i="28"/>
  <c r="CC12" i="28"/>
  <c r="V13" i="27" s="1"/>
  <c r="CC32" i="28"/>
  <c r="V36" i="27" s="1"/>
  <c r="CC17" i="28"/>
  <c r="V18" i="27" s="1"/>
  <c r="M38" i="28"/>
  <c r="CC16" i="28"/>
  <c r="V17" i="27" s="1"/>
  <c r="CC33" i="28"/>
  <c r="V37" i="27" s="1"/>
  <c r="CC19" i="28"/>
  <c r="V20" i="27" s="1"/>
  <c r="CC36" i="28"/>
  <c r="V40" i="27" s="1"/>
  <c r="S38" i="28"/>
  <c r="AE38" i="28"/>
  <c r="BC38" i="28"/>
  <c r="BI38" i="28"/>
  <c r="BO38" i="28"/>
  <c r="BU38" i="28"/>
  <c r="CC7" i="28"/>
  <c r="V8" i="27" s="1"/>
  <c r="CC22" i="28"/>
  <c r="CC34" i="28"/>
  <c r="V38" i="27" s="1"/>
  <c r="G38" i="28"/>
  <c r="CC18" i="28"/>
  <c r="V19" i="27" s="1"/>
  <c r="CC21" i="28"/>
  <c r="V22" i="27" s="1"/>
  <c r="CC3" i="28"/>
  <c r="V4" i="27" s="1"/>
  <c r="C49" i="28"/>
  <c r="V23" i="27" l="1"/>
  <c r="V25" i="27"/>
  <c r="V24" i="27"/>
  <c r="CC38" i="28"/>
  <c r="V42" i="27" s="1"/>
  <c r="G47" i="28"/>
  <c r="G59" i="28"/>
  <c r="G71" i="28" s="1"/>
  <c r="B2" i="28" l="1"/>
  <c r="N2" i="28"/>
  <c r="T2" i="28"/>
  <c r="Z2" i="28"/>
  <c r="AF2" i="28"/>
  <c r="AL2" i="28"/>
  <c r="AR2" i="28"/>
  <c r="AX2" i="28"/>
  <c r="BD2" i="28"/>
  <c r="BJ2" i="28"/>
  <c r="BP2" i="28"/>
  <c r="B7" i="28"/>
  <c r="H7" i="28"/>
  <c r="N7" i="28"/>
  <c r="T7" i="28"/>
  <c r="Z7" i="28"/>
  <c r="AF7" i="28"/>
  <c r="AL7" i="28"/>
  <c r="AR7" i="28"/>
  <c r="AX7" i="28"/>
  <c r="BD7" i="28"/>
  <c r="BJ7" i="28"/>
  <c r="BP7" i="28"/>
  <c r="B9" i="28"/>
  <c r="H9" i="28"/>
  <c r="N9" i="28"/>
  <c r="T9" i="28"/>
  <c r="Z9" i="28"/>
  <c r="AF9" i="28"/>
  <c r="AL9" i="28"/>
  <c r="AR9" i="28"/>
  <c r="AX9" i="28"/>
  <c r="BD9" i="28"/>
  <c r="BJ9" i="28"/>
  <c r="BP9" i="28"/>
  <c r="B10" i="28"/>
  <c r="H10" i="28"/>
  <c r="N10" i="28"/>
  <c r="T10" i="28"/>
  <c r="Z10" i="28"/>
  <c r="AF10" i="28"/>
  <c r="AL10" i="28"/>
  <c r="AR10" i="28"/>
  <c r="AX10" i="28"/>
  <c r="BD10" i="28"/>
  <c r="BJ10" i="28"/>
  <c r="BP10" i="28"/>
  <c r="B13" i="28"/>
  <c r="H13" i="28"/>
  <c r="N13" i="28"/>
  <c r="T13" i="28"/>
  <c r="Z13" i="28"/>
  <c r="AF13" i="28"/>
  <c r="AL13" i="28"/>
  <c r="AR13" i="28"/>
  <c r="AX13" i="28"/>
  <c r="BD13" i="28"/>
  <c r="BJ13" i="28"/>
  <c r="BP13" i="28"/>
  <c r="B14" i="28"/>
  <c r="H14" i="28"/>
  <c r="N14" i="28"/>
  <c r="T14" i="28"/>
  <c r="Z14" i="28"/>
  <c r="AF14" i="28"/>
  <c r="AL14" i="28"/>
  <c r="AR14" i="28"/>
  <c r="AX14" i="28"/>
  <c r="BD14" i="28"/>
  <c r="BJ14" i="28"/>
  <c r="BP14" i="28"/>
  <c r="B17" i="28"/>
  <c r="H17" i="28"/>
  <c r="N17" i="28"/>
  <c r="T17" i="28"/>
  <c r="Z17" i="28"/>
  <c r="AF17" i="28"/>
  <c r="AL17" i="28"/>
  <c r="AR17" i="28"/>
  <c r="AX17" i="28"/>
  <c r="BD17" i="28"/>
  <c r="BJ17" i="28"/>
  <c r="BP17" i="28"/>
  <c r="B19" i="28"/>
  <c r="H19" i="28"/>
  <c r="N19" i="28"/>
  <c r="T19" i="28"/>
  <c r="Z19" i="28"/>
  <c r="AF19" i="28"/>
  <c r="AL19" i="28"/>
  <c r="AR19" i="28"/>
  <c r="AX19" i="28"/>
  <c r="BD19" i="28"/>
  <c r="BJ19" i="28"/>
  <c r="BP19" i="28"/>
  <c r="B21" i="28"/>
  <c r="N21" i="28"/>
  <c r="T21" i="28"/>
  <c r="Z21" i="28"/>
  <c r="AF21" i="28"/>
  <c r="AL21" i="28"/>
  <c r="AR21" i="28"/>
  <c r="AX21" i="28"/>
  <c r="BD21" i="28"/>
  <c r="BJ21" i="28"/>
  <c r="BP21" i="28"/>
  <c r="B22" i="28"/>
  <c r="H22" i="28"/>
  <c r="N22" i="28"/>
  <c r="T22" i="28"/>
  <c r="Z22" i="28"/>
  <c r="AF22" i="28"/>
  <c r="AL22" i="28"/>
  <c r="AR22" i="28"/>
  <c r="AX22" i="28"/>
  <c r="BD22" i="28"/>
  <c r="BJ22" i="28"/>
  <c r="BP22" i="28"/>
  <c r="B32" i="28"/>
  <c r="H32" i="28"/>
  <c r="N32" i="28"/>
  <c r="T32" i="28"/>
  <c r="Z32" i="28"/>
  <c r="AF32" i="28"/>
  <c r="AL32" i="28"/>
  <c r="AR32" i="28"/>
  <c r="AX32" i="28"/>
  <c r="BD32" i="28"/>
  <c r="BJ32" i="28"/>
  <c r="BP32" i="28"/>
  <c r="B23" i="28"/>
  <c r="H23" i="28"/>
  <c r="N23" i="28"/>
  <c r="T23" i="28"/>
  <c r="Z23" i="28"/>
  <c r="AF23" i="28"/>
  <c r="AL23" i="28"/>
  <c r="AR23" i="28"/>
  <c r="AX23" i="28"/>
  <c r="BD23" i="28"/>
  <c r="BJ23" i="28"/>
  <c r="BP23" i="28"/>
  <c r="B33" i="28"/>
  <c r="H33" i="28"/>
  <c r="N33" i="28"/>
  <c r="T33" i="28"/>
  <c r="Z33" i="28"/>
  <c r="AF33" i="28"/>
  <c r="AL33" i="28"/>
  <c r="AR33" i="28"/>
  <c r="AX33" i="28"/>
  <c r="BD33" i="28"/>
  <c r="BJ33" i="28"/>
  <c r="BP33" i="28"/>
  <c r="B24" i="28"/>
  <c r="H24" i="28"/>
  <c r="N24" i="28"/>
  <c r="T24" i="28"/>
  <c r="Z24" i="28"/>
  <c r="AF24" i="28"/>
  <c r="AL24" i="28"/>
  <c r="AR24" i="28"/>
  <c r="AX24" i="28"/>
  <c r="BD24" i="28"/>
  <c r="BJ24" i="28"/>
  <c r="BP24" i="28"/>
  <c r="B25" i="28"/>
  <c r="H25" i="28"/>
  <c r="N25" i="28"/>
  <c r="T25" i="28"/>
  <c r="AF25" i="28"/>
  <c r="AL25" i="28"/>
  <c r="AR25" i="28"/>
  <c r="AX25" i="28"/>
  <c r="BD25" i="28"/>
  <c r="BJ25" i="28"/>
  <c r="BP25" i="28"/>
  <c r="T34" i="28"/>
  <c r="Z34" i="28"/>
  <c r="AF34" i="28"/>
  <c r="AL34" i="28"/>
  <c r="AR34" i="28"/>
  <c r="AX34" i="28"/>
  <c r="BD34" i="28"/>
  <c r="BJ34" i="28"/>
  <c r="BP34" i="28"/>
  <c r="B26" i="28"/>
  <c r="H26" i="28"/>
  <c r="N26" i="28"/>
  <c r="T26" i="28"/>
  <c r="Z26" i="28"/>
  <c r="B36" i="28"/>
  <c r="H36" i="28"/>
  <c r="N36" i="28"/>
  <c r="T36" i="28"/>
  <c r="Z36" i="28"/>
  <c r="AF36" i="28"/>
  <c r="AL36" i="28"/>
  <c r="AR36" i="28"/>
  <c r="AX36" i="28"/>
  <c r="BD36" i="28"/>
  <c r="BJ36" i="28"/>
  <c r="BP36" i="28"/>
  <c r="B27" i="28"/>
  <c r="H27" i="28"/>
  <c r="N27" i="28"/>
  <c r="T27" i="28"/>
  <c r="Z27" i="28"/>
  <c r="AF27" i="28"/>
  <c r="AL27" i="28"/>
  <c r="AR27" i="28"/>
  <c r="AX27" i="28"/>
  <c r="BD27" i="28"/>
  <c r="BJ27" i="28"/>
  <c r="BP27" i="28"/>
  <c r="B37" i="28"/>
  <c r="H37" i="28"/>
  <c r="N37" i="28"/>
  <c r="T37" i="28"/>
  <c r="Z37" i="28"/>
  <c r="AF37" i="28"/>
  <c r="AL37" i="28"/>
  <c r="AR37" i="28"/>
  <c r="AX37" i="28"/>
  <c r="BD37" i="28"/>
  <c r="BJ37" i="28"/>
  <c r="BP37" i="28"/>
  <c r="A2" i="28"/>
  <c r="O3" i="27" s="1"/>
  <c r="A9" i="28"/>
  <c r="O10" i="27" s="1"/>
  <c r="A10" i="28"/>
  <c r="O11" i="27" s="1"/>
  <c r="A21" i="28"/>
  <c r="O22" i="27" s="1"/>
  <c r="A32" i="28"/>
  <c r="O36" i="27" s="1"/>
  <c r="AX38" i="28" l="1"/>
  <c r="Z38" i="28"/>
  <c r="T38" i="28"/>
  <c r="AF38" i="28"/>
  <c r="AR38" i="28"/>
  <c r="N38" i="28"/>
  <c r="H38" i="28"/>
  <c r="BX22" i="28"/>
  <c r="Q23" i="27" s="1"/>
  <c r="BX21" i="28"/>
  <c r="Q22" i="27" s="1"/>
  <c r="BX19" i="28"/>
  <c r="Q20" i="27" s="1"/>
  <c r="BX17" i="28"/>
  <c r="Q18" i="27" s="1"/>
  <c r="BX14" i="28"/>
  <c r="Q15" i="27" s="1"/>
  <c r="BX13" i="28"/>
  <c r="Q14" i="27" s="1"/>
  <c r="BX10" i="28"/>
  <c r="Q11" i="27" s="1"/>
  <c r="BX9" i="28"/>
  <c r="Q10" i="27" s="1"/>
  <c r="BX7" i="28"/>
  <c r="Q8" i="27" s="1"/>
  <c r="BX33" i="28"/>
  <c r="Q37" i="27" s="1"/>
  <c r="BP38" i="28"/>
  <c r="AL38" i="28"/>
  <c r="BX23" i="28"/>
  <c r="Q24" i="27" s="1"/>
  <c r="BJ38" i="28"/>
  <c r="BX34" i="28"/>
  <c r="Q38" i="27" s="1"/>
  <c r="BX25" i="28"/>
  <c r="Q26" i="27" s="1"/>
  <c r="BX24" i="28"/>
  <c r="Q25" i="27" s="1"/>
  <c r="BX32" i="28"/>
  <c r="Q36" i="27" s="1"/>
  <c r="B38" i="28"/>
  <c r="BX37" i="28"/>
  <c r="Q41" i="27" s="1"/>
  <c r="BX28" i="28"/>
  <c r="Q29" i="27" s="1"/>
  <c r="BX27" i="28"/>
  <c r="Q28" i="27" s="1"/>
  <c r="BX36" i="28"/>
  <c r="Q40" i="27" s="1"/>
  <c r="BD38" i="28"/>
  <c r="K3" i="2"/>
  <c r="Q42" i="27" l="1"/>
  <c r="BX38" i="28"/>
  <c r="CR3" i="28"/>
  <c r="B47" i="28"/>
  <c r="F31" i="27"/>
  <c r="Q1" i="7"/>
  <c r="Q8" i="7" s="1"/>
  <c r="DA8" i="28" s="1"/>
  <c r="R1" i="7"/>
  <c r="R9" i="7" s="1"/>
  <c r="DB9" i="28" s="1"/>
  <c r="U1" i="7"/>
  <c r="U9" i="7" s="1"/>
  <c r="DE9" i="28" s="1"/>
  <c r="T1" i="7"/>
  <c r="T10" i="7" s="1"/>
  <c r="DD10" i="28" s="1"/>
  <c r="S1" i="7"/>
  <c r="S9" i="7" s="1"/>
  <c r="DC9" i="28" s="1"/>
  <c r="P33" i="7"/>
  <c r="P31" i="7"/>
  <c r="P30" i="7"/>
  <c r="P28" i="7"/>
  <c r="P27" i="7"/>
  <c r="P26" i="7"/>
  <c r="P25" i="7"/>
  <c r="P24" i="7"/>
  <c r="P23" i="7"/>
  <c r="P21" i="7"/>
  <c r="P13" i="7"/>
  <c r="F44" i="27" l="1"/>
  <c r="CR4" i="28"/>
  <c r="CR5" i="28" s="1"/>
  <c r="CR6" i="28" s="1"/>
  <c r="CR7" i="28" s="1"/>
  <c r="CR8" i="28" s="1"/>
  <c r="CR9" i="28" s="1"/>
  <c r="CR10" i="28" s="1"/>
  <c r="CR11" i="28" s="1"/>
  <c r="CR12" i="28" s="1"/>
  <c r="CR13" i="28" s="1"/>
  <c r="CR14" i="28" s="1"/>
  <c r="R10" i="7"/>
  <c r="DB10" i="28" s="1"/>
  <c r="Q10" i="7"/>
  <c r="DA10" i="28" s="1"/>
  <c r="T9" i="7"/>
  <c r="DD9" i="28" s="1"/>
  <c r="S10" i="7"/>
  <c r="DC10" i="28" s="1"/>
  <c r="S8" i="7"/>
  <c r="DC8" i="28" s="1"/>
  <c r="T8" i="7"/>
  <c r="DD8" i="28" s="1"/>
  <c r="R8" i="7"/>
  <c r="DB8" i="28" s="1"/>
  <c r="Q9" i="7"/>
  <c r="DA9" i="28" s="1"/>
  <c r="U8" i="7"/>
  <c r="DE8" i="28" s="1"/>
  <c r="U10" i="7"/>
  <c r="DE10" i="28" s="1"/>
  <c r="CR15" i="28" l="1"/>
  <c r="F4" i="26"/>
  <c r="F5" i="26"/>
  <c r="F6" i="26"/>
  <c r="F7" i="26"/>
  <c r="F8" i="26"/>
  <c r="F9" i="26"/>
  <c r="F10" i="26"/>
  <c r="F11" i="26"/>
  <c r="F12" i="26"/>
  <c r="F13" i="26"/>
  <c r="F14" i="26"/>
  <c r="F3" i="26"/>
  <c r="B14" i="26"/>
  <c r="B13" i="26"/>
  <c r="B12" i="26"/>
  <c r="B11" i="26"/>
  <c r="B10" i="26"/>
  <c r="B9" i="26"/>
  <c r="B8" i="26"/>
  <c r="B7" i="26"/>
  <c r="B6" i="26"/>
  <c r="K6" i="26" s="1"/>
  <c r="B5" i="26"/>
  <c r="B4" i="26"/>
  <c r="B3" i="26"/>
  <c r="L1" i="26"/>
  <c r="K1" i="26"/>
  <c r="J1" i="26"/>
  <c r="I1" i="26"/>
  <c r="H1" i="26"/>
  <c r="G1" i="26"/>
  <c r="F1" i="26"/>
  <c r="E1" i="26"/>
  <c r="D1" i="26"/>
  <c r="C1" i="26"/>
  <c r="B1" i="26"/>
  <c r="A1" i="26"/>
  <c r="ED13" i="25"/>
  <c r="DR13" i="25"/>
  <c r="DF13" i="25"/>
  <c r="CT13" i="25"/>
  <c r="CH13" i="25"/>
  <c r="BV13" i="25"/>
  <c r="BJ13" i="25"/>
  <c r="AX13" i="25"/>
  <c r="AL13" i="25"/>
  <c r="Z13" i="25"/>
  <c r="N13" i="25"/>
  <c r="ED12" i="25"/>
  <c r="DR12" i="25"/>
  <c r="DF12" i="25"/>
  <c r="CT12" i="25"/>
  <c r="CH12" i="25"/>
  <c r="BV12" i="25"/>
  <c r="BJ12" i="25"/>
  <c r="AX12" i="25"/>
  <c r="AL12" i="25"/>
  <c r="Z12" i="25"/>
  <c r="N12" i="25"/>
  <c r="B12" i="25"/>
  <c r="ED11" i="25"/>
  <c r="DR11" i="25"/>
  <c r="DF11" i="25"/>
  <c r="CT11" i="25"/>
  <c r="CH11" i="25"/>
  <c r="BV11" i="25"/>
  <c r="BJ11" i="25"/>
  <c r="AX11" i="25"/>
  <c r="AL11" i="25"/>
  <c r="Z11" i="25"/>
  <c r="N11" i="25"/>
  <c r="B11" i="25"/>
  <c r="ED10" i="25"/>
  <c r="DR10" i="25"/>
  <c r="DF10" i="25"/>
  <c r="CT10" i="25"/>
  <c r="CH10" i="25"/>
  <c r="BV10" i="25"/>
  <c r="BJ10" i="25"/>
  <c r="AX10" i="25"/>
  <c r="AL10" i="25"/>
  <c r="Z10" i="25"/>
  <c r="N10" i="25"/>
  <c r="B10" i="25"/>
  <c r="ED9" i="25"/>
  <c r="DR9" i="25"/>
  <c r="DF9" i="25"/>
  <c r="CT9" i="25"/>
  <c r="CH9" i="25"/>
  <c r="BV9" i="25"/>
  <c r="BJ9" i="25"/>
  <c r="AX9" i="25"/>
  <c r="AL9" i="25"/>
  <c r="Z9" i="25"/>
  <c r="N9" i="25"/>
  <c r="B9" i="25"/>
  <c r="ED8" i="25"/>
  <c r="DR8" i="25"/>
  <c r="DF8" i="25"/>
  <c r="CT8" i="25"/>
  <c r="CH8" i="25"/>
  <c r="BV8" i="25"/>
  <c r="BJ8" i="25"/>
  <c r="AX8" i="25"/>
  <c r="AL8" i="25"/>
  <c r="Z8" i="25"/>
  <c r="N8" i="25"/>
  <c r="B8" i="25"/>
  <c r="ED7" i="25"/>
  <c r="DR7" i="25"/>
  <c r="DF7" i="25"/>
  <c r="CT7" i="25"/>
  <c r="CH7" i="25"/>
  <c r="BV7" i="25"/>
  <c r="BJ7" i="25"/>
  <c r="AX7" i="25"/>
  <c r="AL7" i="25"/>
  <c r="Z7" i="25"/>
  <c r="N7" i="25"/>
  <c r="B7" i="25"/>
  <c r="ED6" i="25"/>
  <c r="DR6" i="25"/>
  <c r="DF6" i="25"/>
  <c r="CT6" i="25"/>
  <c r="CH6" i="25"/>
  <c r="BV6" i="25"/>
  <c r="BJ6" i="25"/>
  <c r="AX6" i="25"/>
  <c r="AL6" i="25"/>
  <c r="Z6" i="25"/>
  <c r="N6" i="25"/>
  <c r="B6" i="25"/>
  <c r="K14" i="26" l="1"/>
  <c r="D14" i="26"/>
  <c r="G14" i="26" s="1"/>
  <c r="O14" i="26"/>
  <c r="K9" i="26"/>
  <c r="D9" i="26"/>
  <c r="G9" i="26" s="1"/>
  <c r="O9" i="26"/>
  <c r="K10" i="26"/>
  <c r="D10" i="26"/>
  <c r="G10" i="26" s="1"/>
  <c r="O10" i="26"/>
  <c r="D11" i="26"/>
  <c r="G11" i="26" s="1"/>
  <c r="O11" i="26"/>
  <c r="K12" i="26"/>
  <c r="D12" i="26"/>
  <c r="O12" i="26"/>
  <c r="K4" i="26"/>
  <c r="D4" i="26"/>
  <c r="G4" i="26" s="1"/>
  <c r="O4" i="26"/>
  <c r="D5" i="26"/>
  <c r="O5" i="26"/>
  <c r="D6" i="26"/>
  <c r="O6" i="26"/>
  <c r="D13" i="26"/>
  <c r="O13" i="26"/>
  <c r="K7" i="26"/>
  <c r="D7" i="26"/>
  <c r="G7" i="26" s="1"/>
  <c r="O7" i="26"/>
  <c r="K5" i="26"/>
  <c r="K13" i="26"/>
  <c r="D3" i="26"/>
  <c r="G3" i="26" s="1"/>
  <c r="I3" i="26" s="1"/>
  <c r="O3" i="26"/>
  <c r="K8" i="26"/>
  <c r="D8" i="26"/>
  <c r="G8" i="26" s="1"/>
  <c r="O8" i="26"/>
  <c r="CV16" i="28"/>
  <c r="CS16" i="28"/>
  <c r="CT16" i="28"/>
  <c r="CU16" i="28"/>
  <c r="K11" i="26"/>
  <c r="K3" i="26"/>
  <c r="L9" i="26" l="1"/>
  <c r="L4" i="26"/>
  <c r="L7" i="26"/>
  <c r="K15" i="26"/>
  <c r="BV3" i="25" s="1"/>
  <c r="BW3" i="25" s="1"/>
  <c r="L10" i="26"/>
  <c r="H11" i="26"/>
  <c r="I11" i="26"/>
  <c r="H8" i="26"/>
  <c r="I8" i="26"/>
  <c r="L6" i="26"/>
  <c r="G6" i="26"/>
  <c r="H10" i="26"/>
  <c r="I10" i="26"/>
  <c r="G13" i="26"/>
  <c r="L13" i="26"/>
  <c r="L11" i="26"/>
  <c r="L5" i="26"/>
  <c r="G5" i="26"/>
  <c r="L3" i="26"/>
  <c r="H4" i="26"/>
  <c r="I4" i="26"/>
  <c r="H9" i="26"/>
  <c r="I9" i="26"/>
  <c r="H7" i="26"/>
  <c r="I7" i="26"/>
  <c r="L12" i="26"/>
  <c r="G12" i="26"/>
  <c r="H14" i="26"/>
  <c r="I14" i="26"/>
  <c r="L8" i="26"/>
  <c r="L14" i="26"/>
  <c r="H3" i="26"/>
  <c r="DF3" i="25" l="1"/>
  <c r="DG3" i="25" s="1"/>
  <c r="DL3" i="25" s="1"/>
  <c r="CT3" i="25"/>
  <c r="CU3" i="25" s="1"/>
  <c r="CW3" i="25" s="1"/>
  <c r="AX3" i="25"/>
  <c r="AY3" i="25" s="1"/>
  <c r="BD3" i="25" s="1"/>
  <c r="N3" i="25"/>
  <c r="O3" i="25" s="1"/>
  <c r="Q3" i="25" s="1"/>
  <c r="ED3" i="25"/>
  <c r="EE3" i="25" s="1"/>
  <c r="EJ3" i="25" s="1"/>
  <c r="B3" i="25"/>
  <c r="C3" i="25" s="1"/>
  <c r="E3" i="25" s="1"/>
  <c r="DR3" i="25"/>
  <c r="DS3" i="25" s="1"/>
  <c r="DU3" i="25" s="1"/>
  <c r="Z3" i="25"/>
  <c r="AA3" i="25" s="1"/>
  <c r="AF3" i="25" s="1"/>
  <c r="BJ3" i="25"/>
  <c r="BK3" i="25" s="1"/>
  <c r="BM3" i="25" s="1"/>
  <c r="CH3" i="25"/>
  <c r="CI3" i="25" s="1"/>
  <c r="CN3" i="25" s="1"/>
  <c r="AL3" i="25"/>
  <c r="AM3" i="25" s="1"/>
  <c r="AO3" i="25" s="1"/>
  <c r="L15" i="26"/>
  <c r="CT2" i="25" s="1"/>
  <c r="CU2" i="25" s="1"/>
  <c r="CW2" i="25" s="1"/>
  <c r="H12" i="26"/>
  <c r="I12" i="26"/>
  <c r="H13" i="26"/>
  <c r="I13" i="26"/>
  <c r="H6" i="26"/>
  <c r="I6" i="26"/>
  <c r="H5" i="26"/>
  <c r="I5" i="26"/>
  <c r="CB3" i="25"/>
  <c r="BY3" i="25"/>
  <c r="DI3" i="25" l="1"/>
  <c r="DI12" i="25" s="1"/>
  <c r="DJ12" i="25" s="1"/>
  <c r="CZ3" i="25"/>
  <c r="CW8" i="25" s="1"/>
  <c r="CX8" i="25" s="1"/>
  <c r="CH2" i="25"/>
  <c r="CI2" i="25" s="1"/>
  <c r="CN2" i="25" s="1"/>
  <c r="CK9" i="25" s="1"/>
  <c r="CL9" i="25" s="1"/>
  <c r="T3" i="25"/>
  <c r="Q8" i="25" s="1"/>
  <c r="R8" i="25" s="1"/>
  <c r="BA3" i="25"/>
  <c r="BA22" i="25" s="1"/>
  <c r="BB22" i="25" s="1"/>
  <c r="EG3" i="25"/>
  <c r="EG10" i="25" s="1"/>
  <c r="EH10" i="25" s="1"/>
  <c r="AC3" i="25"/>
  <c r="AD3" i="25" s="1"/>
  <c r="AL2" i="25"/>
  <c r="AM2" i="25" s="1"/>
  <c r="AO2" i="25" s="1"/>
  <c r="AO17" i="25" s="1"/>
  <c r="AP17" i="25" s="1"/>
  <c r="DX3" i="25"/>
  <c r="DU6" i="25" s="1"/>
  <c r="DV6" i="25" s="1"/>
  <c r="H3" i="25"/>
  <c r="E8" i="25" s="1"/>
  <c r="F8" i="25" s="1"/>
  <c r="DF2" i="25"/>
  <c r="DG2" i="25" s="1"/>
  <c r="DI2" i="25" s="1"/>
  <c r="DI17" i="25" s="1"/>
  <c r="DJ17" i="25" s="1"/>
  <c r="AR3" i="25"/>
  <c r="AO6" i="25" s="1"/>
  <c r="AP6" i="25" s="1"/>
  <c r="CK3" i="25"/>
  <c r="CL3" i="25" s="1"/>
  <c r="N2" i="25"/>
  <c r="O2" i="25" s="1"/>
  <c r="Q2" i="25" s="1"/>
  <c r="Q23" i="25" s="1"/>
  <c r="R23" i="25" s="1"/>
  <c r="BJ2" i="25"/>
  <c r="BK2" i="25" s="1"/>
  <c r="BP2" i="25" s="1"/>
  <c r="BM7" i="25" s="1"/>
  <c r="BN7" i="25" s="1"/>
  <c r="BV2" i="25"/>
  <c r="BW2" i="25" s="1"/>
  <c r="BY2" i="25" s="1"/>
  <c r="BY21" i="25" s="1"/>
  <c r="BZ21" i="25" s="1"/>
  <c r="AX2" i="25"/>
  <c r="AY2" i="25" s="1"/>
  <c r="BA2" i="25" s="1"/>
  <c r="BA17" i="25" s="1"/>
  <c r="BB17" i="25" s="1"/>
  <c r="DR2" i="25"/>
  <c r="DS2" i="25" s="1"/>
  <c r="DX2" i="25" s="1"/>
  <c r="DU7" i="25" s="1"/>
  <c r="DV7" i="25" s="1"/>
  <c r="ED2" i="25"/>
  <c r="EE2" i="25" s="1"/>
  <c r="EG2" i="25" s="1"/>
  <c r="EG23" i="25" s="1"/>
  <c r="EH23" i="25" s="1"/>
  <c r="B2" i="25"/>
  <c r="C2" i="25" s="1"/>
  <c r="H2" i="25" s="1"/>
  <c r="E9" i="25" s="1"/>
  <c r="F9" i="25" s="1"/>
  <c r="BP3" i="25"/>
  <c r="BM8" i="25" s="1"/>
  <c r="BN8" i="25" s="1"/>
  <c r="Z2" i="25"/>
  <c r="AA2" i="25" s="1"/>
  <c r="AC2" i="25" s="1"/>
  <c r="AC13" i="25" s="1"/>
  <c r="AD13" i="25" s="1"/>
  <c r="CZ2" i="25"/>
  <c r="CW7" i="25" s="1"/>
  <c r="CX7" i="25" s="1"/>
  <c r="E20" i="25"/>
  <c r="F20" i="25" s="1"/>
  <c r="F3" i="25"/>
  <c r="E22" i="25"/>
  <c r="F22" i="25" s="1"/>
  <c r="E10" i="25"/>
  <c r="F10" i="25" s="1"/>
  <c r="E12" i="25"/>
  <c r="F12" i="25" s="1"/>
  <c r="E16" i="25"/>
  <c r="F16" i="25" s="1"/>
  <c r="Q20" i="25"/>
  <c r="R20" i="25" s="1"/>
  <c r="Q12" i="25"/>
  <c r="R12" i="25" s="1"/>
  <c r="Q22" i="25"/>
  <c r="R22" i="25" s="1"/>
  <c r="Q16" i="25"/>
  <c r="R16" i="25" s="1"/>
  <c r="R3" i="25"/>
  <c r="Q10" i="25"/>
  <c r="R10" i="25" s="1"/>
  <c r="CW22" i="25"/>
  <c r="CX22" i="25" s="1"/>
  <c r="CW16" i="25"/>
  <c r="CX16" i="25" s="1"/>
  <c r="CW20" i="25"/>
  <c r="CX20" i="25" s="1"/>
  <c r="CW12" i="25"/>
  <c r="CX12" i="25" s="1"/>
  <c r="CX3" i="25"/>
  <c r="CW10" i="25"/>
  <c r="CX10" i="25" s="1"/>
  <c r="BM12" i="25"/>
  <c r="BN12" i="25" s="1"/>
  <c r="BM22" i="25"/>
  <c r="BN22" i="25" s="1"/>
  <c r="BM16" i="25"/>
  <c r="BN16" i="25" s="1"/>
  <c r="BM20" i="25"/>
  <c r="BN20" i="25" s="1"/>
  <c r="BN3" i="25"/>
  <c r="BM10" i="25"/>
  <c r="BN10" i="25" s="1"/>
  <c r="BY8" i="25"/>
  <c r="BZ8" i="25" s="1"/>
  <c r="BY6" i="25"/>
  <c r="BZ6" i="25" s="1"/>
  <c r="CX2" i="25"/>
  <c r="CW13" i="25"/>
  <c r="CX13" i="25" s="1"/>
  <c r="CW17" i="25"/>
  <c r="CX17" i="25" s="1"/>
  <c r="CW23" i="25"/>
  <c r="CX23" i="25" s="1"/>
  <c r="CW11" i="25"/>
  <c r="CX11" i="25" s="1"/>
  <c r="CW19" i="25"/>
  <c r="CX19" i="25" s="1"/>
  <c r="CY19" i="25" s="1"/>
  <c r="CW21" i="25"/>
  <c r="CX21" i="25" s="1"/>
  <c r="DU12" i="25"/>
  <c r="DV12" i="25" s="1"/>
  <c r="DV3" i="25"/>
  <c r="DU10" i="25"/>
  <c r="DV10" i="25" s="1"/>
  <c r="DU22" i="25"/>
  <c r="DV22" i="25" s="1"/>
  <c r="DU20" i="25"/>
  <c r="DV20" i="25" s="1"/>
  <c r="DU16" i="25"/>
  <c r="DV16" i="25" s="1"/>
  <c r="DI8" i="25"/>
  <c r="DJ8" i="25" s="1"/>
  <c r="DI6" i="25"/>
  <c r="DJ6" i="25" s="1"/>
  <c r="AC6" i="25"/>
  <c r="AD6" i="25" s="1"/>
  <c r="AC8" i="25"/>
  <c r="AD8" i="25" s="1"/>
  <c r="BY20" i="25"/>
  <c r="BZ20" i="25" s="1"/>
  <c r="BY10" i="25"/>
  <c r="BZ10" i="25" s="1"/>
  <c r="BY22" i="25"/>
  <c r="BZ22" i="25" s="1"/>
  <c r="BY12" i="25"/>
  <c r="BZ12" i="25" s="1"/>
  <c r="BY16" i="25"/>
  <c r="BZ16" i="25" s="1"/>
  <c r="BZ3" i="25"/>
  <c r="AO20" i="25"/>
  <c r="AP20" i="25" s="1"/>
  <c r="AO22" i="25"/>
  <c r="AP22" i="25" s="1"/>
  <c r="AO12" i="25"/>
  <c r="AP12" i="25" s="1"/>
  <c r="AO16" i="25"/>
  <c r="AP16" i="25" s="1"/>
  <c r="AO10" i="25"/>
  <c r="AP10" i="25" s="1"/>
  <c r="AP3" i="25"/>
  <c r="CK6" i="25"/>
  <c r="CL6" i="25" s="1"/>
  <c r="CK8" i="25"/>
  <c r="CL8" i="25" s="1"/>
  <c r="EG8" i="25"/>
  <c r="EH8" i="25" s="1"/>
  <c r="EG6" i="25"/>
  <c r="EH6" i="25" s="1"/>
  <c r="BA8" i="25"/>
  <c r="BB8" i="25" s="1"/>
  <c r="BA6" i="25"/>
  <c r="BB6" i="25" s="1"/>
  <c r="DI16" i="25" l="1"/>
  <c r="DJ16" i="25" s="1"/>
  <c r="DN16" i="25" s="1"/>
  <c r="DI22" i="25"/>
  <c r="DJ22" i="25" s="1"/>
  <c r="DI20" i="25"/>
  <c r="DJ20" i="25" s="1"/>
  <c r="DJ3" i="25"/>
  <c r="DI10" i="25"/>
  <c r="DJ10" i="25" s="1"/>
  <c r="CK7" i="25"/>
  <c r="CL7" i="25" s="1"/>
  <c r="CM6" i="25" s="1"/>
  <c r="CP6" i="25" s="1"/>
  <c r="CW6" i="25"/>
  <c r="CX6" i="25" s="1"/>
  <c r="CY6" i="25" s="1"/>
  <c r="DA6" i="25" s="1"/>
  <c r="BA16" i="25"/>
  <c r="BB16" i="25" s="1"/>
  <c r="BC16" i="25" s="1"/>
  <c r="CK2" i="25"/>
  <c r="CK17" i="25" s="1"/>
  <c r="CL17" i="25" s="1"/>
  <c r="CP17" i="25" s="1"/>
  <c r="BB3" i="25"/>
  <c r="BA20" i="25"/>
  <c r="BB20" i="25" s="1"/>
  <c r="Q6" i="25"/>
  <c r="R6" i="25" s="1"/>
  <c r="AO13" i="25"/>
  <c r="AP13" i="25" s="1"/>
  <c r="AQ12" i="25" s="1"/>
  <c r="AC12" i="25"/>
  <c r="AD12" i="25" s="1"/>
  <c r="AE12" i="25" s="1"/>
  <c r="AR2" i="25"/>
  <c r="BA12" i="25"/>
  <c r="BB12" i="25" s="1"/>
  <c r="BA10" i="25"/>
  <c r="BB10" i="25" s="1"/>
  <c r="AC10" i="25"/>
  <c r="AD10" i="25" s="1"/>
  <c r="AC16" i="25"/>
  <c r="AD16" i="25" s="1"/>
  <c r="AH16" i="25" s="1"/>
  <c r="AC20" i="25"/>
  <c r="AD20" i="25" s="1"/>
  <c r="AC22" i="25"/>
  <c r="AD22" i="25" s="1"/>
  <c r="E6" i="25"/>
  <c r="F6" i="25" s="1"/>
  <c r="DU8" i="25"/>
  <c r="DV8" i="25" s="1"/>
  <c r="DI23" i="25"/>
  <c r="DJ23" i="25" s="1"/>
  <c r="DI11" i="25"/>
  <c r="DJ11" i="25" s="1"/>
  <c r="AO11" i="25"/>
  <c r="AP11" i="25" s="1"/>
  <c r="AQ10" i="25" s="1"/>
  <c r="AS10" i="25" s="1"/>
  <c r="Q13" i="25"/>
  <c r="R13" i="25" s="1"/>
  <c r="S12" i="25" s="1"/>
  <c r="AO21" i="25"/>
  <c r="AP21" i="25" s="1"/>
  <c r="AQ20" i="25" s="1"/>
  <c r="AU20" i="25" s="1"/>
  <c r="AO19" i="25"/>
  <c r="AP19" i="25" s="1"/>
  <c r="AQ19" i="25" s="1"/>
  <c r="AS19" i="25" s="1"/>
  <c r="CK20" i="25"/>
  <c r="CL20" i="25" s="1"/>
  <c r="CK12" i="25"/>
  <c r="CL12" i="25" s="1"/>
  <c r="CK22" i="25"/>
  <c r="CL22" i="25" s="1"/>
  <c r="CK10" i="25"/>
  <c r="CL10" i="25" s="1"/>
  <c r="Q11" i="25"/>
  <c r="R11" i="25" s="1"/>
  <c r="S10" i="25" s="1"/>
  <c r="U10" i="25" s="1"/>
  <c r="Q19" i="25"/>
  <c r="R19" i="25" s="1"/>
  <c r="S19" i="25" s="1"/>
  <c r="U19" i="25" s="1"/>
  <c r="AO8" i="25"/>
  <c r="AP8" i="25" s="1"/>
  <c r="AO23" i="25"/>
  <c r="AP23" i="25" s="1"/>
  <c r="AQ22" i="25" s="1"/>
  <c r="AU22" i="25" s="1"/>
  <c r="EG20" i="25"/>
  <c r="EH20" i="25" s="1"/>
  <c r="EG12" i="25"/>
  <c r="EH12" i="25" s="1"/>
  <c r="EG22" i="25"/>
  <c r="EH22" i="25" s="1"/>
  <c r="EI22" i="25" s="1"/>
  <c r="EM22" i="25" s="1"/>
  <c r="EG16" i="25"/>
  <c r="EH16" i="25" s="1"/>
  <c r="EM16" i="25" s="1"/>
  <c r="EH3" i="25"/>
  <c r="BY19" i="25"/>
  <c r="BZ19" i="25" s="1"/>
  <c r="CA19" i="25" s="1"/>
  <c r="CC19" i="25" s="1"/>
  <c r="DL2" i="25"/>
  <c r="DI7" i="25" s="1"/>
  <c r="DJ7" i="25" s="1"/>
  <c r="DK6" i="25" s="1"/>
  <c r="DO6" i="25" s="1"/>
  <c r="BY11" i="25"/>
  <c r="BZ11" i="25" s="1"/>
  <c r="CA10" i="25" s="1"/>
  <c r="DI13" i="25"/>
  <c r="DJ13" i="25" s="1"/>
  <c r="DK12" i="25" s="1"/>
  <c r="AP2" i="25"/>
  <c r="BY13" i="25"/>
  <c r="BZ13" i="25" s="1"/>
  <c r="CA12" i="25" s="1"/>
  <c r="DI19" i="25"/>
  <c r="DJ19" i="25" s="1"/>
  <c r="DK19" i="25" s="1"/>
  <c r="DO19" i="25" s="1"/>
  <c r="Q17" i="25"/>
  <c r="R17" i="25" s="1"/>
  <c r="S16" i="25" s="1"/>
  <c r="EG13" i="25"/>
  <c r="EH13" i="25" s="1"/>
  <c r="BD2" i="25"/>
  <c r="BA7" i="25" s="1"/>
  <c r="BB7" i="25" s="1"/>
  <c r="BC6" i="25" s="1"/>
  <c r="T2" i="25"/>
  <c r="EG11" i="25"/>
  <c r="EH11" i="25" s="1"/>
  <c r="EI10" i="25" s="1"/>
  <c r="EL10" i="25" s="1"/>
  <c r="BA23" i="25"/>
  <c r="BB23" i="25" s="1"/>
  <c r="BC22" i="25" s="1"/>
  <c r="BA19" i="25"/>
  <c r="BB19" i="25" s="1"/>
  <c r="BC19" i="25" s="1"/>
  <c r="BG19" i="25" s="1"/>
  <c r="CB2" i="25"/>
  <c r="EG21" i="25"/>
  <c r="EH21" i="25" s="1"/>
  <c r="EG19" i="25"/>
  <c r="EH19" i="25" s="1"/>
  <c r="EI19" i="25" s="1"/>
  <c r="EK19" i="25" s="1"/>
  <c r="EG17" i="25"/>
  <c r="EH17" i="25" s="1"/>
  <c r="EM17" i="25" s="1"/>
  <c r="R2" i="25"/>
  <c r="BM9" i="25"/>
  <c r="BN9" i="25" s="1"/>
  <c r="BO8" i="25" s="1"/>
  <c r="BR8" i="25" s="1"/>
  <c r="BB2" i="25"/>
  <c r="Q21" i="25"/>
  <c r="R21" i="25" s="1"/>
  <c r="S20" i="25" s="1"/>
  <c r="DU9" i="25"/>
  <c r="DV9" i="25" s="1"/>
  <c r="BY23" i="25"/>
  <c r="BZ23" i="25" s="1"/>
  <c r="CA22" i="25" s="1"/>
  <c r="DI21" i="25"/>
  <c r="DJ21" i="25" s="1"/>
  <c r="BA21" i="25"/>
  <c r="BB21" i="25" s="1"/>
  <c r="E7" i="25"/>
  <c r="F7" i="25" s="1"/>
  <c r="BA11" i="25"/>
  <c r="BB11" i="25" s="1"/>
  <c r="BM2" i="25"/>
  <c r="BM11" i="25" s="1"/>
  <c r="BN11" i="25" s="1"/>
  <c r="BO10" i="25" s="1"/>
  <c r="CK16" i="25"/>
  <c r="CL16" i="25" s="1"/>
  <c r="CP16" i="25" s="1"/>
  <c r="BY17" i="25"/>
  <c r="BZ17" i="25" s="1"/>
  <c r="CD17" i="25" s="1"/>
  <c r="DJ2" i="25"/>
  <c r="BZ2" i="25"/>
  <c r="BA13" i="25"/>
  <c r="BB13" i="25" s="1"/>
  <c r="AC23" i="25"/>
  <c r="AD23" i="25" s="1"/>
  <c r="AC19" i="25"/>
  <c r="AD19" i="25" s="1"/>
  <c r="AE19" i="25" s="1"/>
  <c r="AH19" i="25" s="1"/>
  <c r="AC11" i="25"/>
  <c r="AD11" i="25" s="1"/>
  <c r="AC17" i="25"/>
  <c r="AD17" i="25" s="1"/>
  <c r="EJ2" i="25"/>
  <c r="EG9" i="25" s="1"/>
  <c r="EH9" i="25" s="1"/>
  <c r="EI8" i="25" s="1"/>
  <c r="AC21" i="25"/>
  <c r="AD21" i="25" s="1"/>
  <c r="E2" i="25"/>
  <c r="E13" i="25" s="1"/>
  <c r="F13" i="25" s="1"/>
  <c r="G12" i="25" s="1"/>
  <c r="AD2" i="25"/>
  <c r="DU2" i="25"/>
  <c r="DU19" i="25" s="1"/>
  <c r="DV19" i="25" s="1"/>
  <c r="DW19" i="25" s="1"/>
  <c r="DY19" i="25" s="1"/>
  <c r="BM6" i="25"/>
  <c r="BN6" i="25" s="1"/>
  <c r="BO6" i="25" s="1"/>
  <c r="BS6" i="25" s="1"/>
  <c r="EH2" i="25"/>
  <c r="AF2" i="25"/>
  <c r="CA20" i="25"/>
  <c r="CE20" i="25" s="1"/>
  <c r="CW9" i="25"/>
  <c r="CX9" i="25" s="1"/>
  <c r="CY8" i="25" s="1"/>
  <c r="DB8" i="25" s="1"/>
  <c r="DW6" i="25"/>
  <c r="DZ6" i="25" s="1"/>
  <c r="G8" i="25"/>
  <c r="I8" i="25" s="1"/>
  <c r="CY10" i="25"/>
  <c r="DA10" i="25" s="1"/>
  <c r="S22" i="25"/>
  <c r="V22" i="25" s="1"/>
  <c r="CY12" i="25"/>
  <c r="DC12" i="25" s="1"/>
  <c r="CM8" i="25"/>
  <c r="CO8" i="25" s="1"/>
  <c r="J16" i="25"/>
  <c r="K16" i="25"/>
  <c r="W16" i="25"/>
  <c r="V16" i="25"/>
  <c r="BR16" i="25"/>
  <c r="BS16" i="25"/>
  <c r="DA19" i="25"/>
  <c r="DC19" i="25"/>
  <c r="DB19" i="25"/>
  <c r="BG17" i="25"/>
  <c r="BF17" i="25"/>
  <c r="CY20" i="25"/>
  <c r="DN17" i="25"/>
  <c r="DO17" i="25"/>
  <c r="DC16" i="25"/>
  <c r="CY16" i="25"/>
  <c r="DB16" i="25"/>
  <c r="CE16" i="25"/>
  <c r="CD16" i="25"/>
  <c r="CY22" i="25"/>
  <c r="AU16" i="25"/>
  <c r="AQ16" i="25"/>
  <c r="AT16" i="25"/>
  <c r="DZ16" i="25"/>
  <c r="EA16" i="25"/>
  <c r="DC17" i="25"/>
  <c r="DB17" i="25"/>
  <c r="AT17" i="25"/>
  <c r="AU17" i="25"/>
  <c r="DO16" i="25" l="1"/>
  <c r="DK16" i="25"/>
  <c r="DK22" i="25"/>
  <c r="DM22" i="25" s="1"/>
  <c r="DK20" i="25"/>
  <c r="DO20" i="25" s="1"/>
  <c r="DK10" i="25"/>
  <c r="DO10" i="25" s="1"/>
  <c r="CK13" i="25"/>
  <c r="CL13" i="25" s="1"/>
  <c r="CM12" i="25" s="1"/>
  <c r="CO12" i="25" s="1"/>
  <c r="BG16" i="25"/>
  <c r="BF16" i="25"/>
  <c r="CL2" i="25"/>
  <c r="CQ17" i="25"/>
  <c r="CK23" i="25"/>
  <c r="CL23" i="25" s="1"/>
  <c r="CM22" i="25" s="1"/>
  <c r="CP22" i="25" s="1"/>
  <c r="CK21" i="25"/>
  <c r="CL21" i="25" s="1"/>
  <c r="CM20" i="25" s="1"/>
  <c r="CP20" i="25" s="1"/>
  <c r="BC10" i="25"/>
  <c r="BF10" i="25" s="1"/>
  <c r="CK11" i="25"/>
  <c r="CL11" i="25" s="1"/>
  <c r="CM10" i="25" s="1"/>
  <c r="CP10" i="25" s="1"/>
  <c r="CK19" i="25"/>
  <c r="CL19" i="25" s="1"/>
  <c r="CM19" i="25" s="1"/>
  <c r="CO19" i="25" s="1"/>
  <c r="AT19" i="25"/>
  <c r="AE10" i="25"/>
  <c r="AH10" i="25" s="1"/>
  <c r="AE16" i="25"/>
  <c r="BC20" i="25"/>
  <c r="BF20" i="25" s="1"/>
  <c r="AE20" i="25"/>
  <c r="AI20" i="25" s="1"/>
  <c r="G6" i="25"/>
  <c r="I6" i="25" s="1"/>
  <c r="AI16" i="25"/>
  <c r="AU19" i="25"/>
  <c r="BC12" i="25"/>
  <c r="BG12" i="25" s="1"/>
  <c r="AO7" i="25"/>
  <c r="AP7" i="25" s="1"/>
  <c r="AQ6" i="25" s="1"/>
  <c r="AU6" i="25" s="1"/>
  <c r="AO9" i="25"/>
  <c r="AP9" i="25" s="1"/>
  <c r="AQ8" i="25" s="1"/>
  <c r="AS8" i="25" s="1"/>
  <c r="AE22" i="25"/>
  <c r="AG22" i="25" s="1"/>
  <c r="DW8" i="25"/>
  <c r="EA8" i="25" s="1"/>
  <c r="AI19" i="25"/>
  <c r="V19" i="25"/>
  <c r="BF19" i="25"/>
  <c r="EI12" i="25"/>
  <c r="EL12" i="25" s="1"/>
  <c r="CE19" i="25"/>
  <c r="CD19" i="25"/>
  <c r="AG19" i="25"/>
  <c r="DU17" i="25"/>
  <c r="DV17" i="25" s="1"/>
  <c r="DZ17" i="25" s="1"/>
  <c r="EL16" i="25"/>
  <c r="EI20" i="25"/>
  <c r="EK20" i="25" s="1"/>
  <c r="W19" i="25"/>
  <c r="BM23" i="25"/>
  <c r="BN23" i="25" s="1"/>
  <c r="BO22" i="25" s="1"/>
  <c r="BS22" i="25" s="1"/>
  <c r="BM21" i="25"/>
  <c r="BN21" i="25" s="1"/>
  <c r="BO20" i="25" s="1"/>
  <c r="BQ20" i="25" s="1"/>
  <c r="V17" i="25"/>
  <c r="CE17" i="25"/>
  <c r="CA16" i="25"/>
  <c r="W17" i="25"/>
  <c r="DI9" i="25"/>
  <c r="DJ9" i="25" s="1"/>
  <c r="DK8" i="25" s="1"/>
  <c r="DM8" i="25" s="1"/>
  <c r="BN2" i="25"/>
  <c r="DN19" i="25"/>
  <c r="CM16" i="25"/>
  <c r="CQ16" i="25"/>
  <c r="DM19" i="25"/>
  <c r="E17" i="25"/>
  <c r="F17" i="25" s="1"/>
  <c r="G16" i="25" s="1"/>
  <c r="EI16" i="25"/>
  <c r="AT20" i="25"/>
  <c r="AS20" i="25"/>
  <c r="BQ6" i="25"/>
  <c r="DN6" i="25"/>
  <c r="BR6" i="25"/>
  <c r="F2" i="25"/>
  <c r="BA9" i="25"/>
  <c r="BB9" i="25" s="1"/>
  <c r="BC8" i="25" s="1"/>
  <c r="BG8" i="25" s="1"/>
  <c r="EM19" i="25"/>
  <c r="BM17" i="25"/>
  <c r="BN17" i="25" s="1"/>
  <c r="BR17" i="25" s="1"/>
  <c r="CD20" i="25"/>
  <c r="EL17" i="25"/>
  <c r="CC20" i="25"/>
  <c r="AH17" i="25"/>
  <c r="BM19" i="25"/>
  <c r="BN19" i="25" s="1"/>
  <c r="BO19" i="25" s="1"/>
  <c r="BR19" i="25" s="1"/>
  <c r="Q7" i="25"/>
  <c r="R7" i="25" s="1"/>
  <c r="S6" i="25" s="1"/>
  <c r="Q9" i="25"/>
  <c r="R9" i="25" s="1"/>
  <c r="S8" i="25" s="1"/>
  <c r="AI17" i="25"/>
  <c r="BM13" i="25"/>
  <c r="BN13" i="25" s="1"/>
  <c r="BO12" i="25" s="1"/>
  <c r="BR12" i="25" s="1"/>
  <c r="BE19" i="25"/>
  <c r="EL19" i="25"/>
  <c r="CQ6" i="25"/>
  <c r="BY9" i="25"/>
  <c r="BZ9" i="25" s="1"/>
  <c r="CA8" i="25" s="1"/>
  <c r="CE8" i="25" s="1"/>
  <c r="BY7" i="25"/>
  <c r="BZ7" i="25" s="1"/>
  <c r="CA6" i="25" s="1"/>
  <c r="CC6" i="25" s="1"/>
  <c r="E23" i="25"/>
  <c r="F23" i="25" s="1"/>
  <c r="G22" i="25" s="1"/>
  <c r="J22" i="25" s="1"/>
  <c r="E19" i="25"/>
  <c r="F19" i="25" s="1"/>
  <c r="G19" i="25" s="1"/>
  <c r="E21" i="25"/>
  <c r="F21" i="25" s="1"/>
  <c r="G20" i="25" s="1"/>
  <c r="J20" i="25" s="1"/>
  <c r="AC9" i="25"/>
  <c r="AD9" i="25" s="1"/>
  <c r="AE8" i="25" s="1"/>
  <c r="AH8" i="25" s="1"/>
  <c r="AC7" i="25"/>
  <c r="AD7" i="25" s="1"/>
  <c r="AE6" i="25" s="1"/>
  <c r="AH6" i="25" s="1"/>
  <c r="DU13" i="25"/>
  <c r="DV13" i="25" s="1"/>
  <c r="DW12" i="25" s="1"/>
  <c r="DY12" i="25" s="1"/>
  <c r="DU21" i="25"/>
  <c r="DV21" i="25" s="1"/>
  <c r="DW20" i="25" s="1"/>
  <c r="DZ20" i="25" s="1"/>
  <c r="DU23" i="25"/>
  <c r="DV23" i="25" s="1"/>
  <c r="DW22" i="25" s="1"/>
  <c r="DY22" i="25" s="1"/>
  <c r="DV2" i="25"/>
  <c r="E11" i="25"/>
  <c r="F11" i="25" s="1"/>
  <c r="K10" i="25" s="1"/>
  <c r="DU11" i="25"/>
  <c r="DV11" i="25" s="1"/>
  <c r="DW10" i="25" s="1"/>
  <c r="DZ10" i="25" s="1"/>
  <c r="EG7" i="25"/>
  <c r="EH7" i="25" s="1"/>
  <c r="EI6" i="25" s="1"/>
  <c r="EK6" i="25" s="1"/>
  <c r="CO6" i="25"/>
  <c r="DY6" i="25"/>
  <c r="AS22" i="25"/>
  <c r="AT22" i="25"/>
  <c r="DZ19" i="25"/>
  <c r="EA6" i="25"/>
  <c r="EA19" i="25"/>
  <c r="W22" i="25"/>
  <c r="DC6" i="25"/>
  <c r="DB6" i="25"/>
  <c r="EK10" i="25"/>
  <c r="EM10" i="25"/>
  <c r="K12" i="25"/>
  <c r="J12" i="25"/>
  <c r="DA8" i="25"/>
  <c r="EK22" i="25"/>
  <c r="DC10" i="25"/>
  <c r="EL22" i="25"/>
  <c r="DB10" i="25"/>
  <c r="DC8" i="25"/>
  <c r="DM6" i="25"/>
  <c r="AT10" i="25"/>
  <c r="U22" i="25"/>
  <c r="J8" i="25"/>
  <c r="K8" i="25"/>
  <c r="DB12" i="25"/>
  <c r="I12" i="25"/>
  <c r="V10" i="25"/>
  <c r="BQ8" i="25"/>
  <c r="BS8" i="25"/>
  <c r="W10" i="25"/>
  <c r="AU10" i="25"/>
  <c r="DA12" i="25"/>
  <c r="CQ8" i="25"/>
  <c r="CP8" i="25"/>
  <c r="AI12" i="25"/>
  <c r="AG12" i="25"/>
  <c r="AH12" i="25"/>
  <c r="CD10" i="25"/>
  <c r="CE10" i="25"/>
  <c r="CC10" i="25"/>
  <c r="DB22" i="25"/>
  <c r="DA22" i="25"/>
  <c r="DC22" i="25"/>
  <c r="CC22" i="25"/>
  <c r="CD22" i="25"/>
  <c r="CE22" i="25"/>
  <c r="DO12" i="25"/>
  <c r="DN12" i="25"/>
  <c r="DM12" i="25"/>
  <c r="CD12" i="25"/>
  <c r="CC12" i="25"/>
  <c r="CE12" i="25"/>
  <c r="BG6" i="25"/>
  <c r="BE6" i="25"/>
  <c r="BF6" i="25"/>
  <c r="EL8" i="25"/>
  <c r="EK8" i="25"/>
  <c r="EM8" i="25"/>
  <c r="AT12" i="25"/>
  <c r="AS12" i="25"/>
  <c r="AU12" i="25"/>
  <c r="W20" i="25"/>
  <c r="V20" i="25"/>
  <c r="U20" i="25"/>
  <c r="V12" i="25"/>
  <c r="U12" i="25"/>
  <c r="W12" i="25"/>
  <c r="BF22" i="25"/>
  <c r="BG22" i="25"/>
  <c r="BE22" i="25"/>
  <c r="BQ10" i="25"/>
  <c r="BS10" i="25"/>
  <c r="BR10" i="25"/>
  <c r="DC20" i="25"/>
  <c r="DB20" i="25"/>
  <c r="DA20" i="25"/>
  <c r="DM20" i="25" l="1"/>
  <c r="DO22" i="25"/>
  <c r="DN20" i="25"/>
  <c r="DN22" i="25"/>
  <c r="DN10" i="25"/>
  <c r="DM10" i="25"/>
  <c r="BE10" i="25"/>
  <c r="AI22" i="25"/>
  <c r="CP19" i="25"/>
  <c r="AG10" i="25"/>
  <c r="BG10" i="25"/>
  <c r="CQ19" i="25"/>
  <c r="AT6" i="25"/>
  <c r="AS6" i="25"/>
  <c r="AI10" i="25"/>
  <c r="AH20" i="25"/>
  <c r="BG20" i="25"/>
  <c r="BE20" i="25"/>
  <c r="AG20" i="25"/>
  <c r="J6" i="25"/>
  <c r="K6" i="25"/>
  <c r="AH22" i="25"/>
  <c r="AU8" i="25"/>
  <c r="AU32" i="25" s="1"/>
  <c r="D39" i="25" s="1"/>
  <c r="CO10" i="25"/>
  <c r="AT8" i="25"/>
  <c r="BF12" i="25"/>
  <c r="BE12" i="25"/>
  <c r="BS17" i="25"/>
  <c r="EK12" i="25"/>
  <c r="K17" i="25"/>
  <c r="CP12" i="25"/>
  <c r="J17" i="25"/>
  <c r="CQ10" i="25"/>
  <c r="DZ8" i="25"/>
  <c r="DY8" i="25"/>
  <c r="CQ20" i="25"/>
  <c r="CQ12" i="25"/>
  <c r="BQ22" i="25"/>
  <c r="DW16" i="25"/>
  <c r="CQ22" i="25"/>
  <c r="BR22" i="25"/>
  <c r="EM6" i="25"/>
  <c r="BR20" i="25"/>
  <c r="EA17" i="25"/>
  <c r="EM20" i="25"/>
  <c r="CO22" i="25"/>
  <c r="AI6" i="25"/>
  <c r="CO20" i="25"/>
  <c r="EM12" i="25"/>
  <c r="CD6" i="25"/>
  <c r="EL20" i="25"/>
  <c r="BE8" i="25"/>
  <c r="AG6" i="25"/>
  <c r="BF8" i="25"/>
  <c r="DN8" i="25"/>
  <c r="DO8" i="25"/>
  <c r="J10" i="25"/>
  <c r="DZ22" i="25"/>
  <c r="BS20" i="25"/>
  <c r="CC8" i="25"/>
  <c r="CD8" i="25"/>
  <c r="K22" i="25"/>
  <c r="I22" i="25"/>
  <c r="EL6" i="25"/>
  <c r="CE6" i="25"/>
  <c r="CE32" i="25" s="1"/>
  <c r="D42" i="25" s="1"/>
  <c r="BO16" i="25"/>
  <c r="EA22" i="25"/>
  <c r="DY20" i="25"/>
  <c r="EA12" i="25"/>
  <c r="BQ12" i="25"/>
  <c r="BS12" i="25"/>
  <c r="EA20" i="25"/>
  <c r="DZ12" i="25"/>
  <c r="W8" i="25"/>
  <c r="V8" i="25"/>
  <c r="U8" i="25"/>
  <c r="I20" i="25"/>
  <c r="K20" i="25"/>
  <c r="U6" i="25"/>
  <c r="V6" i="25"/>
  <c r="W6" i="25"/>
  <c r="AI8" i="25"/>
  <c r="BS19" i="25"/>
  <c r="AG8" i="25"/>
  <c r="BQ19" i="25"/>
  <c r="DY10" i="25"/>
  <c r="EA10" i="25"/>
  <c r="I10" i="25"/>
  <c r="I19" i="25"/>
  <c r="J19" i="25"/>
  <c r="K19" i="25"/>
  <c r="DB32" i="25"/>
  <c r="C44" i="25" s="1"/>
  <c r="DC32" i="25"/>
  <c r="D44" i="25" s="1"/>
  <c r="K14" i="2"/>
  <c r="M14" i="2" s="1"/>
  <c r="K16" i="2"/>
  <c r="M16" i="2" s="1"/>
  <c r="AC22" i="2"/>
  <c r="AQ22" i="2" s="1"/>
  <c r="AB22" i="2"/>
  <c r="AP22" i="2" s="1"/>
  <c r="AA22" i="2"/>
  <c r="AO22" i="2" s="1"/>
  <c r="Z22" i="2"/>
  <c r="AN22" i="2" s="1"/>
  <c r="Y22" i="2"/>
  <c r="AM22" i="2" s="1"/>
  <c r="X22" i="2"/>
  <c r="AL22" i="2" s="1"/>
  <c r="W22" i="2"/>
  <c r="AK22" i="2" s="1"/>
  <c r="V22" i="2"/>
  <c r="AJ22" i="2" s="1"/>
  <c r="U22" i="2"/>
  <c r="AI22" i="2" s="1"/>
  <c r="T22" i="2"/>
  <c r="AH22" i="2" s="1"/>
  <c r="S22" i="2"/>
  <c r="AG22" i="2" s="1"/>
  <c r="AC21" i="2"/>
  <c r="AQ21" i="2" s="1"/>
  <c r="AB21" i="2"/>
  <c r="AP21" i="2" s="1"/>
  <c r="AA21" i="2"/>
  <c r="AO21" i="2" s="1"/>
  <c r="Z21" i="2"/>
  <c r="AN21" i="2" s="1"/>
  <c r="Y21" i="2"/>
  <c r="AM21" i="2" s="1"/>
  <c r="X21" i="2"/>
  <c r="AL21" i="2" s="1"/>
  <c r="W21" i="2"/>
  <c r="AK21" i="2" s="1"/>
  <c r="V21" i="2"/>
  <c r="AJ21" i="2" s="1"/>
  <c r="U21" i="2"/>
  <c r="AI21" i="2" s="1"/>
  <c r="T21" i="2"/>
  <c r="AH21" i="2" s="1"/>
  <c r="S21" i="2"/>
  <c r="AG21" i="2" s="1"/>
  <c r="AC20" i="2"/>
  <c r="AQ20" i="2" s="1"/>
  <c r="AB20" i="2"/>
  <c r="AP20" i="2" s="1"/>
  <c r="AA20" i="2"/>
  <c r="AO20" i="2" s="1"/>
  <c r="Z20" i="2"/>
  <c r="AN20" i="2" s="1"/>
  <c r="Y20" i="2"/>
  <c r="AM20" i="2" s="1"/>
  <c r="X20" i="2"/>
  <c r="AL20" i="2" s="1"/>
  <c r="W20" i="2"/>
  <c r="AK20" i="2" s="1"/>
  <c r="V20" i="2"/>
  <c r="AJ20" i="2" s="1"/>
  <c r="U20" i="2"/>
  <c r="AI20" i="2" s="1"/>
  <c r="T20" i="2"/>
  <c r="AH20" i="2" s="1"/>
  <c r="S20" i="2"/>
  <c r="AG20" i="2" s="1"/>
  <c r="AC19" i="2"/>
  <c r="AQ19" i="2" s="1"/>
  <c r="AB19" i="2"/>
  <c r="AP19" i="2" s="1"/>
  <c r="AA19" i="2"/>
  <c r="AO19" i="2" s="1"/>
  <c r="Z19" i="2"/>
  <c r="AN19" i="2" s="1"/>
  <c r="Y19" i="2"/>
  <c r="AM19" i="2" s="1"/>
  <c r="X19" i="2"/>
  <c r="AL19" i="2" s="1"/>
  <c r="W19" i="2"/>
  <c r="AK19" i="2" s="1"/>
  <c r="V19" i="2"/>
  <c r="AJ19" i="2" s="1"/>
  <c r="U19" i="2"/>
  <c r="AI19" i="2" s="1"/>
  <c r="T19" i="2"/>
  <c r="AH19" i="2" s="1"/>
  <c r="S19" i="2"/>
  <c r="AG19" i="2" s="1"/>
  <c r="AC18" i="2"/>
  <c r="AQ18" i="2" s="1"/>
  <c r="AB18" i="2"/>
  <c r="AP18" i="2" s="1"/>
  <c r="AA18" i="2"/>
  <c r="AO18" i="2" s="1"/>
  <c r="Z18" i="2"/>
  <c r="AN18" i="2" s="1"/>
  <c r="Y18" i="2"/>
  <c r="AM18" i="2" s="1"/>
  <c r="X18" i="2"/>
  <c r="AL18" i="2" s="1"/>
  <c r="W18" i="2"/>
  <c r="AK18" i="2" s="1"/>
  <c r="V18" i="2"/>
  <c r="AJ18" i="2" s="1"/>
  <c r="U18" i="2"/>
  <c r="AI18" i="2" s="1"/>
  <c r="T18" i="2"/>
  <c r="AH18" i="2" s="1"/>
  <c r="S18" i="2"/>
  <c r="AG18" i="2" s="1"/>
  <c r="AC17" i="2"/>
  <c r="AQ17" i="2" s="1"/>
  <c r="AB17" i="2"/>
  <c r="AP17" i="2" s="1"/>
  <c r="AA17" i="2"/>
  <c r="AO17" i="2" s="1"/>
  <c r="Z17" i="2"/>
  <c r="AN17" i="2" s="1"/>
  <c r="Y17" i="2"/>
  <c r="AM17" i="2" s="1"/>
  <c r="X17" i="2"/>
  <c r="AL17" i="2" s="1"/>
  <c r="W17" i="2"/>
  <c r="AK17" i="2" s="1"/>
  <c r="V17" i="2"/>
  <c r="AJ17" i="2" s="1"/>
  <c r="U17" i="2"/>
  <c r="AI17" i="2" s="1"/>
  <c r="T17" i="2"/>
  <c r="AH17" i="2" s="1"/>
  <c r="S17" i="2"/>
  <c r="AG17" i="2" s="1"/>
  <c r="AC16" i="2"/>
  <c r="AQ16" i="2" s="1"/>
  <c r="AB16" i="2"/>
  <c r="AP16" i="2" s="1"/>
  <c r="AA16" i="2"/>
  <c r="AO16" i="2" s="1"/>
  <c r="Z16" i="2"/>
  <c r="AN16" i="2" s="1"/>
  <c r="Y16" i="2"/>
  <c r="AM16" i="2" s="1"/>
  <c r="X16" i="2"/>
  <c r="AL16" i="2" s="1"/>
  <c r="W16" i="2"/>
  <c r="AK16" i="2" s="1"/>
  <c r="V16" i="2"/>
  <c r="AJ16" i="2" s="1"/>
  <c r="U16" i="2"/>
  <c r="AI16" i="2" s="1"/>
  <c r="T16" i="2"/>
  <c r="AH16" i="2" s="1"/>
  <c r="S16" i="2"/>
  <c r="AG16" i="2" s="1"/>
  <c r="AC15" i="2"/>
  <c r="AQ15" i="2" s="1"/>
  <c r="AB15" i="2"/>
  <c r="AP15" i="2" s="1"/>
  <c r="AA15" i="2"/>
  <c r="AO15" i="2" s="1"/>
  <c r="Z15" i="2"/>
  <c r="AN15" i="2" s="1"/>
  <c r="Y15" i="2"/>
  <c r="AM15" i="2" s="1"/>
  <c r="X15" i="2"/>
  <c r="AL15" i="2" s="1"/>
  <c r="W15" i="2"/>
  <c r="AK15" i="2" s="1"/>
  <c r="V15" i="2"/>
  <c r="AJ15" i="2" s="1"/>
  <c r="U15" i="2"/>
  <c r="AI15" i="2" s="1"/>
  <c r="T15" i="2"/>
  <c r="AH15" i="2" s="1"/>
  <c r="S15" i="2"/>
  <c r="AG15" i="2" s="1"/>
  <c r="AC14" i="2"/>
  <c r="AB14" i="2"/>
  <c r="AA14" i="2"/>
  <c r="Z14" i="2"/>
  <c r="Y14" i="2"/>
  <c r="X14" i="2"/>
  <c r="W14" i="2"/>
  <c r="V14" i="2"/>
  <c r="U14" i="2"/>
  <c r="T14" i="2"/>
  <c r="S14" i="2"/>
  <c r="AC13" i="2"/>
  <c r="AQ13" i="2" s="1"/>
  <c r="AB13" i="2"/>
  <c r="AP13" i="2" s="1"/>
  <c r="AA13" i="2"/>
  <c r="AO13" i="2" s="1"/>
  <c r="Z13" i="2"/>
  <c r="AN13" i="2" s="1"/>
  <c r="Y13" i="2"/>
  <c r="AM13" i="2" s="1"/>
  <c r="X13" i="2"/>
  <c r="AL13" i="2" s="1"/>
  <c r="W13" i="2"/>
  <c r="AK13" i="2" s="1"/>
  <c r="V13" i="2"/>
  <c r="AJ13" i="2" s="1"/>
  <c r="U13" i="2"/>
  <c r="AI13" i="2" s="1"/>
  <c r="T13" i="2"/>
  <c r="AH13" i="2" s="1"/>
  <c r="S13" i="2"/>
  <c r="AG13" i="2" s="1"/>
  <c r="AC12" i="2"/>
  <c r="AQ12" i="2" s="1"/>
  <c r="AB12" i="2"/>
  <c r="AP12" i="2" s="1"/>
  <c r="AA12" i="2"/>
  <c r="AO12" i="2" s="1"/>
  <c r="Z12" i="2"/>
  <c r="AN12" i="2" s="1"/>
  <c r="Y12" i="2"/>
  <c r="AM12" i="2" s="1"/>
  <c r="X12" i="2"/>
  <c r="AL12" i="2" s="1"/>
  <c r="W12" i="2"/>
  <c r="AK12" i="2" s="1"/>
  <c r="V12" i="2"/>
  <c r="AJ12" i="2" s="1"/>
  <c r="U12" i="2"/>
  <c r="AI12" i="2" s="1"/>
  <c r="T12" i="2"/>
  <c r="AH12" i="2" s="1"/>
  <c r="S12" i="2"/>
  <c r="AG12" i="2" s="1"/>
  <c r="AC11" i="2"/>
  <c r="AQ11" i="2" s="1"/>
  <c r="AB11" i="2"/>
  <c r="AP11" i="2" s="1"/>
  <c r="AA11" i="2"/>
  <c r="AO11" i="2" s="1"/>
  <c r="Z11" i="2"/>
  <c r="AN11" i="2" s="1"/>
  <c r="Y11" i="2"/>
  <c r="AM11" i="2" s="1"/>
  <c r="X11" i="2"/>
  <c r="AL11" i="2" s="1"/>
  <c r="W11" i="2"/>
  <c r="AK11" i="2" s="1"/>
  <c r="V11" i="2"/>
  <c r="AJ11" i="2" s="1"/>
  <c r="U11" i="2"/>
  <c r="AI11" i="2" s="1"/>
  <c r="T11" i="2"/>
  <c r="AH11" i="2" s="1"/>
  <c r="S11" i="2"/>
  <c r="AG11" i="2" s="1"/>
  <c r="AC10" i="2"/>
  <c r="AQ10" i="2" s="1"/>
  <c r="AB10" i="2"/>
  <c r="AP10" i="2" s="1"/>
  <c r="AA10" i="2"/>
  <c r="AO10" i="2" s="1"/>
  <c r="Z10" i="2"/>
  <c r="AN10" i="2" s="1"/>
  <c r="Y10" i="2"/>
  <c r="AM10" i="2" s="1"/>
  <c r="X10" i="2"/>
  <c r="AL10" i="2" s="1"/>
  <c r="W10" i="2"/>
  <c r="AK10" i="2" s="1"/>
  <c r="V10" i="2"/>
  <c r="AJ10" i="2" s="1"/>
  <c r="U10" i="2"/>
  <c r="AI10" i="2" s="1"/>
  <c r="T10" i="2"/>
  <c r="AH10" i="2" s="1"/>
  <c r="S10" i="2"/>
  <c r="AG10" i="2" s="1"/>
  <c r="AC9" i="2"/>
  <c r="AQ9" i="2" s="1"/>
  <c r="AB9" i="2"/>
  <c r="AP9" i="2" s="1"/>
  <c r="AA9" i="2"/>
  <c r="AO9" i="2" s="1"/>
  <c r="Z9" i="2"/>
  <c r="AN9" i="2" s="1"/>
  <c r="Y9" i="2"/>
  <c r="AM9" i="2" s="1"/>
  <c r="X9" i="2"/>
  <c r="AL9" i="2" s="1"/>
  <c r="W9" i="2"/>
  <c r="AK9" i="2" s="1"/>
  <c r="V9" i="2"/>
  <c r="AJ9" i="2" s="1"/>
  <c r="U9" i="2"/>
  <c r="AI9" i="2" s="1"/>
  <c r="T9" i="2"/>
  <c r="AH9" i="2" s="1"/>
  <c r="S9" i="2"/>
  <c r="AG9" i="2" s="1"/>
  <c r="AC8" i="2"/>
  <c r="AQ8" i="2" s="1"/>
  <c r="AB8" i="2"/>
  <c r="AP8" i="2" s="1"/>
  <c r="AA8" i="2"/>
  <c r="AO8" i="2" s="1"/>
  <c r="Z8" i="2"/>
  <c r="AN8" i="2" s="1"/>
  <c r="Y8" i="2"/>
  <c r="AM8" i="2" s="1"/>
  <c r="X8" i="2"/>
  <c r="AL8" i="2" s="1"/>
  <c r="W8" i="2"/>
  <c r="AK8" i="2" s="1"/>
  <c r="V8" i="2"/>
  <c r="AJ8" i="2" s="1"/>
  <c r="U8" i="2"/>
  <c r="AI8" i="2" s="1"/>
  <c r="T8" i="2"/>
  <c r="AH8" i="2" s="1"/>
  <c r="S8" i="2"/>
  <c r="AG8" i="2" s="1"/>
  <c r="AC7" i="2"/>
  <c r="AQ7" i="2" s="1"/>
  <c r="AB7" i="2"/>
  <c r="AP7" i="2" s="1"/>
  <c r="AA7" i="2"/>
  <c r="AO7" i="2" s="1"/>
  <c r="Z7" i="2"/>
  <c r="AN7" i="2" s="1"/>
  <c r="Y7" i="2"/>
  <c r="AM7" i="2" s="1"/>
  <c r="X7" i="2"/>
  <c r="AL7" i="2" s="1"/>
  <c r="W7" i="2"/>
  <c r="AK7" i="2" s="1"/>
  <c r="V7" i="2"/>
  <c r="AJ7" i="2" s="1"/>
  <c r="U7" i="2"/>
  <c r="AI7" i="2" s="1"/>
  <c r="T7" i="2"/>
  <c r="AH7" i="2" s="1"/>
  <c r="S7" i="2"/>
  <c r="AG7" i="2" s="1"/>
  <c r="AC5" i="2"/>
  <c r="AQ5" i="2" s="1"/>
  <c r="AB5" i="2"/>
  <c r="AP5" i="2" s="1"/>
  <c r="AA5" i="2"/>
  <c r="AO5" i="2" s="1"/>
  <c r="Z5" i="2"/>
  <c r="AN5" i="2" s="1"/>
  <c r="Y5" i="2"/>
  <c r="AM5" i="2" s="1"/>
  <c r="X5" i="2"/>
  <c r="AL5" i="2" s="1"/>
  <c r="W5" i="2"/>
  <c r="AK5" i="2" s="1"/>
  <c r="V5" i="2"/>
  <c r="AJ5" i="2" s="1"/>
  <c r="U5" i="2"/>
  <c r="AI5" i="2" s="1"/>
  <c r="T5" i="2"/>
  <c r="AH5" i="2" s="1"/>
  <c r="S5" i="2"/>
  <c r="AG5" i="2" s="1"/>
  <c r="AC3" i="2"/>
  <c r="AQ3" i="2" s="1"/>
  <c r="AB3" i="2"/>
  <c r="AP3" i="2" s="1"/>
  <c r="AA3" i="2"/>
  <c r="AO3" i="2" s="1"/>
  <c r="Z3" i="2"/>
  <c r="AN3" i="2" s="1"/>
  <c r="Y3" i="2"/>
  <c r="AM3" i="2" s="1"/>
  <c r="X3" i="2"/>
  <c r="AL3" i="2" s="1"/>
  <c r="W3" i="2"/>
  <c r="AK3" i="2" s="1"/>
  <c r="V3" i="2"/>
  <c r="AJ3" i="2" s="1"/>
  <c r="U3" i="2"/>
  <c r="AI3" i="2" s="1"/>
  <c r="T3" i="2"/>
  <c r="AH3" i="2" s="1"/>
  <c r="S3" i="2"/>
  <c r="AG3" i="2" s="1"/>
  <c r="R17" i="2"/>
  <c r="AF17" i="2" s="1"/>
  <c r="R15" i="2"/>
  <c r="AF15" i="2" s="1"/>
  <c r="R16" i="2"/>
  <c r="AF16" i="2" s="1"/>
  <c r="R14" i="2"/>
  <c r="R19" i="2"/>
  <c r="AF19" i="2" s="1"/>
  <c r="R18" i="2"/>
  <c r="AF18" i="2" s="1"/>
  <c r="AS18" i="2" s="1"/>
  <c r="R22" i="2"/>
  <c r="AF22" i="2" s="1"/>
  <c r="R21" i="2"/>
  <c r="AF21" i="2" s="1"/>
  <c r="R20" i="2"/>
  <c r="AF20" i="2" s="1"/>
  <c r="R13" i="2"/>
  <c r="AF13" i="2" s="1"/>
  <c r="R12" i="2"/>
  <c r="AF12" i="2" s="1"/>
  <c r="R11" i="2"/>
  <c r="AF11" i="2" s="1"/>
  <c r="R10" i="2"/>
  <c r="AF10" i="2" s="1"/>
  <c r="R9" i="2"/>
  <c r="AF9" i="2" s="1"/>
  <c r="R8" i="2"/>
  <c r="AF8" i="2" s="1"/>
  <c r="R7" i="2"/>
  <c r="AF7" i="2" s="1"/>
  <c r="R5" i="2"/>
  <c r="AF5" i="2" s="1"/>
  <c r="R3" i="2"/>
  <c r="AF3" i="2" s="1"/>
  <c r="M163" i="5"/>
  <c r="L163" i="5"/>
  <c r="K163" i="5"/>
  <c r="J163" i="5"/>
  <c r="I163" i="5"/>
  <c r="H163" i="5"/>
  <c r="G163" i="5"/>
  <c r="F163" i="5"/>
  <c r="E163" i="5"/>
  <c r="D163" i="5"/>
  <c r="C163" i="5"/>
  <c r="B163" i="5"/>
  <c r="M177" i="5"/>
  <c r="L177" i="5"/>
  <c r="K177" i="5"/>
  <c r="J177" i="5"/>
  <c r="I177" i="5"/>
  <c r="H177" i="5"/>
  <c r="G177" i="5"/>
  <c r="F177" i="5"/>
  <c r="E177" i="5"/>
  <c r="D177" i="5"/>
  <c r="C177" i="5"/>
  <c r="B177" i="5"/>
  <c r="DO32" i="25" l="1"/>
  <c r="D45" i="25" s="1"/>
  <c r="DN32" i="25"/>
  <c r="C45" i="25" s="1"/>
  <c r="CP32" i="25"/>
  <c r="C43" i="25" s="1"/>
  <c r="BG32" i="25"/>
  <c r="D40" i="25" s="1"/>
  <c r="AT32" i="25"/>
  <c r="C39" i="25" s="1"/>
  <c r="E39" i="25" s="1"/>
  <c r="AH32" i="25"/>
  <c r="C38" i="25" s="1"/>
  <c r="BR32" i="25"/>
  <c r="C41" i="25" s="1"/>
  <c r="BF32" i="25"/>
  <c r="C40" i="25" s="1"/>
  <c r="BS32" i="25"/>
  <c r="D41" i="25" s="1"/>
  <c r="CQ32" i="25"/>
  <c r="D43" i="25" s="1"/>
  <c r="EL32" i="25"/>
  <c r="C47" i="25" s="1"/>
  <c r="DZ32" i="25"/>
  <c r="C46" i="25" s="1"/>
  <c r="EM32" i="25"/>
  <c r="D47" i="25" s="1"/>
  <c r="CD32" i="25"/>
  <c r="C42" i="25" s="1"/>
  <c r="E42" i="25" s="1"/>
  <c r="AI32" i="25"/>
  <c r="D38" i="25" s="1"/>
  <c r="K32" i="25"/>
  <c r="D36" i="25" s="1"/>
  <c r="J32" i="25"/>
  <c r="C36" i="25" s="1"/>
  <c r="EA32" i="25"/>
  <c r="D46" i="25" s="1"/>
  <c r="V32" i="25"/>
  <c r="C37" i="25" s="1"/>
  <c r="E44" i="25"/>
  <c r="W32" i="25"/>
  <c r="D37" i="25" s="1"/>
  <c r="E178" i="5"/>
  <c r="D178" i="5"/>
  <c r="F178" i="5"/>
  <c r="AD11" i="2"/>
  <c r="G178" i="5"/>
  <c r="C178" i="5"/>
  <c r="AD12" i="2"/>
  <c r="J178" i="5"/>
  <c r="AD7" i="2"/>
  <c r="AD14" i="2"/>
  <c r="AD8" i="2"/>
  <c r="AD16" i="2"/>
  <c r="AD9" i="2"/>
  <c r="AD15" i="2"/>
  <c r="AD10" i="2"/>
  <c r="AD17" i="2"/>
  <c r="AD22" i="2"/>
  <c r="AD13" i="2"/>
  <c r="K178" i="5"/>
  <c r="AD20" i="2"/>
  <c r="AD18" i="2"/>
  <c r="H178" i="5"/>
  <c r="I178" i="5"/>
  <c r="L178" i="5"/>
  <c r="AD21" i="2"/>
  <c r="M178" i="5"/>
  <c r="B178" i="5"/>
  <c r="N177" i="5"/>
  <c r="AD3" i="2"/>
  <c r="AD5" i="2"/>
  <c r="AD19" i="2"/>
  <c r="Y10" i="7"/>
  <c r="DI10" i="28" s="1"/>
  <c r="Y9" i="7"/>
  <c r="DI9" i="28" s="1"/>
  <c r="Y8" i="7"/>
  <c r="DI8" i="28" s="1"/>
  <c r="Z24" i="2"/>
  <c r="O177" i="5" l="1"/>
  <c r="H9" i="30"/>
  <c r="E45" i="25"/>
  <c r="E43" i="25"/>
  <c r="E47" i="25"/>
  <c r="E40" i="25"/>
  <c r="E41" i="25"/>
  <c r="E38" i="25"/>
  <c r="E37" i="25"/>
  <c r="E46" i="25"/>
  <c r="E36" i="25"/>
  <c r="AD24" i="2"/>
  <c r="AD23" i="2"/>
  <c r="J375" i="1" l="1"/>
  <c r="AM25" i="2" l="1"/>
  <c r="DC4" i="3" l="1"/>
  <c r="Y26" i="2" l="1"/>
  <c r="Y21" i="20"/>
  <c r="Y20" i="20"/>
  <c r="Y19" i="20"/>
  <c r="Y18" i="20"/>
  <c r="Y17" i="20"/>
  <c r="Y16" i="20"/>
  <c r="Y15" i="20"/>
  <c r="Y14" i="20"/>
  <c r="Y13" i="20"/>
  <c r="Y10" i="20"/>
  <c r="Y9" i="20"/>
  <c r="W10" i="7" l="1"/>
  <c r="DG10" i="28" s="1"/>
  <c r="W9" i="7"/>
  <c r="DG9" i="28" s="1"/>
  <c r="W8" i="7"/>
  <c r="DG8" i="28" s="1"/>
  <c r="AL25" i="2"/>
  <c r="F34" i="6"/>
  <c r="X24" i="2" l="1"/>
  <c r="DO26" i="3" l="1"/>
  <c r="K25" i="22"/>
  <c r="K23" i="22"/>
  <c r="C31" i="22"/>
  <c r="F31" i="22" s="1"/>
  <c r="K39" i="22"/>
  <c r="K30" i="22"/>
  <c r="K28" i="22"/>
  <c r="K19" i="22"/>
  <c r="K17" i="22"/>
  <c r="K15" i="22"/>
  <c r="K13" i="22"/>
  <c r="E4" i="22"/>
  <c r="C3" i="22"/>
  <c r="D3" i="22" s="1"/>
  <c r="F30" i="22"/>
  <c r="F29" i="22"/>
  <c r="F28" i="22"/>
  <c r="F27" i="22"/>
  <c r="F25" i="22"/>
  <c r="F24" i="22"/>
  <c r="C23" i="22"/>
  <c r="F23" i="22" s="1"/>
  <c r="C20" i="22"/>
  <c r="F20" i="22" s="1"/>
  <c r="C19" i="22"/>
  <c r="F19" i="22" s="1"/>
  <c r="C18" i="22"/>
  <c r="F18" i="22" s="1"/>
  <c r="C17" i="22"/>
  <c r="F17" i="22" s="1"/>
  <c r="C16" i="22"/>
  <c r="F16" i="22" s="1"/>
  <c r="C15" i="22"/>
  <c r="F15" i="22" s="1"/>
  <c r="C14" i="22"/>
  <c r="F14" i="22" s="1"/>
  <c r="C13" i="22"/>
  <c r="F13" i="22" s="1"/>
  <c r="D4" i="22"/>
  <c r="CF1" i="3"/>
  <c r="CG1" i="3" s="1"/>
  <c r="CK2" i="3"/>
  <c r="CJ2" i="3"/>
  <c r="CG2" i="3"/>
  <c r="CH2" i="3" s="1"/>
  <c r="G15" i="22" l="1"/>
  <c r="H15" i="22" s="1"/>
  <c r="I4" i="22"/>
  <c r="F4" i="22"/>
  <c r="G13" i="22"/>
  <c r="H13" i="22" s="1"/>
  <c r="I5" i="22"/>
  <c r="G5" i="22"/>
  <c r="D10" i="22"/>
  <c r="I6" i="22"/>
  <c r="I7" i="22"/>
  <c r="G7" i="22"/>
  <c r="G16" i="22"/>
  <c r="H16" i="22" s="1"/>
  <c r="I3" i="22"/>
  <c r="F3" i="22"/>
  <c r="D9" i="22"/>
  <c r="G14" i="22"/>
  <c r="H14" i="22" s="1"/>
  <c r="D8" i="22"/>
  <c r="C8" i="22"/>
  <c r="G6" i="22" l="1"/>
  <c r="G24" i="22"/>
  <c r="H24" i="22" s="1"/>
  <c r="G19" i="22"/>
  <c r="H19" i="22" s="1"/>
  <c r="I13" i="22"/>
  <c r="G28" i="22"/>
  <c r="H28" i="22" s="1"/>
  <c r="G23" i="22"/>
  <c r="H23" i="22" s="1"/>
  <c r="G30" i="22"/>
  <c r="H30" i="22" s="1"/>
  <c r="G4" i="22"/>
  <c r="G17" i="22"/>
  <c r="H17" i="22" s="1"/>
  <c r="G31" i="22"/>
  <c r="H31" i="22" s="1"/>
  <c r="G27" i="22"/>
  <c r="H27" i="22" s="1"/>
  <c r="I27" i="22" s="1"/>
  <c r="K27" i="22" s="1"/>
  <c r="K32" i="22" s="1"/>
  <c r="K43" i="22" s="1"/>
  <c r="G20" i="22"/>
  <c r="H20" i="22" s="1"/>
  <c r="G25" i="22"/>
  <c r="H25" i="22" s="1"/>
  <c r="G29" i="22"/>
  <c r="H29" i="22" s="1"/>
  <c r="G3" i="22"/>
  <c r="G18" i="22"/>
  <c r="H18" i="22" s="1"/>
  <c r="I8" i="22"/>
  <c r="I15" i="22"/>
  <c r="I17" i="22" l="1"/>
  <c r="I28" i="22"/>
  <c r="I23" i="22"/>
  <c r="I30" i="22"/>
  <c r="G8" i="22"/>
  <c r="I19" i="22"/>
  <c r="D198" i="5" l="1"/>
  <c r="E198" i="5"/>
  <c r="BP26" i="28" l="1"/>
  <c r="BJ26" i="28"/>
  <c r="BD26" i="28"/>
  <c r="AX26" i="28"/>
  <c r="AR26" i="28"/>
  <c r="AL26" i="28"/>
  <c r="AF26" i="28"/>
  <c r="BX26" i="28" l="1"/>
  <c r="Q27" i="27" s="1"/>
  <c r="P22" i="7"/>
  <c r="P7" i="7"/>
  <c r="Q44" i="7" l="1"/>
  <c r="AB1" i="7"/>
  <c r="AB9" i="7" s="1"/>
  <c r="DL9" i="28" s="1"/>
  <c r="AA1" i="7"/>
  <c r="AA9" i="7" s="1"/>
  <c r="DK9" i="28" s="1"/>
  <c r="Z1" i="7"/>
  <c r="Z8" i="7" s="1"/>
  <c r="DJ8" i="28" s="1"/>
  <c r="Y1" i="7"/>
  <c r="X1" i="7"/>
  <c r="X8" i="7" s="1"/>
  <c r="DH8" i="28" s="1"/>
  <c r="W1" i="7"/>
  <c r="V1" i="7"/>
  <c r="AA8" i="7" l="1"/>
  <c r="DK8" i="28" s="1"/>
  <c r="AB8" i="7"/>
  <c r="DL8" i="28" s="1"/>
  <c r="AC33" i="7"/>
  <c r="X9" i="7"/>
  <c r="DH9" i="28" s="1"/>
  <c r="V9" i="7"/>
  <c r="DF9" i="28" s="1"/>
  <c r="V10" i="7"/>
  <c r="DF10" i="28" s="1"/>
  <c r="AB10" i="7"/>
  <c r="DL10" i="28" s="1"/>
  <c r="Z9" i="7"/>
  <c r="DJ9" i="28" s="1"/>
  <c r="X10" i="7"/>
  <c r="DH10" i="28" s="1"/>
  <c r="Z10" i="7"/>
  <c r="DJ10" i="28" s="1"/>
  <c r="V8" i="7"/>
  <c r="DF8" i="28" s="1"/>
  <c r="AA10" i="7"/>
  <c r="DK10" i="28" s="1"/>
  <c r="AC8" i="7" l="1"/>
  <c r="AC10" i="7"/>
  <c r="AC9" i="7"/>
  <c r="BW9" i="28" l="1"/>
  <c r="BW10" i="28"/>
  <c r="BW8" i="28"/>
  <c r="CF8" i="28" s="1"/>
  <c r="S183" i="4"/>
  <c r="S201" i="4"/>
  <c r="S202" i="4"/>
  <c r="S200" i="4"/>
  <c r="S187" i="4"/>
  <c r="S184" i="4"/>
  <c r="S185" i="4"/>
  <c r="S182" i="4"/>
  <c r="L199" i="4"/>
  <c r="L198" i="4"/>
  <c r="L197" i="4"/>
  <c r="L196" i="4"/>
  <c r="P9" i="27" l="1"/>
  <c r="P11" i="27"/>
  <c r="CF10" i="28"/>
  <c r="P10" i="27"/>
  <c r="S199" i="4"/>
  <c r="S188" i="4"/>
  <c r="O42" i="7"/>
  <c r="N42" i="7"/>
  <c r="M42" i="7"/>
  <c r="L42" i="7"/>
  <c r="K42" i="7"/>
  <c r="J42" i="7"/>
  <c r="I42" i="7"/>
  <c r="O43" i="7"/>
  <c r="N43" i="7"/>
  <c r="M43" i="7"/>
  <c r="L43" i="7"/>
  <c r="K43" i="7"/>
  <c r="J43" i="7"/>
  <c r="I43" i="7"/>
  <c r="P32" i="7"/>
  <c r="P29" i="7"/>
  <c r="P43" i="7" l="1"/>
  <c r="R43" i="7" s="1"/>
  <c r="P42" i="7"/>
  <c r="R42" i="7" s="1"/>
  <c r="K18" i="2"/>
  <c r="M18" i="2" s="1"/>
  <c r="K31" i="20" l="1"/>
  <c r="K30" i="20"/>
  <c r="K29" i="20"/>
  <c r="K28" i="20"/>
  <c r="I27" i="20"/>
  <c r="BF26" i="20"/>
  <c r="BF28" i="20" s="1"/>
  <c r="BE26" i="20"/>
  <c r="BE28" i="20" s="1"/>
  <c r="AC24" i="20"/>
  <c r="AB24" i="20"/>
  <c r="AA24" i="20"/>
  <c r="Z24" i="20"/>
  <c r="Y24" i="20"/>
  <c r="X24" i="20"/>
  <c r="W24" i="20"/>
  <c r="V24" i="20"/>
  <c r="U24" i="20"/>
  <c r="T24" i="20"/>
  <c r="S24" i="20"/>
  <c r="R24" i="20"/>
  <c r="AC23" i="20"/>
  <c r="AB23" i="20"/>
  <c r="AA23" i="20"/>
  <c r="Z23" i="20"/>
  <c r="Y23" i="20"/>
  <c r="X23" i="20"/>
  <c r="W23" i="20"/>
  <c r="V23" i="20"/>
  <c r="U23" i="20"/>
  <c r="T23" i="20"/>
  <c r="S23" i="20"/>
  <c r="R23" i="20"/>
  <c r="L23" i="20"/>
  <c r="F23" i="20"/>
  <c r="N22" i="20"/>
  <c r="AF22" i="20" s="1"/>
  <c r="AS22" i="20" s="1"/>
  <c r="BF22" i="20" s="1"/>
  <c r="K22" i="20"/>
  <c r="M22" i="20" s="1"/>
  <c r="N21" i="20"/>
  <c r="K21" i="20"/>
  <c r="M21" i="20" s="1"/>
  <c r="N20" i="20"/>
  <c r="AN20" i="20" s="1"/>
  <c r="BA20" i="20" s="1"/>
  <c r="BN20" i="20" s="1"/>
  <c r="K20" i="20"/>
  <c r="M20" i="20" s="1"/>
  <c r="N19" i="20"/>
  <c r="AF19" i="20" s="1"/>
  <c r="AS19" i="20" s="1"/>
  <c r="BF19" i="20" s="1"/>
  <c r="K19" i="20"/>
  <c r="M19" i="20" s="1"/>
  <c r="N18" i="20"/>
  <c r="AL18" i="20" s="1"/>
  <c r="AY18" i="20" s="1"/>
  <c r="BL18" i="20" s="1"/>
  <c r="K18" i="20"/>
  <c r="M18" i="20" s="1"/>
  <c r="N17" i="20"/>
  <c r="AG17" i="20" s="1"/>
  <c r="AT17" i="20" s="1"/>
  <c r="BG17" i="20" s="1"/>
  <c r="K17" i="20"/>
  <c r="M17" i="20" s="1"/>
  <c r="N16" i="20"/>
  <c r="AF16" i="20" s="1"/>
  <c r="AS16" i="20" s="1"/>
  <c r="BF16" i="20" s="1"/>
  <c r="K16" i="20"/>
  <c r="M16" i="20" s="1"/>
  <c r="N15" i="20"/>
  <c r="K15" i="20"/>
  <c r="M15" i="20" s="1"/>
  <c r="N14" i="20"/>
  <c r="AG14" i="20" s="1"/>
  <c r="AT14" i="20" s="1"/>
  <c r="BG14" i="20" s="1"/>
  <c r="K14" i="20"/>
  <c r="M14" i="20" s="1"/>
  <c r="N13" i="20"/>
  <c r="AF13" i="20" s="1"/>
  <c r="AS13" i="20" s="1"/>
  <c r="BF13" i="20" s="1"/>
  <c r="K13" i="20"/>
  <c r="M13" i="20" s="1"/>
  <c r="N12" i="20"/>
  <c r="AP12" i="20" s="1"/>
  <c r="BC12" i="20" s="1"/>
  <c r="BP12" i="20" s="1"/>
  <c r="K12" i="20"/>
  <c r="M12" i="20" s="1"/>
  <c r="N11" i="20"/>
  <c r="AI11" i="20" s="1"/>
  <c r="AV11" i="20" s="1"/>
  <c r="BI11" i="20" s="1"/>
  <c r="K11" i="20"/>
  <c r="M11" i="20" s="1"/>
  <c r="N10" i="20"/>
  <c r="AF10" i="20" s="1"/>
  <c r="AS10" i="20" s="1"/>
  <c r="BF10" i="20" s="1"/>
  <c r="K10" i="20"/>
  <c r="M10" i="20" s="1"/>
  <c r="A10" i="20"/>
  <c r="A11" i="20" s="1"/>
  <c r="A12" i="20" s="1"/>
  <c r="A13" i="20" s="1"/>
  <c r="A14" i="20" s="1"/>
  <c r="A15" i="20" s="1"/>
  <c r="A16" i="20" s="1"/>
  <c r="A17" i="20" s="1"/>
  <c r="A18" i="20" s="1"/>
  <c r="A19" i="20" s="1"/>
  <c r="A20" i="20" s="1"/>
  <c r="A21" i="20" s="1"/>
  <c r="A22" i="20" s="1"/>
  <c r="N9" i="20"/>
  <c r="AF9" i="20" s="1"/>
  <c r="AS9" i="20" s="1"/>
  <c r="BF9" i="20" s="1"/>
  <c r="K9" i="20"/>
  <c r="M9" i="20" s="1"/>
  <c r="N8" i="20"/>
  <c r="AM8" i="20" s="1"/>
  <c r="AZ8" i="20" s="1"/>
  <c r="BM8" i="20" s="1"/>
  <c r="K8" i="20"/>
  <c r="M8" i="20" s="1"/>
  <c r="N7" i="20"/>
  <c r="AP7" i="20" s="1"/>
  <c r="BC7" i="20" s="1"/>
  <c r="BP7" i="20" s="1"/>
  <c r="K7" i="20"/>
  <c r="M7" i="20" s="1"/>
  <c r="N5" i="20"/>
  <c r="AP5" i="20" s="1"/>
  <c r="BC5" i="20" s="1"/>
  <c r="BP5" i="20" s="1"/>
  <c r="K5" i="20"/>
  <c r="M5" i="20" s="1"/>
  <c r="BT3" i="20"/>
  <c r="BU3" i="20" s="1"/>
  <c r="BV3" i="20" s="1"/>
  <c r="N3" i="20"/>
  <c r="AM3" i="20" s="1"/>
  <c r="K3" i="20"/>
  <c r="AM22" i="20" l="1"/>
  <c r="AZ22" i="20" s="1"/>
  <c r="BM22" i="20" s="1"/>
  <c r="AN22" i="20"/>
  <c r="BA22" i="20" s="1"/>
  <c r="BN22" i="20" s="1"/>
  <c r="AO22" i="20"/>
  <c r="BB22" i="20" s="1"/>
  <c r="BO22" i="20" s="1"/>
  <c r="AO16" i="20"/>
  <c r="BB16" i="20" s="1"/>
  <c r="BO16" i="20" s="1"/>
  <c r="AJ8" i="20"/>
  <c r="AW8" i="20" s="1"/>
  <c r="BJ8" i="20" s="1"/>
  <c r="AN8" i="20"/>
  <c r="BA8" i="20" s="1"/>
  <c r="BN8" i="20" s="1"/>
  <c r="AO8" i="20"/>
  <c r="BB8" i="20" s="1"/>
  <c r="BO8" i="20" s="1"/>
  <c r="AK8" i="20"/>
  <c r="AX8" i="20" s="1"/>
  <c r="BK8" i="20" s="1"/>
  <c r="AO9" i="20"/>
  <c r="BB9" i="20" s="1"/>
  <c r="BO9" i="20" s="1"/>
  <c r="AN9" i="20"/>
  <c r="BA9" i="20" s="1"/>
  <c r="BN9" i="20" s="1"/>
  <c r="AO10" i="20"/>
  <c r="BB10" i="20" s="1"/>
  <c r="BO10" i="20" s="1"/>
  <c r="AJ14" i="20"/>
  <c r="AW14" i="20" s="1"/>
  <c r="BJ14" i="20" s="1"/>
  <c r="AJ17" i="20"/>
  <c r="AW17" i="20" s="1"/>
  <c r="BJ17" i="20" s="1"/>
  <c r="AO20" i="20"/>
  <c r="BB20" i="20" s="1"/>
  <c r="BO20" i="20" s="1"/>
  <c r="AI17" i="20"/>
  <c r="AV17" i="20" s="1"/>
  <c r="BI17" i="20" s="1"/>
  <c r="AK14" i="20"/>
  <c r="AX14" i="20" s="1"/>
  <c r="BK14" i="20" s="1"/>
  <c r="AK17" i="20"/>
  <c r="AX17" i="20" s="1"/>
  <c r="BK17" i="20" s="1"/>
  <c r="AK20" i="20"/>
  <c r="AX20" i="20" s="1"/>
  <c r="BK20" i="20" s="1"/>
  <c r="AO17" i="20"/>
  <c r="BB17" i="20" s="1"/>
  <c r="BO17" i="20" s="1"/>
  <c r="AL9" i="20"/>
  <c r="AY9" i="20" s="1"/>
  <c r="BL9" i="20" s="1"/>
  <c r="AP17" i="20"/>
  <c r="BC17" i="20" s="1"/>
  <c r="BP17" i="20" s="1"/>
  <c r="AH17" i="20"/>
  <c r="AU17" i="20" s="1"/>
  <c r="BH17" i="20" s="1"/>
  <c r="AH14" i="20"/>
  <c r="AU14" i="20" s="1"/>
  <c r="BH14" i="20" s="1"/>
  <c r="AK22" i="20"/>
  <c r="AX22" i="20" s="1"/>
  <c r="BK22" i="20" s="1"/>
  <c r="AM10" i="20"/>
  <c r="AZ10" i="20" s="1"/>
  <c r="BM10" i="20" s="1"/>
  <c r="AF14" i="20"/>
  <c r="AS14" i="20" s="1"/>
  <c r="BF14" i="20" s="1"/>
  <c r="AG20" i="20"/>
  <c r="AT20" i="20" s="1"/>
  <c r="BG20" i="20" s="1"/>
  <c r="AN10" i="20"/>
  <c r="BA10" i="20" s="1"/>
  <c r="BN10" i="20" s="1"/>
  <c r="AP9" i="20"/>
  <c r="BC9" i="20" s="1"/>
  <c r="BP9" i="20" s="1"/>
  <c r="AN16" i="20"/>
  <c r="BA16" i="20" s="1"/>
  <c r="BN16" i="20" s="1"/>
  <c r="AL22" i="20"/>
  <c r="AY22" i="20" s="1"/>
  <c r="BL22" i="20" s="1"/>
  <c r="AG19" i="20"/>
  <c r="AT19" i="20" s="1"/>
  <c r="BG19" i="20" s="1"/>
  <c r="AF7" i="20"/>
  <c r="AS7" i="20" s="1"/>
  <c r="BF7" i="20" s="1"/>
  <c r="AG13" i="20"/>
  <c r="AT13" i="20" s="1"/>
  <c r="BG13" i="20" s="1"/>
  <c r="AJ19" i="20"/>
  <c r="AW19" i="20" s="1"/>
  <c r="BJ19" i="20" s="1"/>
  <c r="AH13" i="20"/>
  <c r="AU13" i="20" s="1"/>
  <c r="BH13" i="20" s="1"/>
  <c r="AH3" i="20"/>
  <c r="AU3" i="20" s="1"/>
  <c r="BH3" i="20" s="1"/>
  <c r="AJ7" i="20"/>
  <c r="AW7" i="20" s="1"/>
  <c r="BJ7" i="20" s="1"/>
  <c r="AG16" i="20"/>
  <c r="AT16" i="20" s="1"/>
  <c r="BG16" i="20" s="1"/>
  <c r="AJ3" i="20"/>
  <c r="AW3" i="20" s="1"/>
  <c r="BJ3" i="20" s="1"/>
  <c r="AL7" i="20"/>
  <c r="AY7" i="20" s="1"/>
  <c r="BL7" i="20" s="1"/>
  <c r="AF8" i="20"/>
  <c r="AS8" i="20" s="1"/>
  <c r="BF8" i="20" s="1"/>
  <c r="AH10" i="20"/>
  <c r="AU10" i="20" s="1"/>
  <c r="BH10" i="20" s="1"/>
  <c r="AM13" i="20"/>
  <c r="AZ13" i="20" s="1"/>
  <c r="BM13" i="20" s="1"/>
  <c r="AJ16" i="20"/>
  <c r="AW16" i="20" s="1"/>
  <c r="BJ16" i="20" s="1"/>
  <c r="AO19" i="20"/>
  <c r="BB19" i="20" s="1"/>
  <c r="BO19" i="20" s="1"/>
  <c r="AN3" i="20"/>
  <c r="BA3" i="20" s="1"/>
  <c r="BN3" i="20" s="1"/>
  <c r="AH8" i="20"/>
  <c r="AU8" i="20" s="1"/>
  <c r="BH8" i="20" s="1"/>
  <c r="AI20" i="20"/>
  <c r="AV20" i="20" s="1"/>
  <c r="BI20" i="20" s="1"/>
  <c r="AH22" i="20"/>
  <c r="AU22" i="20" s="1"/>
  <c r="BH22" i="20" s="1"/>
  <c r="AN7" i="20"/>
  <c r="BA7" i="20" s="1"/>
  <c r="BN7" i="20" s="1"/>
  <c r="AK10" i="20"/>
  <c r="AX10" i="20" s="1"/>
  <c r="BK10" i="20" s="1"/>
  <c r="AO13" i="20"/>
  <c r="BB13" i="20" s="1"/>
  <c r="BO13" i="20" s="1"/>
  <c r="AL16" i="20"/>
  <c r="AY16" i="20" s="1"/>
  <c r="BL16" i="20" s="1"/>
  <c r="AO3" i="20"/>
  <c r="BB3" i="20" s="1"/>
  <c r="BO3" i="20" s="1"/>
  <c r="AI8" i="20"/>
  <c r="AV8" i="20" s="1"/>
  <c r="BI8" i="20" s="1"/>
  <c r="AL10" i="20"/>
  <c r="AY10" i="20" s="1"/>
  <c r="BL10" i="20" s="1"/>
  <c r="AI14" i="20"/>
  <c r="AV14" i="20" s="1"/>
  <c r="BI14" i="20" s="1"/>
  <c r="AM16" i="20"/>
  <c r="AZ16" i="20" s="1"/>
  <c r="BM16" i="20" s="1"/>
  <c r="AJ20" i="20"/>
  <c r="AW20" i="20" s="1"/>
  <c r="BJ20" i="20" s="1"/>
  <c r="AJ22" i="20"/>
  <c r="AW22" i="20" s="1"/>
  <c r="BJ22" i="20" s="1"/>
  <c r="AG3" i="20"/>
  <c r="AT3" i="20" s="1"/>
  <c r="BG3" i="20" s="1"/>
  <c r="AI7" i="20"/>
  <c r="AV7" i="20" s="1"/>
  <c r="BI7" i="20" s="1"/>
  <c r="AM19" i="20"/>
  <c r="AZ19" i="20" s="1"/>
  <c r="BM19" i="20" s="1"/>
  <c r="AI3" i="20"/>
  <c r="AK7" i="20"/>
  <c r="AX7" i="20" s="1"/>
  <c r="BK7" i="20" s="1"/>
  <c r="AE8" i="20"/>
  <c r="AR8" i="20" s="1"/>
  <c r="BE8" i="20" s="1"/>
  <c r="AG10" i="20"/>
  <c r="AT10" i="20" s="1"/>
  <c r="BG10" i="20" s="1"/>
  <c r="AL13" i="20"/>
  <c r="AY13" i="20" s="1"/>
  <c r="BL13" i="20" s="1"/>
  <c r="AH16" i="20"/>
  <c r="AU16" i="20" s="1"/>
  <c r="BH16" i="20" s="1"/>
  <c r="AN19" i="20"/>
  <c r="BA19" i="20" s="1"/>
  <c r="BN19" i="20" s="1"/>
  <c r="AF20" i="20"/>
  <c r="AS20" i="20" s="1"/>
  <c r="BF20" i="20" s="1"/>
  <c r="AE7" i="20"/>
  <c r="AR7" i="20" s="1"/>
  <c r="BE7" i="20" s="1"/>
  <c r="AH19" i="20"/>
  <c r="AU19" i="20" s="1"/>
  <c r="BH19" i="20" s="1"/>
  <c r="AE3" i="20"/>
  <c r="AR3" i="20" s="1"/>
  <c r="BE3" i="20" s="1"/>
  <c r="AG7" i="20"/>
  <c r="AT7" i="20" s="1"/>
  <c r="BG7" i="20" s="1"/>
  <c r="AF3" i="20"/>
  <c r="AS3" i="20" s="1"/>
  <c r="BF3" i="20" s="1"/>
  <c r="AH7" i="20"/>
  <c r="AU7" i="20" s="1"/>
  <c r="BH7" i="20" s="1"/>
  <c r="AK19" i="20"/>
  <c r="AX19" i="20" s="1"/>
  <c r="BK19" i="20" s="1"/>
  <c r="AJ13" i="20"/>
  <c r="AW13" i="20" s="1"/>
  <c r="BJ13" i="20" s="1"/>
  <c r="AL19" i="20"/>
  <c r="AY19" i="20" s="1"/>
  <c r="BL19" i="20" s="1"/>
  <c r="AK13" i="20"/>
  <c r="AX13" i="20" s="1"/>
  <c r="BK13" i="20" s="1"/>
  <c r="AK3" i="20"/>
  <c r="AX3" i="20" s="1"/>
  <c r="BK3" i="20" s="1"/>
  <c r="AM7" i="20"/>
  <c r="AZ7" i="20" s="1"/>
  <c r="BM7" i="20" s="1"/>
  <c r="AG8" i="20"/>
  <c r="AT8" i="20" s="1"/>
  <c r="BG8" i="20" s="1"/>
  <c r="AJ10" i="20"/>
  <c r="AW10" i="20" s="1"/>
  <c r="BJ10" i="20" s="1"/>
  <c r="AN13" i="20"/>
  <c r="BA13" i="20" s="1"/>
  <c r="BN13" i="20" s="1"/>
  <c r="AK16" i="20"/>
  <c r="AX16" i="20" s="1"/>
  <c r="BK16" i="20" s="1"/>
  <c r="AH20" i="20"/>
  <c r="AU20" i="20" s="1"/>
  <c r="BH20" i="20" s="1"/>
  <c r="AG22" i="20"/>
  <c r="AT22" i="20" s="1"/>
  <c r="BG22" i="20" s="1"/>
  <c r="AJ21" i="20"/>
  <c r="AW21" i="20" s="1"/>
  <c r="BJ21" i="20" s="1"/>
  <c r="AH21" i="20"/>
  <c r="AU21" i="20" s="1"/>
  <c r="BH21" i="20" s="1"/>
  <c r="AI21" i="20"/>
  <c r="AV21" i="20" s="1"/>
  <c r="BI21" i="20" s="1"/>
  <c r="AM21" i="20"/>
  <c r="AZ21" i="20" s="1"/>
  <c r="BM21" i="20" s="1"/>
  <c r="AL21" i="20"/>
  <c r="AY21" i="20" s="1"/>
  <c r="BL21" i="20" s="1"/>
  <c r="AP21" i="20"/>
  <c r="BC21" i="20" s="1"/>
  <c r="BP21" i="20" s="1"/>
  <c r="AO21" i="20"/>
  <c r="BB21" i="20" s="1"/>
  <c r="BO21" i="20" s="1"/>
  <c r="AN21" i="20"/>
  <c r="BA21" i="20" s="1"/>
  <c r="BN21" i="20" s="1"/>
  <c r="AK21" i="20"/>
  <c r="AX21" i="20" s="1"/>
  <c r="BK21" i="20" s="1"/>
  <c r="AG21" i="20"/>
  <c r="AT21" i="20" s="1"/>
  <c r="BG21" i="20" s="1"/>
  <c r="AE21" i="20"/>
  <c r="AR21" i="20" s="1"/>
  <c r="BE21" i="20" s="1"/>
  <c r="AJ12" i="20"/>
  <c r="AW12" i="20" s="1"/>
  <c r="BJ12" i="20" s="1"/>
  <c r="AH12" i="20"/>
  <c r="AU12" i="20" s="1"/>
  <c r="BH12" i="20" s="1"/>
  <c r="AI12" i="20"/>
  <c r="AV12" i="20" s="1"/>
  <c r="BI12" i="20" s="1"/>
  <c r="AM12" i="20"/>
  <c r="AZ12" i="20" s="1"/>
  <c r="BM12" i="20" s="1"/>
  <c r="AN12" i="20"/>
  <c r="BA12" i="20" s="1"/>
  <c r="BN12" i="20" s="1"/>
  <c r="AL12" i="20"/>
  <c r="AY12" i="20" s="1"/>
  <c r="BL12" i="20" s="1"/>
  <c r="AK12" i="20"/>
  <c r="AX12" i="20" s="1"/>
  <c r="BK12" i="20" s="1"/>
  <c r="AG12" i="20"/>
  <c r="AT12" i="20" s="1"/>
  <c r="BG12" i="20" s="1"/>
  <c r="AF12" i="20"/>
  <c r="AS12" i="20" s="1"/>
  <c r="BF12" i="20" s="1"/>
  <c r="AF21" i="20"/>
  <c r="AS21" i="20" s="1"/>
  <c r="BF21" i="20" s="1"/>
  <c r="AE12" i="20"/>
  <c r="AR12" i="20" s="1"/>
  <c r="BE12" i="20" s="1"/>
  <c r="AN14" i="20"/>
  <c r="BA14" i="20" s="1"/>
  <c r="BN14" i="20" s="1"/>
  <c r="AM14" i="20"/>
  <c r="AZ14" i="20" s="1"/>
  <c r="BM14" i="20" s="1"/>
  <c r="AL14" i="20"/>
  <c r="AY14" i="20" s="1"/>
  <c r="BL14" i="20" s="1"/>
  <c r="AE14" i="20"/>
  <c r="AR14" i="20" s="1"/>
  <c r="BE14" i="20" s="1"/>
  <c r="AP14" i="20"/>
  <c r="BC14" i="20" s="1"/>
  <c r="BP14" i="20" s="1"/>
  <c r="AO14" i="20"/>
  <c r="BB14" i="20" s="1"/>
  <c r="BO14" i="20" s="1"/>
  <c r="AG5" i="20"/>
  <c r="AT5" i="20" s="1"/>
  <c r="BG5" i="20" s="1"/>
  <c r="AF5" i="20"/>
  <c r="AJ5" i="20"/>
  <c r="AW5" i="20" s="1"/>
  <c r="BJ5" i="20" s="1"/>
  <c r="AN5" i="20"/>
  <c r="BA5" i="20" s="1"/>
  <c r="BN5" i="20" s="1"/>
  <c r="AM5" i="20"/>
  <c r="AZ5" i="20" s="1"/>
  <c r="BM5" i="20" s="1"/>
  <c r="AK5" i="20"/>
  <c r="AX5" i="20" s="1"/>
  <c r="BK5" i="20" s="1"/>
  <c r="AJ18" i="20"/>
  <c r="AW18" i="20" s="1"/>
  <c r="BJ18" i="20" s="1"/>
  <c r="AI18" i="20"/>
  <c r="AV18" i="20" s="1"/>
  <c r="BI18" i="20" s="1"/>
  <c r="AH18" i="20"/>
  <c r="AU18" i="20" s="1"/>
  <c r="BH18" i="20" s="1"/>
  <c r="AM18" i="20"/>
  <c r="AZ18" i="20" s="1"/>
  <c r="BM18" i="20" s="1"/>
  <c r="AP18" i="20"/>
  <c r="BC18" i="20" s="1"/>
  <c r="BP18" i="20" s="1"/>
  <c r="AO18" i="20"/>
  <c r="BB18" i="20" s="1"/>
  <c r="BO18" i="20" s="1"/>
  <c r="AN18" i="20"/>
  <c r="BA18" i="20" s="1"/>
  <c r="BN18" i="20" s="1"/>
  <c r="AE5" i="20"/>
  <c r="AR5" i="20" s="1"/>
  <c r="BE5" i="20" s="1"/>
  <c r="AE18" i="20"/>
  <c r="AR18" i="20" s="1"/>
  <c r="BE18" i="20" s="1"/>
  <c r="AH5" i="20"/>
  <c r="AU5" i="20" s="1"/>
  <c r="BH5" i="20" s="1"/>
  <c r="AF18" i="20"/>
  <c r="AS18" i="20" s="1"/>
  <c r="BF18" i="20" s="1"/>
  <c r="AI5" i="20"/>
  <c r="AV5" i="20" s="1"/>
  <c r="BI5" i="20" s="1"/>
  <c r="AN11" i="20"/>
  <c r="BA11" i="20" s="1"/>
  <c r="BN11" i="20" s="1"/>
  <c r="AM11" i="20"/>
  <c r="AZ11" i="20" s="1"/>
  <c r="BM11" i="20" s="1"/>
  <c r="AL11" i="20"/>
  <c r="AY11" i="20" s="1"/>
  <c r="BL11" i="20" s="1"/>
  <c r="AE11" i="20"/>
  <c r="AR11" i="20" s="1"/>
  <c r="BE11" i="20" s="1"/>
  <c r="AP11" i="20"/>
  <c r="BC11" i="20" s="1"/>
  <c r="BP11" i="20" s="1"/>
  <c r="AK11" i="20"/>
  <c r="AX11" i="20" s="1"/>
  <c r="BK11" i="20" s="1"/>
  <c r="AJ11" i="20"/>
  <c r="AW11" i="20" s="1"/>
  <c r="BJ11" i="20" s="1"/>
  <c r="AJ15" i="20"/>
  <c r="AW15" i="20" s="1"/>
  <c r="BJ15" i="20" s="1"/>
  <c r="AI15" i="20"/>
  <c r="AV15" i="20" s="1"/>
  <c r="BI15" i="20" s="1"/>
  <c r="AH15" i="20"/>
  <c r="AU15" i="20" s="1"/>
  <c r="BH15" i="20" s="1"/>
  <c r="AM15" i="20"/>
  <c r="AZ15" i="20" s="1"/>
  <c r="BM15" i="20" s="1"/>
  <c r="AP15" i="20"/>
  <c r="BC15" i="20" s="1"/>
  <c r="BP15" i="20" s="1"/>
  <c r="AO15" i="20"/>
  <c r="BB15" i="20" s="1"/>
  <c r="BO15" i="20" s="1"/>
  <c r="AN15" i="20"/>
  <c r="BA15" i="20" s="1"/>
  <c r="BN15" i="20" s="1"/>
  <c r="AL15" i="20"/>
  <c r="AY15" i="20" s="1"/>
  <c r="BL15" i="20" s="1"/>
  <c r="AK15" i="20"/>
  <c r="AX15" i="20" s="1"/>
  <c r="BK15" i="20" s="1"/>
  <c r="AG18" i="20"/>
  <c r="AT18" i="20" s="1"/>
  <c r="BG18" i="20" s="1"/>
  <c r="AL5" i="20"/>
  <c r="AY5" i="20" s="1"/>
  <c r="BL5" i="20" s="1"/>
  <c r="AF11" i="20"/>
  <c r="AS11" i="20" s="1"/>
  <c r="BF11" i="20" s="1"/>
  <c r="AE15" i="20"/>
  <c r="AR15" i="20" s="1"/>
  <c r="BE15" i="20" s="1"/>
  <c r="AK18" i="20"/>
  <c r="AX18" i="20" s="1"/>
  <c r="BK18" i="20" s="1"/>
  <c r="AO5" i="20"/>
  <c r="BB5" i="20" s="1"/>
  <c r="BO5" i="20" s="1"/>
  <c r="AG11" i="20"/>
  <c r="AT11" i="20" s="1"/>
  <c r="BG11" i="20" s="1"/>
  <c r="AF15" i="20"/>
  <c r="AS15" i="20" s="1"/>
  <c r="BF15" i="20" s="1"/>
  <c r="K23" i="20"/>
  <c r="AH11" i="20"/>
  <c r="AU11" i="20" s="1"/>
  <c r="BH11" i="20" s="1"/>
  <c r="AG15" i="20"/>
  <c r="AT15" i="20" s="1"/>
  <c r="BG15" i="20" s="1"/>
  <c r="BE29" i="20"/>
  <c r="M3" i="20"/>
  <c r="M23" i="20" s="1"/>
  <c r="AZ3" i="20"/>
  <c r="BM3" i="20" s="1"/>
  <c r="AO11" i="20"/>
  <c r="BB11" i="20" s="1"/>
  <c r="BO11" i="20" s="1"/>
  <c r="AO12" i="20"/>
  <c r="BB12" i="20" s="1"/>
  <c r="BO12" i="20" s="1"/>
  <c r="AJ9" i="20"/>
  <c r="AW9" i="20" s="1"/>
  <c r="BJ9" i="20" s="1"/>
  <c r="AI9" i="20"/>
  <c r="AV9" i="20" s="1"/>
  <c r="BI9" i="20" s="1"/>
  <c r="AH9" i="20"/>
  <c r="AU9" i="20" s="1"/>
  <c r="BH9" i="20" s="1"/>
  <c r="AM9" i="20"/>
  <c r="AZ9" i="20" s="1"/>
  <c r="BM9" i="20" s="1"/>
  <c r="AE9" i="20"/>
  <c r="AR9" i="20" s="1"/>
  <c r="BE9" i="20" s="1"/>
  <c r="AG9" i="20"/>
  <c r="AT9" i="20" s="1"/>
  <c r="BG9" i="20" s="1"/>
  <c r="AN17" i="20"/>
  <c r="BA17" i="20" s="1"/>
  <c r="BN17" i="20" s="1"/>
  <c r="AM17" i="20"/>
  <c r="AZ17" i="20" s="1"/>
  <c r="BM17" i="20" s="1"/>
  <c r="AL17" i="20"/>
  <c r="AY17" i="20" s="1"/>
  <c r="BL17" i="20" s="1"/>
  <c r="AE17" i="20"/>
  <c r="AR17" i="20" s="1"/>
  <c r="BE17" i="20" s="1"/>
  <c r="AK9" i="20"/>
  <c r="AX9" i="20" s="1"/>
  <c r="BK9" i="20" s="1"/>
  <c r="AF17" i="20"/>
  <c r="AS17" i="20" s="1"/>
  <c r="BF17" i="20" s="1"/>
  <c r="AP20" i="20"/>
  <c r="BC20" i="20" s="1"/>
  <c r="BP20" i="20" s="1"/>
  <c r="AP3" i="20"/>
  <c r="AP8" i="20"/>
  <c r="BC8" i="20" s="1"/>
  <c r="BP8" i="20" s="1"/>
  <c r="AI10" i="20"/>
  <c r="AV10" i="20" s="1"/>
  <c r="BI10" i="20" s="1"/>
  <c r="AI13" i="20"/>
  <c r="AV13" i="20" s="1"/>
  <c r="BI13" i="20" s="1"/>
  <c r="AI16" i="20"/>
  <c r="AV16" i="20" s="1"/>
  <c r="BI16" i="20" s="1"/>
  <c r="AI19" i="20"/>
  <c r="AV19" i="20" s="1"/>
  <c r="BI19" i="20" s="1"/>
  <c r="AE20" i="20"/>
  <c r="AR20" i="20" s="1"/>
  <c r="BE20" i="20" s="1"/>
  <c r="AI22" i="20"/>
  <c r="AV22" i="20" s="1"/>
  <c r="BI22" i="20" s="1"/>
  <c r="AP19" i="20"/>
  <c r="BC19" i="20" s="1"/>
  <c r="BP19" i="20" s="1"/>
  <c r="AL3" i="20"/>
  <c r="AO7" i="20"/>
  <c r="BB7" i="20" s="1"/>
  <c r="BO7" i="20" s="1"/>
  <c r="AL8" i="20"/>
  <c r="AY8" i="20" s="1"/>
  <c r="BL8" i="20" s="1"/>
  <c r="AE10" i="20"/>
  <c r="AR10" i="20" s="1"/>
  <c r="BE10" i="20" s="1"/>
  <c r="AE13" i="20"/>
  <c r="AR13" i="20" s="1"/>
  <c r="BE13" i="20" s="1"/>
  <c r="AE16" i="20"/>
  <c r="AR16" i="20" s="1"/>
  <c r="BE16" i="20" s="1"/>
  <c r="AE19" i="20"/>
  <c r="AR19" i="20" s="1"/>
  <c r="BE19" i="20" s="1"/>
  <c r="AM20" i="20"/>
  <c r="AZ20" i="20" s="1"/>
  <c r="BM20" i="20" s="1"/>
  <c r="AE22" i="20"/>
  <c r="AR22" i="20" s="1"/>
  <c r="BE22" i="20" s="1"/>
  <c r="AP10" i="20"/>
  <c r="BC10" i="20" s="1"/>
  <c r="BP10" i="20" s="1"/>
  <c r="AP13" i="20"/>
  <c r="BC13" i="20" s="1"/>
  <c r="BP13" i="20" s="1"/>
  <c r="AP16" i="20"/>
  <c r="BC16" i="20" s="1"/>
  <c r="BP16" i="20" s="1"/>
  <c r="AL20" i="20"/>
  <c r="AY20" i="20" s="1"/>
  <c r="BL20" i="20" s="1"/>
  <c r="AP22" i="20"/>
  <c r="BC22" i="20" s="1"/>
  <c r="BP22" i="20" s="1"/>
  <c r="BO23" i="20" l="1"/>
  <c r="AV3" i="20"/>
  <c r="BI3" i="20" s="1"/>
  <c r="BI23" i="20" s="1"/>
  <c r="AI23" i="20"/>
  <c r="BE23" i="20"/>
  <c r="AH23" i="20"/>
  <c r="BG23" i="20"/>
  <c r="BN23" i="20"/>
  <c r="AY3" i="20"/>
  <c r="BL3" i="20" s="1"/>
  <c r="BL23" i="20" s="1"/>
  <c r="AL23" i="20"/>
  <c r="AG23" i="20"/>
  <c r="BM23" i="20"/>
  <c r="BJ23" i="20"/>
  <c r="AO23" i="20"/>
  <c r="BH23" i="20"/>
  <c r="BK23" i="20"/>
  <c r="AM23" i="20"/>
  <c r="AN23" i="20"/>
  <c r="AJ23" i="20"/>
  <c r="AE23" i="20"/>
  <c r="AS5" i="20"/>
  <c r="BF5" i="20" s="1"/>
  <c r="BF23" i="20" s="1"/>
  <c r="AF23" i="20"/>
  <c r="AK23" i="20"/>
  <c r="BC3" i="20"/>
  <c r="BP3" i="20" s="1"/>
  <c r="BP23" i="20" s="1"/>
  <c r="AP23" i="20"/>
  <c r="AQ23" i="20" l="1"/>
  <c r="BD14" i="7" l="1"/>
  <c r="BC14" i="7"/>
  <c r="BB14" i="7"/>
  <c r="BA14" i="7"/>
  <c r="AZ14" i="7"/>
  <c r="AY14" i="7"/>
  <c r="AX14" i="7"/>
  <c r="AW14" i="7"/>
  <c r="AV14" i="7"/>
  <c r="AU14" i="7"/>
  <c r="AT14" i="7"/>
  <c r="AS14" i="7"/>
  <c r="BD17" i="7"/>
  <c r="BC17" i="7"/>
  <c r="BB17" i="7"/>
  <c r="BA17" i="7"/>
  <c r="AZ17" i="7"/>
  <c r="AY17" i="7"/>
  <c r="AX17" i="7"/>
  <c r="AW17" i="7"/>
  <c r="AV17" i="7"/>
  <c r="AU17" i="7"/>
  <c r="AT17" i="7"/>
  <c r="BD16" i="7"/>
  <c r="BC16" i="7"/>
  <c r="BB16" i="7"/>
  <c r="BA16" i="7"/>
  <c r="AZ16" i="7"/>
  <c r="AY16" i="7"/>
  <c r="AX16" i="7"/>
  <c r="AW16" i="7"/>
  <c r="AV16" i="7"/>
  <c r="AU16" i="7"/>
  <c r="AT16" i="7"/>
  <c r="BD12" i="7"/>
  <c r="BC12" i="7"/>
  <c r="BB12" i="7"/>
  <c r="BA12" i="7"/>
  <c r="AZ12" i="7"/>
  <c r="AY12" i="7"/>
  <c r="AX12" i="7"/>
  <c r="AW12" i="7"/>
  <c r="AV12" i="7"/>
  <c r="AU12" i="7"/>
  <c r="AT12" i="7"/>
  <c r="BD11" i="7"/>
  <c r="BC11" i="7"/>
  <c r="BB11" i="7"/>
  <c r="BA11" i="7"/>
  <c r="AZ11" i="7"/>
  <c r="AY11" i="7"/>
  <c r="AX11" i="7"/>
  <c r="AW11" i="7"/>
  <c r="AV11" i="7"/>
  <c r="AU11" i="7"/>
  <c r="AT11" i="7"/>
  <c r="BD10" i="7"/>
  <c r="BC10" i="7"/>
  <c r="BB10" i="7"/>
  <c r="BA10" i="7"/>
  <c r="AZ10" i="7"/>
  <c r="AY10" i="7"/>
  <c r="AX10" i="7"/>
  <c r="AW10" i="7"/>
  <c r="AV10" i="7"/>
  <c r="AU10" i="7"/>
  <c r="AT10" i="7"/>
  <c r="BD9" i="7"/>
  <c r="BC9" i="7"/>
  <c r="BB9" i="7"/>
  <c r="BA9" i="7"/>
  <c r="AZ9" i="7"/>
  <c r="AY9" i="7"/>
  <c r="AX9" i="7"/>
  <c r="AW9" i="7"/>
  <c r="AV9" i="7"/>
  <c r="AU9" i="7"/>
  <c r="AT9" i="7"/>
  <c r="BD8" i="7"/>
  <c r="BC8" i="7"/>
  <c r="BB8" i="7"/>
  <c r="BA8" i="7"/>
  <c r="AZ8" i="7"/>
  <c r="AY8" i="7"/>
  <c r="AX8" i="7"/>
  <c r="AW8" i="7"/>
  <c r="AV8" i="7"/>
  <c r="AU8" i="7"/>
  <c r="AT8" i="7"/>
  <c r="BD6" i="7"/>
  <c r="BC6" i="7"/>
  <c r="BB6" i="7"/>
  <c r="BA6" i="7"/>
  <c r="AZ6" i="7"/>
  <c r="AY6" i="7"/>
  <c r="AX6" i="7"/>
  <c r="AW6" i="7"/>
  <c r="AV6" i="7"/>
  <c r="AU6" i="7"/>
  <c r="AT6" i="7"/>
  <c r="BD5" i="7"/>
  <c r="BC5" i="7"/>
  <c r="BB5" i="7"/>
  <c r="BA5" i="7"/>
  <c r="AZ5" i="7"/>
  <c r="AY5" i="7"/>
  <c r="AX5" i="7"/>
  <c r="AW5" i="7"/>
  <c r="AV5" i="7"/>
  <c r="AU5" i="7"/>
  <c r="AT5" i="7"/>
  <c r="AS17" i="7"/>
  <c r="AS16" i="7"/>
  <c r="AS12" i="7"/>
  <c r="AS11" i="7"/>
  <c r="AS10" i="7"/>
  <c r="AS9" i="7"/>
  <c r="AS8" i="7"/>
  <c r="AS6" i="7"/>
  <c r="AS5" i="7"/>
  <c r="BD4" i="7"/>
  <c r="BC4" i="7"/>
  <c r="BB4" i="7"/>
  <c r="BA4" i="7"/>
  <c r="AZ4" i="7"/>
  <c r="AY4" i="7"/>
  <c r="AX4" i="7"/>
  <c r="AW4" i="7"/>
  <c r="AV4" i="7"/>
  <c r="BD3" i="7"/>
  <c r="BC3" i="7"/>
  <c r="BB3" i="7"/>
  <c r="BA3" i="7"/>
  <c r="AZ3" i="7"/>
  <c r="AY3" i="7"/>
  <c r="AX3" i="7"/>
  <c r="AW3" i="7"/>
  <c r="AV3" i="7"/>
  <c r="AU4" i="7"/>
  <c r="AT4" i="7"/>
  <c r="AS4" i="7"/>
  <c r="AU3" i="7"/>
  <c r="AT3" i="7"/>
  <c r="AS3" i="7"/>
  <c r="O80" i="19"/>
  <c r="N80" i="19"/>
  <c r="M80" i="19"/>
  <c r="L80" i="19"/>
  <c r="K80" i="19"/>
  <c r="J80" i="19"/>
  <c r="I80" i="19"/>
  <c r="H80" i="19"/>
  <c r="G80" i="19"/>
  <c r="F80" i="19"/>
  <c r="E80" i="19"/>
  <c r="D80" i="19"/>
  <c r="O79" i="19"/>
  <c r="N79" i="19"/>
  <c r="M79" i="19"/>
  <c r="L79" i="19"/>
  <c r="K79" i="19"/>
  <c r="J79" i="19"/>
  <c r="I79" i="19"/>
  <c r="H79" i="19"/>
  <c r="G79" i="19"/>
  <c r="F79" i="19"/>
  <c r="E79" i="19"/>
  <c r="D79" i="19"/>
  <c r="O78" i="19"/>
  <c r="N78" i="19"/>
  <c r="M78" i="19"/>
  <c r="L78" i="19"/>
  <c r="K78" i="19"/>
  <c r="J78" i="19"/>
  <c r="I78" i="19"/>
  <c r="H78" i="19"/>
  <c r="G78" i="19"/>
  <c r="F78" i="19"/>
  <c r="E78" i="19"/>
  <c r="D78" i="19"/>
  <c r="V77" i="19"/>
  <c r="U77" i="19"/>
  <c r="T77" i="19"/>
  <c r="S77" i="19"/>
  <c r="R77" i="19"/>
  <c r="Q77" i="19"/>
  <c r="P77" i="19"/>
  <c r="O72" i="19"/>
  <c r="N72" i="19"/>
  <c r="M72" i="19"/>
  <c r="L72" i="19"/>
  <c r="K72" i="19"/>
  <c r="J72" i="19"/>
  <c r="I72" i="19"/>
  <c r="H72" i="19"/>
  <c r="G72" i="19"/>
  <c r="F72" i="19"/>
  <c r="E72" i="19"/>
  <c r="D72" i="19"/>
  <c r="O71" i="19"/>
  <c r="N71" i="19"/>
  <c r="M71" i="19"/>
  <c r="L71" i="19"/>
  <c r="K71" i="19"/>
  <c r="J71" i="19"/>
  <c r="I71" i="19"/>
  <c r="H71" i="19"/>
  <c r="G71" i="19"/>
  <c r="F71" i="19"/>
  <c r="E71" i="19"/>
  <c r="D71" i="19"/>
  <c r="O70" i="19"/>
  <c r="N70" i="19"/>
  <c r="M70" i="19"/>
  <c r="L70" i="19"/>
  <c r="K70" i="19"/>
  <c r="J70" i="19"/>
  <c r="I70" i="19"/>
  <c r="H70" i="19"/>
  <c r="G70" i="19"/>
  <c r="F70" i="19"/>
  <c r="E70" i="19"/>
  <c r="D70" i="19"/>
  <c r="V69" i="19"/>
  <c r="U69" i="19"/>
  <c r="T69" i="19"/>
  <c r="S69" i="19"/>
  <c r="R69" i="19"/>
  <c r="Q69" i="19"/>
  <c r="P69" i="19"/>
  <c r="Z64" i="19"/>
  <c r="O64" i="19"/>
  <c r="O46" i="19" s="1"/>
  <c r="N64" i="19"/>
  <c r="N46" i="19" s="1"/>
  <c r="M64" i="19"/>
  <c r="M46" i="19" s="1"/>
  <c r="L64" i="19"/>
  <c r="L46" i="19" s="1"/>
  <c r="K64" i="19"/>
  <c r="K46" i="19" s="1"/>
  <c r="J64" i="19"/>
  <c r="J46" i="19" s="1"/>
  <c r="I64" i="19"/>
  <c r="I46" i="19" s="1"/>
  <c r="H64" i="19"/>
  <c r="H46" i="19" s="1"/>
  <c r="G64" i="19"/>
  <c r="G46" i="19" s="1"/>
  <c r="F64" i="19"/>
  <c r="F46" i="19" s="1"/>
  <c r="E64" i="19"/>
  <c r="E46" i="19" s="1"/>
  <c r="D64" i="19"/>
  <c r="AS33" i="7" s="1"/>
  <c r="Z63" i="19"/>
  <c r="V63" i="19"/>
  <c r="Z62" i="19"/>
  <c r="V62" i="19"/>
  <c r="U62" i="19"/>
  <c r="T62" i="19"/>
  <c r="S62" i="19"/>
  <c r="R62" i="19"/>
  <c r="Q62" i="19"/>
  <c r="P62" i="19"/>
  <c r="Z61" i="19"/>
  <c r="V61" i="19"/>
  <c r="U61" i="19"/>
  <c r="T61" i="19"/>
  <c r="S61" i="19"/>
  <c r="R61" i="19"/>
  <c r="Q61" i="19"/>
  <c r="P61" i="19"/>
  <c r="Z60" i="19"/>
  <c r="V60" i="19"/>
  <c r="U60" i="19"/>
  <c r="T60" i="19"/>
  <c r="S60" i="19"/>
  <c r="R60" i="19"/>
  <c r="Q60" i="19"/>
  <c r="P60" i="19"/>
  <c r="Z59" i="19"/>
  <c r="V59" i="19"/>
  <c r="V64" i="19" s="1"/>
  <c r="U59" i="19"/>
  <c r="U64" i="19" s="1"/>
  <c r="T59" i="19"/>
  <c r="T64" i="19" s="1"/>
  <c r="S59" i="19"/>
  <c r="S64" i="19" s="1"/>
  <c r="R59" i="19"/>
  <c r="R64" i="19" s="1"/>
  <c r="Q59" i="19"/>
  <c r="Q64" i="19" s="1"/>
  <c r="P59" i="19"/>
  <c r="P64" i="19" s="1"/>
  <c r="Z58" i="19"/>
  <c r="V58" i="19"/>
  <c r="U58" i="19"/>
  <c r="T58" i="19"/>
  <c r="S58" i="19"/>
  <c r="R58" i="19"/>
  <c r="Q58" i="19"/>
  <c r="P58" i="19"/>
  <c r="Z57" i="19"/>
  <c r="V57" i="19"/>
  <c r="U57" i="19"/>
  <c r="T57" i="19"/>
  <c r="S57" i="19"/>
  <c r="R57" i="19"/>
  <c r="Q57" i="19"/>
  <c r="P57" i="19"/>
  <c r="Z56" i="19"/>
  <c r="V56" i="19"/>
  <c r="U56" i="19"/>
  <c r="T56" i="19"/>
  <c r="S56" i="19"/>
  <c r="R56" i="19"/>
  <c r="Q56" i="19"/>
  <c r="P56" i="19"/>
  <c r="Z55" i="19"/>
  <c r="V55" i="19"/>
  <c r="U55" i="19"/>
  <c r="T55" i="19"/>
  <c r="S55" i="19"/>
  <c r="R55" i="19"/>
  <c r="Q55" i="19"/>
  <c r="P55" i="19"/>
  <c r="Z54" i="19"/>
  <c r="V54" i="19"/>
  <c r="U54" i="19"/>
  <c r="T54" i="19"/>
  <c r="S54" i="19"/>
  <c r="R54" i="19"/>
  <c r="Q54" i="19"/>
  <c r="P54" i="19"/>
  <c r="Z53" i="19"/>
  <c r="V53" i="19"/>
  <c r="U53" i="19"/>
  <c r="T53" i="19"/>
  <c r="S53" i="19"/>
  <c r="R53" i="19"/>
  <c r="Q53" i="19"/>
  <c r="P53" i="19"/>
  <c r="Z52" i="19"/>
  <c r="V52" i="19"/>
  <c r="U52" i="19"/>
  <c r="T52" i="19"/>
  <c r="S52" i="19"/>
  <c r="R52" i="19"/>
  <c r="Q52" i="19"/>
  <c r="P52" i="19"/>
  <c r="Z51" i="19"/>
  <c r="V51" i="19"/>
  <c r="U51" i="19"/>
  <c r="T51" i="19"/>
  <c r="S51" i="19"/>
  <c r="R51" i="19"/>
  <c r="Q51" i="19"/>
  <c r="P51" i="19"/>
  <c r="Z50" i="19"/>
  <c r="V50" i="19"/>
  <c r="U50" i="19"/>
  <c r="T50" i="19"/>
  <c r="S50" i="19"/>
  <c r="R50" i="19"/>
  <c r="Q50" i="19"/>
  <c r="P50" i="19"/>
  <c r="Z49" i="19"/>
  <c r="Y49" i="19"/>
  <c r="X49" i="19"/>
  <c r="X46" i="19"/>
  <c r="Y42" i="19" s="1"/>
  <c r="X44" i="19"/>
  <c r="O44" i="19"/>
  <c r="N44" i="19"/>
  <c r="M44" i="19"/>
  <c r="L44" i="19"/>
  <c r="K44" i="19"/>
  <c r="J44" i="19"/>
  <c r="I44" i="19"/>
  <c r="H44" i="19"/>
  <c r="G44" i="19"/>
  <c r="F44" i="19"/>
  <c r="E44" i="19"/>
  <c r="D44" i="19"/>
  <c r="Z43" i="19"/>
  <c r="V42" i="19"/>
  <c r="V44" i="19" s="1"/>
  <c r="W44" i="19" s="1"/>
  <c r="U42" i="19"/>
  <c r="U44" i="19" s="1"/>
  <c r="T42" i="19"/>
  <c r="T44" i="19" s="1"/>
  <c r="S42" i="19"/>
  <c r="S44" i="19" s="1"/>
  <c r="R42" i="19"/>
  <c r="R44" i="19" s="1"/>
  <c r="Q42" i="19"/>
  <c r="P42" i="19"/>
  <c r="P44" i="19" s="1"/>
  <c r="Z41" i="19"/>
  <c r="Y41" i="19"/>
  <c r="X41" i="19"/>
  <c r="Z38" i="19"/>
  <c r="O38" i="19"/>
  <c r="N38" i="19"/>
  <c r="M38" i="19"/>
  <c r="L38" i="19"/>
  <c r="K38" i="19"/>
  <c r="J38" i="19"/>
  <c r="I38" i="19"/>
  <c r="H38" i="19"/>
  <c r="G38" i="19"/>
  <c r="F38" i="19"/>
  <c r="E38" i="19"/>
  <c r="D38" i="19"/>
  <c r="U37" i="19"/>
  <c r="S37" i="19"/>
  <c r="R37" i="19"/>
  <c r="Q37" i="19"/>
  <c r="P37" i="19"/>
  <c r="V37" i="19"/>
  <c r="U36" i="19"/>
  <c r="S36" i="19"/>
  <c r="R36" i="19"/>
  <c r="Q36" i="19"/>
  <c r="P36" i="19"/>
  <c r="V36" i="19"/>
  <c r="Z35" i="19"/>
  <c r="Y35" i="19"/>
  <c r="X35" i="19"/>
  <c r="X33" i="19"/>
  <c r="Z33" i="19" s="1"/>
  <c r="AP32" i="19"/>
  <c r="AO32" i="19"/>
  <c r="AN32" i="19"/>
  <c r="AM32" i="19"/>
  <c r="AL32" i="19"/>
  <c r="AK32" i="19"/>
  <c r="AJ32" i="19"/>
  <c r="AI32" i="19"/>
  <c r="AH32" i="19"/>
  <c r="AG32" i="19"/>
  <c r="AF32" i="19"/>
  <c r="AE32" i="19"/>
  <c r="Z31" i="19"/>
  <c r="P31" i="19"/>
  <c r="O31" i="19"/>
  <c r="BD20" i="7" s="1"/>
  <c r="N31" i="19"/>
  <c r="AO31" i="19" s="1"/>
  <c r="M31" i="19"/>
  <c r="AN31" i="19" s="1"/>
  <c r="L31" i="19"/>
  <c r="AM31" i="19" s="1"/>
  <c r="K31" i="19"/>
  <c r="AL31" i="19" s="1"/>
  <c r="J31" i="19"/>
  <c r="AK31" i="19" s="1"/>
  <c r="I31" i="19"/>
  <c r="AJ31" i="19" s="1"/>
  <c r="H31" i="19"/>
  <c r="AI31" i="19" s="1"/>
  <c r="G31" i="19"/>
  <c r="AH31" i="19" s="1"/>
  <c r="F31" i="19"/>
  <c r="AG31" i="19" s="1"/>
  <c r="E31" i="19"/>
  <c r="AF31" i="19" s="1"/>
  <c r="D31" i="19"/>
  <c r="AS20" i="7" s="1"/>
  <c r="AP30" i="19"/>
  <c r="AO30" i="19"/>
  <c r="AN30" i="19"/>
  <c r="AM30" i="19"/>
  <c r="AL30" i="19"/>
  <c r="AK30" i="19"/>
  <c r="AJ30" i="19"/>
  <c r="AI30" i="19"/>
  <c r="AH30" i="19"/>
  <c r="AG30" i="19"/>
  <c r="AF30" i="19"/>
  <c r="AE30" i="19"/>
  <c r="Z30" i="19"/>
  <c r="V30" i="19"/>
  <c r="U30" i="19"/>
  <c r="T30" i="19"/>
  <c r="S30" i="19"/>
  <c r="R30" i="19"/>
  <c r="Q30" i="19"/>
  <c r="AP29" i="19"/>
  <c r="AO29" i="19"/>
  <c r="AN29" i="19"/>
  <c r="AM29" i="19"/>
  <c r="AL29" i="19"/>
  <c r="AK29" i="19"/>
  <c r="AJ29" i="19"/>
  <c r="AI29" i="19"/>
  <c r="AH29" i="19"/>
  <c r="AG29" i="19"/>
  <c r="AF29" i="19"/>
  <c r="AE29" i="19"/>
  <c r="Z29" i="19"/>
  <c r="U29" i="19"/>
  <c r="S29" i="19"/>
  <c r="R29" i="19"/>
  <c r="Q29" i="19"/>
  <c r="V29" i="19"/>
  <c r="Y28" i="19"/>
  <c r="Z28" i="19" s="1"/>
  <c r="O28" i="19"/>
  <c r="AP28" i="19" s="1"/>
  <c r="N28" i="19"/>
  <c r="BC18" i="7" s="1"/>
  <c r="M28" i="19"/>
  <c r="AN28" i="19" s="1"/>
  <c r="L28" i="19"/>
  <c r="AM28" i="19" s="1"/>
  <c r="K28" i="19"/>
  <c r="AL28" i="19" s="1"/>
  <c r="J28" i="19"/>
  <c r="I28" i="19"/>
  <c r="AJ28" i="19" s="1"/>
  <c r="H28" i="19"/>
  <c r="AI28" i="19" s="1"/>
  <c r="G28" i="19"/>
  <c r="AH28" i="19" s="1"/>
  <c r="F28" i="19"/>
  <c r="AG28" i="19" s="1"/>
  <c r="E28" i="19"/>
  <c r="AF28" i="19" s="1"/>
  <c r="D28" i="19"/>
  <c r="AS18" i="7" s="1"/>
  <c r="AP27" i="19"/>
  <c r="AO27" i="19"/>
  <c r="AN27" i="19"/>
  <c r="AM27" i="19"/>
  <c r="AL27" i="19"/>
  <c r="AK27" i="19"/>
  <c r="AJ27" i="19"/>
  <c r="AI27" i="19"/>
  <c r="AH27" i="19"/>
  <c r="AG27" i="19"/>
  <c r="AF27" i="19"/>
  <c r="AE27" i="19"/>
  <c r="Z27" i="19"/>
  <c r="V27" i="19"/>
  <c r="U27" i="19"/>
  <c r="T27" i="19"/>
  <c r="S27" i="19"/>
  <c r="R27" i="19"/>
  <c r="Q27" i="19"/>
  <c r="P27" i="19"/>
  <c r="AP26" i="19"/>
  <c r="AO26" i="19"/>
  <c r="AN26" i="19"/>
  <c r="AM26" i="19"/>
  <c r="AL26" i="19"/>
  <c r="AK26" i="19"/>
  <c r="AJ26" i="19"/>
  <c r="AI26" i="19"/>
  <c r="AH26" i="19"/>
  <c r="AG26" i="19"/>
  <c r="AF26" i="19"/>
  <c r="AE26" i="19"/>
  <c r="Z26" i="19"/>
  <c r="V26" i="19"/>
  <c r="U26" i="19"/>
  <c r="T26" i="19"/>
  <c r="S26" i="19"/>
  <c r="R26" i="19"/>
  <c r="Q26" i="19"/>
  <c r="P26" i="19"/>
  <c r="Y25" i="19"/>
  <c r="Z25" i="19" s="1"/>
  <c r="O25" i="19"/>
  <c r="AP25" i="19" s="1"/>
  <c r="N25" i="19"/>
  <c r="AO25" i="19" s="1"/>
  <c r="M25" i="19"/>
  <c r="AN25" i="19" s="1"/>
  <c r="L25" i="19"/>
  <c r="K25" i="19"/>
  <c r="J25" i="19"/>
  <c r="I25" i="19"/>
  <c r="AJ25" i="19" s="1"/>
  <c r="H25" i="19"/>
  <c r="G25" i="19"/>
  <c r="AH25" i="19" s="1"/>
  <c r="F25" i="19"/>
  <c r="E25" i="19"/>
  <c r="D25" i="19"/>
  <c r="AE25" i="19" s="1"/>
  <c r="AP24" i="19"/>
  <c r="AO24" i="19"/>
  <c r="AN24" i="19"/>
  <c r="AM24" i="19"/>
  <c r="AL24" i="19"/>
  <c r="AK24" i="19"/>
  <c r="AJ24" i="19"/>
  <c r="AI24" i="19"/>
  <c r="AH24" i="19"/>
  <c r="AG24" i="19"/>
  <c r="AF24" i="19"/>
  <c r="AE24" i="19"/>
  <c r="V24" i="19"/>
  <c r="U24" i="19"/>
  <c r="S24" i="19"/>
  <c r="R24" i="19"/>
  <c r="Q24" i="19"/>
  <c r="P24" i="19"/>
  <c r="T24" i="19"/>
  <c r="AP23" i="19"/>
  <c r="AO23" i="19"/>
  <c r="AN23" i="19"/>
  <c r="AM23" i="19"/>
  <c r="AL23" i="19"/>
  <c r="AK23" i="19"/>
  <c r="AJ23" i="19"/>
  <c r="AI23" i="19"/>
  <c r="AH23" i="19"/>
  <c r="AG23" i="19"/>
  <c r="AF23" i="19"/>
  <c r="AE23" i="19"/>
  <c r="V23" i="19"/>
  <c r="U23" i="19"/>
  <c r="T23" i="19"/>
  <c r="S23" i="19"/>
  <c r="R23" i="19"/>
  <c r="Q23" i="19"/>
  <c r="P23" i="19"/>
  <c r="Z22" i="19"/>
  <c r="Y22" i="19"/>
  <c r="X22" i="19"/>
  <c r="AP21" i="19"/>
  <c r="AO21" i="19"/>
  <c r="AN21" i="19"/>
  <c r="AM21" i="19"/>
  <c r="AL21" i="19"/>
  <c r="AK21" i="19"/>
  <c r="AJ21" i="19"/>
  <c r="AI21" i="19"/>
  <c r="AH21" i="19"/>
  <c r="AG21" i="19"/>
  <c r="AF21" i="19"/>
  <c r="AE21" i="19"/>
  <c r="X20" i="19"/>
  <c r="Z20" i="19" s="1"/>
  <c r="O20" i="19"/>
  <c r="BD15" i="7" s="1"/>
  <c r="N20" i="19"/>
  <c r="AO20" i="19" s="1"/>
  <c r="M20" i="19"/>
  <c r="AN20" i="19" s="1"/>
  <c r="L20" i="19"/>
  <c r="AM20" i="19" s="1"/>
  <c r="K20" i="19"/>
  <c r="AL20" i="19" s="1"/>
  <c r="J20" i="19"/>
  <c r="AK20" i="19" s="1"/>
  <c r="I20" i="19"/>
  <c r="AJ20" i="19" s="1"/>
  <c r="H20" i="19"/>
  <c r="AI20" i="19" s="1"/>
  <c r="G20" i="19"/>
  <c r="AH20" i="19" s="1"/>
  <c r="F20" i="19"/>
  <c r="AU15" i="7" s="1"/>
  <c r="E20" i="19"/>
  <c r="AT15" i="7" s="1"/>
  <c r="D20" i="19"/>
  <c r="AE20" i="19" s="1"/>
  <c r="Z19" i="19"/>
  <c r="AP18" i="19"/>
  <c r="AO18" i="19"/>
  <c r="AN18" i="19"/>
  <c r="AM18" i="19"/>
  <c r="AL18" i="19"/>
  <c r="AK18" i="19"/>
  <c r="AJ18" i="19"/>
  <c r="AI18" i="19"/>
  <c r="AH18" i="19"/>
  <c r="AG18" i="19"/>
  <c r="AF18" i="19"/>
  <c r="AE18" i="19"/>
  <c r="Z18" i="19"/>
  <c r="V18" i="19"/>
  <c r="V20" i="19" s="1"/>
  <c r="U18" i="19"/>
  <c r="U20" i="19" s="1"/>
  <c r="T18" i="19"/>
  <c r="T20" i="19" s="1"/>
  <c r="S18" i="19"/>
  <c r="S20" i="19" s="1"/>
  <c r="R18" i="19"/>
  <c r="R20" i="19" s="1"/>
  <c r="Q18" i="19"/>
  <c r="Q20" i="19" s="1"/>
  <c r="P18" i="19"/>
  <c r="P20" i="19" s="1"/>
  <c r="Z17" i="19"/>
  <c r="Y17" i="19"/>
  <c r="X17" i="19"/>
  <c r="D17" i="19"/>
  <c r="D22" i="19" s="1"/>
  <c r="X15" i="19"/>
  <c r="Z15" i="19" s="1"/>
  <c r="O15" i="19"/>
  <c r="N15" i="19"/>
  <c r="M15" i="19"/>
  <c r="L15" i="19"/>
  <c r="K15" i="19"/>
  <c r="J15" i="19"/>
  <c r="I15" i="19"/>
  <c r="H15" i="19"/>
  <c r="G15" i="19"/>
  <c r="F15" i="19"/>
  <c r="E15" i="19"/>
  <c r="D15" i="19"/>
  <c r="Z14" i="19"/>
  <c r="U14" i="19"/>
  <c r="S14" i="19"/>
  <c r="R14" i="19"/>
  <c r="Q14" i="19"/>
  <c r="P14" i="19"/>
  <c r="T14" i="19"/>
  <c r="Z13" i="19"/>
  <c r="O13" i="19"/>
  <c r="N13" i="19"/>
  <c r="M13" i="19"/>
  <c r="L13" i="19"/>
  <c r="K13" i="19"/>
  <c r="J13" i="19"/>
  <c r="I13" i="19"/>
  <c r="H13" i="19"/>
  <c r="G13" i="19"/>
  <c r="F13" i="19"/>
  <c r="E13" i="19"/>
  <c r="D13" i="19"/>
  <c r="Z12" i="19"/>
  <c r="V12" i="19"/>
  <c r="U12" i="19"/>
  <c r="S12" i="19"/>
  <c r="R12" i="19"/>
  <c r="Q12" i="19"/>
  <c r="P12" i="19"/>
  <c r="T12" i="19"/>
  <c r="Z11" i="19"/>
  <c r="V11" i="19"/>
  <c r="U11" i="19"/>
  <c r="T11" i="19"/>
  <c r="S11" i="19"/>
  <c r="R11" i="19"/>
  <c r="Q11" i="19"/>
  <c r="P11" i="19"/>
  <c r="Z10" i="19"/>
  <c r="U10" i="19"/>
  <c r="S10" i="19"/>
  <c r="R10" i="19"/>
  <c r="Q10" i="19"/>
  <c r="P10" i="19"/>
  <c r="V10" i="19"/>
  <c r="Z9" i="19"/>
  <c r="U9" i="19"/>
  <c r="S9" i="19"/>
  <c r="R9" i="19"/>
  <c r="Q9" i="19"/>
  <c r="P9" i="19"/>
  <c r="V9" i="19"/>
  <c r="AP8" i="19"/>
  <c r="AO8" i="19"/>
  <c r="AN8" i="19"/>
  <c r="AM8" i="19"/>
  <c r="AL8" i="19"/>
  <c r="AK8" i="19"/>
  <c r="AJ8" i="19"/>
  <c r="AI8" i="19"/>
  <c r="AH8" i="19"/>
  <c r="AG8" i="19"/>
  <c r="AF8" i="19"/>
  <c r="AE8" i="19"/>
  <c r="Z8" i="19"/>
  <c r="V8" i="19"/>
  <c r="U8" i="19"/>
  <c r="S8" i="19"/>
  <c r="R8" i="19"/>
  <c r="Q8" i="19"/>
  <c r="P8" i="19"/>
  <c r="T8" i="19"/>
  <c r="Z7" i="19"/>
  <c r="V7" i="19"/>
  <c r="U7" i="19"/>
  <c r="T7" i="19"/>
  <c r="S7" i="19"/>
  <c r="R7" i="19"/>
  <c r="Q7" i="19"/>
  <c r="P7" i="19"/>
  <c r="Z6" i="19"/>
  <c r="U6" i="19"/>
  <c r="S6" i="19"/>
  <c r="R6" i="19"/>
  <c r="Q6" i="19"/>
  <c r="P6" i="19"/>
  <c r="T6" i="19"/>
  <c r="U5" i="19"/>
  <c r="S5" i="19"/>
  <c r="R5" i="19"/>
  <c r="Q5" i="19"/>
  <c r="P5" i="19"/>
  <c r="V5" i="19"/>
  <c r="Z4" i="19"/>
  <c r="V4" i="19"/>
  <c r="U4" i="19"/>
  <c r="T4" i="19"/>
  <c r="S4" i="19"/>
  <c r="R4" i="19"/>
  <c r="Q4" i="19"/>
  <c r="P4" i="19"/>
  <c r="AP3" i="19"/>
  <c r="AO3" i="19"/>
  <c r="AN3" i="19"/>
  <c r="AM3" i="19"/>
  <c r="AL3" i="19"/>
  <c r="AK3" i="19"/>
  <c r="AJ3" i="19"/>
  <c r="AI3" i="19"/>
  <c r="AH3" i="19"/>
  <c r="AG3" i="19"/>
  <c r="AF3" i="19"/>
  <c r="AE3" i="19"/>
  <c r="Z3" i="19"/>
  <c r="V3" i="19"/>
  <c r="U3" i="19"/>
  <c r="T3" i="19"/>
  <c r="S3" i="19"/>
  <c r="R3" i="19"/>
  <c r="Q3" i="19"/>
  <c r="P3" i="19"/>
  <c r="E2" i="19"/>
  <c r="E17" i="19" s="1"/>
  <c r="E22" i="19" s="1"/>
  <c r="K1" i="19"/>
  <c r="J1" i="19"/>
  <c r="H73" i="19" l="1"/>
  <c r="K73" i="19"/>
  <c r="AJ15" i="19"/>
  <c r="AT19" i="7"/>
  <c r="D46" i="19"/>
  <c r="Q15" i="19"/>
  <c r="AK15" i="19"/>
  <c r="AU19" i="7"/>
  <c r="R15" i="19"/>
  <c r="AL15" i="19"/>
  <c r="U46" i="19"/>
  <c r="S38" i="19"/>
  <c r="S15" i="19"/>
  <c r="Q28" i="19"/>
  <c r="AW19" i="7"/>
  <c r="U31" i="19"/>
  <c r="BA15" i="7"/>
  <c r="T15" i="19"/>
  <c r="AY19" i="7"/>
  <c r="AW20" i="7"/>
  <c r="AI25" i="19"/>
  <c r="J33" i="19"/>
  <c r="AK33" i="19" s="1"/>
  <c r="AK25" i="19"/>
  <c r="AF20" i="19"/>
  <c r="BB15" i="7"/>
  <c r="AY20" i="7"/>
  <c r="AZ19" i="7"/>
  <c r="L33" i="19"/>
  <c r="AM33" i="19" s="1"/>
  <c r="AO28" i="19"/>
  <c r="AT33" i="7"/>
  <c r="U38" i="19"/>
  <c r="AU33" i="7"/>
  <c r="P25" i="19"/>
  <c r="Q31" i="19"/>
  <c r="AW33" i="7"/>
  <c r="Q25" i="19"/>
  <c r="R31" i="19"/>
  <c r="AN15" i="19"/>
  <c r="AG20" i="19"/>
  <c r="AP15" i="19"/>
  <c r="AP20" i="19"/>
  <c r="AE15" i="19"/>
  <c r="AT20" i="7"/>
  <c r="V15" i="19"/>
  <c r="BC15" i="7"/>
  <c r="AT18" i="7"/>
  <c r="AU20" i="7"/>
  <c r="U15" i="19"/>
  <c r="AO15" i="19"/>
  <c r="Q13" i="19"/>
  <c r="BD18" i="7"/>
  <c r="AS19" i="7"/>
  <c r="P15" i="19"/>
  <c r="S13" i="19"/>
  <c r="AU18" i="7"/>
  <c r="AV20" i="7"/>
  <c r="AV33" i="7"/>
  <c r="AV19" i="7"/>
  <c r="AW18" i="7"/>
  <c r="AX20" i="7"/>
  <c r="AX33" i="7"/>
  <c r="AX19" i="7"/>
  <c r="AX18" i="7"/>
  <c r="AY33" i="7"/>
  <c r="AV18" i="7"/>
  <c r="P13" i="19"/>
  <c r="AM15" i="19"/>
  <c r="T25" i="19"/>
  <c r="S31" i="19"/>
  <c r="AP31" i="19"/>
  <c r="AS15" i="7"/>
  <c r="AV15" i="7"/>
  <c r="AY18" i="7"/>
  <c r="AZ20" i="7"/>
  <c r="AZ33" i="7"/>
  <c r="Q38" i="19"/>
  <c r="V46" i="19"/>
  <c r="AW15" i="7"/>
  <c r="AZ18" i="7"/>
  <c r="BA20" i="7"/>
  <c r="BA33" i="7"/>
  <c r="BA19" i="7"/>
  <c r="P28" i="19"/>
  <c r="AX15" i="7"/>
  <c r="BA18" i="7"/>
  <c r="BB20" i="7"/>
  <c r="BB33" i="7"/>
  <c r="BB19" i="7"/>
  <c r="AY15" i="7"/>
  <c r="BB18" i="7"/>
  <c r="BC20" i="7"/>
  <c r="BC33" i="7"/>
  <c r="BC19" i="7"/>
  <c r="R46" i="19"/>
  <c r="AZ15" i="7"/>
  <c r="BD33" i="7"/>
  <c r="BD19" i="7"/>
  <c r="H81" i="19"/>
  <c r="G81" i="19"/>
  <c r="P72" i="19"/>
  <c r="F73" i="19"/>
  <c r="Q72" i="19"/>
  <c r="R72" i="19"/>
  <c r="Q79" i="19"/>
  <c r="R79" i="19"/>
  <c r="Q71" i="19"/>
  <c r="R70" i="19"/>
  <c r="R71" i="19"/>
  <c r="M81" i="19"/>
  <c r="U80" i="19"/>
  <c r="V71" i="19"/>
  <c r="U72" i="19"/>
  <c r="P80" i="19"/>
  <c r="I73" i="19"/>
  <c r="K81" i="19"/>
  <c r="E73" i="19"/>
  <c r="L81" i="19"/>
  <c r="U78" i="19"/>
  <c r="S70" i="19"/>
  <c r="S80" i="19"/>
  <c r="P78" i="19"/>
  <c r="T79" i="19"/>
  <c r="E81" i="19"/>
  <c r="AM25" i="19"/>
  <c r="T70" i="19"/>
  <c r="N81" i="19"/>
  <c r="AF15" i="19"/>
  <c r="M33" i="19"/>
  <c r="AN33" i="19" s="1"/>
  <c r="T72" i="19"/>
  <c r="O81" i="19"/>
  <c r="F2" i="19"/>
  <c r="F17" i="19" s="1"/>
  <c r="F22" i="19" s="1"/>
  <c r="AG15" i="19"/>
  <c r="U13" i="19"/>
  <c r="V31" i="19"/>
  <c r="Q46" i="19"/>
  <c r="S72" i="19"/>
  <c r="P79" i="19"/>
  <c r="AH15" i="19"/>
  <c r="R25" i="19"/>
  <c r="R28" i="19"/>
  <c r="AI15" i="19"/>
  <c r="S25" i="19"/>
  <c r="E33" i="19"/>
  <c r="AF33" i="19" s="1"/>
  <c r="S28" i="19"/>
  <c r="J73" i="19"/>
  <c r="F81" i="19"/>
  <c r="F33" i="19"/>
  <c r="AG33" i="19" s="1"/>
  <c r="T28" i="19"/>
  <c r="V28" i="19"/>
  <c r="AE31" i="19"/>
  <c r="T46" i="19"/>
  <c r="R80" i="19"/>
  <c r="P46" i="19"/>
  <c r="I81" i="19"/>
  <c r="H33" i="19"/>
  <c r="AI33" i="19" s="1"/>
  <c r="AG25" i="19"/>
  <c r="L73" i="19"/>
  <c r="J81" i="19"/>
  <c r="V80" i="19"/>
  <c r="V13" i="19"/>
  <c r="I33" i="19"/>
  <c r="AJ33" i="19" s="1"/>
  <c r="P38" i="19"/>
  <c r="V38" i="19"/>
  <c r="M73" i="19"/>
  <c r="U79" i="19"/>
  <c r="Q80" i="19"/>
  <c r="U25" i="19"/>
  <c r="G33" i="19"/>
  <c r="AH33" i="19" s="1"/>
  <c r="AF25" i="19"/>
  <c r="U28" i="19"/>
  <c r="AE28" i="19"/>
  <c r="Q44" i="19"/>
  <c r="P70" i="19"/>
  <c r="N73" i="19"/>
  <c r="K33" i="19"/>
  <c r="AL33" i="19" s="1"/>
  <c r="R38" i="19"/>
  <c r="U70" i="19"/>
  <c r="O73" i="19"/>
  <c r="S78" i="19"/>
  <c r="Y46" i="19"/>
  <c r="Y44" i="19"/>
  <c r="Z44" i="19" s="1"/>
  <c r="Z42" i="19"/>
  <c r="Z46" i="19" s="1"/>
  <c r="T37" i="19"/>
  <c r="V72" i="19"/>
  <c r="D81" i="19"/>
  <c r="T13" i="19"/>
  <c r="R13" i="19"/>
  <c r="AL25" i="19"/>
  <c r="D73" i="19"/>
  <c r="S79" i="19"/>
  <c r="T78" i="19"/>
  <c r="V78" i="19"/>
  <c r="T10" i="19"/>
  <c r="V14" i="19"/>
  <c r="T9" i="19"/>
  <c r="V25" i="19"/>
  <c r="T71" i="19"/>
  <c r="N33" i="19"/>
  <c r="AO33" i="19" s="1"/>
  <c r="V70" i="19"/>
  <c r="D33" i="19"/>
  <c r="T29" i="19"/>
  <c r="T31" i="19" s="1"/>
  <c r="S71" i="19"/>
  <c r="T5" i="19"/>
  <c r="AK28" i="19"/>
  <c r="T36" i="19"/>
  <c r="U71" i="19"/>
  <c r="G73" i="19"/>
  <c r="Q78" i="19"/>
  <c r="V79" i="19"/>
  <c r="T80" i="19"/>
  <c r="O33" i="19"/>
  <c r="AP33" i="19" s="1"/>
  <c r="P71" i="19"/>
  <c r="V6" i="19"/>
  <c r="S46" i="19"/>
  <c r="Q70" i="19"/>
  <c r="R78" i="19"/>
  <c r="G2" i="19" l="1"/>
  <c r="G17" i="19" s="1"/>
  <c r="G22" i="19" s="1"/>
  <c r="Q33" i="19"/>
  <c r="P33" i="19"/>
  <c r="T33" i="19"/>
  <c r="R73" i="19"/>
  <c r="Q73" i="19"/>
  <c r="P81" i="19"/>
  <c r="S73" i="19"/>
  <c r="S81" i="19"/>
  <c r="Q81" i="19"/>
  <c r="T73" i="19"/>
  <c r="U81" i="19"/>
  <c r="U73" i="19"/>
  <c r="T38" i="19"/>
  <c r="R81" i="19"/>
  <c r="R33" i="19"/>
  <c r="V81" i="19"/>
  <c r="U33" i="19"/>
  <c r="S33" i="19"/>
  <c r="T81" i="19"/>
  <c r="P73" i="19"/>
  <c r="AE33" i="19"/>
  <c r="V33" i="19"/>
  <c r="V73" i="19"/>
  <c r="H2" i="19" l="1"/>
  <c r="H17" i="19" s="1"/>
  <c r="H22" i="19" s="1"/>
  <c r="I2" i="19" l="1"/>
  <c r="J2" i="19" s="1"/>
  <c r="I17" i="19" l="1"/>
  <c r="I22" i="19" s="1"/>
  <c r="K2" i="19"/>
  <c r="J17" i="19"/>
  <c r="J22" i="19" s="1"/>
  <c r="K17" i="19" l="1"/>
  <c r="K22" i="19" s="1"/>
  <c r="L2" i="19"/>
  <c r="M2" i="19" l="1"/>
  <c r="L17" i="19"/>
  <c r="L22" i="19" s="1"/>
  <c r="M17" i="19" l="1"/>
  <c r="M22" i="19" s="1"/>
  <c r="N2" i="19"/>
  <c r="N17" i="19" l="1"/>
  <c r="N22" i="19" s="1"/>
  <c r="O2" i="19"/>
  <c r="O17" i="19" s="1"/>
  <c r="O22" i="19" s="1"/>
  <c r="J160" i="5" l="1"/>
  <c r="H160" i="5"/>
  <c r="BF26" i="2" l="1"/>
  <c r="BF28" i="2" s="1"/>
  <c r="BG26" i="2"/>
  <c r="BG28" i="2" s="1"/>
  <c r="BF29" i="2" l="1"/>
  <c r="D32" i="15" l="1"/>
  <c r="AP33" i="7" l="1"/>
  <c r="AO33" i="7"/>
  <c r="AN33" i="7"/>
  <c r="AM33" i="7"/>
  <c r="AL33" i="7"/>
  <c r="AK33" i="7"/>
  <c r="AJ33" i="7"/>
  <c r="AI33" i="7"/>
  <c r="AH33" i="7"/>
  <c r="AG33" i="7"/>
  <c r="AF33" i="7"/>
  <c r="AE33" i="7"/>
  <c r="M172" i="4" l="1"/>
  <c r="M173" i="4" s="1"/>
  <c r="P14" i="7" l="1"/>
  <c r="F25" i="17" l="1"/>
  <c r="B4" i="17"/>
  <c r="B5" i="17"/>
  <c r="B6" i="17"/>
  <c r="B7" i="17"/>
  <c r="B8" i="17"/>
  <c r="B9" i="17"/>
  <c r="B10" i="17"/>
  <c r="B11" i="17"/>
  <c r="B12" i="17"/>
  <c r="B13" i="17"/>
  <c r="B14" i="17"/>
  <c r="B3" i="17"/>
  <c r="E32" i="15" l="1"/>
  <c r="AC23" i="2"/>
  <c r="AB23" i="2"/>
  <c r="AA23" i="2"/>
  <c r="Z23" i="2"/>
  <c r="Y23" i="2"/>
  <c r="X23" i="2"/>
  <c r="W23" i="2"/>
  <c r="V23" i="2"/>
  <c r="U23" i="2"/>
  <c r="T23" i="2"/>
  <c r="S23" i="2"/>
  <c r="R23" i="2"/>
  <c r="K7" i="2"/>
  <c r="F23" i="2"/>
  <c r="A10" i="2"/>
  <c r="A11" i="2" s="1"/>
  <c r="A12" i="2" s="1"/>
  <c r="A13" i="2" s="1"/>
  <c r="A14" i="2" s="1"/>
  <c r="A15" i="2" s="1"/>
  <c r="A16" i="2" s="1"/>
  <c r="A17" i="2" s="1"/>
  <c r="A18" i="2" s="1"/>
  <c r="A19" i="2" s="1"/>
  <c r="A20" i="2" s="1"/>
  <c r="A21" i="2" s="1"/>
  <c r="A22" i="2" s="1"/>
  <c r="B15" i="7" l="1"/>
  <c r="A15" i="28" l="1"/>
  <c r="O16" i="27" s="1"/>
  <c r="R204" i="4"/>
  <c r="M198" i="1" l="1"/>
  <c r="M199" i="1"/>
  <c r="M200" i="1"/>
  <c r="M201" i="1"/>
  <c r="M202" i="1"/>
  <c r="M203" i="1"/>
  <c r="M204" i="1"/>
  <c r="M205" i="1"/>
  <c r="M206" i="1"/>
  <c r="M207" i="1"/>
  <c r="M208" i="1"/>
  <c r="M197" i="1"/>
  <c r="E28" i="6"/>
  <c r="F28" i="6" s="1"/>
  <c r="J367" i="1" s="1"/>
  <c r="F29" i="6"/>
  <c r="J368" i="1" s="1"/>
  <c r="E30" i="6"/>
  <c r="F30" i="6" s="1"/>
  <c r="J369" i="1" s="1"/>
  <c r="F31" i="6"/>
  <c r="J370" i="1" s="1"/>
  <c r="E33" i="6"/>
  <c r="F33" i="6" s="1"/>
  <c r="J372" i="1" s="1"/>
  <c r="E35" i="6"/>
  <c r="F38" i="6"/>
  <c r="J377" i="1" s="1"/>
  <c r="J134" i="1"/>
  <c r="J133" i="1"/>
  <c r="J124" i="1"/>
  <c r="K124" i="1" s="1"/>
  <c r="J123" i="1"/>
  <c r="K123" i="1" s="1"/>
  <c r="H134" i="1"/>
  <c r="G134" i="1"/>
  <c r="H133" i="1"/>
  <c r="G133" i="1"/>
  <c r="H132" i="1"/>
  <c r="G132" i="1"/>
  <c r="H131" i="1"/>
  <c r="G131" i="1"/>
  <c r="H130" i="1"/>
  <c r="G130" i="1"/>
  <c r="H129" i="1"/>
  <c r="G129" i="1"/>
  <c r="H128" i="1"/>
  <c r="G128" i="1"/>
  <c r="H127" i="1"/>
  <c r="G127" i="1"/>
  <c r="H126" i="1"/>
  <c r="G126" i="1"/>
  <c r="H125" i="1"/>
  <c r="G125" i="1"/>
  <c r="H124" i="1"/>
  <c r="G124" i="1"/>
  <c r="H123" i="1"/>
  <c r="G123" i="1"/>
  <c r="Q80" i="5"/>
  <c r="R80" i="5" s="1"/>
  <c r="Q79" i="5"/>
  <c r="R79" i="5" s="1"/>
  <c r="Q78" i="5"/>
  <c r="R78" i="5" s="1"/>
  <c r="Q77" i="5"/>
  <c r="R77" i="5" s="1"/>
  <c r="Q76" i="5"/>
  <c r="R76" i="5" s="1"/>
  <c r="Q75" i="5"/>
  <c r="R75" i="5" s="1"/>
  <c r="Q74" i="5"/>
  <c r="R74" i="5" s="1"/>
  <c r="Q73" i="5"/>
  <c r="R73" i="5" s="1"/>
  <c r="Q72" i="5"/>
  <c r="R72" i="5" s="1"/>
  <c r="Q71" i="5"/>
  <c r="R71" i="5" s="1"/>
  <c r="N165" i="5"/>
  <c r="Q49" i="5"/>
  <c r="R49" i="5" s="1"/>
  <c r="S49" i="5" s="1"/>
  <c r="P259" i="5"/>
  <c r="Q259" i="5" s="1"/>
  <c r="P258" i="5"/>
  <c r="Q258" i="5" s="1"/>
  <c r="P257" i="5"/>
  <c r="Q257" i="5" s="1"/>
  <c r="P256" i="5"/>
  <c r="Q256" i="5" s="1"/>
  <c r="P255" i="5"/>
  <c r="Q255" i="5" s="1"/>
  <c r="P254" i="5"/>
  <c r="Q254" i="5" s="1"/>
  <c r="P252" i="5"/>
  <c r="Q252" i="5" s="1"/>
  <c r="P251" i="5"/>
  <c r="Q251" i="5" s="1"/>
  <c r="P250" i="5"/>
  <c r="Q250" i="5" s="1"/>
  <c r="P249" i="5"/>
  <c r="Q249" i="5" s="1"/>
  <c r="P248" i="5"/>
  <c r="P197" i="5"/>
  <c r="Q197" i="5" s="1"/>
  <c r="P196" i="5"/>
  <c r="Q196" i="5" s="1"/>
  <c r="P195" i="5"/>
  <c r="Q195" i="5" s="1"/>
  <c r="P194" i="5"/>
  <c r="Q194" i="5" s="1"/>
  <c r="P193" i="5"/>
  <c r="Q193" i="5" s="1"/>
  <c r="P192" i="5"/>
  <c r="Q192" i="5" s="1"/>
  <c r="P191" i="5"/>
  <c r="P190" i="5"/>
  <c r="Q190" i="5" s="1"/>
  <c r="P189" i="5"/>
  <c r="Q189" i="5" s="1"/>
  <c r="P188" i="5"/>
  <c r="Q188" i="5" s="1"/>
  <c r="P185" i="5"/>
  <c r="Q185" i="5" s="1"/>
  <c r="P183" i="5"/>
  <c r="Q183" i="5" s="1"/>
  <c r="P184" i="5"/>
  <c r="Q184" i="5" s="1"/>
  <c r="P182" i="5"/>
  <c r="J132" i="1"/>
  <c r="J131" i="1"/>
  <c r="J130" i="1"/>
  <c r="J129" i="1"/>
  <c r="J128" i="1"/>
  <c r="J127" i="1"/>
  <c r="J126" i="1"/>
  <c r="J125" i="1"/>
  <c r="K125" i="1" s="1"/>
  <c r="P7" i="35" l="1"/>
  <c r="Q7" i="35" s="1"/>
  <c r="R7" i="35" s="1"/>
  <c r="P6" i="35"/>
  <c r="Q248" i="5"/>
  <c r="H11" i="30"/>
  <c r="AI11" i="30" s="1"/>
  <c r="Q191" i="5"/>
  <c r="H12" i="30"/>
  <c r="Q182" i="5"/>
  <c r="S186" i="5" s="1"/>
  <c r="H10" i="30"/>
  <c r="AI10" i="30" s="1"/>
  <c r="F35" i="6"/>
  <c r="J374" i="1" s="1"/>
  <c r="P259" i="1"/>
  <c r="P260" i="1"/>
  <c r="P261" i="1"/>
  <c r="P262" i="1"/>
  <c r="P263" i="1"/>
  <c r="P264" i="1"/>
  <c r="P265" i="1"/>
  <c r="P266" i="1"/>
  <c r="P267" i="1"/>
  <c r="P268" i="1"/>
  <c r="P269" i="1"/>
  <c r="P258" i="1"/>
  <c r="K200" i="4"/>
  <c r="J200" i="4"/>
  <c r="L192" i="4"/>
  <c r="K192" i="4"/>
  <c r="Q228" i="1"/>
  <c r="K184" i="4"/>
  <c r="R258" i="1" s="1"/>
  <c r="J184" i="4"/>
  <c r="Q262" i="1" s="1"/>
  <c r="K174" i="4"/>
  <c r="R248" i="1" s="1"/>
  <c r="J174" i="4"/>
  <c r="Q249" i="1" s="1"/>
  <c r="D131" i="4"/>
  <c r="P192" i="1" s="1"/>
  <c r="AK192" i="1" s="1"/>
  <c r="AL192" i="1" s="1"/>
  <c r="D121" i="4"/>
  <c r="D101" i="4"/>
  <c r="P174" i="1" s="1"/>
  <c r="AK174" i="1" s="1"/>
  <c r="AL174" i="1" s="1"/>
  <c r="D56" i="4"/>
  <c r="D130" i="4"/>
  <c r="D99" i="4"/>
  <c r="D93" i="4"/>
  <c r="D85" i="4"/>
  <c r="D65" i="4"/>
  <c r="D63" i="4"/>
  <c r="D62" i="4"/>
  <c r="D61" i="4"/>
  <c r="D59" i="4"/>
  <c r="D58" i="4"/>
  <c r="D57" i="4"/>
  <c r="D51" i="4"/>
  <c r="D28" i="4"/>
  <c r="D18" i="4"/>
  <c r="D9" i="4"/>
  <c r="P73" i="11"/>
  <c r="P75" i="11" s="1"/>
  <c r="BK79" i="1"/>
  <c r="BK85" i="1" s="1"/>
  <c r="BK64" i="1"/>
  <c r="BK70" i="1" s="1"/>
  <c r="BK33" i="1"/>
  <c r="BK41" i="1" s="1"/>
  <c r="BK107" i="1"/>
  <c r="BK118" i="1" s="1"/>
  <c r="AJ11" i="30" l="1"/>
  <c r="AO9" i="30"/>
  <c r="Q12" i="35"/>
  <c r="P12" i="35" s="1"/>
  <c r="P13" i="35" s="1"/>
  <c r="Q6" i="35"/>
  <c r="R6" i="35" s="1"/>
  <c r="AJ10" i="30"/>
  <c r="AO8" i="30"/>
  <c r="S15" i="1"/>
  <c r="S13" i="1"/>
  <c r="S12" i="1"/>
  <c r="S11" i="1"/>
  <c r="S9" i="1"/>
  <c r="S8" i="1"/>
  <c r="S7" i="1"/>
  <c r="S14" i="1"/>
  <c r="S10" i="1"/>
  <c r="S6" i="1"/>
  <c r="S5" i="1"/>
  <c r="D69" i="4"/>
  <c r="BL24" i="20"/>
  <c r="BF24" i="20"/>
  <c r="BP24" i="20"/>
  <c r="BM24" i="20"/>
  <c r="BI24" i="20"/>
  <c r="BN24" i="20"/>
  <c r="BG24" i="20"/>
  <c r="BK24" i="20"/>
  <c r="BE24" i="20"/>
  <c r="BH24" i="20"/>
  <c r="BJ24" i="20"/>
  <c r="BO24" i="20"/>
  <c r="Q252" i="1"/>
  <c r="R251" i="1"/>
  <c r="R261" i="1"/>
  <c r="Q261" i="1"/>
  <c r="R268" i="1"/>
  <c r="Q268" i="1"/>
  <c r="R265" i="1"/>
  <c r="Q245" i="1"/>
  <c r="R244" i="1"/>
  <c r="R259" i="1"/>
  <c r="R264" i="1"/>
  <c r="Q251" i="1"/>
  <c r="R250" i="1"/>
  <c r="Q248" i="1"/>
  <c r="T248" i="1" s="1"/>
  <c r="R260" i="1"/>
  <c r="R247" i="1"/>
  <c r="Q260" i="1"/>
  <c r="Q265" i="1"/>
  <c r="R269" i="1"/>
  <c r="Q264" i="1"/>
  <c r="Q253" i="1"/>
  <c r="Q269" i="1"/>
  <c r="R252" i="1"/>
  <c r="S4" i="1"/>
  <c r="S163" i="1"/>
  <c r="S162" i="1"/>
  <c r="S157" i="1"/>
  <c r="S161" i="1"/>
  <c r="S158" i="1"/>
  <c r="S155" i="1"/>
  <c r="S154" i="1"/>
  <c r="S160" i="1"/>
  <c r="S159" i="1"/>
  <c r="S156" i="1"/>
  <c r="S153" i="1"/>
  <c r="S152" i="1"/>
  <c r="P140" i="1"/>
  <c r="P141" i="1"/>
  <c r="P149" i="1"/>
  <c r="P142" i="1"/>
  <c r="P143" i="1"/>
  <c r="P147" i="1"/>
  <c r="P150" i="1"/>
  <c r="P144" i="1"/>
  <c r="P146" i="1"/>
  <c r="P145" i="1"/>
  <c r="P148" i="1"/>
  <c r="P139" i="1"/>
  <c r="K21" i="29"/>
  <c r="S25" i="1"/>
  <c r="S24" i="1"/>
  <c r="S28" i="1"/>
  <c r="S23" i="1"/>
  <c r="S22" i="1"/>
  <c r="S29" i="1"/>
  <c r="S21" i="1"/>
  <c r="S20" i="1"/>
  <c r="S19" i="1"/>
  <c r="S27" i="1"/>
  <c r="S26" i="1"/>
  <c r="S36" i="1"/>
  <c r="S34" i="1"/>
  <c r="S42" i="1"/>
  <c r="S40" i="1"/>
  <c r="S44" i="1"/>
  <c r="S43" i="1"/>
  <c r="S41" i="1"/>
  <c r="S39" i="1"/>
  <c r="S38" i="1"/>
  <c r="S37" i="1"/>
  <c r="S35" i="1"/>
  <c r="S33" i="1"/>
  <c r="S18" i="1"/>
  <c r="Q247" i="1"/>
  <c r="R263" i="1"/>
  <c r="Q259" i="1"/>
  <c r="R246" i="1"/>
  <c r="R267" i="1"/>
  <c r="Q263" i="1"/>
  <c r="Q254" i="1"/>
  <c r="Q246" i="1"/>
  <c r="Q267" i="1"/>
  <c r="R253" i="1"/>
  <c r="R245" i="1"/>
  <c r="R262" i="1"/>
  <c r="T262" i="1" s="1"/>
  <c r="R266" i="1"/>
  <c r="Q250" i="1"/>
  <c r="Q244" i="1"/>
  <c r="Q258" i="1"/>
  <c r="Q266" i="1"/>
  <c r="R249" i="1"/>
  <c r="T249" i="1" s="1"/>
  <c r="R254" i="1"/>
  <c r="T213" i="1"/>
  <c r="P191" i="1"/>
  <c r="AK191" i="1" s="1"/>
  <c r="AL191" i="1" s="1"/>
  <c r="P189" i="1"/>
  <c r="AK189" i="1" s="1"/>
  <c r="AL189" i="1" s="1"/>
  <c r="P188" i="1"/>
  <c r="AK188" i="1" s="1"/>
  <c r="AL188" i="1" s="1"/>
  <c r="AM188" i="1" s="1"/>
  <c r="P187" i="1"/>
  <c r="AK187" i="1" s="1"/>
  <c r="AL187" i="1" s="1"/>
  <c r="AM187" i="1" s="1"/>
  <c r="P190" i="1"/>
  <c r="AK190" i="1" s="1"/>
  <c r="AL190" i="1" s="1"/>
  <c r="P186" i="1"/>
  <c r="AK186" i="1" s="1"/>
  <c r="AL186" i="1" s="1"/>
  <c r="AM186" i="1" s="1"/>
  <c r="P185" i="1"/>
  <c r="AK185" i="1" s="1"/>
  <c r="AL185" i="1" s="1"/>
  <c r="P183" i="1"/>
  <c r="AK183" i="1" s="1"/>
  <c r="AL183" i="1" s="1"/>
  <c r="P182" i="1"/>
  <c r="AK182" i="1" s="1"/>
  <c r="AL182" i="1" s="1"/>
  <c r="P193" i="1"/>
  <c r="AK193" i="1" s="1"/>
  <c r="AL193" i="1" s="1"/>
  <c r="P184" i="1"/>
  <c r="AK184" i="1" s="1"/>
  <c r="AL184" i="1" s="1"/>
  <c r="P173" i="1"/>
  <c r="AK173" i="1" s="1"/>
  <c r="AL173" i="1" s="1"/>
  <c r="P172" i="1"/>
  <c r="AK172" i="1" s="1"/>
  <c r="AL172" i="1" s="1"/>
  <c r="P170" i="1"/>
  <c r="AK170" i="1" s="1"/>
  <c r="AL170" i="1" s="1"/>
  <c r="P169" i="1"/>
  <c r="AK169" i="1" s="1"/>
  <c r="AL169" i="1" s="1"/>
  <c r="P179" i="1"/>
  <c r="AK179" i="1" s="1"/>
  <c r="AL179" i="1" s="1"/>
  <c r="P178" i="1"/>
  <c r="AK178" i="1" s="1"/>
  <c r="AL178" i="1" s="1"/>
  <c r="AM192" i="1" s="1"/>
  <c r="P171" i="1"/>
  <c r="AK171" i="1" s="1"/>
  <c r="AL171" i="1" s="1"/>
  <c r="P177" i="1"/>
  <c r="AK177" i="1" s="1"/>
  <c r="AL177" i="1" s="1"/>
  <c r="P176" i="1"/>
  <c r="AK176" i="1" s="1"/>
  <c r="AL176" i="1" s="1"/>
  <c r="P175" i="1"/>
  <c r="AK175" i="1" s="1"/>
  <c r="AL175" i="1" s="1"/>
  <c r="P228" i="1"/>
  <c r="AM183" i="1" l="1"/>
  <c r="AM185" i="1"/>
  <c r="AM189" i="1"/>
  <c r="AM193" i="1"/>
  <c r="AM190" i="1"/>
  <c r="AM191" i="1"/>
  <c r="AM184" i="1"/>
  <c r="AP9" i="30"/>
  <c r="AQ9" i="30"/>
  <c r="Q13" i="35"/>
  <c r="R13" i="35" s="1"/>
  <c r="P14" i="35"/>
  <c r="Q14" i="35" s="1"/>
  <c r="R14" i="35" s="1"/>
  <c r="AP8" i="30"/>
  <c r="AQ8" i="30"/>
  <c r="T254" i="1"/>
  <c r="T251" i="1"/>
  <c r="T244" i="1"/>
  <c r="T252" i="1"/>
  <c r="T269" i="1"/>
  <c r="T260" i="1"/>
  <c r="T264" i="1"/>
  <c r="S116" i="1"/>
  <c r="T116" i="1" s="1"/>
  <c r="S114" i="1"/>
  <c r="T114" i="1" s="1"/>
  <c r="S109" i="1"/>
  <c r="T109" i="1" s="1"/>
  <c r="S110" i="1"/>
  <c r="T110" i="1" s="1"/>
  <c r="S118" i="1"/>
  <c r="T118" i="1" s="1"/>
  <c r="S107" i="1"/>
  <c r="T107" i="1" s="1"/>
  <c r="S115" i="1"/>
  <c r="T115" i="1" s="1"/>
  <c r="S113" i="1"/>
  <c r="T113" i="1" s="1"/>
  <c r="S112" i="1"/>
  <c r="T112" i="1" s="1"/>
  <c r="S111" i="1"/>
  <c r="T111" i="1" s="1"/>
  <c r="S108" i="1"/>
  <c r="T108" i="1" s="1"/>
  <c r="S117" i="1"/>
  <c r="T117" i="1" s="1"/>
  <c r="T259" i="1"/>
  <c r="T268" i="1"/>
  <c r="T245" i="1"/>
  <c r="T261" i="1"/>
  <c r="T253" i="1"/>
  <c r="T265" i="1"/>
  <c r="T266" i="1"/>
  <c r="T231" i="1"/>
  <c r="T247" i="1"/>
  <c r="T263" i="1"/>
  <c r="T250" i="1"/>
  <c r="K23" i="29"/>
  <c r="K25" i="29"/>
  <c r="K24" i="29"/>
  <c r="T267" i="1"/>
  <c r="T238" i="1"/>
  <c r="T234" i="1"/>
  <c r="T237" i="1"/>
  <c r="T235" i="1"/>
  <c r="T246" i="1"/>
  <c r="T229" i="1"/>
  <c r="T230" i="1"/>
  <c r="T243" i="1"/>
  <c r="T233" i="1"/>
  <c r="T232" i="1"/>
  <c r="T258" i="1"/>
  <c r="T239" i="1"/>
  <c r="T236" i="1"/>
  <c r="T228" i="1"/>
  <c r="N57" i="11" l="1"/>
  <c r="M57" i="11"/>
  <c r="L57" i="11"/>
  <c r="K57" i="11"/>
  <c r="J57" i="11"/>
  <c r="I57" i="11"/>
  <c r="H57" i="11"/>
  <c r="G57" i="11"/>
  <c r="N55" i="11"/>
  <c r="M55" i="11"/>
  <c r="L55" i="11"/>
  <c r="K55" i="11"/>
  <c r="J55" i="11"/>
  <c r="I55" i="11"/>
  <c r="H55" i="11"/>
  <c r="G55" i="11"/>
  <c r="F57" i="11"/>
  <c r="F55" i="11"/>
  <c r="E57" i="11"/>
  <c r="E55" i="11"/>
  <c r="D57" i="11"/>
  <c r="D55" i="11"/>
  <c r="N53" i="11"/>
  <c r="M53" i="11"/>
  <c r="L53" i="11"/>
  <c r="K53" i="11"/>
  <c r="J53" i="11"/>
  <c r="I53" i="11"/>
  <c r="H53" i="11"/>
  <c r="G53" i="11"/>
  <c r="F53" i="11"/>
  <c r="E53" i="11"/>
  <c r="D53" i="11"/>
  <c r="N52" i="11"/>
  <c r="M52" i="11"/>
  <c r="L52" i="11"/>
  <c r="K52" i="11"/>
  <c r="J52" i="11"/>
  <c r="I52" i="11"/>
  <c r="H52" i="11"/>
  <c r="G52" i="11"/>
  <c r="F52" i="11"/>
  <c r="E52" i="11"/>
  <c r="D52" i="11"/>
  <c r="N49" i="11"/>
  <c r="M49" i="11"/>
  <c r="L49" i="11"/>
  <c r="K49" i="11"/>
  <c r="J49" i="11"/>
  <c r="I49" i="11"/>
  <c r="H49" i="11"/>
  <c r="G49" i="11"/>
  <c r="F49" i="11"/>
  <c r="E49" i="11"/>
  <c r="D49" i="11"/>
  <c r="D45" i="11"/>
  <c r="C57" i="11"/>
  <c r="C55" i="11"/>
  <c r="C53" i="11"/>
  <c r="C52" i="11"/>
  <c r="C49" i="11" l="1"/>
  <c r="BJ119" i="1"/>
  <c r="BJ107" i="1" s="1"/>
  <c r="BJ118" i="1" s="1"/>
  <c r="N54" i="11" s="1"/>
  <c r="BI119" i="1"/>
  <c r="BI107" i="1" s="1"/>
  <c r="BI118" i="1" s="1"/>
  <c r="M54" i="11" s="1"/>
  <c r="BH119" i="1"/>
  <c r="BH107" i="1" s="1"/>
  <c r="BH118" i="1" s="1"/>
  <c r="L54" i="11" s="1"/>
  <c r="BG119" i="1"/>
  <c r="BG107" i="1" s="1"/>
  <c r="BG118" i="1" s="1"/>
  <c r="K54" i="11" s="1"/>
  <c r="BF119" i="1"/>
  <c r="BF107" i="1" s="1"/>
  <c r="BF118" i="1" s="1"/>
  <c r="J54" i="11" s="1"/>
  <c r="BE119" i="1"/>
  <c r="BE107" i="1" s="1"/>
  <c r="BE118" i="1" s="1"/>
  <c r="I54" i="11" s="1"/>
  <c r="BD119" i="1"/>
  <c r="BD107" i="1" s="1"/>
  <c r="BD118" i="1" s="1"/>
  <c r="H54" i="11" s="1"/>
  <c r="BC119" i="1"/>
  <c r="BC107" i="1" s="1"/>
  <c r="BC118" i="1" s="1"/>
  <c r="G54" i="11" s="1"/>
  <c r="BB119" i="1"/>
  <c r="BB107" i="1" s="1"/>
  <c r="BB118" i="1" s="1"/>
  <c r="F54" i="11" s="1"/>
  <c r="BA119" i="1"/>
  <c r="BA107" i="1" s="1"/>
  <c r="BA118" i="1" s="1"/>
  <c r="E54" i="11" s="1"/>
  <c r="AZ119" i="1"/>
  <c r="AY119" i="1"/>
  <c r="BJ79" i="1"/>
  <c r="BJ85" i="1" s="1"/>
  <c r="N51" i="11" s="1"/>
  <c r="BI79" i="1"/>
  <c r="BI85" i="1" s="1"/>
  <c r="M51" i="11" s="1"/>
  <c r="BH79" i="1"/>
  <c r="BH85" i="1" s="1"/>
  <c r="L51" i="11" s="1"/>
  <c r="BG79" i="1"/>
  <c r="BG85" i="1" s="1"/>
  <c r="K51" i="11" s="1"/>
  <c r="BF79" i="1"/>
  <c r="BF85" i="1" s="1"/>
  <c r="J51" i="11" s="1"/>
  <c r="BE79" i="1"/>
  <c r="BE85" i="1" s="1"/>
  <c r="I51" i="11" s="1"/>
  <c r="BD79" i="1"/>
  <c r="BD85" i="1" s="1"/>
  <c r="H51" i="11" s="1"/>
  <c r="BC79" i="1"/>
  <c r="BC85" i="1" s="1"/>
  <c r="G51" i="11" s="1"/>
  <c r="BB79" i="1"/>
  <c r="BB85" i="1" s="1"/>
  <c r="F51" i="11" s="1"/>
  <c r="BA79" i="1"/>
  <c r="BA85" i="1" s="1"/>
  <c r="E51" i="11" s="1"/>
  <c r="AZ79" i="1"/>
  <c r="AZ85" i="1" s="1"/>
  <c r="D51" i="11" s="1"/>
  <c r="AY79" i="1"/>
  <c r="AY85" i="1" s="1"/>
  <c r="C51" i="11" s="1"/>
  <c r="BJ64" i="1"/>
  <c r="BJ70" i="1" s="1"/>
  <c r="N50" i="11" s="1"/>
  <c r="BI64" i="1"/>
  <c r="BI70" i="1" s="1"/>
  <c r="M50" i="11" s="1"/>
  <c r="BH64" i="1"/>
  <c r="BH70" i="1" s="1"/>
  <c r="L50" i="11" s="1"/>
  <c r="BG64" i="1"/>
  <c r="BG70" i="1" s="1"/>
  <c r="K50" i="11" s="1"/>
  <c r="BF64" i="1"/>
  <c r="BF70" i="1" s="1"/>
  <c r="J50" i="11" s="1"/>
  <c r="BE64" i="1"/>
  <c r="BE70" i="1" s="1"/>
  <c r="I50" i="11" s="1"/>
  <c r="BD64" i="1"/>
  <c r="BD70" i="1" s="1"/>
  <c r="H50" i="11" s="1"/>
  <c r="BC64" i="1"/>
  <c r="BC70" i="1" s="1"/>
  <c r="G50" i="11" s="1"/>
  <c r="BB64" i="1"/>
  <c r="BB70" i="1" s="1"/>
  <c r="F50" i="11" s="1"/>
  <c r="BA64" i="1"/>
  <c r="BA70" i="1" s="1"/>
  <c r="E50" i="11" s="1"/>
  <c r="AZ64" i="1"/>
  <c r="AZ70" i="1" s="1"/>
  <c r="D50" i="11" s="1"/>
  <c r="AY64" i="1"/>
  <c r="AY70" i="1" s="1"/>
  <c r="C50" i="11" s="1"/>
  <c r="BJ49" i="1"/>
  <c r="BJ51" i="1" s="1"/>
  <c r="N47" i="11" s="1"/>
  <c r="BI49" i="1"/>
  <c r="BI51" i="1" s="1"/>
  <c r="M47" i="11" s="1"/>
  <c r="BH49" i="1"/>
  <c r="BH51" i="1" s="1"/>
  <c r="L47" i="11" s="1"/>
  <c r="BG49" i="1"/>
  <c r="BG51" i="1" s="1"/>
  <c r="K47" i="11" s="1"/>
  <c r="BF49" i="1"/>
  <c r="BF51" i="1" s="1"/>
  <c r="J47" i="11" s="1"/>
  <c r="BE49" i="1"/>
  <c r="BE51" i="1" s="1"/>
  <c r="I47" i="11" s="1"/>
  <c r="BD49" i="1"/>
  <c r="BD51" i="1" s="1"/>
  <c r="H47" i="11" s="1"/>
  <c r="BC49" i="1"/>
  <c r="BC51" i="1" s="1"/>
  <c r="G47" i="11" s="1"/>
  <c r="BB49" i="1"/>
  <c r="BB51" i="1" s="1"/>
  <c r="F47" i="11" s="1"/>
  <c r="BA49" i="1"/>
  <c r="BA51" i="1" s="1"/>
  <c r="E47" i="11" s="1"/>
  <c r="AZ49" i="1"/>
  <c r="AZ51" i="1" s="1"/>
  <c r="D47" i="11" s="1"/>
  <c r="AY49" i="1"/>
  <c r="AY51" i="1" s="1"/>
  <c r="C47" i="11" s="1"/>
  <c r="BJ33" i="1"/>
  <c r="BJ41" i="1" s="1"/>
  <c r="N46" i="11" s="1"/>
  <c r="BI33" i="1"/>
  <c r="BI41" i="1" s="1"/>
  <c r="M46" i="11" s="1"/>
  <c r="BH33" i="1"/>
  <c r="BH41" i="1" s="1"/>
  <c r="L46" i="11" s="1"/>
  <c r="BG33" i="1"/>
  <c r="BG41" i="1" s="1"/>
  <c r="K46" i="11" s="1"/>
  <c r="BF33" i="1"/>
  <c r="BF41" i="1" s="1"/>
  <c r="J46" i="11" s="1"/>
  <c r="BE33" i="1"/>
  <c r="BE41" i="1" s="1"/>
  <c r="I46" i="11" s="1"/>
  <c r="BD33" i="1"/>
  <c r="BD41" i="1" s="1"/>
  <c r="H46" i="11" s="1"/>
  <c r="BC33" i="1"/>
  <c r="BC41" i="1" s="1"/>
  <c r="G46" i="11" s="1"/>
  <c r="BB33" i="1"/>
  <c r="BB41" i="1" s="1"/>
  <c r="F46" i="11" s="1"/>
  <c r="BA33" i="1"/>
  <c r="BA41" i="1" s="1"/>
  <c r="E46" i="11" s="1"/>
  <c r="AZ33" i="1"/>
  <c r="AZ41" i="1" s="1"/>
  <c r="D46" i="11" s="1"/>
  <c r="AY33" i="1"/>
  <c r="AY41" i="1" s="1"/>
  <c r="C46" i="11" s="1"/>
  <c r="BJ6" i="1"/>
  <c r="BI6" i="1"/>
  <c r="BH6" i="1"/>
  <c r="BG6" i="1"/>
  <c r="BF6" i="1"/>
  <c r="BE6" i="1"/>
  <c r="BD6" i="1"/>
  <c r="BC6" i="1"/>
  <c r="BB6" i="1"/>
  <c r="BA6" i="1"/>
  <c r="AZ6" i="1"/>
  <c r="BJ4" i="1"/>
  <c r="BI4" i="1"/>
  <c r="BH4" i="1"/>
  <c r="BG4" i="1"/>
  <c r="BF4" i="1"/>
  <c r="BE4" i="1"/>
  <c r="BD4" i="1"/>
  <c r="BC4" i="1"/>
  <c r="BB4" i="1"/>
  <c r="BA4" i="1"/>
  <c r="AZ4" i="1"/>
  <c r="AY4" i="1"/>
  <c r="AW4" i="1"/>
  <c r="AY6" i="1"/>
  <c r="BG18" i="1"/>
  <c r="BJ21" i="1"/>
  <c r="BI21" i="1"/>
  <c r="BH21" i="1"/>
  <c r="BG21" i="1"/>
  <c r="BF21" i="1"/>
  <c r="BE21" i="1"/>
  <c r="BD21" i="1"/>
  <c r="BC21" i="1"/>
  <c r="BB21" i="1"/>
  <c r="BA21" i="1"/>
  <c r="AZ21" i="1"/>
  <c r="AY21" i="1"/>
  <c r="BJ18" i="1"/>
  <c r="BI18" i="1"/>
  <c r="BH18" i="1"/>
  <c r="BF18" i="1"/>
  <c r="BE18" i="1"/>
  <c r="BD18" i="1"/>
  <c r="BC18" i="1"/>
  <c r="BB18" i="1"/>
  <c r="BA18" i="1"/>
  <c r="AZ18" i="1"/>
  <c r="AY18" i="1"/>
  <c r="AZ107" i="1" l="1"/>
  <c r="AZ118" i="1" s="1"/>
  <c r="D54" i="11" s="1"/>
  <c r="AY107" i="1"/>
  <c r="AY118" i="1" s="1"/>
  <c r="C54" i="11" s="1"/>
  <c r="BJ25" i="1"/>
  <c r="N44" i="11" s="1"/>
  <c r="BI25" i="1"/>
  <c r="M44" i="11" s="1"/>
  <c r="AZ11" i="1"/>
  <c r="F45" i="11" s="1"/>
  <c r="BA11" i="1"/>
  <c r="G45" i="11" s="1"/>
  <c r="BH25" i="1"/>
  <c r="L44" i="11" s="1"/>
  <c r="BF11" i="1"/>
  <c r="L45" i="11" s="1"/>
  <c r="BD11" i="1"/>
  <c r="J45" i="11" s="1"/>
  <c r="BE25" i="1"/>
  <c r="I44" i="11" s="1"/>
  <c r="BC11" i="1"/>
  <c r="I45" i="11" s="1"/>
  <c r="BE11" i="1"/>
  <c r="K45" i="11" s="1"/>
  <c r="BB11" i="1"/>
  <c r="H45" i="11" s="1"/>
  <c r="BF25" i="1"/>
  <c r="J44" i="11" s="1"/>
  <c r="BG11" i="1"/>
  <c r="M45" i="11" s="1"/>
  <c r="BG25" i="1"/>
  <c r="K44" i="11" s="1"/>
  <c r="BH11" i="1"/>
  <c r="N45" i="11" s="1"/>
  <c r="AY25" i="1"/>
  <c r="C44" i="11" s="1"/>
  <c r="BI11" i="1"/>
  <c r="AZ25" i="1"/>
  <c r="D44" i="11" s="1"/>
  <c r="D73" i="11" s="1"/>
  <c r="BJ11" i="1"/>
  <c r="BA25" i="1"/>
  <c r="E44" i="11" s="1"/>
  <c r="AY11" i="1"/>
  <c r="E45" i="11" s="1"/>
  <c r="AW119" i="1"/>
  <c r="BB25" i="1"/>
  <c r="F44" i="11" s="1"/>
  <c r="BC25" i="1"/>
  <c r="G44" i="11" s="1"/>
  <c r="BD25" i="1"/>
  <c r="H44" i="11" s="1"/>
  <c r="M73" i="11" l="1"/>
  <c r="N73" i="11"/>
  <c r="F73" i="11"/>
  <c r="G73" i="11"/>
  <c r="H73" i="11"/>
  <c r="L73" i="11"/>
  <c r="K73" i="11"/>
  <c r="J73" i="11"/>
  <c r="I73" i="11"/>
  <c r="E73" i="11"/>
  <c r="BO108" i="1" l="1"/>
  <c r="BO109" i="1" s="1"/>
  <c r="D33" i="11"/>
  <c r="B33" i="11"/>
  <c r="F32" i="11"/>
  <c r="E32" i="11"/>
  <c r="D32" i="11"/>
  <c r="C32" i="11"/>
  <c r="B32" i="11"/>
  <c r="E29" i="11"/>
  <c r="D29" i="11"/>
  <c r="C29" i="11"/>
  <c r="F29" i="11" s="1"/>
  <c r="B29" i="11"/>
  <c r="E27" i="11"/>
  <c r="D27" i="11"/>
  <c r="C27" i="11"/>
  <c r="F27" i="11" s="1"/>
  <c r="B27" i="11"/>
  <c r="E23" i="11"/>
  <c r="D23" i="11"/>
  <c r="C23" i="11"/>
  <c r="F23" i="11" s="1"/>
  <c r="B23" i="11"/>
  <c r="E21" i="11"/>
  <c r="D21" i="11"/>
  <c r="C21" i="11"/>
  <c r="F21" i="11" s="1"/>
  <c r="B21" i="11"/>
  <c r="F20" i="11"/>
  <c r="D20" i="11"/>
  <c r="C20" i="11"/>
  <c r="B20" i="11"/>
  <c r="F19" i="11"/>
  <c r="E19" i="11"/>
  <c r="D19" i="11"/>
  <c r="C19" i="11"/>
  <c r="B19" i="11"/>
  <c r="F18" i="11"/>
  <c r="E18" i="11"/>
  <c r="D18" i="11"/>
  <c r="C18" i="11"/>
  <c r="B18" i="11"/>
  <c r="F17" i="11"/>
  <c r="E17" i="11"/>
  <c r="D17" i="11"/>
  <c r="C17" i="11"/>
  <c r="B17" i="11"/>
  <c r="F16" i="11"/>
  <c r="E16" i="11"/>
  <c r="D16" i="11"/>
  <c r="C16" i="11"/>
  <c r="B16" i="11"/>
  <c r="F15" i="11"/>
  <c r="E15" i="11"/>
  <c r="D15" i="11"/>
  <c r="C15" i="11"/>
  <c r="B15" i="11"/>
  <c r="F14" i="11"/>
  <c r="E14" i="11"/>
  <c r="D14" i="11"/>
  <c r="C14" i="11"/>
  <c r="B14" i="11"/>
  <c r="F13" i="11"/>
  <c r="E13" i="11"/>
  <c r="D13" i="11"/>
  <c r="C13" i="11"/>
  <c r="B13" i="11"/>
  <c r="F12" i="11"/>
  <c r="E12" i="11"/>
  <c r="D12" i="11"/>
  <c r="C12" i="11"/>
  <c r="B12" i="11"/>
  <c r="F11" i="11"/>
  <c r="E11" i="11"/>
  <c r="D11" i="11"/>
  <c r="C11" i="11"/>
  <c r="B11" i="11"/>
  <c r="F10" i="11"/>
  <c r="E10" i="11"/>
  <c r="D10" i="11"/>
  <c r="C10" i="11"/>
  <c r="B10" i="11"/>
  <c r="F9" i="11"/>
  <c r="E9" i="11"/>
  <c r="D9" i="11"/>
  <c r="C9" i="11"/>
  <c r="B9" i="11"/>
  <c r="F8" i="11"/>
  <c r="E8" i="11"/>
  <c r="D8" i="11"/>
  <c r="C8" i="11"/>
  <c r="B8" i="11"/>
  <c r="E7" i="11"/>
  <c r="D7" i="11"/>
  <c r="C7" i="11"/>
  <c r="B7" i="11"/>
  <c r="F6" i="11"/>
  <c r="E6" i="11"/>
  <c r="D6" i="11"/>
  <c r="C6" i="11"/>
  <c r="B6" i="11"/>
  <c r="F5" i="11"/>
  <c r="E5" i="11"/>
  <c r="D5" i="11"/>
  <c r="C5" i="11"/>
  <c r="B5" i="11"/>
  <c r="F4" i="11"/>
  <c r="E4" i="11"/>
  <c r="D4" i="11"/>
  <c r="C4" i="11"/>
  <c r="B4" i="11"/>
  <c r="C3" i="11"/>
  <c r="B3" i="11"/>
  <c r="D34" i="11" l="1"/>
  <c r="D35" i="11" s="1"/>
  <c r="G20" i="11"/>
  <c r="F34" i="11"/>
  <c r="F35" i="11" s="1"/>
  <c r="F38" i="11" l="1"/>
  <c r="B31" i="7"/>
  <c r="B30" i="7"/>
  <c r="B28" i="7"/>
  <c r="B25" i="7"/>
  <c r="B26" i="7"/>
  <c r="A34" i="28" l="1"/>
  <c r="O38" i="27" s="1"/>
  <c r="A36" i="28"/>
  <c r="O40" i="27" s="1"/>
  <c r="A27" i="28"/>
  <c r="O28" i="27" s="1"/>
  <c r="A24" i="28"/>
  <c r="O25" i="27" s="1"/>
  <c r="A33" i="28"/>
  <c r="O37" i="27" s="1"/>
  <c r="S18" i="13"/>
  <c r="R18" i="13"/>
  <c r="Q18" i="13"/>
  <c r="S17" i="13"/>
  <c r="R17" i="13"/>
  <c r="Q17" i="13"/>
  <c r="S16" i="13"/>
  <c r="R16" i="13"/>
  <c r="Q16" i="13"/>
  <c r="S15" i="13"/>
  <c r="R15" i="13"/>
  <c r="Q15" i="13"/>
  <c r="S14" i="13"/>
  <c r="R14" i="13"/>
  <c r="Q14" i="13"/>
  <c r="S13" i="13"/>
  <c r="R13" i="13"/>
  <c r="Q13" i="13"/>
  <c r="S12" i="13"/>
  <c r="R12" i="13"/>
  <c r="Q12" i="13"/>
  <c r="S11" i="13"/>
  <c r="R11" i="13"/>
  <c r="Q11" i="13"/>
  <c r="S10" i="13"/>
  <c r="R10" i="13"/>
  <c r="Q10" i="13"/>
  <c r="S9" i="13"/>
  <c r="R9" i="13"/>
  <c r="Q9" i="13"/>
  <c r="S8" i="13"/>
  <c r="R8" i="13"/>
  <c r="Q8" i="13"/>
  <c r="S7" i="13"/>
  <c r="R7" i="13"/>
  <c r="Q7" i="13"/>
  <c r="S6" i="13"/>
  <c r="R6" i="13"/>
  <c r="Q6" i="13"/>
  <c r="S5" i="13"/>
  <c r="R5" i="13"/>
  <c r="Q5" i="13"/>
  <c r="S4" i="13"/>
  <c r="R4" i="13"/>
  <c r="Q4" i="13"/>
  <c r="Q1" i="13" l="1"/>
  <c r="S1" i="13"/>
  <c r="R1" i="13"/>
  <c r="AW249" i="1"/>
  <c r="AV249" i="1"/>
  <c r="Y201" i="12"/>
  <c r="T97" i="12"/>
  <c r="T98" i="12" s="1"/>
  <c r="T99" i="12" s="1"/>
  <c r="S97" i="12"/>
  <c r="S98" i="12" s="1"/>
  <c r="S99" i="12" s="1"/>
  <c r="R97" i="12"/>
  <c r="R98" i="12" s="1"/>
  <c r="R99" i="12" s="1"/>
  <c r="Q97" i="12"/>
  <c r="Q98" i="12" s="1"/>
  <c r="Q99" i="12" s="1"/>
  <c r="P97" i="12"/>
  <c r="P98" i="12" s="1"/>
  <c r="P99" i="12" s="1"/>
  <c r="O97" i="12"/>
  <c r="O98" i="12" s="1"/>
  <c r="O99" i="12" s="1"/>
  <c r="N97" i="12"/>
  <c r="N98" i="12" s="1"/>
  <c r="N99" i="12" s="1"/>
  <c r="M97" i="12"/>
  <c r="M98" i="12" s="1"/>
  <c r="M99" i="12" s="1"/>
  <c r="L97" i="12"/>
  <c r="L98" i="12" s="1"/>
  <c r="L99" i="12" s="1"/>
  <c r="K97" i="12"/>
  <c r="K98" i="12" s="1"/>
  <c r="K99" i="12" s="1"/>
  <c r="J97" i="12"/>
  <c r="J98" i="12" s="1"/>
  <c r="J99" i="12" s="1"/>
  <c r="I97" i="12"/>
  <c r="I98" i="12" s="1"/>
  <c r="I99" i="12" s="1"/>
  <c r="H97" i="12"/>
  <c r="H98" i="12" s="1"/>
  <c r="H99" i="12" s="1"/>
  <c r="G97" i="12"/>
  <c r="G98" i="12" s="1"/>
  <c r="G99" i="12" s="1"/>
  <c r="F97" i="12"/>
  <c r="F98" i="12" s="1"/>
  <c r="F99" i="12" s="1"/>
  <c r="AH95" i="12"/>
  <c r="AJ97" i="12" s="1"/>
  <c r="A91" i="12"/>
  <c r="AI90" i="12"/>
  <c r="AJ90" i="12" s="1"/>
  <c r="AJ89" i="12"/>
  <c r="T85" i="12"/>
  <c r="S85" i="12"/>
  <c r="R85" i="12"/>
  <c r="Q85" i="12"/>
  <c r="P85" i="12"/>
  <c r="O85" i="12"/>
  <c r="N85" i="12"/>
  <c r="M85" i="12"/>
  <c r="L85" i="12"/>
  <c r="K85" i="12"/>
  <c r="J85" i="12"/>
  <c r="I85" i="12"/>
  <c r="H85" i="12"/>
  <c r="G85" i="12"/>
  <c r="F85" i="12"/>
  <c r="T83" i="12"/>
  <c r="S83" i="12"/>
  <c r="R83" i="12"/>
  <c r="Q83" i="12"/>
  <c r="P83" i="12"/>
  <c r="O83" i="12"/>
  <c r="N83" i="12"/>
  <c r="M83" i="12"/>
  <c r="L83" i="12"/>
  <c r="K83" i="12"/>
  <c r="J83" i="12"/>
  <c r="I83" i="12"/>
  <c r="H83" i="12"/>
  <c r="G83" i="12"/>
  <c r="F83" i="12"/>
  <c r="AW82" i="12"/>
  <c r="T82" i="12"/>
  <c r="S82" i="12"/>
  <c r="R82" i="12"/>
  <c r="Q82" i="12"/>
  <c r="P82" i="12"/>
  <c r="O82" i="12"/>
  <c r="N82" i="12"/>
  <c r="M82" i="12"/>
  <c r="L82" i="12"/>
  <c r="K82" i="12"/>
  <c r="J82" i="12"/>
  <c r="I82" i="12"/>
  <c r="H82" i="12"/>
  <c r="G82" i="12"/>
  <c r="F82" i="12"/>
  <c r="AW81" i="12"/>
  <c r="AR81" i="12"/>
  <c r="AT81" i="12" s="1"/>
  <c r="AE81" i="12"/>
  <c r="AD81" i="12"/>
  <c r="T81" i="12"/>
  <c r="S81" i="12"/>
  <c r="R81" i="12"/>
  <c r="Q81" i="12"/>
  <c r="P81" i="12"/>
  <c r="O81" i="12"/>
  <c r="N81" i="12"/>
  <c r="M81" i="12"/>
  <c r="L81" i="12"/>
  <c r="K81" i="12"/>
  <c r="J81" i="12"/>
  <c r="I81" i="12"/>
  <c r="H81" i="12"/>
  <c r="G81" i="12"/>
  <c r="F81" i="12"/>
  <c r="AR80" i="12"/>
  <c r="T80" i="12"/>
  <c r="S80" i="12"/>
  <c r="R80" i="12"/>
  <c r="Q80" i="12"/>
  <c r="P80" i="12"/>
  <c r="O80" i="12"/>
  <c r="N80" i="12"/>
  <c r="M80" i="12"/>
  <c r="L80" i="12"/>
  <c r="K80" i="12"/>
  <c r="J80" i="12"/>
  <c r="I80" i="12"/>
  <c r="H80" i="12"/>
  <c r="G80" i="12"/>
  <c r="F80" i="12"/>
  <c r="AT77" i="12"/>
  <c r="AR77" i="12"/>
  <c r="AR76" i="12"/>
  <c r="AP76" i="12"/>
  <c r="L76" i="12"/>
  <c r="L78" i="12" s="1"/>
  <c r="K76" i="12"/>
  <c r="J76" i="12"/>
  <c r="I76" i="12"/>
  <c r="H76" i="12"/>
  <c r="G76" i="12"/>
  <c r="G78" i="12" s="1"/>
  <c r="F76" i="12"/>
  <c r="F78" i="12" s="1"/>
  <c r="AX72" i="12"/>
  <c r="AT72" i="12"/>
  <c r="AP72" i="12"/>
  <c r="AX71" i="12"/>
  <c r="AT71" i="12"/>
  <c r="AP71" i="12"/>
  <c r="AX70" i="12"/>
  <c r="AT70" i="12"/>
  <c r="AP70" i="12"/>
  <c r="AX69" i="12"/>
  <c r="AT69" i="12"/>
  <c r="AP69" i="12"/>
  <c r="D60" i="12"/>
  <c r="D61" i="12" s="1"/>
  <c r="D62" i="12" s="1"/>
  <c r="D63" i="12" s="1"/>
  <c r="D64" i="12" s="1"/>
  <c r="D65" i="12" s="1"/>
  <c r="D66" i="12" s="1"/>
  <c r="G59" i="12"/>
  <c r="AE57" i="12"/>
  <c r="AE87" i="12" s="1"/>
  <c r="AD56" i="12"/>
  <c r="AD55" i="12"/>
  <c r="AD54" i="12"/>
  <c r="AD53" i="12"/>
  <c r="AM51" i="12"/>
  <c r="AD51" i="12"/>
  <c r="AM50" i="12"/>
  <c r="AD50" i="12"/>
  <c r="AM49" i="12"/>
  <c r="AB48" i="12"/>
  <c r="AM47" i="12"/>
  <c r="AD47" i="12"/>
  <c r="AE46" i="12"/>
  <c r="AE45" i="12"/>
  <c r="AB44" i="12"/>
  <c r="AM43" i="12"/>
  <c r="AD43" i="12"/>
  <c r="AD42" i="12"/>
  <c r="AE37" i="12"/>
  <c r="AE44" i="12" s="1"/>
  <c r="D37" i="12"/>
  <c r="D38" i="12" s="1"/>
  <c r="D39" i="12" s="1"/>
  <c r="D40" i="12" s="1"/>
  <c r="D41" i="12" s="1"/>
  <c r="D42" i="12" s="1"/>
  <c r="D43" i="12" s="1"/>
  <c r="AM36" i="12"/>
  <c r="G36" i="12"/>
  <c r="AM35" i="12"/>
  <c r="AB34" i="12"/>
  <c r="AE31" i="12"/>
  <c r="AB31" i="12"/>
  <c r="F31" i="12"/>
  <c r="AD30" i="12"/>
  <c r="AJ28" i="12"/>
  <c r="AE27" i="12"/>
  <c r="AB27" i="12"/>
  <c r="AJ26" i="12"/>
  <c r="AB24" i="12"/>
  <c r="D24" i="12"/>
  <c r="D25" i="12" s="1"/>
  <c r="D26" i="12" s="1"/>
  <c r="D27" i="12" s="1"/>
  <c r="D28" i="12" s="1"/>
  <c r="D29" i="12" s="1"/>
  <c r="D30" i="12" s="1"/>
  <c r="B24" i="12"/>
  <c r="A24" i="12"/>
  <c r="T2" i="12" s="1"/>
  <c r="G23" i="12"/>
  <c r="G31" i="12" s="1"/>
  <c r="B23" i="12"/>
  <c r="A23" i="12"/>
  <c r="S2" i="12" s="1"/>
  <c r="S22" i="12" s="1"/>
  <c r="S71" i="12" s="1"/>
  <c r="AJ22" i="12"/>
  <c r="B22" i="12"/>
  <c r="A22" i="12"/>
  <c r="R2" i="12" s="1"/>
  <c r="R5" i="12" s="1"/>
  <c r="R9" i="12" s="1"/>
  <c r="B21" i="12"/>
  <c r="A21" i="12"/>
  <c r="Q2" i="12" s="1"/>
  <c r="B20" i="12"/>
  <c r="A20" i="12"/>
  <c r="P2" i="12" s="1"/>
  <c r="P6" i="12" s="1"/>
  <c r="B19" i="12"/>
  <c r="A19" i="12"/>
  <c r="O2" i="12" s="1"/>
  <c r="Z18" i="12"/>
  <c r="Y18" i="12"/>
  <c r="X18" i="12"/>
  <c r="W18" i="12"/>
  <c r="V18" i="12"/>
  <c r="U18" i="12"/>
  <c r="B18" i="12"/>
  <c r="A18" i="12"/>
  <c r="N2" i="12" s="1"/>
  <c r="AJ17" i="12"/>
  <c r="B17" i="12"/>
  <c r="A17" i="12"/>
  <c r="M2" i="12" s="1"/>
  <c r="M6" i="12" s="1"/>
  <c r="M9" i="12" s="1"/>
  <c r="B16" i="12"/>
  <c r="A16" i="12"/>
  <c r="L2" i="12" s="1"/>
  <c r="L22" i="12" s="1"/>
  <c r="L71" i="12" s="1"/>
  <c r="B15" i="12"/>
  <c r="A15" i="12"/>
  <c r="K2" i="12" s="1"/>
  <c r="K5" i="12" s="1"/>
  <c r="K9" i="12" s="1"/>
  <c r="AJ14" i="12"/>
  <c r="G14" i="12"/>
  <c r="H14" i="12" s="1"/>
  <c r="B14" i="12"/>
  <c r="A14" i="12"/>
  <c r="J2" i="12" s="1"/>
  <c r="AQ13" i="12"/>
  <c r="Z13" i="12"/>
  <c r="Y13" i="12"/>
  <c r="X13" i="12"/>
  <c r="W13" i="12"/>
  <c r="V13" i="12"/>
  <c r="U13" i="12"/>
  <c r="B13" i="12"/>
  <c r="A13" i="12"/>
  <c r="I2" i="12" s="1"/>
  <c r="AQ12" i="12"/>
  <c r="G12" i="12"/>
  <c r="B12" i="12"/>
  <c r="A12" i="12"/>
  <c r="H2" i="12" s="1"/>
  <c r="H6" i="12" s="1"/>
  <c r="H10" i="12" s="1"/>
  <c r="AQ11" i="12"/>
  <c r="AJ11" i="12"/>
  <c r="B11" i="12"/>
  <c r="G3" i="12" s="1"/>
  <c r="G8" i="12" s="1"/>
  <c r="A11" i="12"/>
  <c r="G2" i="12" s="1"/>
  <c r="G20" i="12" s="1"/>
  <c r="AQ10" i="12"/>
  <c r="Z10" i="12"/>
  <c r="Y10" i="12"/>
  <c r="X10" i="12"/>
  <c r="W10" i="12"/>
  <c r="V10" i="12"/>
  <c r="B10" i="12"/>
  <c r="A10" i="12"/>
  <c r="F2" i="12" s="1"/>
  <c r="AQ9" i="12"/>
  <c r="AE9" i="12"/>
  <c r="AD9" i="12"/>
  <c r="Z9" i="12"/>
  <c r="Y9" i="12"/>
  <c r="X9" i="12"/>
  <c r="W9" i="12"/>
  <c r="V9" i="12"/>
  <c r="AQ8" i="12"/>
  <c r="AJ8" i="12"/>
  <c r="Z8" i="12"/>
  <c r="W8" i="12"/>
  <c r="AQ7" i="12"/>
  <c r="AQ6" i="12"/>
  <c r="AQ5" i="12"/>
  <c r="AQ4" i="12"/>
  <c r="AE4" i="12"/>
  <c r="AD4" i="12"/>
  <c r="R4" i="12"/>
  <c r="Q4" i="12"/>
  <c r="D4" i="12"/>
  <c r="D5" i="12" s="1"/>
  <c r="D6" i="12" s="1"/>
  <c r="D7" i="12" s="1"/>
  <c r="D8" i="12" s="1"/>
  <c r="D9" i="12" s="1"/>
  <c r="D10" i="12" s="1"/>
  <c r="D11" i="12" s="1"/>
  <c r="D12" i="12" s="1"/>
  <c r="D13" i="12" s="1"/>
  <c r="D14" i="12" s="1"/>
  <c r="D15" i="12" s="1"/>
  <c r="D16" i="12" s="1"/>
  <c r="D17" i="12" s="1"/>
  <c r="D18" i="12" s="1"/>
  <c r="D19" i="12" s="1"/>
  <c r="B4" i="12"/>
  <c r="AJ3" i="12"/>
  <c r="V2" i="12"/>
  <c r="U2" i="12"/>
  <c r="U35" i="12" s="1"/>
  <c r="U58" i="12" s="1"/>
  <c r="AV74" i="1"/>
  <c r="AW6" i="1"/>
  <c r="V11" i="12" l="1"/>
  <c r="Z11" i="12"/>
  <c r="AE48" i="12"/>
  <c r="AY71" i="12"/>
  <c r="L77" i="12"/>
  <c r="H23" i="12"/>
  <c r="H31" i="12" s="1"/>
  <c r="H32" i="12" s="1"/>
  <c r="AY72" i="12"/>
  <c r="AT83" i="12"/>
  <c r="AV84" i="12" s="1"/>
  <c r="X11" i="12"/>
  <c r="AJ96" i="12"/>
  <c r="U22" i="12"/>
  <c r="U71" i="12" s="1"/>
  <c r="F77" i="12"/>
  <c r="AP68" i="12"/>
  <c r="G77" i="12"/>
  <c r="AT68" i="12"/>
  <c r="AQ76" i="12" s="1"/>
  <c r="AS76" i="12" s="1"/>
  <c r="U20" i="12"/>
  <c r="AY70" i="12"/>
  <c r="Y11" i="12"/>
  <c r="F3" i="12"/>
  <c r="F8" i="12" s="1"/>
  <c r="F105" i="12" s="1"/>
  <c r="L6" i="12"/>
  <c r="L9" i="12" s="1"/>
  <c r="S35" i="12"/>
  <c r="S58" i="12" s="1"/>
  <c r="N20" i="12"/>
  <c r="N5" i="12"/>
  <c r="N10" i="12" s="1"/>
  <c r="N6" i="12"/>
  <c r="N9" i="12" s="1"/>
  <c r="M35" i="12"/>
  <c r="M58" i="12" s="1"/>
  <c r="O6" i="12"/>
  <c r="O10" i="12" s="1"/>
  <c r="O20" i="12"/>
  <c r="G103" i="12"/>
  <c r="G90" i="12" s="1"/>
  <c r="R103" i="12"/>
  <c r="R90" i="12" s="1"/>
  <c r="G5" i="12"/>
  <c r="G9" i="12" s="1"/>
  <c r="J3" i="12"/>
  <c r="J8" i="12" s="1"/>
  <c r="J69" i="12" s="1"/>
  <c r="J103" i="12"/>
  <c r="J90" i="12" s="1"/>
  <c r="J5" i="12"/>
  <c r="J9" i="12" s="1"/>
  <c r="Q6" i="12"/>
  <c r="Q72" i="12" s="1"/>
  <c r="Q86" i="12" s="1"/>
  <c r="Q87" i="12" s="1"/>
  <c r="Q22" i="12"/>
  <c r="Q71" i="12" s="1"/>
  <c r="Q5" i="12"/>
  <c r="Q9" i="12" s="1"/>
  <c r="I22" i="12"/>
  <c r="I71" i="12" s="1"/>
  <c r="I35" i="12"/>
  <c r="I47" i="12" s="1"/>
  <c r="I20" i="12"/>
  <c r="I6" i="12"/>
  <c r="S103" i="12"/>
  <c r="S90" i="12" s="1"/>
  <c r="P22" i="12"/>
  <c r="P71" i="12" s="1"/>
  <c r="R3" i="12"/>
  <c r="R8" i="12" s="1"/>
  <c r="R101" i="12" s="1"/>
  <c r="S6" i="12"/>
  <c r="S5" i="12"/>
  <c r="S9" i="12" s="1"/>
  <c r="V8" i="12"/>
  <c r="H3" i="12"/>
  <c r="H8" i="12" s="1"/>
  <c r="H69" i="12" s="1"/>
  <c r="O22" i="12"/>
  <c r="O71" i="12" s="1"/>
  <c r="T35" i="12"/>
  <c r="T22" i="12"/>
  <c r="T71" i="12" s="1"/>
  <c r="T103" i="12"/>
  <c r="T90" i="12" s="1"/>
  <c r="T5" i="12"/>
  <c r="T3" i="12"/>
  <c r="T8" i="12" s="1"/>
  <c r="T6" i="12"/>
  <c r="T9" i="12" s="1"/>
  <c r="G101" i="12"/>
  <c r="G50" i="12"/>
  <c r="G51" i="12" s="1"/>
  <c r="G52" i="12" s="1"/>
  <c r="G53" i="12" s="1"/>
  <c r="G105" i="12"/>
  <c r="G69" i="12"/>
  <c r="G93" i="12"/>
  <c r="G94" i="12" s="1"/>
  <c r="G95" i="12" s="1"/>
  <c r="G96" i="12" s="1"/>
  <c r="V35" i="12"/>
  <c r="V103" i="12"/>
  <c r="V90" i="12" s="1"/>
  <c r="V20" i="12"/>
  <c r="V22" i="12"/>
  <c r="V71" i="12" s="1"/>
  <c r="K103" i="12"/>
  <c r="K90" i="12" s="1"/>
  <c r="K6" i="12"/>
  <c r="K35" i="12"/>
  <c r="K20" i="12"/>
  <c r="K22" i="12"/>
  <c r="K71" i="12" s="1"/>
  <c r="O5" i="12"/>
  <c r="O9" i="12" s="1"/>
  <c r="U47" i="12"/>
  <c r="M3" i="12"/>
  <c r="M8" i="12" s="1"/>
  <c r="M103" i="12"/>
  <c r="M90" i="12" s="1"/>
  <c r="M22" i="12"/>
  <c r="M71" i="12" s="1"/>
  <c r="M5" i="12"/>
  <c r="M20" i="12"/>
  <c r="K3" i="12"/>
  <c r="K8" i="12" s="1"/>
  <c r="H12" i="12"/>
  <c r="N3" i="12"/>
  <c r="N8" i="12" s="1"/>
  <c r="N103" i="12"/>
  <c r="N90" i="12" s="1"/>
  <c r="N22" i="12"/>
  <c r="N71" i="12" s="1"/>
  <c r="N35" i="12"/>
  <c r="L3" i="12"/>
  <c r="L8" i="12" s="1"/>
  <c r="H72" i="12"/>
  <c r="H86" i="12" s="1"/>
  <c r="H87" i="12" s="1"/>
  <c r="H78" i="12"/>
  <c r="H77" i="12"/>
  <c r="H35" i="12"/>
  <c r="H5" i="12"/>
  <c r="H9" i="12" s="1"/>
  <c r="H11" i="12" s="1"/>
  <c r="H103" i="12"/>
  <c r="H90" i="12" s="1"/>
  <c r="J35" i="12"/>
  <c r="J6" i="12"/>
  <c r="J22" i="12"/>
  <c r="J71" i="12" s="1"/>
  <c r="J20" i="12"/>
  <c r="Q3" i="12"/>
  <c r="Q8" i="12" s="1"/>
  <c r="F22" i="12"/>
  <c r="F71" i="12" s="1"/>
  <c r="F6" i="12"/>
  <c r="F5" i="12"/>
  <c r="F9" i="12" s="1"/>
  <c r="AD57" i="12"/>
  <c r="J78" i="12"/>
  <c r="J77" i="12"/>
  <c r="S3" i="12"/>
  <c r="S8" i="12" s="1"/>
  <c r="K77" i="12"/>
  <c r="K78" i="12"/>
  <c r="L103" i="12"/>
  <c r="L90" i="12" s="1"/>
  <c r="L35" i="12"/>
  <c r="L20" i="12"/>
  <c r="L5" i="12"/>
  <c r="F35" i="12"/>
  <c r="H59" i="12"/>
  <c r="AX68" i="12"/>
  <c r="I5" i="12"/>
  <c r="I9" i="12" s="1"/>
  <c r="I103" i="12"/>
  <c r="I90" i="12" s="1"/>
  <c r="I3" i="12"/>
  <c r="I8" i="12" s="1"/>
  <c r="O103" i="12"/>
  <c r="O90" i="12" s="1"/>
  <c r="O3" i="12"/>
  <c r="O8" i="12" s="1"/>
  <c r="O35" i="12"/>
  <c r="I77" i="12"/>
  <c r="I78" i="12"/>
  <c r="P72" i="12"/>
  <c r="P86" i="12" s="1"/>
  <c r="P87" i="12" s="1"/>
  <c r="P10" i="12"/>
  <c r="U5" i="12"/>
  <c r="U10" i="12" s="1"/>
  <c r="U103" i="12"/>
  <c r="U90" i="12" s="1"/>
  <c r="U6" i="12"/>
  <c r="U9" i="12" s="1"/>
  <c r="U3" i="12"/>
  <c r="U8" i="12" s="1"/>
  <c r="G22" i="12"/>
  <c r="G71" i="12" s="1"/>
  <c r="G6" i="12"/>
  <c r="G32" i="12" s="1"/>
  <c r="H20" i="12"/>
  <c r="H22" i="12"/>
  <c r="H71" i="12" s="1"/>
  <c r="G35" i="12"/>
  <c r="F103" i="12"/>
  <c r="F90" i="12" s="1"/>
  <c r="W11" i="12"/>
  <c r="V14" i="12"/>
  <c r="W14" i="12" s="1"/>
  <c r="X14" i="12" s="1"/>
  <c r="Y14" i="12" s="1"/>
  <c r="Z14" i="12" s="1"/>
  <c r="Z15" i="12" s="1"/>
  <c r="Z17" i="12" s="1"/>
  <c r="I14" i="12"/>
  <c r="J14" i="12" s="1"/>
  <c r="K14" i="12" s="1"/>
  <c r="L14" i="12" s="1"/>
  <c r="M14" i="12" s="1"/>
  <c r="N14" i="12" s="1"/>
  <c r="O14" i="12" s="1"/>
  <c r="P14" i="12" s="1"/>
  <c r="Q14" i="12" s="1"/>
  <c r="R14" i="12" s="1"/>
  <c r="S14" i="12" s="1"/>
  <c r="T14" i="12" s="1"/>
  <c r="U14" i="12" s="1"/>
  <c r="U15" i="12" s="1"/>
  <c r="U17" i="12" s="1"/>
  <c r="R22" i="12"/>
  <c r="R71" i="12" s="1"/>
  <c r="R20" i="12"/>
  <c r="R35" i="12"/>
  <c r="R6" i="12"/>
  <c r="AY69" i="12"/>
  <c r="P103" i="12"/>
  <c r="P90" i="12" s="1"/>
  <c r="P35" i="12"/>
  <c r="P20" i="12"/>
  <c r="P5" i="12"/>
  <c r="P9" i="12" s="1"/>
  <c r="Q103" i="12"/>
  <c r="Q90" i="12" s="1"/>
  <c r="Q20" i="12"/>
  <c r="Q35" i="12"/>
  <c r="P3" i="12"/>
  <c r="P8" i="12" s="1"/>
  <c r="H36" i="12"/>
  <c r="X8" i="12"/>
  <c r="Y8" i="12"/>
  <c r="AW21" i="1"/>
  <c r="H24" i="12" l="1"/>
  <c r="H26" i="12" s="1"/>
  <c r="H28" i="12" s="1"/>
  <c r="H29" i="12" s="1"/>
  <c r="F69" i="12"/>
  <c r="I23" i="12"/>
  <c r="I31" i="12" s="1"/>
  <c r="I32" i="12" s="1"/>
  <c r="AQ77" i="12"/>
  <c r="AS77" i="12" s="1"/>
  <c r="AU77" i="12" s="1"/>
  <c r="AV77" i="12" s="1"/>
  <c r="F101" i="12"/>
  <c r="F50" i="12"/>
  <c r="F51" i="12" s="1"/>
  <c r="F52" i="12" s="1"/>
  <c r="F53" i="12" s="1"/>
  <c r="F93" i="12"/>
  <c r="F94" i="12" s="1"/>
  <c r="F95" i="12" s="1"/>
  <c r="F96" i="12" s="1"/>
  <c r="O72" i="12"/>
  <c r="O86" i="12" s="1"/>
  <c r="O87" i="12" s="1"/>
  <c r="S47" i="12"/>
  <c r="M47" i="12"/>
  <c r="J101" i="12"/>
  <c r="N11" i="12"/>
  <c r="N72" i="12"/>
  <c r="N86" i="12" s="1"/>
  <c r="N87" i="12" s="1"/>
  <c r="O11" i="12"/>
  <c r="R69" i="12"/>
  <c r="Q10" i="12"/>
  <c r="Q11" i="12" s="1"/>
  <c r="J50" i="12"/>
  <c r="J51" i="12" s="1"/>
  <c r="J52" i="12" s="1"/>
  <c r="J53" i="12" s="1"/>
  <c r="I58" i="12"/>
  <c r="J105" i="12"/>
  <c r="H93" i="12"/>
  <c r="H94" i="12" s="1"/>
  <c r="H95" i="12" s="1"/>
  <c r="H96" i="12" s="1"/>
  <c r="I10" i="12"/>
  <c r="J93" i="12"/>
  <c r="J94" i="12" s="1"/>
  <c r="J95" i="12" s="1"/>
  <c r="J96" i="12" s="1"/>
  <c r="H101" i="12"/>
  <c r="I72" i="12"/>
  <c r="I86" i="12" s="1"/>
  <c r="I87" i="12" s="1"/>
  <c r="R93" i="12"/>
  <c r="R94" i="12" s="1"/>
  <c r="R95" i="12" s="1"/>
  <c r="R96" i="12" s="1"/>
  <c r="R88" i="12"/>
  <c r="H105" i="12"/>
  <c r="R105" i="12"/>
  <c r="S72" i="12"/>
  <c r="S86" i="12" s="1"/>
  <c r="S87" i="12" s="1"/>
  <c r="S10" i="12"/>
  <c r="S11" i="12" s="1"/>
  <c r="K105" i="12"/>
  <c r="K93" i="12"/>
  <c r="K94" i="12" s="1"/>
  <c r="K95" i="12" s="1"/>
  <c r="K96" i="12" s="1"/>
  <c r="K69" i="12"/>
  <c r="K50" i="12"/>
  <c r="K51" i="12" s="1"/>
  <c r="K52" i="12" s="1"/>
  <c r="K53" i="12" s="1"/>
  <c r="K101" i="12"/>
  <c r="K58" i="12"/>
  <c r="K47" i="12"/>
  <c r="I36" i="12"/>
  <c r="H37" i="12"/>
  <c r="H39" i="12" s="1"/>
  <c r="H41" i="12" s="1"/>
  <c r="H42" i="12" s="1"/>
  <c r="R72" i="12"/>
  <c r="R10" i="12"/>
  <c r="R11" i="12" s="1"/>
  <c r="G72" i="12"/>
  <c r="G86" i="12" s="1"/>
  <c r="G87" i="12" s="1"/>
  <c r="G10" i="12"/>
  <c r="O58" i="12"/>
  <c r="O47" i="12"/>
  <c r="F47" i="12"/>
  <c r="F58" i="12"/>
  <c r="J47" i="12"/>
  <c r="J58" i="12"/>
  <c r="K72" i="12"/>
  <c r="K86" i="12" s="1"/>
  <c r="K87" i="12" s="1"/>
  <c r="K10" i="12"/>
  <c r="K11" i="12" s="1"/>
  <c r="H50" i="12"/>
  <c r="H51" i="12" s="1"/>
  <c r="H52" i="12" s="1"/>
  <c r="H53" i="12" s="1"/>
  <c r="R47" i="12"/>
  <c r="R58" i="12"/>
  <c r="O101" i="12"/>
  <c r="O50" i="12"/>
  <c r="O51" i="12" s="1"/>
  <c r="O52" i="12" s="1"/>
  <c r="O53" i="12" s="1"/>
  <c r="O93" i="12"/>
  <c r="O94" i="12" s="1"/>
  <c r="O95" i="12" s="1"/>
  <c r="O96" i="12" s="1"/>
  <c r="O69" i="12"/>
  <c r="O88" i="12"/>
  <c r="O105" i="12"/>
  <c r="L72" i="12"/>
  <c r="L86" i="12" s="1"/>
  <c r="L87" i="12" s="1"/>
  <c r="L10" i="12"/>
  <c r="L11" i="12" s="1"/>
  <c r="M10" i="12"/>
  <c r="M11" i="12" s="1"/>
  <c r="M72" i="12"/>
  <c r="M86" i="12" s="1"/>
  <c r="M87" i="12" s="1"/>
  <c r="P69" i="12"/>
  <c r="P93" i="12"/>
  <c r="P94" i="12" s="1"/>
  <c r="P95" i="12" s="1"/>
  <c r="P96" i="12" s="1"/>
  <c r="P50" i="12"/>
  <c r="P51" i="12" s="1"/>
  <c r="P52" i="12" s="1"/>
  <c r="P53" i="12" s="1"/>
  <c r="P88" i="12"/>
  <c r="P101" i="12"/>
  <c r="P105" i="12"/>
  <c r="P75" i="12"/>
  <c r="P76" i="12" s="1"/>
  <c r="V15" i="12"/>
  <c r="V17" i="12" s="1"/>
  <c r="L105" i="12"/>
  <c r="L69" i="12"/>
  <c r="L93" i="12"/>
  <c r="L94" i="12" s="1"/>
  <c r="L95" i="12" s="1"/>
  <c r="L96" i="12" s="1"/>
  <c r="L50" i="12"/>
  <c r="L51" i="12" s="1"/>
  <c r="L52" i="12" s="1"/>
  <c r="L53" i="12" s="1"/>
  <c r="L101" i="12"/>
  <c r="T101" i="12"/>
  <c r="T93" i="12"/>
  <c r="T94" i="12" s="1"/>
  <c r="T95" i="12" s="1"/>
  <c r="T96" i="12" s="1"/>
  <c r="T88" i="12"/>
  <c r="T50" i="12"/>
  <c r="T51" i="12" s="1"/>
  <c r="T52" i="12" s="1"/>
  <c r="T53" i="12" s="1"/>
  <c r="T105" i="12"/>
  <c r="T69" i="12"/>
  <c r="Q47" i="12"/>
  <c r="Q58" i="12"/>
  <c r="W15" i="12"/>
  <c r="W17" i="12" s="1"/>
  <c r="L58" i="12"/>
  <c r="L47" i="12"/>
  <c r="N47" i="12"/>
  <c r="N58" i="12"/>
  <c r="R50" i="12"/>
  <c r="R51" i="12" s="1"/>
  <c r="R52" i="12" s="1"/>
  <c r="R53" i="12" s="1"/>
  <c r="T72" i="12"/>
  <c r="T86" i="12" s="1"/>
  <c r="T87" i="12" s="1"/>
  <c r="T10" i="12"/>
  <c r="T11" i="12" s="1"/>
  <c r="I12" i="12"/>
  <c r="H13" i="12"/>
  <c r="H15" i="12" s="1"/>
  <c r="H17" i="12" s="1"/>
  <c r="H18" i="12" s="1"/>
  <c r="I59" i="12"/>
  <c r="H60" i="12"/>
  <c r="H62" i="12" s="1"/>
  <c r="H64" i="12" s="1"/>
  <c r="H65" i="12" s="1"/>
  <c r="F72" i="12"/>
  <c r="F10" i="12"/>
  <c r="F32" i="12"/>
  <c r="T47" i="12"/>
  <c r="T58" i="12"/>
  <c r="Q93" i="12"/>
  <c r="Q94" i="12" s="1"/>
  <c r="Q95" i="12" s="1"/>
  <c r="Q96" i="12" s="1"/>
  <c r="Q101" i="12"/>
  <c r="Q69" i="12"/>
  <c r="Q88" i="12"/>
  <c r="Q105" i="12"/>
  <c r="Q50" i="12"/>
  <c r="Q51" i="12" s="1"/>
  <c r="Q52" i="12" s="1"/>
  <c r="Q53" i="12" s="1"/>
  <c r="Q75" i="12"/>
  <c r="Q76" i="12" s="1"/>
  <c r="Y15" i="12"/>
  <c r="Y17" i="12" s="1"/>
  <c r="X15" i="12"/>
  <c r="X17" i="12" s="1"/>
  <c r="S101" i="12"/>
  <c r="S50" i="12"/>
  <c r="S51" i="12" s="1"/>
  <c r="S52" i="12" s="1"/>
  <c r="S53" i="12" s="1"/>
  <c r="S105" i="12"/>
  <c r="S88" i="12"/>
  <c r="S93" i="12"/>
  <c r="S94" i="12" s="1"/>
  <c r="S95" i="12" s="1"/>
  <c r="S96" i="12" s="1"/>
  <c r="S69" i="12"/>
  <c r="J10" i="12"/>
  <c r="J72" i="12"/>
  <c r="J86" i="12" s="1"/>
  <c r="J87" i="12" s="1"/>
  <c r="I50" i="12"/>
  <c r="I51" i="12" s="1"/>
  <c r="I52" i="12" s="1"/>
  <c r="I53" i="12" s="1"/>
  <c r="I93" i="12"/>
  <c r="I94" i="12" s="1"/>
  <c r="I95" i="12" s="1"/>
  <c r="I96" i="12" s="1"/>
  <c r="I101" i="12"/>
  <c r="I69" i="12"/>
  <c r="I105" i="12"/>
  <c r="M101" i="12"/>
  <c r="M88" i="12"/>
  <c r="M50" i="12"/>
  <c r="M51" i="12" s="1"/>
  <c r="M52" i="12" s="1"/>
  <c r="M53" i="12" s="1"/>
  <c r="M93" i="12"/>
  <c r="M94" i="12" s="1"/>
  <c r="M95" i="12" s="1"/>
  <c r="M96" i="12" s="1"/>
  <c r="M69" i="12"/>
  <c r="M105" i="12"/>
  <c r="H47" i="12"/>
  <c r="H58" i="12"/>
  <c r="N101" i="12"/>
  <c r="N69" i="12"/>
  <c r="N50" i="12"/>
  <c r="N51" i="12" s="1"/>
  <c r="N52" i="12" s="1"/>
  <c r="N53" i="12" s="1"/>
  <c r="N93" i="12"/>
  <c r="N94" i="12" s="1"/>
  <c r="N95" i="12" s="1"/>
  <c r="N96" i="12" s="1"/>
  <c r="N88" i="12"/>
  <c r="N105" i="12"/>
  <c r="U11" i="12"/>
  <c r="P47" i="12"/>
  <c r="P58" i="12"/>
  <c r="G58" i="12"/>
  <c r="G47" i="12"/>
  <c r="P11" i="12"/>
  <c r="V47" i="12"/>
  <c r="V58" i="12"/>
  <c r="AW139" i="1"/>
  <c r="AW145" i="1" s="1"/>
  <c r="AW161" i="1"/>
  <c r="AV161" i="1"/>
  <c r="AW156" i="1"/>
  <c r="AV156" i="1"/>
  <c r="AV314" i="1"/>
  <c r="AW392" i="1"/>
  <c r="AW393" i="1" s="1"/>
  <c r="AV393" i="1"/>
  <c r="AW118" i="1"/>
  <c r="BO120" i="1"/>
  <c r="BO118" i="1" s="1"/>
  <c r="AW287" i="1"/>
  <c r="AV287" i="1"/>
  <c r="AV279" i="1"/>
  <c r="AW279" i="1"/>
  <c r="AW85" i="1"/>
  <c r="AW64" i="1"/>
  <c r="AW70" i="1" s="1"/>
  <c r="AV50" i="1"/>
  <c r="AW50" i="1"/>
  <c r="AW49" i="1"/>
  <c r="AW33" i="1"/>
  <c r="AW41" i="1" s="1"/>
  <c r="AW11" i="1"/>
  <c r="C45" i="11" s="1"/>
  <c r="C73" i="11" s="1"/>
  <c r="AT4" i="1"/>
  <c r="AW18" i="1"/>
  <c r="I24" i="12" l="1"/>
  <c r="I26" i="12" s="1"/>
  <c r="I28" i="12" s="1"/>
  <c r="I29" i="12" s="1"/>
  <c r="J23" i="12"/>
  <c r="K23" i="12" s="1"/>
  <c r="K24" i="12" s="1"/>
  <c r="K26" i="12" s="1"/>
  <c r="K28" i="12" s="1"/>
  <c r="K29" i="12" s="1"/>
  <c r="AW51" i="1"/>
  <c r="AW163" i="1"/>
  <c r="O75" i="12"/>
  <c r="O76" i="12" s="1"/>
  <c r="O78" i="12" s="1"/>
  <c r="S75" i="12"/>
  <c r="S76" i="12" s="1"/>
  <c r="S78" i="12" s="1"/>
  <c r="N75" i="12"/>
  <c r="N76" i="12" s="1"/>
  <c r="N78" i="12" s="1"/>
  <c r="Z54" i="12"/>
  <c r="AE23" i="12" s="1"/>
  <c r="I11" i="12"/>
  <c r="I13" i="12" s="1"/>
  <c r="I15" i="12" s="1"/>
  <c r="I17" i="12" s="1"/>
  <c r="I18" i="12" s="1"/>
  <c r="Z106" i="12"/>
  <c r="Z107" i="12" s="1"/>
  <c r="AD46" i="12" s="1"/>
  <c r="Z97" i="12"/>
  <c r="Z98" i="12" s="1"/>
  <c r="AD32" i="12" s="1"/>
  <c r="AD34" i="12" s="1"/>
  <c r="AE34" i="12" s="1"/>
  <c r="T75" i="12"/>
  <c r="T76" i="12" s="1"/>
  <c r="T78" i="12" s="1"/>
  <c r="F60" i="12"/>
  <c r="F62" i="12" s="1"/>
  <c r="F64" i="12" s="1"/>
  <c r="F65" i="12" s="1"/>
  <c r="F11" i="12"/>
  <c r="F13" i="12" s="1"/>
  <c r="F15" i="12" s="1"/>
  <c r="F17" i="12" s="1"/>
  <c r="F18" i="12" s="1"/>
  <c r="F37" i="12"/>
  <c r="F39" i="12" s="1"/>
  <c r="F41" i="12" s="1"/>
  <c r="F42" i="12" s="1"/>
  <c r="F24" i="12"/>
  <c r="F26" i="12" s="1"/>
  <c r="F28" i="12" s="1"/>
  <c r="F29" i="12" s="1"/>
  <c r="Q77" i="12"/>
  <c r="Q78" i="12"/>
  <c r="P77" i="12"/>
  <c r="P78" i="12"/>
  <c r="F86" i="12"/>
  <c r="F87" i="12" s="1"/>
  <c r="A72" i="12"/>
  <c r="G11" i="12"/>
  <c r="G13" i="12" s="1"/>
  <c r="G15" i="12" s="1"/>
  <c r="G17" i="12" s="1"/>
  <c r="G18" i="12" s="1"/>
  <c r="G24" i="12"/>
  <c r="G26" i="12" s="1"/>
  <c r="G28" i="12" s="1"/>
  <c r="G29" i="12" s="1"/>
  <c r="G60" i="12"/>
  <c r="G62" i="12" s="1"/>
  <c r="G64" i="12" s="1"/>
  <c r="G65" i="12" s="1"/>
  <c r="G37" i="12"/>
  <c r="G39" i="12" s="1"/>
  <c r="G41" i="12" s="1"/>
  <c r="G42" i="12" s="1"/>
  <c r="J59" i="12"/>
  <c r="I60" i="12"/>
  <c r="I62" i="12" s="1"/>
  <c r="I64" i="12" s="1"/>
  <c r="I65" i="12" s="1"/>
  <c r="J12" i="12"/>
  <c r="R86" i="12"/>
  <c r="R87" i="12" s="1"/>
  <c r="R75" i="12"/>
  <c r="R76" i="12" s="1"/>
  <c r="M75" i="12"/>
  <c r="Z86" i="12"/>
  <c r="Z87" i="12" s="1"/>
  <c r="I37" i="12"/>
  <c r="I39" i="12" s="1"/>
  <c r="I41" i="12" s="1"/>
  <c r="I42" i="12" s="1"/>
  <c r="J36" i="12"/>
  <c r="J11" i="12"/>
  <c r="AW25" i="1"/>
  <c r="AT49" i="1"/>
  <c r="P11" i="4"/>
  <c r="P10" i="4"/>
  <c r="P9" i="4"/>
  <c r="P8" i="4"/>
  <c r="G226" i="4"/>
  <c r="F226" i="4"/>
  <c r="G220" i="4"/>
  <c r="F220" i="4"/>
  <c r="G209" i="4"/>
  <c r="F209" i="4"/>
  <c r="G200" i="4"/>
  <c r="F200" i="4"/>
  <c r="F192" i="4"/>
  <c r="G191" i="4"/>
  <c r="G190" i="4"/>
  <c r="G189" i="4"/>
  <c r="G188" i="4"/>
  <c r="G184" i="4"/>
  <c r="E178" i="4"/>
  <c r="F183" i="4"/>
  <c r="F181" i="4"/>
  <c r="F180" i="4"/>
  <c r="F179" i="4"/>
  <c r="F178" i="4"/>
  <c r="G174" i="4"/>
  <c r="F174" i="4"/>
  <c r="J24" i="12" l="1"/>
  <c r="J26" i="12" s="1"/>
  <c r="J28" i="12" s="1"/>
  <c r="J29" i="12" s="1"/>
  <c r="J31" i="12"/>
  <c r="J32" i="12" s="1"/>
  <c r="L23" i="12"/>
  <c r="K31" i="12"/>
  <c r="K32" i="12" s="1"/>
  <c r="O77" i="12"/>
  <c r="S77" i="12"/>
  <c r="AD83" i="12"/>
  <c r="AE83" i="12"/>
  <c r="AE22" i="12"/>
  <c r="AE21" i="12"/>
  <c r="AD23" i="12"/>
  <c r="AD22" i="12"/>
  <c r="N77" i="12"/>
  <c r="AD21" i="12"/>
  <c r="AK17" i="12"/>
  <c r="AM19" i="12" s="1"/>
  <c r="AD40" i="12"/>
  <c r="AK28" i="12"/>
  <c r="AM31" i="12" s="1"/>
  <c r="AD37" i="12"/>
  <c r="AD36" i="12"/>
  <c r="AK26" i="12"/>
  <c r="AM26" i="12" s="1"/>
  <c r="AD35" i="12"/>
  <c r="AD39" i="12"/>
  <c r="AD41" i="12"/>
  <c r="AD45" i="12"/>
  <c r="AD48" i="12" s="1"/>
  <c r="AD38" i="12"/>
  <c r="T77" i="12"/>
  <c r="R78" i="12"/>
  <c r="R77" i="12"/>
  <c r="J13" i="12"/>
  <c r="J15" i="12" s="1"/>
  <c r="J17" i="12" s="1"/>
  <c r="J18" i="12" s="1"/>
  <c r="K12" i="12"/>
  <c r="J37" i="12"/>
  <c r="J39" i="12" s="1"/>
  <c r="J41" i="12" s="1"/>
  <c r="J42" i="12" s="1"/>
  <c r="K36" i="12"/>
  <c r="J60" i="12"/>
  <c r="J62" i="12" s="1"/>
  <c r="J64" i="12" s="1"/>
  <c r="J65" i="12" s="1"/>
  <c r="K59" i="12"/>
  <c r="AD28" i="12"/>
  <c r="AD29" i="12"/>
  <c r="AK22" i="12"/>
  <c r="M76" i="12"/>
  <c r="Y86" i="12"/>
  <c r="G192" i="4"/>
  <c r="L31" i="12" l="1"/>
  <c r="L32" i="12" s="1"/>
  <c r="L24" i="12"/>
  <c r="L26" i="12" s="1"/>
  <c r="L28" i="12" s="1"/>
  <c r="L29" i="12" s="1"/>
  <c r="M23" i="12"/>
  <c r="AE24" i="12"/>
  <c r="AM17" i="12"/>
  <c r="AD24" i="12"/>
  <c r="AM18" i="12"/>
  <c r="AM32" i="12"/>
  <c r="AM34" i="12"/>
  <c r="AM33" i="12"/>
  <c r="AM38" i="12"/>
  <c r="AM30" i="12"/>
  <c r="AM28" i="12"/>
  <c r="AM29" i="12"/>
  <c r="AM39" i="12"/>
  <c r="AD44" i="12"/>
  <c r="K13" i="12"/>
  <c r="K15" i="12" s="1"/>
  <c r="K17" i="12" s="1"/>
  <c r="K18" i="12" s="1"/>
  <c r="L12" i="12"/>
  <c r="AM22" i="12"/>
  <c r="AM23" i="12"/>
  <c r="AD31" i="12"/>
  <c r="K60" i="12"/>
  <c r="K62" i="12" s="1"/>
  <c r="K64" i="12" s="1"/>
  <c r="K65" i="12" s="1"/>
  <c r="L59" i="12"/>
  <c r="K37" i="12"/>
  <c r="K39" i="12" s="1"/>
  <c r="K41" i="12" s="1"/>
  <c r="L36" i="12"/>
  <c r="M78" i="12"/>
  <c r="M77" i="12"/>
  <c r="Z84" i="12"/>
  <c r="Z85" i="12" s="1"/>
  <c r="N56" i="4"/>
  <c r="N65" i="4" s="1"/>
  <c r="AT33" i="1"/>
  <c r="M31" i="12" l="1"/>
  <c r="M32" i="12" s="1"/>
  <c r="M24" i="12"/>
  <c r="M26" i="12" s="1"/>
  <c r="M28" i="12" s="1"/>
  <c r="M29" i="12" s="1"/>
  <c r="N23" i="12"/>
  <c r="L60" i="12"/>
  <c r="L62" i="12" s="1"/>
  <c r="L64" i="12" s="1"/>
  <c r="L65" i="12" s="1"/>
  <c r="Z66" i="12" s="1"/>
  <c r="Z68" i="12" s="1"/>
  <c r="M59" i="12"/>
  <c r="L37" i="12"/>
  <c r="L39" i="12" s="1"/>
  <c r="L41" i="12" s="1"/>
  <c r="M36" i="12"/>
  <c r="G202" i="12"/>
  <c r="G203" i="12" s="1"/>
  <c r="F202" i="12"/>
  <c r="V202" i="12"/>
  <c r="V203" i="12" s="1"/>
  <c r="H202" i="12"/>
  <c r="H203" i="12" s="1"/>
  <c r="X202" i="12"/>
  <c r="X203" i="12" s="1"/>
  <c r="W202" i="12"/>
  <c r="W203" i="12" s="1"/>
  <c r="M12" i="12"/>
  <c r="L13" i="12"/>
  <c r="L15" i="12" s="1"/>
  <c r="L17" i="12" s="1"/>
  <c r="L18" i="12" s="1"/>
  <c r="L56" i="4"/>
  <c r="BR73" i="1"/>
  <c r="BR65" i="1"/>
  <c r="N31" i="12" l="1"/>
  <c r="N32" i="12" s="1"/>
  <c r="O23" i="12"/>
  <c r="N24" i="12"/>
  <c r="N26" i="12" s="1"/>
  <c r="N28" i="12" s="1"/>
  <c r="N29" i="12" s="1"/>
  <c r="N12" i="12"/>
  <c r="M13" i="12"/>
  <c r="M15" i="12" s="1"/>
  <c r="M17" i="12" s="1"/>
  <c r="M18" i="12" s="1"/>
  <c r="F203" i="12"/>
  <c r="Y203" i="12" s="1"/>
  <c r="Y202" i="12"/>
  <c r="AK14" i="12"/>
  <c r="AD25" i="12"/>
  <c r="AD26" i="12"/>
  <c r="N36" i="12"/>
  <c r="M37" i="12"/>
  <c r="M39" i="12" s="1"/>
  <c r="M41" i="12" s="1"/>
  <c r="M60" i="12"/>
  <c r="M62" i="12" s="1"/>
  <c r="M64" i="12" s="1"/>
  <c r="N59" i="12"/>
  <c r="P23" i="12" l="1"/>
  <c r="O31" i="12"/>
  <c r="O32" i="12" s="1"/>
  <c r="O24" i="12"/>
  <c r="O26" i="12" s="1"/>
  <c r="O28" i="12" s="1"/>
  <c r="O29" i="12" s="1"/>
  <c r="AD27" i="12"/>
  <c r="O36" i="12"/>
  <c r="N37" i="12"/>
  <c r="N39" i="12" s="1"/>
  <c r="N41" i="12" s="1"/>
  <c r="AM15" i="12"/>
  <c r="AM14" i="12"/>
  <c r="O59" i="12"/>
  <c r="N60" i="12"/>
  <c r="N62" i="12" s="1"/>
  <c r="N64" i="12" s="1"/>
  <c r="N13" i="12"/>
  <c r="N15" i="12" s="1"/>
  <c r="N17" i="12" s="1"/>
  <c r="N18" i="12" s="1"/>
  <c r="O12" i="12"/>
  <c r="BO352" i="1"/>
  <c r="Q9" i="4"/>
  <c r="Q8" i="4"/>
  <c r="Q7" i="4"/>
  <c r="BO307" i="1"/>
  <c r="AT322" i="1"/>
  <c r="BO322" i="1" s="1"/>
  <c r="D204" i="4"/>
  <c r="D208" i="4"/>
  <c r="D206" i="4"/>
  <c r="W219" i="4"/>
  <c r="X221" i="4"/>
  <c r="D205" i="4" s="1"/>
  <c r="X218" i="4"/>
  <c r="X217" i="4"/>
  <c r="X211" i="4"/>
  <c r="X210" i="4"/>
  <c r="X208" i="4"/>
  <c r="X207" i="4"/>
  <c r="X203" i="4"/>
  <c r="X202" i="4"/>
  <c r="X201" i="4"/>
  <c r="X197" i="4"/>
  <c r="X193" i="4"/>
  <c r="X187" i="4"/>
  <c r="X186" i="4"/>
  <c r="X183" i="4"/>
  <c r="X179" i="4"/>
  <c r="X178" i="4"/>
  <c r="X176" i="4"/>
  <c r="X175" i="4"/>
  <c r="X174" i="4"/>
  <c r="X173" i="4"/>
  <c r="X172" i="4"/>
  <c r="X168" i="4"/>
  <c r="X167" i="4"/>
  <c r="X162" i="4"/>
  <c r="X161" i="4"/>
  <c r="X160" i="4"/>
  <c r="X159" i="4"/>
  <c r="X158" i="4"/>
  <c r="X157" i="4"/>
  <c r="E183" i="4"/>
  <c r="E182" i="4"/>
  <c r="E181" i="4"/>
  <c r="E173" i="4"/>
  <c r="E172" i="4"/>
  <c r="E171" i="4"/>
  <c r="E170" i="4"/>
  <c r="E169" i="4"/>
  <c r="E199" i="4"/>
  <c r="E198" i="4"/>
  <c r="E197" i="4"/>
  <c r="E196" i="4"/>
  <c r="L65" i="4"/>
  <c r="L63" i="4"/>
  <c r="L62" i="4"/>
  <c r="L61" i="4"/>
  <c r="L59" i="4"/>
  <c r="L58" i="4"/>
  <c r="L57" i="4"/>
  <c r="BU3" i="2"/>
  <c r="BV3" i="2" s="1"/>
  <c r="BW3" i="2" s="1"/>
  <c r="E219" i="4"/>
  <c r="E218" i="4"/>
  <c r="E217" i="4"/>
  <c r="E216" i="4"/>
  <c r="E215" i="4"/>
  <c r="D224" i="4"/>
  <c r="D223" i="4"/>
  <c r="D222" i="4"/>
  <c r="D225" i="4"/>
  <c r="AT79" i="1"/>
  <c r="D50" i="4"/>
  <c r="D49" i="4"/>
  <c r="D48" i="4"/>
  <c r="D43" i="4"/>
  <c r="D42" i="4"/>
  <c r="D40" i="4"/>
  <c r="D39" i="4"/>
  <c r="B11" i="7"/>
  <c r="E220" i="4" l="1"/>
  <c r="Q12" i="4"/>
  <c r="E200" i="4"/>
  <c r="D52" i="4"/>
  <c r="S87" i="1" s="1"/>
  <c r="E174" i="4"/>
  <c r="P31" i="12"/>
  <c r="P32" i="12" s="1"/>
  <c r="Q23" i="12"/>
  <c r="P24" i="12"/>
  <c r="P26" i="12" s="1"/>
  <c r="P28" i="12" s="1"/>
  <c r="P29" i="12" s="1"/>
  <c r="A11" i="28"/>
  <c r="O12" i="27" s="1"/>
  <c r="P59" i="12"/>
  <c r="O60" i="12"/>
  <c r="O62" i="12" s="1"/>
  <c r="O64" i="12" s="1"/>
  <c r="P36" i="12"/>
  <c r="O37" i="12"/>
  <c r="O39" i="12" s="1"/>
  <c r="O41" i="12" s="1"/>
  <c r="O42" i="12" s="1"/>
  <c r="O13" i="12"/>
  <c r="O15" i="12" s="1"/>
  <c r="O17" i="12" s="1"/>
  <c r="O18" i="12" s="1"/>
  <c r="P12" i="12"/>
  <c r="X219" i="4"/>
  <c r="D207" i="4" s="1"/>
  <c r="D209" i="4" s="1"/>
  <c r="L67" i="4"/>
  <c r="E184" i="4"/>
  <c r="D226" i="4"/>
  <c r="D44" i="4"/>
  <c r="C190" i="4"/>
  <c r="C189" i="4"/>
  <c r="C188" i="4"/>
  <c r="Q203" i="4"/>
  <c r="Q199" i="4" s="1"/>
  <c r="P203" i="4"/>
  <c r="P199" i="4" s="1"/>
  <c r="Q181" i="4"/>
  <c r="P181" i="4"/>
  <c r="S82" i="1" l="1"/>
  <c r="S83" i="1"/>
  <c r="S84" i="1"/>
  <c r="S88" i="1"/>
  <c r="S79" i="1"/>
  <c r="S85" i="1"/>
  <c r="S86" i="1"/>
  <c r="S89" i="1"/>
  <c r="S81" i="1"/>
  <c r="S80" i="1"/>
  <c r="S90" i="1"/>
  <c r="Q31" i="12"/>
  <c r="Q32" i="12" s="1"/>
  <c r="Q24" i="12"/>
  <c r="Q26" i="12" s="1"/>
  <c r="Q28" i="12" s="1"/>
  <c r="Q29" i="12" s="1"/>
  <c r="R23" i="12"/>
  <c r="S69" i="1"/>
  <c r="S68" i="1"/>
  <c r="S67" i="1"/>
  <c r="S72" i="1"/>
  <c r="S71" i="1"/>
  <c r="S66" i="1"/>
  <c r="S65" i="1"/>
  <c r="S75" i="1"/>
  <c r="S70" i="1"/>
  <c r="S74" i="1"/>
  <c r="S73" i="1"/>
  <c r="S64" i="1"/>
  <c r="Y219" i="4"/>
  <c r="P13" i="12"/>
  <c r="P15" i="12" s="1"/>
  <c r="P17" i="12" s="1"/>
  <c r="P18" i="12" s="1"/>
  <c r="Q12" i="12"/>
  <c r="Q36" i="12"/>
  <c r="P37" i="12"/>
  <c r="P39" i="12" s="1"/>
  <c r="P41" i="12" s="1"/>
  <c r="P42" i="12" s="1"/>
  <c r="Q59" i="12"/>
  <c r="P60" i="12"/>
  <c r="P62" i="12" s="1"/>
  <c r="P64" i="12" s="1"/>
  <c r="C182" i="4"/>
  <c r="F182" i="4" s="1"/>
  <c r="F184" i="4" s="1"/>
  <c r="C205" i="4"/>
  <c r="C207" i="4"/>
  <c r="J207" i="4" s="1"/>
  <c r="J209" i="4" s="1"/>
  <c r="S23" i="12" l="1"/>
  <c r="R24" i="12"/>
  <c r="R26" i="12" s="1"/>
  <c r="R28" i="12" s="1"/>
  <c r="R29" i="12" s="1"/>
  <c r="R31" i="12"/>
  <c r="R32" i="12" s="1"/>
  <c r="Q60" i="12"/>
  <c r="Q62" i="12" s="1"/>
  <c r="Q64" i="12" s="1"/>
  <c r="R59" i="12"/>
  <c r="R36" i="12"/>
  <c r="Q37" i="12"/>
  <c r="Q39" i="12" s="1"/>
  <c r="Q41" i="12" s="1"/>
  <c r="Q42" i="12" s="1"/>
  <c r="R12" i="12"/>
  <c r="Q13" i="12"/>
  <c r="Q15" i="12" s="1"/>
  <c r="Q17" i="12" s="1"/>
  <c r="Q18" i="12" s="1"/>
  <c r="Q17" i="5"/>
  <c r="R17" i="5" s="1"/>
  <c r="Q15" i="5"/>
  <c r="R15" i="5" s="1"/>
  <c r="Q11" i="5"/>
  <c r="R11" i="5" s="1"/>
  <c r="Q9" i="5"/>
  <c r="R9" i="5" s="1"/>
  <c r="Q7" i="5"/>
  <c r="R7" i="5" s="1"/>
  <c r="Q5" i="5"/>
  <c r="R5" i="5" s="1"/>
  <c r="L76" i="9"/>
  <c r="K76" i="9"/>
  <c r="J76" i="9"/>
  <c r="I76" i="9"/>
  <c r="G76" i="9"/>
  <c r="F76" i="9"/>
  <c r="E76" i="9"/>
  <c r="S75" i="9"/>
  <c r="R75" i="9"/>
  <c r="Q75" i="9"/>
  <c r="H75" i="9"/>
  <c r="T75" i="9" s="1"/>
  <c r="S74" i="9"/>
  <c r="R74" i="9"/>
  <c r="Q74" i="9"/>
  <c r="H74" i="9"/>
  <c r="T74" i="9" s="1"/>
  <c r="L73" i="9"/>
  <c r="K73" i="9"/>
  <c r="J73" i="9"/>
  <c r="I73" i="9"/>
  <c r="G73" i="9"/>
  <c r="F73" i="9"/>
  <c r="E73" i="9"/>
  <c r="S72" i="9"/>
  <c r="R72" i="9"/>
  <c r="Q72" i="9"/>
  <c r="H72" i="9"/>
  <c r="T72" i="9" s="1"/>
  <c r="S71" i="9"/>
  <c r="R71" i="9"/>
  <c r="Q71" i="9"/>
  <c r="H71" i="9"/>
  <c r="T71" i="9" s="1"/>
  <c r="S70" i="9"/>
  <c r="R70" i="9"/>
  <c r="Q70" i="9"/>
  <c r="H70" i="9"/>
  <c r="T70" i="9" s="1"/>
  <c r="S69" i="9"/>
  <c r="R69" i="9"/>
  <c r="Q69" i="9"/>
  <c r="H69" i="9"/>
  <c r="T69" i="9" s="1"/>
  <c r="S68" i="9"/>
  <c r="R68" i="9"/>
  <c r="Q68" i="9"/>
  <c r="H68" i="9"/>
  <c r="L67" i="9"/>
  <c r="K67" i="9"/>
  <c r="J67" i="9"/>
  <c r="I67" i="9"/>
  <c r="G67" i="9"/>
  <c r="F67" i="9"/>
  <c r="E67" i="9"/>
  <c r="S66" i="9"/>
  <c r="R66" i="9"/>
  <c r="Q66" i="9"/>
  <c r="H66" i="9"/>
  <c r="T66" i="9" s="1"/>
  <c r="S65" i="9"/>
  <c r="R65" i="9"/>
  <c r="Q65" i="9"/>
  <c r="H65" i="9"/>
  <c r="T65" i="9" s="1"/>
  <c r="S64" i="9"/>
  <c r="R64" i="9"/>
  <c r="Q64" i="9"/>
  <c r="H64" i="9"/>
  <c r="T64" i="9" s="1"/>
  <c r="S63" i="9"/>
  <c r="R63" i="9"/>
  <c r="Q63" i="9"/>
  <c r="H63" i="9"/>
  <c r="T63" i="9" s="1"/>
  <c r="S62" i="9"/>
  <c r="R62" i="9"/>
  <c r="Q62" i="9"/>
  <c r="H62" i="9"/>
  <c r="S61" i="9"/>
  <c r="R61" i="9"/>
  <c r="Q61" i="9"/>
  <c r="H61" i="9"/>
  <c r="T61" i="9" s="1"/>
  <c r="L60" i="9"/>
  <c r="K60" i="9"/>
  <c r="J60" i="9"/>
  <c r="I60" i="9"/>
  <c r="G60" i="9"/>
  <c r="S60" i="9" s="1"/>
  <c r="F60" i="9"/>
  <c r="R60" i="9" s="1"/>
  <c r="E60" i="9"/>
  <c r="Q60" i="9" s="1"/>
  <c r="S59" i="9"/>
  <c r="R59" i="9"/>
  <c r="Q59" i="9"/>
  <c r="H59" i="9"/>
  <c r="T59" i="9" s="1"/>
  <c r="S58" i="9"/>
  <c r="R58" i="9"/>
  <c r="Q58" i="9"/>
  <c r="H58" i="9"/>
  <c r="T58" i="9" s="1"/>
  <c r="S57" i="9"/>
  <c r="R57" i="9"/>
  <c r="Q57" i="9"/>
  <c r="H57" i="9"/>
  <c r="S56" i="9"/>
  <c r="R56" i="9"/>
  <c r="Q56" i="9"/>
  <c r="H56" i="9"/>
  <c r="T56" i="9" s="1"/>
  <c r="L55" i="9"/>
  <c r="K55" i="9"/>
  <c r="J55" i="9"/>
  <c r="I55" i="9"/>
  <c r="G55" i="9"/>
  <c r="F55" i="9"/>
  <c r="E55" i="9"/>
  <c r="S54" i="9"/>
  <c r="R54" i="9"/>
  <c r="Q54" i="9"/>
  <c r="H54" i="9"/>
  <c r="T54" i="9" s="1"/>
  <c r="S53" i="9"/>
  <c r="R53" i="9"/>
  <c r="Q53" i="9"/>
  <c r="H53" i="9"/>
  <c r="S52" i="9"/>
  <c r="R52" i="9"/>
  <c r="Q52" i="9"/>
  <c r="H52" i="9"/>
  <c r="T52" i="9" s="1"/>
  <c r="S51" i="9"/>
  <c r="R51" i="9"/>
  <c r="Q51" i="9"/>
  <c r="H51" i="9"/>
  <c r="T51" i="9" s="1"/>
  <c r="L50" i="9"/>
  <c r="K50" i="9"/>
  <c r="J50" i="9"/>
  <c r="I50" i="9"/>
  <c r="G50" i="9"/>
  <c r="F50" i="9"/>
  <c r="E50" i="9"/>
  <c r="S49" i="9"/>
  <c r="R49" i="9"/>
  <c r="Q49" i="9"/>
  <c r="H49" i="9"/>
  <c r="T49" i="9" s="1"/>
  <c r="S48" i="9"/>
  <c r="R48" i="9"/>
  <c r="Q48" i="9"/>
  <c r="H48" i="9"/>
  <c r="T48" i="9" s="1"/>
  <c r="S47" i="9"/>
  <c r="R47" i="9"/>
  <c r="Q47" i="9"/>
  <c r="H47" i="9"/>
  <c r="T47" i="9" s="1"/>
  <c r="S46" i="9"/>
  <c r="R46" i="9"/>
  <c r="Q46" i="9"/>
  <c r="H46" i="9"/>
  <c r="T46" i="9" s="1"/>
  <c r="S45" i="9"/>
  <c r="R45" i="9"/>
  <c r="Q45" i="9"/>
  <c r="H45" i="9"/>
  <c r="T45" i="9" s="1"/>
  <c r="S44" i="9"/>
  <c r="R44" i="9"/>
  <c r="Q44" i="9"/>
  <c r="H44" i="9"/>
  <c r="T44" i="9" s="1"/>
  <c r="S43" i="9"/>
  <c r="R43" i="9"/>
  <c r="Q43" i="9"/>
  <c r="H43" i="9"/>
  <c r="T43" i="9" s="1"/>
  <c r="S42" i="9"/>
  <c r="R42" i="9"/>
  <c r="Q42" i="9"/>
  <c r="H42" i="9"/>
  <c r="T42" i="9" s="1"/>
  <c r="S41" i="9"/>
  <c r="R41" i="9"/>
  <c r="Q41" i="9"/>
  <c r="H41" i="9"/>
  <c r="T41" i="9" s="1"/>
  <c r="S40" i="9"/>
  <c r="R40" i="9"/>
  <c r="Q40" i="9"/>
  <c r="H40" i="9"/>
  <c r="T40" i="9" s="1"/>
  <c r="S39" i="9"/>
  <c r="R39" i="9"/>
  <c r="Q39" i="9"/>
  <c r="H39" i="9"/>
  <c r="T39" i="9" s="1"/>
  <c r="S38" i="9"/>
  <c r="R38" i="9"/>
  <c r="Q38" i="9"/>
  <c r="H38" i="9"/>
  <c r="T38" i="9" s="1"/>
  <c r="S37" i="9"/>
  <c r="R37" i="9"/>
  <c r="Q37" i="9"/>
  <c r="H37" i="9"/>
  <c r="T37" i="9" s="1"/>
  <c r="S36" i="9"/>
  <c r="R36" i="9"/>
  <c r="Q36" i="9"/>
  <c r="H36" i="9"/>
  <c r="T36" i="9" s="1"/>
  <c r="S35" i="9"/>
  <c r="R35" i="9"/>
  <c r="Q35" i="9"/>
  <c r="H35" i="9"/>
  <c r="T35" i="9" s="1"/>
  <c r="S34" i="9"/>
  <c r="R34" i="9"/>
  <c r="Q34" i="9"/>
  <c r="H34" i="9"/>
  <c r="T34" i="9" s="1"/>
  <c r="S33" i="9"/>
  <c r="R33" i="9"/>
  <c r="Q33" i="9"/>
  <c r="H33" i="9"/>
  <c r="T33" i="9" s="1"/>
  <c r="S32" i="9"/>
  <c r="R32" i="9"/>
  <c r="Q32" i="9"/>
  <c r="H32" i="9"/>
  <c r="T32" i="9" s="1"/>
  <c r="S31" i="9"/>
  <c r="R31" i="9"/>
  <c r="Q31" i="9"/>
  <c r="H31" i="9"/>
  <c r="T31" i="9" s="1"/>
  <c r="S30" i="9"/>
  <c r="R30" i="9"/>
  <c r="Q30" i="9"/>
  <c r="H30" i="9"/>
  <c r="T30" i="9" s="1"/>
  <c r="S29" i="9"/>
  <c r="R29" i="9"/>
  <c r="Q29" i="9"/>
  <c r="H29" i="9"/>
  <c r="T29" i="9" s="1"/>
  <c r="S28" i="9"/>
  <c r="R28" i="9"/>
  <c r="Q28" i="9"/>
  <c r="H28" i="9"/>
  <c r="S27" i="9"/>
  <c r="R27" i="9"/>
  <c r="Q27" i="9"/>
  <c r="H27" i="9"/>
  <c r="T27" i="9" s="1"/>
  <c r="L26" i="9"/>
  <c r="K26" i="9"/>
  <c r="J26" i="9"/>
  <c r="I26" i="9"/>
  <c r="G26" i="9"/>
  <c r="F26" i="9"/>
  <c r="E26" i="9"/>
  <c r="S25" i="9"/>
  <c r="R25" i="9"/>
  <c r="Q25" i="9"/>
  <c r="H25" i="9"/>
  <c r="T25" i="9" s="1"/>
  <c r="S24" i="9"/>
  <c r="R24" i="9"/>
  <c r="Q24" i="9"/>
  <c r="H24" i="9"/>
  <c r="T24" i="9" s="1"/>
  <c r="S23" i="9"/>
  <c r="R23" i="9"/>
  <c r="Q23" i="9"/>
  <c r="H23" i="9"/>
  <c r="T23" i="9" s="1"/>
  <c r="S22" i="9"/>
  <c r="R22" i="9"/>
  <c r="Q22" i="9"/>
  <c r="H22" i="9"/>
  <c r="P21" i="9"/>
  <c r="O21" i="9"/>
  <c r="N21" i="9"/>
  <c r="M21" i="9"/>
  <c r="L21" i="9"/>
  <c r="K21" i="9"/>
  <c r="J21" i="9"/>
  <c r="I21" i="9"/>
  <c r="G21" i="9"/>
  <c r="F21" i="9"/>
  <c r="E21" i="9"/>
  <c r="S20" i="9"/>
  <c r="R20" i="9"/>
  <c r="Q20" i="9"/>
  <c r="H20" i="9"/>
  <c r="T20" i="9" s="1"/>
  <c r="S19" i="9"/>
  <c r="R19" i="9"/>
  <c r="Q19" i="9"/>
  <c r="H19" i="9"/>
  <c r="T19" i="9" s="1"/>
  <c r="S18" i="9"/>
  <c r="R18" i="9"/>
  <c r="Q18" i="9"/>
  <c r="H18" i="9"/>
  <c r="T18" i="9" s="1"/>
  <c r="S17" i="9"/>
  <c r="R17" i="9"/>
  <c r="Q17" i="9"/>
  <c r="H17" i="9"/>
  <c r="T17" i="9" s="1"/>
  <c r="S16" i="9"/>
  <c r="R16" i="9"/>
  <c r="Q16" i="9"/>
  <c r="H16" i="9"/>
  <c r="T16" i="9" s="1"/>
  <c r="S15" i="9"/>
  <c r="R15" i="9"/>
  <c r="Q15" i="9"/>
  <c r="H15" i="9"/>
  <c r="T15" i="9" s="1"/>
  <c r="S14" i="9"/>
  <c r="R14" i="9"/>
  <c r="Q14" i="9"/>
  <c r="H14" i="9"/>
  <c r="T14" i="9" s="1"/>
  <c r="S13" i="9"/>
  <c r="R13" i="9"/>
  <c r="Q13" i="9"/>
  <c r="H13" i="9"/>
  <c r="T13" i="9" s="1"/>
  <c r="S12" i="9"/>
  <c r="R12" i="9"/>
  <c r="Q12" i="9"/>
  <c r="H12" i="9"/>
  <c r="T12" i="9" s="1"/>
  <c r="S11" i="9"/>
  <c r="R11" i="9"/>
  <c r="Q11" i="9"/>
  <c r="H11" i="9"/>
  <c r="T11" i="9" s="1"/>
  <c r="S10" i="9"/>
  <c r="R10" i="9"/>
  <c r="Q10" i="9"/>
  <c r="H10" i="9"/>
  <c r="T10" i="9" s="1"/>
  <c r="S9" i="9"/>
  <c r="R9" i="9"/>
  <c r="Q9" i="9"/>
  <c r="H9" i="9"/>
  <c r="T9" i="9" s="1"/>
  <c r="S8" i="9"/>
  <c r="R8" i="9"/>
  <c r="Q8" i="9"/>
  <c r="H8" i="9"/>
  <c r="T8" i="9" s="1"/>
  <c r="S7" i="9"/>
  <c r="R7" i="9"/>
  <c r="Q7" i="9"/>
  <c r="H7" i="9"/>
  <c r="T7" i="9" s="1"/>
  <c r="S6" i="9"/>
  <c r="R6" i="9"/>
  <c r="Q6" i="9"/>
  <c r="H6" i="9"/>
  <c r="T6" i="9" s="1"/>
  <c r="S5" i="9"/>
  <c r="R5" i="9"/>
  <c r="Q5" i="9"/>
  <c r="H5" i="9"/>
  <c r="T5" i="9" s="1"/>
  <c r="S4" i="9"/>
  <c r="R4" i="9"/>
  <c r="Q4" i="9"/>
  <c r="H4" i="9"/>
  <c r="T4" i="9" s="1"/>
  <c r="S3" i="9"/>
  <c r="R3" i="9"/>
  <c r="Q3" i="9"/>
  <c r="H3" i="9"/>
  <c r="Q76" i="9" l="1"/>
  <c r="R73" i="9"/>
  <c r="Q55" i="9"/>
  <c r="R55" i="9"/>
  <c r="R76" i="9"/>
  <c r="S76" i="9"/>
  <c r="Q26" i="9"/>
  <c r="Q50" i="9"/>
  <c r="S50" i="9"/>
  <c r="R26" i="9"/>
  <c r="S55" i="9"/>
  <c r="G77" i="9"/>
  <c r="S21" i="9"/>
  <c r="H26" i="9"/>
  <c r="S26" i="9"/>
  <c r="H60" i="9"/>
  <c r="T60" i="9" s="1"/>
  <c r="Q67" i="9"/>
  <c r="L77" i="9"/>
  <c r="H50" i="9"/>
  <c r="F77" i="9"/>
  <c r="J77" i="9"/>
  <c r="S67" i="9"/>
  <c r="I77" i="9"/>
  <c r="H67" i="9"/>
  <c r="H55" i="9"/>
  <c r="S73" i="9"/>
  <c r="R67" i="9"/>
  <c r="H21" i="9"/>
  <c r="Q21" i="9"/>
  <c r="R50" i="9"/>
  <c r="R21" i="9"/>
  <c r="K77" i="9"/>
  <c r="H73" i="9"/>
  <c r="Q73" i="9"/>
  <c r="E77" i="9"/>
  <c r="T23" i="12"/>
  <c r="S31" i="12"/>
  <c r="S32" i="12" s="1"/>
  <c r="S24" i="12"/>
  <c r="S26" i="12" s="1"/>
  <c r="S28" i="12" s="1"/>
  <c r="S29" i="12" s="1"/>
  <c r="S36" i="12"/>
  <c r="R37" i="12"/>
  <c r="R39" i="12" s="1"/>
  <c r="R41" i="12" s="1"/>
  <c r="R42" i="12" s="1"/>
  <c r="R60" i="12"/>
  <c r="R62" i="12" s="1"/>
  <c r="R64" i="12" s="1"/>
  <c r="S59" i="12"/>
  <c r="R13" i="12"/>
  <c r="R15" i="12" s="1"/>
  <c r="R17" i="12" s="1"/>
  <c r="R18" i="12" s="1"/>
  <c r="S12" i="12"/>
  <c r="T76" i="9"/>
  <c r="T28" i="9"/>
  <c r="T50" i="9" s="1"/>
  <c r="H76" i="9"/>
  <c r="T62" i="9"/>
  <c r="T67" i="9" s="1"/>
  <c r="T53" i="9"/>
  <c r="T55" i="9" s="1"/>
  <c r="T68" i="9"/>
  <c r="T73" i="9" s="1"/>
  <c r="T3" i="9"/>
  <c r="T21" i="9" s="1"/>
  <c r="T22" i="9"/>
  <c r="T26" i="9" s="1"/>
  <c r="T57" i="9"/>
  <c r="S77" i="9" l="1"/>
  <c r="R77" i="9"/>
  <c r="Q77" i="9"/>
  <c r="H77" i="9"/>
  <c r="U23" i="12"/>
  <c r="U24" i="12" s="1"/>
  <c r="U26" i="12" s="1"/>
  <c r="U28" i="12" s="1"/>
  <c r="T24" i="12"/>
  <c r="T26" i="12" s="1"/>
  <c r="T28" i="12" s="1"/>
  <c r="T29" i="12" s="1"/>
  <c r="Z30" i="12" s="1"/>
  <c r="Z32" i="12" s="1"/>
  <c r="T31" i="12"/>
  <c r="T32" i="12" s="1"/>
  <c r="T12" i="12"/>
  <c r="S13" i="12"/>
  <c r="S15" i="12" s="1"/>
  <c r="S17" i="12" s="1"/>
  <c r="S18" i="12" s="1"/>
  <c r="S60" i="12"/>
  <c r="S62" i="12" s="1"/>
  <c r="S64" i="12" s="1"/>
  <c r="T59" i="12"/>
  <c r="S37" i="12"/>
  <c r="S39" i="12" s="1"/>
  <c r="S41" i="12" s="1"/>
  <c r="S42" i="12" s="1"/>
  <c r="T36" i="12"/>
  <c r="T77" i="9"/>
  <c r="AD14" i="12" l="1"/>
  <c r="W200" i="12"/>
  <c r="V200" i="12"/>
  <c r="AE14" i="12"/>
  <c r="H200" i="12"/>
  <c r="AK8" i="12"/>
  <c r="F200" i="12"/>
  <c r="AD15" i="12"/>
  <c r="AE15" i="12"/>
  <c r="G200" i="12"/>
  <c r="X200" i="12"/>
  <c r="T13" i="12"/>
  <c r="T15" i="12" s="1"/>
  <c r="T17" i="12" s="1"/>
  <c r="T18" i="12" s="1"/>
  <c r="Z19" i="12" s="1"/>
  <c r="Z20" i="12" s="1"/>
  <c r="U12" i="12"/>
  <c r="V12" i="12" s="1"/>
  <c r="W12" i="12" s="1"/>
  <c r="X12" i="12" s="1"/>
  <c r="Y12" i="12" s="1"/>
  <c r="Z12" i="12" s="1"/>
  <c r="U36" i="12"/>
  <c r="U37" i="12" s="1"/>
  <c r="U39" i="12" s="1"/>
  <c r="U41" i="12" s="1"/>
  <c r="T37" i="12"/>
  <c r="T39" i="12" s="1"/>
  <c r="T41" i="12" s="1"/>
  <c r="T42" i="12" s="1"/>
  <c r="Z43" i="12" s="1"/>
  <c r="Z45" i="12" s="1"/>
  <c r="T60" i="12"/>
  <c r="T62" i="12" s="1"/>
  <c r="T64" i="12" s="1"/>
  <c r="U59" i="12"/>
  <c r="U60" i="12" s="1"/>
  <c r="U62" i="12" s="1"/>
  <c r="U64" i="12" s="1"/>
  <c r="O49" i="8"/>
  <c r="N49" i="8"/>
  <c r="M49" i="8"/>
  <c r="L49" i="8"/>
  <c r="K49" i="8"/>
  <c r="J49" i="8"/>
  <c r="I49" i="8"/>
  <c r="H49" i="8"/>
  <c r="G49" i="8"/>
  <c r="F49" i="8"/>
  <c r="E49" i="8"/>
  <c r="O42" i="8"/>
  <c r="N42" i="8"/>
  <c r="M42" i="8"/>
  <c r="L42" i="8"/>
  <c r="K42" i="8"/>
  <c r="J42" i="8"/>
  <c r="I42" i="8"/>
  <c r="H42" i="8"/>
  <c r="G42" i="8"/>
  <c r="F42" i="8"/>
  <c r="E42" i="8"/>
  <c r="O55" i="8"/>
  <c r="N55" i="8"/>
  <c r="M55" i="8"/>
  <c r="L55" i="8"/>
  <c r="K55" i="8"/>
  <c r="J55" i="8"/>
  <c r="I55" i="8"/>
  <c r="H55" i="8"/>
  <c r="G55" i="8"/>
  <c r="F55" i="8"/>
  <c r="E55" i="8"/>
  <c r="O52" i="8"/>
  <c r="N52" i="8"/>
  <c r="M52" i="8"/>
  <c r="L52" i="8"/>
  <c r="K52" i="8"/>
  <c r="J52" i="8"/>
  <c r="I52" i="8"/>
  <c r="H52" i="8"/>
  <c r="G52" i="8"/>
  <c r="F52" i="8"/>
  <c r="E52" i="8"/>
  <c r="O40" i="8"/>
  <c r="N40" i="8"/>
  <c r="M40" i="8"/>
  <c r="L40" i="8"/>
  <c r="K40" i="8"/>
  <c r="J40" i="8"/>
  <c r="I40" i="8"/>
  <c r="H40" i="8"/>
  <c r="G40" i="8"/>
  <c r="F40" i="8"/>
  <c r="E40" i="8"/>
  <c r="O35" i="8"/>
  <c r="N35" i="8"/>
  <c r="M35" i="8"/>
  <c r="L35" i="8"/>
  <c r="K35" i="8"/>
  <c r="J35" i="8"/>
  <c r="I35" i="8"/>
  <c r="H35" i="8"/>
  <c r="G35" i="8"/>
  <c r="F35" i="8"/>
  <c r="E35" i="8"/>
  <c r="B28" i="8"/>
  <c r="B25" i="8"/>
  <c r="B13" i="8"/>
  <c r="B10" i="8"/>
  <c r="B7" i="8"/>
  <c r="B4" i="8"/>
  <c r="O28" i="8"/>
  <c r="N28" i="8"/>
  <c r="M28" i="8"/>
  <c r="L28" i="8"/>
  <c r="K28" i="8"/>
  <c r="J28" i="8"/>
  <c r="I28" i="8"/>
  <c r="H28" i="8"/>
  <c r="G28" i="8"/>
  <c r="F28" i="8"/>
  <c r="E28" i="8"/>
  <c r="O25" i="8"/>
  <c r="N25" i="8"/>
  <c r="M25" i="8"/>
  <c r="L25" i="8"/>
  <c r="K25" i="8"/>
  <c r="J25" i="8"/>
  <c r="I25" i="8"/>
  <c r="H25" i="8"/>
  <c r="G25" i="8"/>
  <c r="F25" i="8"/>
  <c r="E25" i="8"/>
  <c r="O22" i="8"/>
  <c r="N22" i="8"/>
  <c r="M22" i="8"/>
  <c r="L22" i="8"/>
  <c r="K22" i="8"/>
  <c r="J22" i="8"/>
  <c r="I22" i="8"/>
  <c r="H22" i="8"/>
  <c r="G22" i="8"/>
  <c r="F22" i="8"/>
  <c r="E22" i="8"/>
  <c r="O19" i="8"/>
  <c r="N19" i="8"/>
  <c r="M19" i="8"/>
  <c r="L19" i="8"/>
  <c r="K19" i="8"/>
  <c r="J19" i="8"/>
  <c r="I19" i="8"/>
  <c r="H19" i="8"/>
  <c r="G19" i="8"/>
  <c r="F19" i="8"/>
  <c r="E19" i="8"/>
  <c r="O16" i="8"/>
  <c r="N16" i="8"/>
  <c r="M16" i="8"/>
  <c r="L16" i="8"/>
  <c r="K16" i="8"/>
  <c r="J16" i="8"/>
  <c r="I16" i="8"/>
  <c r="H16" i="8"/>
  <c r="G16" i="8"/>
  <c r="F16" i="8"/>
  <c r="E16" i="8"/>
  <c r="O13" i="8"/>
  <c r="N13" i="8"/>
  <c r="M13" i="8"/>
  <c r="L13" i="8"/>
  <c r="K13" i="8"/>
  <c r="J13" i="8"/>
  <c r="I13" i="8"/>
  <c r="H13" i="8"/>
  <c r="G13" i="8"/>
  <c r="F13" i="8"/>
  <c r="E13" i="8"/>
  <c r="O10" i="8"/>
  <c r="N10" i="8"/>
  <c r="M10" i="8"/>
  <c r="L10" i="8"/>
  <c r="K10" i="8"/>
  <c r="J10" i="8"/>
  <c r="I10" i="8"/>
  <c r="H10" i="8"/>
  <c r="G10" i="8"/>
  <c r="F10" i="8"/>
  <c r="E10" i="8"/>
  <c r="O7" i="8"/>
  <c r="N7" i="8"/>
  <c r="M7" i="8"/>
  <c r="L7" i="8"/>
  <c r="K7" i="8"/>
  <c r="J7" i="8"/>
  <c r="I7" i="8"/>
  <c r="H7" i="8"/>
  <c r="G7" i="8"/>
  <c r="F7" i="8"/>
  <c r="E7" i="8"/>
  <c r="O4" i="8"/>
  <c r="N4" i="8"/>
  <c r="M4" i="8"/>
  <c r="L4" i="8"/>
  <c r="K4" i="8"/>
  <c r="J4" i="8"/>
  <c r="I4" i="8"/>
  <c r="H4" i="8"/>
  <c r="G4" i="8"/>
  <c r="F4" i="8"/>
  <c r="E4" i="8"/>
  <c r="B7" i="7"/>
  <c r="P4" i="8" l="1"/>
  <c r="P25" i="8"/>
  <c r="P22" i="8"/>
  <c r="P52" i="8"/>
  <c r="P49" i="8"/>
  <c r="Y200" i="12"/>
  <c r="P13" i="8"/>
  <c r="P55" i="8"/>
  <c r="AE17" i="12"/>
  <c r="P7" i="8"/>
  <c r="P42" i="8"/>
  <c r="P10" i="8"/>
  <c r="P28" i="8"/>
  <c r="P19" i="8"/>
  <c r="P16" i="8"/>
  <c r="P35" i="8"/>
  <c r="P40" i="8"/>
  <c r="AM8" i="12"/>
  <c r="AM9" i="12"/>
  <c r="AD17" i="12"/>
  <c r="A7" i="28"/>
  <c r="O8" i="27" s="1"/>
  <c r="AK11" i="12"/>
  <c r="AE19" i="12"/>
  <c r="AD19" i="12"/>
  <c r="AE18" i="12"/>
  <c r="AD18" i="12"/>
  <c r="H198" i="12"/>
  <c r="F198" i="12"/>
  <c r="AE6" i="12"/>
  <c r="W198" i="12"/>
  <c r="AD6" i="12"/>
  <c r="AE5" i="12"/>
  <c r="AK3" i="12"/>
  <c r="AD5" i="12"/>
  <c r="AE20" i="12" l="1"/>
  <c r="AD20" i="12"/>
  <c r="Y198" i="12"/>
  <c r="AD10" i="12"/>
  <c r="AM6" i="12"/>
  <c r="AM5" i="12"/>
  <c r="AM4" i="12"/>
  <c r="AM3" i="12"/>
  <c r="AE10" i="12"/>
  <c r="AM12" i="12"/>
  <c r="AM11" i="12"/>
  <c r="B33" i="7"/>
  <c r="B19" i="7"/>
  <c r="B18" i="7"/>
  <c r="B17" i="7"/>
  <c r="B16" i="7"/>
  <c r="A16" i="28" s="1"/>
  <c r="O17" i="27" s="1"/>
  <c r="B8" i="7"/>
  <c r="B32" i="7"/>
  <c r="B29" i="7"/>
  <c r="B27" i="7"/>
  <c r="B24" i="7"/>
  <c r="B22" i="7"/>
  <c r="B20" i="7"/>
  <c r="B14" i="7"/>
  <c r="B13" i="7"/>
  <c r="B12" i="7"/>
  <c r="N3" i="2"/>
  <c r="N5" i="2"/>
  <c r="N7" i="2"/>
  <c r="N8" i="2"/>
  <c r="N9" i="2"/>
  <c r="N10" i="2"/>
  <c r="N11" i="2"/>
  <c r="N12" i="2"/>
  <c r="N13" i="2"/>
  <c r="N14" i="2"/>
  <c r="N15" i="2"/>
  <c r="N16" i="2"/>
  <c r="N17" i="2"/>
  <c r="N18" i="2"/>
  <c r="N19" i="2"/>
  <c r="N20" i="2"/>
  <c r="N21" i="2"/>
  <c r="N22" i="2"/>
  <c r="L23" i="2"/>
  <c r="K22" i="2"/>
  <c r="M22" i="2" s="1"/>
  <c r="K21" i="2"/>
  <c r="M21" i="2" s="1"/>
  <c r="K20" i="2"/>
  <c r="M20" i="2" s="1"/>
  <c r="K19" i="2"/>
  <c r="M19" i="2" s="1"/>
  <c r="K17" i="2"/>
  <c r="M17" i="2" s="1"/>
  <c r="K15" i="2"/>
  <c r="M15" i="2" s="1"/>
  <c r="K13" i="2"/>
  <c r="M13" i="2" s="1"/>
  <c r="K12" i="2"/>
  <c r="M12" i="2" s="1"/>
  <c r="K11" i="2"/>
  <c r="M11" i="2" s="1"/>
  <c r="K10" i="2"/>
  <c r="M10" i="2" s="1"/>
  <c r="K9" i="2"/>
  <c r="M9" i="2" s="1"/>
  <c r="K8" i="2"/>
  <c r="M8" i="2" s="1"/>
  <c r="M7" i="2"/>
  <c r="K5" i="2"/>
  <c r="M5" i="2" s="1"/>
  <c r="M3" i="2"/>
  <c r="AQ14" i="2" l="1"/>
  <c r="AF14" i="2"/>
  <c r="AH14" i="2"/>
  <c r="AM14" i="2"/>
  <c r="AM23" i="2" s="1"/>
  <c r="AJ14" i="2"/>
  <c r="AG14" i="2"/>
  <c r="AP14" i="2"/>
  <c r="AO14" i="2"/>
  <c r="AN14" i="2"/>
  <c r="AL14" i="2"/>
  <c r="AK14" i="2"/>
  <c r="AI14" i="2"/>
  <c r="A20" i="28"/>
  <c r="O21" i="27" s="1"/>
  <c r="A26" i="28"/>
  <c r="O27" i="27" s="1"/>
  <c r="A23" i="28"/>
  <c r="O24" i="27" s="1"/>
  <c r="A8" i="28"/>
  <c r="O9" i="27" s="1"/>
  <c r="A14" i="28"/>
  <c r="O15" i="27" s="1"/>
  <c r="A37" i="28"/>
  <c r="O41" i="27" s="1"/>
  <c r="A22" i="28"/>
  <c r="O23" i="27" s="1"/>
  <c r="A25" i="28"/>
  <c r="O26" i="27" s="1"/>
  <c r="A28" i="28"/>
  <c r="O29" i="27" s="1"/>
  <c r="A17" i="28"/>
  <c r="O18" i="27" s="1"/>
  <c r="A12" i="28"/>
  <c r="O13" i="27" s="1"/>
  <c r="A18" i="28"/>
  <c r="O19" i="27" s="1"/>
  <c r="A13" i="28"/>
  <c r="O14" i="27" s="1"/>
  <c r="A19" i="28"/>
  <c r="O20" i="27" s="1"/>
  <c r="B52" i="8"/>
  <c r="AV22" i="2"/>
  <c r="BI22" i="2" s="1"/>
  <c r="AW22" i="2"/>
  <c r="BJ22" i="2" s="1"/>
  <c r="AZ22" i="2"/>
  <c r="BM22" i="2" s="1"/>
  <c r="BA22" i="2"/>
  <c r="BN22" i="2" s="1"/>
  <c r="AS22" i="2"/>
  <c r="BF22" i="2" s="1"/>
  <c r="AT22" i="2"/>
  <c r="BG22" i="2" s="1"/>
  <c r="AX22" i="2"/>
  <c r="BK22" i="2" s="1"/>
  <c r="AY22" i="2"/>
  <c r="BL22" i="2" s="1"/>
  <c r="BB22" i="2"/>
  <c r="BO22" i="2" s="1"/>
  <c r="BC22" i="2"/>
  <c r="BP22" i="2" s="1"/>
  <c r="BD22" i="2"/>
  <c r="BQ22" i="2" s="1"/>
  <c r="AU22" i="2"/>
  <c r="BH22" i="2" s="1"/>
  <c r="BA13" i="2"/>
  <c r="BN13" i="2" s="1"/>
  <c r="BB13" i="2"/>
  <c r="BO13" i="2" s="1"/>
  <c r="AS13" i="2"/>
  <c r="BF13" i="2" s="1"/>
  <c r="AT13" i="2"/>
  <c r="BG13" i="2" s="1"/>
  <c r="AV13" i="2"/>
  <c r="BI13" i="2" s="1"/>
  <c r="AW13" i="2"/>
  <c r="BJ13" i="2" s="1"/>
  <c r="BC13" i="2"/>
  <c r="BP13" i="2" s="1"/>
  <c r="BD13" i="2"/>
  <c r="BQ13" i="2" s="1"/>
  <c r="AU13" i="2"/>
  <c r="BH13" i="2" s="1"/>
  <c r="AX13" i="2"/>
  <c r="BK13" i="2" s="1"/>
  <c r="AY13" i="2"/>
  <c r="BL13" i="2" s="1"/>
  <c r="AZ13" i="2"/>
  <c r="BM13" i="2" s="1"/>
  <c r="AD82" i="12"/>
  <c r="AD86" i="12" s="1"/>
  <c r="AD88" i="12" s="1"/>
  <c r="K23" i="2"/>
  <c r="AE82" i="12"/>
  <c r="AM52" i="12"/>
  <c r="B35" i="8"/>
  <c r="B42" i="8"/>
  <c r="B49" i="8"/>
  <c r="B55" i="8"/>
  <c r="B40" i="8"/>
  <c r="B16" i="8"/>
  <c r="AE86" i="12" l="1"/>
  <c r="AE88" i="12" s="1"/>
  <c r="K29" i="2" l="1"/>
  <c r="K30" i="2"/>
  <c r="K31" i="2"/>
  <c r="K28" i="2"/>
  <c r="I27" i="2"/>
  <c r="B6" i="7"/>
  <c r="A6" i="28" s="1"/>
  <c r="O7" i="27" s="1"/>
  <c r="B5" i="7"/>
  <c r="A5" i="28" s="1"/>
  <c r="O6" i="27" s="1"/>
  <c r="B4" i="7"/>
  <c r="A4" i="28" s="1"/>
  <c r="O5" i="27" s="1"/>
  <c r="B3" i="7"/>
  <c r="A3" i="28" s="1"/>
  <c r="O4" i="27" s="1"/>
  <c r="FK11" i="3"/>
  <c r="FK10" i="3"/>
  <c r="FK9" i="3"/>
  <c r="FK8" i="3"/>
  <c r="EV11" i="3"/>
  <c r="EV10" i="3"/>
  <c r="EV9" i="3"/>
  <c r="EV8" i="3"/>
  <c r="EG11" i="3"/>
  <c r="EG10" i="3"/>
  <c r="EG9" i="3"/>
  <c r="EG8" i="3"/>
  <c r="DR11" i="3"/>
  <c r="DR10" i="3"/>
  <c r="DR9" i="3"/>
  <c r="DR8" i="3"/>
  <c r="DC11" i="3"/>
  <c r="DC10" i="3"/>
  <c r="DC9" i="3"/>
  <c r="DC8" i="3"/>
  <c r="CN11" i="3"/>
  <c r="CN10" i="3"/>
  <c r="CN9" i="3"/>
  <c r="CN8" i="3"/>
  <c r="BY11" i="3"/>
  <c r="BY10" i="3"/>
  <c r="BY9" i="3"/>
  <c r="BY8" i="3"/>
  <c r="BJ11" i="3"/>
  <c r="BJ10" i="3"/>
  <c r="BJ9" i="3"/>
  <c r="BJ8" i="3"/>
  <c r="AU11" i="3"/>
  <c r="AU10" i="3"/>
  <c r="AU9" i="3"/>
  <c r="AU8" i="3"/>
  <c r="AF11" i="3"/>
  <c r="AF10" i="3"/>
  <c r="AF9" i="3"/>
  <c r="AF8" i="3"/>
  <c r="Q11" i="3"/>
  <c r="Q10" i="3"/>
  <c r="Q9" i="3"/>
  <c r="Q8" i="3"/>
  <c r="B11" i="3"/>
  <c r="B10" i="3"/>
  <c r="B8" i="3"/>
  <c r="B9" i="3"/>
  <c r="Q175" i="4" l="1"/>
  <c r="Q166" i="4"/>
  <c r="P166" i="4"/>
  <c r="Q126" i="4"/>
  <c r="C191" i="4" s="1"/>
  <c r="P126" i="4"/>
  <c r="P122" i="4" s="1"/>
  <c r="Q122" i="4" l="1"/>
  <c r="Q176" i="4"/>
  <c r="C220" i="4" l="1"/>
  <c r="C226" i="4"/>
  <c r="I368" i="1"/>
  <c r="I369" i="1"/>
  <c r="I370" i="1"/>
  <c r="M370" i="1" s="1"/>
  <c r="N370" i="1" s="1"/>
  <c r="O370" i="1" s="1"/>
  <c r="T370" i="1" s="1"/>
  <c r="I371" i="1"/>
  <c r="I372" i="1"/>
  <c r="M372" i="1" s="1"/>
  <c r="N372" i="1" s="1"/>
  <c r="O372" i="1" s="1"/>
  <c r="T372" i="1" s="1"/>
  <c r="I373" i="1"/>
  <c r="I374" i="1"/>
  <c r="I375" i="1"/>
  <c r="I376" i="1"/>
  <c r="I377" i="1"/>
  <c r="I378" i="1"/>
  <c r="I367" i="1"/>
  <c r="M367" i="1" s="1"/>
  <c r="N367" i="1" s="1"/>
  <c r="I353" i="1"/>
  <c r="I354" i="1"/>
  <c r="I355" i="1"/>
  <c r="I356" i="1"/>
  <c r="I357" i="1"/>
  <c r="I358" i="1"/>
  <c r="I359" i="1"/>
  <c r="I360" i="1"/>
  <c r="I361" i="1"/>
  <c r="I362" i="1"/>
  <c r="I363" i="1"/>
  <c r="I352" i="1"/>
  <c r="J362" i="1"/>
  <c r="J298" i="1" s="1"/>
  <c r="D35" i="6"/>
  <c r="J359" i="1" s="1"/>
  <c r="J295" i="1" s="1"/>
  <c r="D33" i="6"/>
  <c r="J357" i="1" s="1"/>
  <c r="J293" i="1" s="1"/>
  <c r="J355" i="1"/>
  <c r="J291" i="1" s="1"/>
  <c r="D30" i="6"/>
  <c r="J354" i="1" s="1"/>
  <c r="J290" i="1" s="1"/>
  <c r="J353" i="1"/>
  <c r="J289" i="1" s="1"/>
  <c r="D28" i="6"/>
  <c r="J352" i="1" s="1"/>
  <c r="J288" i="1" s="1"/>
  <c r="I338" i="1"/>
  <c r="U338" i="1" s="1"/>
  <c r="X338" i="1" s="1"/>
  <c r="AA338" i="1" s="1"/>
  <c r="AC338" i="1" s="1"/>
  <c r="I339" i="1"/>
  <c r="I340" i="1"/>
  <c r="U340" i="1" s="1"/>
  <c r="X340" i="1" s="1"/>
  <c r="AA340" i="1" s="1"/>
  <c r="AC340" i="1" s="1"/>
  <c r="I341" i="1"/>
  <c r="I342" i="1"/>
  <c r="U342" i="1" s="1"/>
  <c r="X342" i="1" s="1"/>
  <c r="AA342" i="1" s="1"/>
  <c r="AC342" i="1" s="1"/>
  <c r="I343" i="1"/>
  <c r="I344" i="1"/>
  <c r="U344" i="1" s="1"/>
  <c r="X344" i="1" s="1"/>
  <c r="AA344" i="1" s="1"/>
  <c r="AC344" i="1" s="1"/>
  <c r="I345" i="1"/>
  <c r="I346" i="1"/>
  <c r="U346" i="1" s="1"/>
  <c r="X346" i="1" s="1"/>
  <c r="AA346" i="1" s="1"/>
  <c r="AC346" i="1" s="1"/>
  <c r="I347" i="1"/>
  <c r="U347" i="1" s="1"/>
  <c r="X347" i="1" s="1"/>
  <c r="AA347" i="1" s="1"/>
  <c r="AC347" i="1" s="1"/>
  <c r="I348" i="1"/>
  <c r="U348" i="1" s="1"/>
  <c r="X348" i="1" s="1"/>
  <c r="AA348" i="1" s="1"/>
  <c r="AC348" i="1" s="1"/>
  <c r="I337" i="1"/>
  <c r="J347" i="1"/>
  <c r="B35" i="6"/>
  <c r="J344" i="1" s="1"/>
  <c r="B33" i="6"/>
  <c r="J342" i="1" s="1"/>
  <c r="J340" i="1"/>
  <c r="B30" i="6"/>
  <c r="J339" i="1" s="1"/>
  <c r="J338" i="1"/>
  <c r="B28" i="6"/>
  <c r="J337" i="1" s="1"/>
  <c r="I324" i="1"/>
  <c r="I325" i="1"/>
  <c r="I326" i="1"/>
  <c r="I327" i="1"/>
  <c r="I328" i="1"/>
  <c r="I329" i="1"/>
  <c r="I330" i="1"/>
  <c r="I331" i="1"/>
  <c r="I332" i="1"/>
  <c r="I333" i="1"/>
  <c r="I322" i="1"/>
  <c r="I307" i="1"/>
  <c r="N6" i="6"/>
  <c r="P6" i="6" s="1"/>
  <c r="N7" i="6"/>
  <c r="P7" i="6" s="1"/>
  <c r="N8" i="6"/>
  <c r="P8" i="6" s="1"/>
  <c r="N9" i="6"/>
  <c r="P9" i="6" s="1"/>
  <c r="N5" i="6"/>
  <c r="C21" i="6" s="1"/>
  <c r="J332" i="1"/>
  <c r="B21" i="6"/>
  <c r="J314" i="1" s="1"/>
  <c r="B19" i="6"/>
  <c r="J312" i="1" s="1"/>
  <c r="J310" i="1"/>
  <c r="B16" i="6"/>
  <c r="J324" i="1" s="1"/>
  <c r="J323" i="1"/>
  <c r="J322" i="1"/>
  <c r="N10" i="6"/>
  <c r="P10" i="6" s="1"/>
  <c r="U339" i="1" l="1"/>
  <c r="X339" i="1" s="1"/>
  <c r="AA339" i="1" s="1"/>
  <c r="AC339" i="1" s="1"/>
  <c r="U331" i="1"/>
  <c r="X331" i="1" s="1"/>
  <c r="AA331" i="1" s="1"/>
  <c r="AB331" i="1" s="1"/>
  <c r="AC331" i="1" s="1"/>
  <c r="X330" i="1"/>
  <c r="AA330" i="1" s="1"/>
  <c r="AB330" i="1" s="1"/>
  <c r="AC330" i="1" s="1"/>
  <c r="U330" i="1"/>
  <c r="U337" i="1"/>
  <c r="X337" i="1" s="1"/>
  <c r="U324" i="1"/>
  <c r="X324" i="1"/>
  <c r="AA324" i="1" s="1"/>
  <c r="AB324" i="1" s="1"/>
  <c r="AC324" i="1" s="1"/>
  <c r="I292" i="1"/>
  <c r="U356" i="1"/>
  <c r="I290" i="1"/>
  <c r="U354" i="1"/>
  <c r="X354" i="1" s="1"/>
  <c r="AA354" i="1" s="1"/>
  <c r="AC354" i="1" s="1"/>
  <c r="U345" i="1"/>
  <c r="X345" i="1" s="1"/>
  <c r="AA345" i="1" s="1"/>
  <c r="AC345" i="1" s="1"/>
  <c r="I291" i="1"/>
  <c r="U355" i="1"/>
  <c r="X355" i="1" s="1"/>
  <c r="AA355" i="1" s="1"/>
  <c r="AC355" i="1" s="1"/>
  <c r="U322" i="1"/>
  <c r="X322" i="1" s="1"/>
  <c r="AA322" i="1" s="1"/>
  <c r="AB322" i="1" s="1"/>
  <c r="AC322" i="1" s="1"/>
  <c r="U343" i="1"/>
  <c r="X343" i="1" s="1"/>
  <c r="AA343" i="1" s="1"/>
  <c r="AC343" i="1" s="1"/>
  <c r="I289" i="1"/>
  <c r="U353" i="1"/>
  <c r="X353" i="1" s="1"/>
  <c r="AA353" i="1" s="1"/>
  <c r="AC353" i="1" s="1"/>
  <c r="I297" i="1"/>
  <c r="U361" i="1"/>
  <c r="U329" i="1"/>
  <c r="X329" i="1"/>
  <c r="AA329" i="1" s="1"/>
  <c r="AB329" i="1" s="1"/>
  <c r="AC329" i="1" s="1"/>
  <c r="U328" i="1"/>
  <c r="X328" i="1" s="1"/>
  <c r="AA328" i="1" s="1"/>
  <c r="AB328" i="1" s="1"/>
  <c r="AC328" i="1" s="1"/>
  <c r="U327" i="1"/>
  <c r="X327" i="1"/>
  <c r="AA327" i="1" s="1"/>
  <c r="AB327" i="1" s="1"/>
  <c r="AC327" i="1" s="1"/>
  <c r="U326" i="1"/>
  <c r="X326" i="1"/>
  <c r="AA326" i="1" s="1"/>
  <c r="AB326" i="1" s="1"/>
  <c r="AC326" i="1" s="1"/>
  <c r="I293" i="1"/>
  <c r="U357" i="1"/>
  <c r="X357" i="1" s="1"/>
  <c r="AA357" i="1" s="1"/>
  <c r="AC357" i="1" s="1"/>
  <c r="U325" i="1"/>
  <c r="X325" i="1"/>
  <c r="AA325" i="1" s="1"/>
  <c r="AB325" i="1" s="1"/>
  <c r="AC325" i="1" s="1"/>
  <c r="I288" i="1"/>
  <c r="U352" i="1"/>
  <c r="X352" i="1" s="1"/>
  <c r="I298" i="1"/>
  <c r="U362" i="1"/>
  <c r="X362" i="1" s="1"/>
  <c r="AA362" i="1" s="1"/>
  <c r="AC362" i="1" s="1"/>
  <c r="I296" i="1"/>
  <c r="U360" i="1"/>
  <c r="I295" i="1"/>
  <c r="U359" i="1"/>
  <c r="X359" i="1" s="1"/>
  <c r="AA359" i="1" s="1"/>
  <c r="AC359" i="1" s="1"/>
  <c r="I294" i="1"/>
  <c r="U358" i="1"/>
  <c r="U333" i="1"/>
  <c r="X333" i="1" s="1"/>
  <c r="AA333" i="1" s="1"/>
  <c r="AB333" i="1" s="1"/>
  <c r="AC333" i="1" s="1"/>
  <c r="U332" i="1"/>
  <c r="X332" i="1"/>
  <c r="AA332" i="1" s="1"/>
  <c r="AB332" i="1" s="1"/>
  <c r="AC332" i="1" s="1"/>
  <c r="U341" i="1"/>
  <c r="X341" i="1" s="1"/>
  <c r="AA341" i="1" s="1"/>
  <c r="AC341" i="1" s="1"/>
  <c r="I299" i="1"/>
  <c r="U363" i="1"/>
  <c r="C25" i="6"/>
  <c r="C16" i="6"/>
  <c r="D16" i="6" s="1"/>
  <c r="C20" i="6"/>
  <c r="C15" i="6"/>
  <c r="D15" i="6" s="1"/>
  <c r="C14" i="6"/>
  <c r="D14" i="6" s="1"/>
  <c r="C19" i="6"/>
  <c r="D19" i="6" s="1"/>
  <c r="C18" i="6"/>
  <c r="C17" i="6"/>
  <c r="D17" i="6" s="1"/>
  <c r="P5" i="6"/>
  <c r="C24" i="6"/>
  <c r="D24" i="6" s="1"/>
  <c r="C23" i="6"/>
  <c r="C22" i="6"/>
  <c r="J325" i="1"/>
  <c r="L325" i="1" s="1"/>
  <c r="M325" i="1" s="1"/>
  <c r="N325" i="1" s="1"/>
  <c r="O325" i="1" s="1"/>
  <c r="J329" i="1"/>
  <c r="L329" i="1" s="1"/>
  <c r="M329" i="1" s="1"/>
  <c r="J327" i="1"/>
  <c r="L327" i="1" s="1"/>
  <c r="M327" i="1" s="1"/>
  <c r="J307" i="1"/>
  <c r="L307" i="1" s="1"/>
  <c r="J309" i="1"/>
  <c r="L309" i="1" s="1"/>
  <c r="M309" i="1" s="1"/>
  <c r="J308" i="1"/>
  <c r="L308" i="1" s="1"/>
  <c r="M308" i="1" s="1"/>
  <c r="M374" i="1"/>
  <c r="N374" i="1" s="1"/>
  <c r="O374" i="1" s="1"/>
  <c r="T374" i="1" s="1"/>
  <c r="M377" i="1"/>
  <c r="N377" i="1" s="1"/>
  <c r="O377" i="1" s="1"/>
  <c r="T377" i="1" s="1"/>
  <c r="C8" i="7"/>
  <c r="C9" i="27" s="1"/>
  <c r="M369" i="1"/>
  <c r="N369" i="1" s="1"/>
  <c r="O369" i="1" s="1"/>
  <c r="T369" i="1" s="1"/>
  <c r="L353" i="1"/>
  <c r="L340" i="1"/>
  <c r="L368" i="1"/>
  <c r="M368" i="1"/>
  <c r="N368" i="1" s="1"/>
  <c r="O368" i="1" s="1"/>
  <c r="T368" i="1" s="1"/>
  <c r="L370" i="1"/>
  <c r="J317" i="1"/>
  <c r="D21" i="6"/>
  <c r="L372" i="1"/>
  <c r="L355" i="1"/>
  <c r="L352" i="1"/>
  <c r="L337" i="1"/>
  <c r="L310" i="1"/>
  <c r="M310" i="1" s="1"/>
  <c r="N310" i="1" s="1"/>
  <c r="O310" i="1" s="1"/>
  <c r="L369" i="1"/>
  <c r="L374" i="1"/>
  <c r="L377" i="1"/>
  <c r="L367" i="1"/>
  <c r="O367" i="1" s="1"/>
  <c r="T367" i="1" s="1"/>
  <c r="L323" i="1"/>
  <c r="M323" i="1" s="1"/>
  <c r="N323" i="1" s="1"/>
  <c r="O323" i="1" s="1"/>
  <c r="L357" i="1"/>
  <c r="L354" i="1"/>
  <c r="L359" i="1"/>
  <c r="L362" i="1"/>
  <c r="L338" i="1"/>
  <c r="L322" i="1"/>
  <c r="L344" i="1"/>
  <c r="L339" i="1"/>
  <c r="L347" i="1"/>
  <c r="L342" i="1"/>
  <c r="L324" i="1"/>
  <c r="M324" i="1" s="1"/>
  <c r="L332" i="1"/>
  <c r="M332" i="1" s="1"/>
  <c r="L314" i="1"/>
  <c r="M314" i="1" s="1"/>
  <c r="L312" i="1"/>
  <c r="M312" i="1" s="1"/>
  <c r="M347" i="1" l="1"/>
  <c r="Y347" i="1"/>
  <c r="M342" i="1"/>
  <c r="Y342" i="1"/>
  <c r="M340" i="1"/>
  <c r="N340" i="1" s="1"/>
  <c r="O340" i="1" s="1"/>
  <c r="Y340" i="1"/>
  <c r="M353" i="1"/>
  <c r="N353" i="1" s="1"/>
  <c r="O353" i="1" s="1"/>
  <c r="P353" i="1" s="1"/>
  <c r="Q353" i="1" s="1"/>
  <c r="R353" i="1" s="1"/>
  <c r="T353" i="1" s="1"/>
  <c r="Y353" i="1"/>
  <c r="M338" i="1"/>
  <c r="N338" i="1" s="1"/>
  <c r="O338" i="1" s="1"/>
  <c r="Y338" i="1"/>
  <c r="M359" i="1"/>
  <c r="N359" i="1" s="1"/>
  <c r="O359" i="1" s="1"/>
  <c r="Y359" i="1"/>
  <c r="M339" i="1"/>
  <c r="N339" i="1" s="1"/>
  <c r="O339" i="1" s="1"/>
  <c r="Y339" i="1"/>
  <c r="M344" i="1"/>
  <c r="Y344" i="1"/>
  <c r="M355" i="1"/>
  <c r="N355" i="1" s="1"/>
  <c r="O355" i="1" s="1"/>
  <c r="Y355" i="1"/>
  <c r="M362" i="1"/>
  <c r="N362" i="1" s="1"/>
  <c r="O362" i="1" s="1"/>
  <c r="Y362" i="1"/>
  <c r="M354" i="1"/>
  <c r="N354" i="1" s="1"/>
  <c r="O354" i="1" s="1"/>
  <c r="Y354" i="1"/>
  <c r="M357" i="1"/>
  <c r="N357" i="1" s="1"/>
  <c r="O357" i="1" s="1"/>
  <c r="Y357" i="1"/>
  <c r="M322" i="1"/>
  <c r="N322" i="1" s="1"/>
  <c r="O322" i="1" s="1"/>
  <c r="P322" i="1" s="1"/>
  <c r="Q322" i="1" s="1"/>
  <c r="R322" i="1" s="1"/>
  <c r="T322" i="1" s="1"/>
  <c r="Y322" i="1"/>
  <c r="M352" i="1"/>
  <c r="N352" i="1" s="1"/>
  <c r="O352" i="1" s="1"/>
  <c r="P352" i="1" s="1"/>
  <c r="Q352" i="1" s="1"/>
  <c r="R352" i="1" s="1"/>
  <c r="T352" i="1" s="1"/>
  <c r="AA352" i="1"/>
  <c r="AC352" i="1" s="1"/>
  <c r="Y352" i="1"/>
  <c r="M307" i="1"/>
  <c r="N307" i="1" s="1"/>
  <c r="O307" i="1" s="1"/>
  <c r="Y307" i="1"/>
  <c r="M337" i="1"/>
  <c r="N337" i="1" s="1"/>
  <c r="O337" i="1" s="1"/>
  <c r="P337" i="1" s="1"/>
  <c r="Q337" i="1" s="1"/>
  <c r="R337" i="1" s="1"/>
  <c r="T337" i="1" s="1"/>
  <c r="AA337" i="1"/>
  <c r="AC337" i="1" s="1"/>
  <c r="Y337" i="1"/>
  <c r="P325" i="1"/>
  <c r="Q325" i="1" s="1"/>
  <c r="R325" i="1" s="1"/>
  <c r="T325" i="1" s="1"/>
  <c r="P323" i="1"/>
  <c r="Q323" i="1" s="1"/>
  <c r="R323" i="1" s="1"/>
  <c r="T323" i="1" s="1"/>
  <c r="L317" i="1"/>
  <c r="M317" i="1" s="1"/>
  <c r="N317" i="1" s="1"/>
  <c r="O317" i="1" s="1"/>
  <c r="P340" i="1"/>
  <c r="Q340" i="1" s="1"/>
  <c r="R340" i="1" s="1"/>
  <c r="T340" i="1" s="1"/>
  <c r="N344" i="1"/>
  <c r="O344" i="1" s="1"/>
  <c r="N342" i="1"/>
  <c r="O342" i="1" s="1"/>
  <c r="N347" i="1"/>
  <c r="O347" i="1" s="1"/>
  <c r="P310" i="1"/>
  <c r="Q310" i="1" s="1"/>
  <c r="R310" i="1" s="1"/>
  <c r="T310" i="1" s="1"/>
  <c r="N329" i="1"/>
  <c r="O329" i="1" s="1"/>
  <c r="N332" i="1"/>
  <c r="O332" i="1" s="1"/>
  <c r="N324" i="1"/>
  <c r="O324" i="1" s="1"/>
  <c r="N308" i="1"/>
  <c r="O308" i="1" s="1"/>
  <c r="N309" i="1"/>
  <c r="O309" i="1" s="1"/>
  <c r="N314" i="1"/>
  <c r="O314" i="1" s="1"/>
  <c r="N312" i="1"/>
  <c r="O312" i="1" s="1"/>
  <c r="N327" i="1"/>
  <c r="O327" i="1" s="1"/>
  <c r="P329" i="1" l="1"/>
  <c r="Q329" i="1" s="1"/>
  <c r="R329" i="1" s="1"/>
  <c r="T329" i="1" s="1"/>
  <c r="P332" i="1"/>
  <c r="Q332" i="1" s="1"/>
  <c r="R332" i="1" s="1"/>
  <c r="T332" i="1" s="1"/>
  <c r="P324" i="1"/>
  <c r="Q324" i="1" s="1"/>
  <c r="R324" i="1" s="1"/>
  <c r="T324" i="1" s="1"/>
  <c r="P327" i="1"/>
  <c r="Q327" i="1" s="1"/>
  <c r="R327" i="1" s="1"/>
  <c r="T327" i="1" s="1"/>
  <c r="P359" i="1"/>
  <c r="Q359" i="1" s="1"/>
  <c r="R359" i="1" s="1"/>
  <c r="T359" i="1" s="1"/>
  <c r="P355" i="1"/>
  <c r="Q355" i="1" s="1"/>
  <c r="R355" i="1" s="1"/>
  <c r="P362" i="1"/>
  <c r="Q362" i="1" s="1"/>
  <c r="R362" i="1" s="1"/>
  <c r="T362" i="1" s="1"/>
  <c r="P354" i="1"/>
  <c r="Q354" i="1" s="1"/>
  <c r="R354" i="1" s="1"/>
  <c r="T354" i="1" s="1"/>
  <c r="P357" i="1"/>
  <c r="Q357" i="1" s="1"/>
  <c r="R357" i="1" s="1"/>
  <c r="T357" i="1" s="1"/>
  <c r="P347" i="1"/>
  <c r="Q347" i="1" s="1"/>
  <c r="R347" i="1" s="1"/>
  <c r="T347" i="1" s="1"/>
  <c r="P342" i="1"/>
  <c r="Q342" i="1" s="1"/>
  <c r="R342" i="1" s="1"/>
  <c r="T342" i="1" s="1"/>
  <c r="P339" i="1"/>
  <c r="Q339" i="1" s="1"/>
  <c r="R339" i="1" s="1"/>
  <c r="T339" i="1" s="1"/>
  <c r="P344" i="1"/>
  <c r="Q344" i="1" s="1"/>
  <c r="R344" i="1" s="1"/>
  <c r="T344" i="1" s="1"/>
  <c r="P338" i="1"/>
  <c r="Q338" i="1" s="1"/>
  <c r="R338" i="1" s="1"/>
  <c r="T338" i="1" s="1"/>
  <c r="P314" i="1"/>
  <c r="Q314" i="1" s="1"/>
  <c r="R314" i="1" s="1"/>
  <c r="T314" i="1" s="1"/>
  <c r="P317" i="1"/>
  <c r="Q317" i="1" s="1"/>
  <c r="R317" i="1" s="1"/>
  <c r="T317" i="1" s="1"/>
  <c r="P312" i="1"/>
  <c r="Q312" i="1" s="1"/>
  <c r="R312" i="1" s="1"/>
  <c r="T312" i="1" s="1"/>
  <c r="P308" i="1"/>
  <c r="Q308" i="1" s="1"/>
  <c r="R308" i="1" s="1"/>
  <c r="T308" i="1" s="1"/>
  <c r="P307" i="1"/>
  <c r="Q307" i="1" s="1"/>
  <c r="R307" i="1" s="1"/>
  <c r="T307" i="1" s="1"/>
  <c r="P309" i="1"/>
  <c r="Q309" i="1" s="1"/>
  <c r="R309" i="1" s="1"/>
  <c r="T309" i="1" s="1"/>
  <c r="R288" i="1" l="1"/>
  <c r="T355" i="1"/>
  <c r="AT370" i="1" s="1"/>
  <c r="R291" i="1" s="1"/>
  <c r="AT369" i="1"/>
  <c r="R290" i="1" s="1"/>
  <c r="R289" i="1"/>
  <c r="AT377" i="1"/>
  <c r="R298" i="1" s="1"/>
  <c r="AT372" i="1"/>
  <c r="R293" i="1" s="1"/>
  <c r="AT374" i="1"/>
  <c r="R295" i="1" s="1"/>
  <c r="N7" i="4" l="1"/>
  <c r="P7" i="4" s="1"/>
  <c r="P12" i="4" s="1"/>
  <c r="N6" i="4"/>
  <c r="N5" i="4"/>
  <c r="N4" i="4"/>
  <c r="N3" i="4"/>
  <c r="N2" i="4"/>
  <c r="N12" i="4" l="1"/>
  <c r="M12" i="4"/>
  <c r="AV378" i="1"/>
  <c r="S299" i="1" s="1"/>
  <c r="AV372" i="1"/>
  <c r="AV374" i="1"/>
  <c r="AV367" i="1"/>
  <c r="AV369" i="1"/>
  <c r="AV375" i="1"/>
  <c r="S296" i="1" s="1"/>
  <c r="AV377" i="1"/>
  <c r="AV368" i="1"/>
  <c r="AV370" i="1"/>
  <c r="AV371" i="1"/>
  <c r="S292" i="1" s="1"/>
  <c r="AV373" i="1"/>
  <c r="S294" i="1" s="1"/>
  <c r="AV376" i="1"/>
  <c r="S297" i="1" s="1"/>
  <c r="C209" i="4"/>
  <c r="I209" i="4"/>
  <c r="C200" i="4"/>
  <c r="I200" i="4"/>
  <c r="C184" i="4"/>
  <c r="I184" i="4"/>
  <c r="C174" i="4"/>
  <c r="I174" i="4"/>
  <c r="C192" i="4"/>
  <c r="I192" i="4"/>
  <c r="D269" i="5"/>
  <c r="O267" i="5"/>
  <c r="N267" i="5"/>
  <c r="M267" i="5"/>
  <c r="L267" i="5"/>
  <c r="K267" i="5"/>
  <c r="J267" i="5"/>
  <c r="I267" i="5"/>
  <c r="H267" i="5"/>
  <c r="G267" i="5"/>
  <c r="F267" i="5"/>
  <c r="E267" i="5"/>
  <c r="D267" i="5"/>
  <c r="Q265" i="5"/>
  <c r="R265" i="5" s="1"/>
  <c r="R256" i="5"/>
  <c r="R248" i="5"/>
  <c r="R205" i="5"/>
  <c r="R202" i="5"/>
  <c r="R201" i="5"/>
  <c r="R199" i="5"/>
  <c r="O198" i="5"/>
  <c r="N198" i="5"/>
  <c r="M198" i="5"/>
  <c r="L198" i="5"/>
  <c r="K198" i="5"/>
  <c r="J198" i="5"/>
  <c r="I198" i="5"/>
  <c r="H198" i="5"/>
  <c r="G198" i="5"/>
  <c r="F198" i="5"/>
  <c r="R194" i="5"/>
  <c r="R191" i="5"/>
  <c r="R188" i="5"/>
  <c r="R182" i="5"/>
  <c r="S30" i="5"/>
  <c r="P1" i="5"/>
  <c r="N1" i="5"/>
  <c r="M1" i="5"/>
  <c r="K1" i="5"/>
  <c r="I1" i="5"/>
  <c r="F1" i="5"/>
  <c r="FW24" i="3"/>
  <c r="FH24" i="3"/>
  <c r="ES24" i="3"/>
  <c r="ED24" i="3"/>
  <c r="DO24" i="3"/>
  <c r="CZ24" i="3"/>
  <c r="CK24" i="3"/>
  <c r="BV24" i="3"/>
  <c r="BG24" i="3"/>
  <c r="AR24" i="3"/>
  <c r="AC24" i="3"/>
  <c r="N24" i="3"/>
  <c r="FW22" i="3"/>
  <c r="FH22" i="3"/>
  <c r="ES22" i="3"/>
  <c r="ED22" i="3"/>
  <c r="DO22" i="3"/>
  <c r="CZ22" i="3"/>
  <c r="CK22" i="3"/>
  <c r="BV22" i="3"/>
  <c r="BG22" i="3"/>
  <c r="AR22" i="3"/>
  <c r="AC22" i="3"/>
  <c r="N22" i="3"/>
  <c r="FW21" i="3"/>
  <c r="FH21" i="3"/>
  <c r="ES21" i="3"/>
  <c r="ED21" i="3"/>
  <c r="DO21" i="3"/>
  <c r="CZ21" i="3"/>
  <c r="CK21" i="3"/>
  <c r="BV21" i="3"/>
  <c r="BG21" i="3"/>
  <c r="AR21" i="3"/>
  <c r="AC21" i="3"/>
  <c r="N21" i="3"/>
  <c r="FW20" i="3"/>
  <c r="FH20" i="3"/>
  <c r="ES20" i="3"/>
  <c r="ED20" i="3"/>
  <c r="DO20" i="3"/>
  <c r="CZ20" i="3"/>
  <c r="CK20" i="3"/>
  <c r="BV20" i="3"/>
  <c r="BG20" i="3"/>
  <c r="AR20" i="3"/>
  <c r="AC20" i="3"/>
  <c r="N20" i="3"/>
  <c r="FW18" i="3"/>
  <c r="FH18" i="3"/>
  <c r="ES18" i="3"/>
  <c r="ED18" i="3"/>
  <c r="DO18" i="3"/>
  <c r="CZ18" i="3"/>
  <c r="CK18" i="3"/>
  <c r="BV18" i="3"/>
  <c r="BG18" i="3"/>
  <c r="AR18" i="3"/>
  <c r="AC18" i="3"/>
  <c r="N18" i="3"/>
  <c r="FK4" i="3"/>
  <c r="FK5" i="3" s="1"/>
  <c r="FM5" i="3" s="1"/>
  <c r="EV4" i="3"/>
  <c r="EV5" i="3" s="1"/>
  <c r="EG4" i="3"/>
  <c r="EG5" i="3" s="1"/>
  <c r="EI5" i="3" s="1"/>
  <c r="DR4" i="3"/>
  <c r="DR5" i="3" s="1"/>
  <c r="DT5" i="3" s="1"/>
  <c r="DT12" i="3" s="1"/>
  <c r="DV12" i="3" s="1"/>
  <c r="DC5" i="3"/>
  <c r="CN4" i="3"/>
  <c r="CN5" i="3" s="1"/>
  <c r="BY4" i="3"/>
  <c r="BY5" i="3" s="1"/>
  <c r="BJ4" i="3"/>
  <c r="BJ5" i="3" s="1"/>
  <c r="AU4" i="3"/>
  <c r="AU5" i="3" s="1"/>
  <c r="AU6" i="3" s="1"/>
  <c r="AF4" i="3"/>
  <c r="AF5" i="3" s="1"/>
  <c r="AF6" i="3" s="1"/>
  <c r="Q4" i="3"/>
  <c r="Q5" i="3" s="1"/>
  <c r="B4" i="3"/>
  <c r="B5" i="3" s="1"/>
  <c r="AC24" i="2"/>
  <c r="AB24" i="2"/>
  <c r="AA24" i="2"/>
  <c r="Y24" i="2"/>
  <c r="W24" i="2"/>
  <c r="V24" i="2"/>
  <c r="U24" i="2"/>
  <c r="T24" i="2"/>
  <c r="S24" i="2"/>
  <c r="R24" i="2"/>
  <c r="M23" i="2"/>
  <c r="BB21" i="2"/>
  <c r="BO21" i="2" s="1"/>
  <c r="BC20" i="2"/>
  <c r="BP20" i="2" s="1"/>
  <c r="BD19" i="2"/>
  <c r="BQ19" i="2" s="1"/>
  <c r="AT17" i="2"/>
  <c r="BG17" i="2" s="1"/>
  <c r="BC16" i="2"/>
  <c r="BP16" i="2" s="1"/>
  <c r="AS15" i="2"/>
  <c r="BF15" i="2" s="1"/>
  <c r="AS14" i="2"/>
  <c r="BF14" i="2" s="1"/>
  <c r="AS12" i="2"/>
  <c r="BF12" i="2" s="1"/>
  <c r="AT11" i="2"/>
  <c r="BG11" i="2" s="1"/>
  <c r="AW10" i="2"/>
  <c r="BJ10" i="2" s="1"/>
  <c r="AY9" i="2"/>
  <c r="BL9" i="2" s="1"/>
  <c r="AW8" i="2"/>
  <c r="BJ8" i="2" s="1"/>
  <c r="BD7" i="2"/>
  <c r="BQ7" i="2" s="1"/>
  <c r="AB19" i="7"/>
  <c r="DL19" i="28" s="1"/>
  <c r="AA19" i="7"/>
  <c r="DK19" i="28" s="1"/>
  <c r="Z19" i="7"/>
  <c r="DJ19" i="28" s="1"/>
  <c r="Y19" i="7"/>
  <c r="DI19" i="28" s="1"/>
  <c r="BX189" i="1"/>
  <c r="X19" i="7"/>
  <c r="DH19" i="28" s="1"/>
  <c r="BS188" i="1"/>
  <c r="BV188" i="1" s="1"/>
  <c r="BW188" i="1" s="1"/>
  <c r="W19" i="7"/>
  <c r="DG19" i="28" s="1"/>
  <c r="BS187" i="1"/>
  <c r="BV187" i="1" s="1"/>
  <c r="BW187" i="1" s="1"/>
  <c r="V19" i="7"/>
  <c r="DF19" i="28" s="1"/>
  <c r="BS186" i="1"/>
  <c r="BV186" i="1" s="1"/>
  <c r="BW186" i="1" s="1"/>
  <c r="U19" i="7"/>
  <c r="DE19" i="28" s="1"/>
  <c r="BS185" i="1"/>
  <c r="BV185" i="1" s="1"/>
  <c r="BW185" i="1" s="1"/>
  <c r="T19" i="7"/>
  <c r="DD19" i="28" s="1"/>
  <c r="BS184" i="1"/>
  <c r="BV184" i="1" s="1"/>
  <c r="BW184" i="1" s="1"/>
  <c r="S19" i="7"/>
  <c r="DC19" i="28" s="1"/>
  <c r="R19" i="7"/>
  <c r="DB19" i="28" s="1"/>
  <c r="Q19" i="7"/>
  <c r="DA19" i="28" s="1"/>
  <c r="I168" i="1"/>
  <c r="AB17" i="7"/>
  <c r="DL17" i="28" s="1"/>
  <c r="I163" i="1"/>
  <c r="AA17" i="7"/>
  <c r="DK17" i="28" s="1"/>
  <c r="I162" i="1"/>
  <c r="Z17" i="7"/>
  <c r="DJ17" i="28" s="1"/>
  <c r="I161" i="1"/>
  <c r="Y17" i="7"/>
  <c r="DI17" i="28" s="1"/>
  <c r="I160" i="1"/>
  <c r="X17" i="7"/>
  <c r="DH17" i="28" s="1"/>
  <c r="I159" i="1"/>
  <c r="W17" i="7"/>
  <c r="DG17" i="28" s="1"/>
  <c r="I158" i="1"/>
  <c r="V17" i="7"/>
  <c r="DF17" i="28" s="1"/>
  <c r="I157" i="1"/>
  <c r="U17" i="7"/>
  <c r="DE17" i="28" s="1"/>
  <c r="I156" i="1"/>
  <c r="T17" i="7"/>
  <c r="DD17" i="28" s="1"/>
  <c r="I155" i="1"/>
  <c r="S17" i="7"/>
  <c r="DC17" i="28" s="1"/>
  <c r="I154" i="1"/>
  <c r="R17" i="7"/>
  <c r="DB17" i="28" s="1"/>
  <c r="I153" i="1"/>
  <c r="Q17" i="7"/>
  <c r="DA17" i="28" s="1"/>
  <c r="E152" i="1"/>
  <c r="I152" i="1" s="1"/>
  <c r="I150" i="1"/>
  <c r="I149" i="1"/>
  <c r="I148" i="1"/>
  <c r="I147" i="1"/>
  <c r="I146" i="1"/>
  <c r="I145" i="1"/>
  <c r="I144" i="1"/>
  <c r="I143" i="1"/>
  <c r="I142" i="1"/>
  <c r="I141" i="1"/>
  <c r="I140" i="1"/>
  <c r="E139" i="1"/>
  <c r="I139" i="1" s="1"/>
  <c r="H118" i="1"/>
  <c r="G118" i="1"/>
  <c r="H117" i="1"/>
  <c r="G117" i="1"/>
  <c r="H116" i="1"/>
  <c r="G116" i="1"/>
  <c r="H115" i="1"/>
  <c r="G115" i="1"/>
  <c r="H114" i="1"/>
  <c r="G114" i="1"/>
  <c r="H113" i="1"/>
  <c r="G113" i="1"/>
  <c r="H112" i="1"/>
  <c r="G112" i="1"/>
  <c r="H111" i="1"/>
  <c r="G111" i="1"/>
  <c r="H110" i="1"/>
  <c r="G110" i="1"/>
  <c r="H109" i="1"/>
  <c r="G109" i="1"/>
  <c r="H108" i="1"/>
  <c r="G108" i="1"/>
  <c r="H107" i="1"/>
  <c r="G107" i="1"/>
  <c r="AA12" i="7"/>
  <c r="DK12" i="28" s="1"/>
  <c r="X12" i="7"/>
  <c r="DH12" i="28" s="1"/>
  <c r="V12" i="7"/>
  <c r="DF12" i="28" s="1"/>
  <c r="T12" i="7"/>
  <c r="DD12" i="28" s="1"/>
  <c r="S12" i="7"/>
  <c r="DC12" i="28" s="1"/>
  <c r="R12" i="7"/>
  <c r="DB12" i="28" s="1"/>
  <c r="Q12" i="7"/>
  <c r="DA12" i="28" s="1"/>
  <c r="AA11" i="7"/>
  <c r="DK11" i="28" s="1"/>
  <c r="X11" i="7"/>
  <c r="DH11" i="28" s="1"/>
  <c r="V11" i="7"/>
  <c r="DF11" i="28" s="1"/>
  <c r="T11" i="7"/>
  <c r="DD11" i="28" s="1"/>
  <c r="S11" i="7"/>
  <c r="DC11" i="28" s="1"/>
  <c r="R11" i="7"/>
  <c r="DB11" i="28" s="1"/>
  <c r="Q11" i="7"/>
  <c r="DA11" i="28" s="1"/>
  <c r="F64" i="1"/>
  <c r="I64" i="1" s="1"/>
  <c r="AA6" i="7"/>
  <c r="DK6" i="28" s="1"/>
  <c r="X6" i="7"/>
  <c r="DH6" i="28" s="1"/>
  <c r="V6" i="7"/>
  <c r="DF6" i="28" s="1"/>
  <c r="T6" i="7"/>
  <c r="DD6" i="28" s="1"/>
  <c r="S6" i="7"/>
  <c r="DC6" i="28" s="1"/>
  <c r="R6" i="7"/>
  <c r="DB6" i="28" s="1"/>
  <c r="Q6" i="7"/>
  <c r="DA6" i="28" s="1"/>
  <c r="AA5" i="7"/>
  <c r="DK5" i="28" s="1"/>
  <c r="X5" i="7"/>
  <c r="DH5" i="28" s="1"/>
  <c r="V5" i="7"/>
  <c r="DF5" i="28" s="1"/>
  <c r="T5" i="7"/>
  <c r="DD5" i="28" s="1"/>
  <c r="S5" i="7"/>
  <c r="DC5" i="28" s="1"/>
  <c r="R5" i="7"/>
  <c r="DB5" i="28" s="1"/>
  <c r="Q5" i="7"/>
  <c r="DA5" i="28" s="1"/>
  <c r="F18" i="1"/>
  <c r="I18" i="1" s="1"/>
  <c r="X18" i="1" s="1"/>
  <c r="U168" i="1" l="1"/>
  <c r="X168" i="1" s="1"/>
  <c r="AC168" i="1" s="1"/>
  <c r="U64" i="1"/>
  <c r="X64" i="1"/>
  <c r="AA64" i="1" s="1"/>
  <c r="AB64" i="1" s="1"/>
  <c r="AC64" i="1" s="1"/>
  <c r="U18" i="1"/>
  <c r="AA18" i="1"/>
  <c r="AB18" i="1" s="1"/>
  <c r="AC18" i="1" s="1"/>
  <c r="AW374" i="1"/>
  <c r="T389" i="1" s="1"/>
  <c r="K8" i="7" s="1"/>
  <c r="AR8" i="28" s="1"/>
  <c r="AV8" i="28" s="1"/>
  <c r="AW8" i="28" s="1"/>
  <c r="S295" i="1"/>
  <c r="T295" i="1" s="1"/>
  <c r="AJ295" i="1" s="1"/>
  <c r="AW370" i="1"/>
  <c r="T385" i="1" s="1"/>
  <c r="G8" i="7" s="1"/>
  <c r="T8" i="28" s="1"/>
  <c r="X8" i="28" s="1"/>
  <c r="Y8" i="28" s="1"/>
  <c r="S291" i="1"/>
  <c r="T291" i="1" s="1"/>
  <c r="AJ291" i="1" s="1"/>
  <c r="AW367" i="1"/>
  <c r="T382" i="1" s="1"/>
  <c r="S288" i="1"/>
  <c r="T288" i="1" s="1"/>
  <c r="AJ288" i="1" s="1"/>
  <c r="AW372" i="1"/>
  <c r="T387" i="1" s="1"/>
  <c r="I8" i="7" s="1"/>
  <c r="AF8" i="28" s="1"/>
  <c r="AJ8" i="28" s="1"/>
  <c r="AK8" i="28" s="1"/>
  <c r="S293" i="1"/>
  <c r="T293" i="1" s="1"/>
  <c r="AJ293" i="1" s="1"/>
  <c r="AW368" i="1"/>
  <c r="T383" i="1" s="1"/>
  <c r="E8" i="7" s="1"/>
  <c r="H8" i="28" s="1"/>
  <c r="L8" i="28" s="1"/>
  <c r="M8" i="28" s="1"/>
  <c r="S289" i="1"/>
  <c r="T289" i="1" s="1"/>
  <c r="AJ289" i="1" s="1"/>
  <c r="AW377" i="1"/>
  <c r="T392" i="1" s="1"/>
  <c r="N8" i="7" s="1"/>
  <c r="BJ8" i="28" s="1"/>
  <c r="BN8" i="28" s="1"/>
  <c r="BO8" i="28" s="1"/>
  <c r="S298" i="1"/>
  <c r="T298" i="1" s="1"/>
  <c r="AJ298" i="1" s="1"/>
  <c r="AW369" i="1"/>
  <c r="T384" i="1" s="1"/>
  <c r="F8" i="7" s="1"/>
  <c r="N8" i="28" s="1"/>
  <c r="R8" i="28" s="1"/>
  <c r="S8" i="28" s="1"/>
  <c r="S290" i="1"/>
  <c r="T290" i="1" s="1"/>
  <c r="AJ290" i="1" s="1"/>
  <c r="BD5" i="2"/>
  <c r="BQ5" i="2" s="1"/>
  <c r="AC19" i="7"/>
  <c r="AC17" i="7"/>
  <c r="BY184" i="1"/>
  <c r="BZ184" i="1" s="1"/>
  <c r="BX190" i="1"/>
  <c r="Z12" i="7"/>
  <c r="DJ12" i="28" s="1"/>
  <c r="Z5" i="7"/>
  <c r="DJ5" i="28" s="1"/>
  <c r="Z11" i="7"/>
  <c r="DJ11" i="28" s="1"/>
  <c r="L27" i="1"/>
  <c r="Z6" i="7"/>
  <c r="DJ6" i="28" s="1"/>
  <c r="F37" i="6"/>
  <c r="J376" i="1" s="1"/>
  <c r="J346" i="1"/>
  <c r="L346" i="1" s="1"/>
  <c r="BO88" i="1"/>
  <c r="J361" i="1"/>
  <c r="X361" i="1" s="1"/>
  <c r="AA361" i="1" s="1"/>
  <c r="AC361" i="1" s="1"/>
  <c r="W12" i="7"/>
  <c r="DG12" i="28" s="1"/>
  <c r="W5" i="7"/>
  <c r="DG5" i="28" s="1"/>
  <c r="W11" i="7"/>
  <c r="DG11" i="28" s="1"/>
  <c r="W6" i="7"/>
  <c r="DG6" i="28" s="1"/>
  <c r="J343" i="1"/>
  <c r="L343" i="1" s="1"/>
  <c r="J373" i="1"/>
  <c r="J358" i="1"/>
  <c r="X358" i="1" s="1"/>
  <c r="AA358" i="1" s="1"/>
  <c r="AC358" i="1" s="1"/>
  <c r="W4" i="7"/>
  <c r="DG4" i="28" s="1"/>
  <c r="Y12" i="7"/>
  <c r="DI12" i="28" s="1"/>
  <c r="Y5" i="7"/>
  <c r="DI5" i="28" s="1"/>
  <c r="Y11" i="7"/>
  <c r="DI11" i="28" s="1"/>
  <c r="L26" i="1"/>
  <c r="Y6" i="7"/>
  <c r="DI6" i="28" s="1"/>
  <c r="D11" i="17"/>
  <c r="J345" i="1"/>
  <c r="L345" i="1" s="1"/>
  <c r="J360" i="1"/>
  <c r="X360" i="1" s="1"/>
  <c r="AA360" i="1" s="1"/>
  <c r="AC360" i="1" s="1"/>
  <c r="F36" i="6"/>
  <c r="AB11" i="7"/>
  <c r="DL11" i="28" s="1"/>
  <c r="C14" i="17"/>
  <c r="AB6" i="7"/>
  <c r="DL6" i="28" s="1"/>
  <c r="AB12" i="7"/>
  <c r="DL12" i="28" s="1"/>
  <c r="AB5" i="7"/>
  <c r="DL5" i="28" s="1"/>
  <c r="J348" i="1"/>
  <c r="L348" i="1" s="1"/>
  <c r="F39" i="6"/>
  <c r="J378" i="1" s="1"/>
  <c r="AB4" i="7"/>
  <c r="DL4" i="28" s="1"/>
  <c r="J363" i="1"/>
  <c r="X363" i="1" s="1"/>
  <c r="AA363" i="1" s="1"/>
  <c r="AC363" i="1" s="1"/>
  <c r="U11" i="7"/>
  <c r="DE11" i="28" s="1"/>
  <c r="S3" i="7"/>
  <c r="DC3" i="28" s="1"/>
  <c r="C5" i="17"/>
  <c r="R4" i="7"/>
  <c r="DB4" i="28" s="1"/>
  <c r="D4" i="17"/>
  <c r="N198" i="1"/>
  <c r="R20" i="7"/>
  <c r="DB20" i="28" s="1"/>
  <c r="I4" i="17"/>
  <c r="Q18" i="7"/>
  <c r="DA18" i="28" s="1"/>
  <c r="H3" i="17"/>
  <c r="R16" i="7"/>
  <c r="DB16" i="28" s="1"/>
  <c r="G4" i="17"/>
  <c r="T3" i="7"/>
  <c r="DD3" i="28" s="1"/>
  <c r="C6" i="17"/>
  <c r="T18" i="7"/>
  <c r="DD18" i="28" s="1"/>
  <c r="H6" i="17"/>
  <c r="N200" i="1"/>
  <c r="T20" i="7"/>
  <c r="DD20" i="28" s="1"/>
  <c r="I6" i="17"/>
  <c r="Q3" i="7"/>
  <c r="DA3" i="28" s="1"/>
  <c r="C3" i="17"/>
  <c r="T4" i="7"/>
  <c r="DD4" i="28" s="1"/>
  <c r="D6" i="17"/>
  <c r="R3" i="7"/>
  <c r="DB3" i="28" s="1"/>
  <c r="C4" i="17"/>
  <c r="Q16" i="7"/>
  <c r="DA16" i="28" s="1"/>
  <c r="G3" i="17"/>
  <c r="R18" i="7"/>
  <c r="DB18" i="28" s="1"/>
  <c r="H4" i="17"/>
  <c r="Q4" i="7"/>
  <c r="DA4" i="28" s="1"/>
  <c r="D3" i="17"/>
  <c r="S16" i="7"/>
  <c r="DC16" i="28" s="1"/>
  <c r="G5" i="17"/>
  <c r="S18" i="7"/>
  <c r="DC18" i="28" s="1"/>
  <c r="H5" i="17"/>
  <c r="N197" i="1"/>
  <c r="Q20" i="7"/>
  <c r="DA20" i="28" s="1"/>
  <c r="I3" i="17"/>
  <c r="T16" i="7"/>
  <c r="DD16" i="28" s="1"/>
  <c r="G6" i="17"/>
  <c r="N199" i="1"/>
  <c r="S20" i="7"/>
  <c r="DC20" i="28" s="1"/>
  <c r="I5" i="17"/>
  <c r="S4" i="7"/>
  <c r="DC4" i="28" s="1"/>
  <c r="D5" i="17"/>
  <c r="AT18" i="2"/>
  <c r="BG18" i="2" s="1"/>
  <c r="Y16" i="7"/>
  <c r="DI16" i="28" s="1"/>
  <c r="G11" i="17"/>
  <c r="V16" i="7"/>
  <c r="DF16" i="28" s="1"/>
  <c r="G8" i="17"/>
  <c r="Z16" i="7"/>
  <c r="DJ16" i="28" s="1"/>
  <c r="G12" i="17"/>
  <c r="X16" i="7"/>
  <c r="DH16" i="28" s="1"/>
  <c r="G10" i="17"/>
  <c r="AB16" i="7"/>
  <c r="DL16" i="28" s="1"/>
  <c r="G14" i="17"/>
  <c r="W16" i="7"/>
  <c r="DG16" i="28" s="1"/>
  <c r="G9" i="17"/>
  <c r="U16" i="7"/>
  <c r="DE16" i="28" s="1"/>
  <c r="G7" i="17"/>
  <c r="AA16" i="7"/>
  <c r="DK16" i="28" s="1"/>
  <c r="G13" i="17"/>
  <c r="N202" i="1"/>
  <c r="V20" i="7"/>
  <c r="DF20" i="28" s="1"/>
  <c r="I8" i="17"/>
  <c r="N203" i="1"/>
  <c r="W20" i="7"/>
  <c r="DG20" i="28" s="1"/>
  <c r="I9" i="17"/>
  <c r="N204" i="1"/>
  <c r="X20" i="7"/>
  <c r="DH20" i="28" s="1"/>
  <c r="I10" i="17"/>
  <c r="N205" i="1"/>
  <c r="Y20" i="7"/>
  <c r="DI20" i="28" s="1"/>
  <c r="I11" i="17"/>
  <c r="N206" i="1"/>
  <c r="Z20" i="7"/>
  <c r="DJ20" i="28" s="1"/>
  <c r="I12" i="17"/>
  <c r="N207" i="1"/>
  <c r="AA20" i="7"/>
  <c r="DK20" i="28" s="1"/>
  <c r="I13" i="17"/>
  <c r="N208" i="1"/>
  <c r="AB20" i="7"/>
  <c r="DL20" i="28" s="1"/>
  <c r="I14" i="17"/>
  <c r="N201" i="1"/>
  <c r="U20" i="7"/>
  <c r="DE20" i="28" s="1"/>
  <c r="I7" i="17"/>
  <c r="V18" i="7"/>
  <c r="DF18" i="28" s="1"/>
  <c r="H8" i="17"/>
  <c r="X18" i="7"/>
  <c r="DH18" i="28" s="1"/>
  <c r="H10" i="17"/>
  <c r="Y18" i="7"/>
  <c r="DI18" i="28" s="1"/>
  <c r="H11" i="17"/>
  <c r="U18" i="7"/>
  <c r="DE18" i="28" s="1"/>
  <c r="H7" i="17"/>
  <c r="AA18" i="7"/>
  <c r="DK18" i="28" s="1"/>
  <c r="H13" i="17"/>
  <c r="AB18" i="7"/>
  <c r="DL18" i="28" s="1"/>
  <c r="H14" i="17"/>
  <c r="W18" i="7"/>
  <c r="DG18" i="28" s="1"/>
  <c r="H9" i="17"/>
  <c r="Z18" i="7"/>
  <c r="DJ18" i="28" s="1"/>
  <c r="H12" i="17"/>
  <c r="AA3" i="7"/>
  <c r="DK3" i="28" s="1"/>
  <c r="C13" i="17"/>
  <c r="X3" i="7"/>
  <c r="DH3" i="28" s="1"/>
  <c r="C10" i="17"/>
  <c r="V3" i="7"/>
  <c r="DF3" i="28" s="1"/>
  <c r="C8" i="17"/>
  <c r="W3" i="7"/>
  <c r="DG3" i="28" s="1"/>
  <c r="C9" i="17"/>
  <c r="AA4" i="7"/>
  <c r="DK4" i="28" s="1"/>
  <c r="D13" i="17"/>
  <c r="X4" i="7"/>
  <c r="DH4" i="28" s="1"/>
  <c r="D10" i="17"/>
  <c r="V4" i="7"/>
  <c r="DF4" i="28" s="1"/>
  <c r="D8" i="17"/>
  <c r="T15" i="7"/>
  <c r="DD15" i="28" s="1"/>
  <c r="F6" i="17"/>
  <c r="U15" i="7"/>
  <c r="DE15" i="28" s="1"/>
  <c r="F7" i="17"/>
  <c r="X15" i="7"/>
  <c r="DH15" i="28" s="1"/>
  <c r="F10" i="17"/>
  <c r="Z15" i="7"/>
  <c r="DJ15" i="28" s="1"/>
  <c r="F12" i="17"/>
  <c r="Y15" i="7"/>
  <c r="DI15" i="28" s="1"/>
  <c r="F11" i="17"/>
  <c r="V15" i="7"/>
  <c r="DF15" i="28" s="1"/>
  <c r="F8" i="17"/>
  <c r="R15" i="7"/>
  <c r="DB15" i="28" s="1"/>
  <c r="F4" i="17"/>
  <c r="AA15" i="7"/>
  <c r="DK15" i="28" s="1"/>
  <c r="F13" i="17"/>
  <c r="AB15" i="7"/>
  <c r="DL15" i="28" s="1"/>
  <c r="F14" i="17"/>
  <c r="Q15" i="7"/>
  <c r="DA15" i="28" s="1"/>
  <c r="F3" i="17"/>
  <c r="W15" i="7"/>
  <c r="DG15" i="28" s="1"/>
  <c r="F9" i="17"/>
  <c r="S15" i="7"/>
  <c r="DC15" i="28" s="1"/>
  <c r="F5" i="17"/>
  <c r="AT110" i="1"/>
  <c r="I131" i="1"/>
  <c r="I127" i="1"/>
  <c r="I123" i="1"/>
  <c r="I133" i="1"/>
  <c r="I132" i="1"/>
  <c r="I129" i="1"/>
  <c r="I128" i="1"/>
  <c r="I134" i="1"/>
  <c r="I130" i="1"/>
  <c r="I126" i="1"/>
  <c r="I125" i="1"/>
  <c r="I124" i="1"/>
  <c r="AH5" i="3"/>
  <c r="AH12" i="3" s="1"/>
  <c r="AJ12" i="3" s="1"/>
  <c r="AW5" i="3"/>
  <c r="AW11" i="3" s="1"/>
  <c r="AY11" i="3" s="1"/>
  <c r="L65" i="1"/>
  <c r="BO140" i="1"/>
  <c r="M179" i="1"/>
  <c r="N179" i="1" s="1"/>
  <c r="BP33" i="1"/>
  <c r="M160" i="1"/>
  <c r="N160" i="1" s="1"/>
  <c r="L28" i="1"/>
  <c r="M163" i="1"/>
  <c r="N163" i="1" s="1"/>
  <c r="O163" i="1" s="1"/>
  <c r="R163" i="1" s="1"/>
  <c r="T163" i="1" s="1"/>
  <c r="BO143" i="1"/>
  <c r="BO178" i="1"/>
  <c r="L149" i="1"/>
  <c r="L59" i="1"/>
  <c r="BO150" i="1"/>
  <c r="L9" i="1"/>
  <c r="L15" i="1"/>
  <c r="L7" i="1"/>
  <c r="L36" i="1"/>
  <c r="BO141" i="1"/>
  <c r="C5" i="7"/>
  <c r="C6" i="27" s="1"/>
  <c r="L146" i="1"/>
  <c r="L34" i="1"/>
  <c r="L171" i="1"/>
  <c r="C3" i="7"/>
  <c r="C4" i="27" s="1"/>
  <c r="C6" i="7"/>
  <c r="C7" i="27" s="1"/>
  <c r="C12" i="7"/>
  <c r="C13" i="27" s="1"/>
  <c r="C17" i="7"/>
  <c r="C18" i="27" s="1"/>
  <c r="L35" i="1"/>
  <c r="L52" i="1"/>
  <c r="L156" i="1"/>
  <c r="C4" i="7"/>
  <c r="C5" i="27" s="1"/>
  <c r="C16" i="7"/>
  <c r="C17" i="27" s="1"/>
  <c r="L25" i="1"/>
  <c r="L56" i="1"/>
  <c r="C18" i="7"/>
  <c r="C19" i="27" s="1"/>
  <c r="M172" i="1"/>
  <c r="N172" i="1" s="1"/>
  <c r="O172" i="1" s="1"/>
  <c r="C11" i="7"/>
  <c r="C12" i="27" s="1"/>
  <c r="M162" i="1"/>
  <c r="N162" i="1" s="1"/>
  <c r="O162" i="1" s="1"/>
  <c r="R162" i="1" s="1"/>
  <c r="T162" i="1" s="1"/>
  <c r="L5" i="1"/>
  <c r="L11" i="1"/>
  <c r="L40" i="1"/>
  <c r="L50" i="1"/>
  <c r="L66" i="1"/>
  <c r="BO172" i="1"/>
  <c r="M141" i="1"/>
  <c r="N141" i="1" s="1"/>
  <c r="O141" i="1" s="1"/>
  <c r="L153" i="1"/>
  <c r="L84" i="1"/>
  <c r="L14" i="1"/>
  <c r="L54" i="1"/>
  <c r="M143" i="1"/>
  <c r="N143" i="1" s="1"/>
  <c r="O143" i="1" s="1"/>
  <c r="M148" i="1"/>
  <c r="N148" i="1" s="1"/>
  <c r="O148" i="1" s="1"/>
  <c r="L145" i="1"/>
  <c r="BO139" i="1"/>
  <c r="BO145" i="1"/>
  <c r="EI13" i="3"/>
  <c r="EK13" i="3" s="1"/>
  <c r="EP13" i="3" s="1"/>
  <c r="EQ13" i="3" s="1"/>
  <c r="EI11" i="3"/>
  <c r="EK11" i="3" s="1"/>
  <c r="EP11" i="3" s="1"/>
  <c r="EQ11" i="3" s="1"/>
  <c r="EX5" i="3"/>
  <c r="EX14" i="3" s="1"/>
  <c r="EZ14" i="3" s="1"/>
  <c r="FE15" i="3" s="1"/>
  <c r="FF15" i="3" s="1"/>
  <c r="EV6" i="3"/>
  <c r="EX9" i="3" s="1"/>
  <c r="DR6" i="3"/>
  <c r="DT9" i="3" s="1"/>
  <c r="EG6" i="3"/>
  <c r="FK6" i="3"/>
  <c r="FM9" i="3" s="1"/>
  <c r="DT11" i="3"/>
  <c r="DV11" i="3" s="1"/>
  <c r="DW11" i="3" s="1"/>
  <c r="BO169" i="1"/>
  <c r="BO173" i="1"/>
  <c r="BO170" i="1"/>
  <c r="BO174" i="1"/>
  <c r="M175" i="1"/>
  <c r="BO168" i="1"/>
  <c r="M169" i="1"/>
  <c r="N169" i="1" s="1"/>
  <c r="O169" i="1" s="1"/>
  <c r="M173" i="1"/>
  <c r="M177" i="1"/>
  <c r="N177" i="1" s="1"/>
  <c r="O177" i="1" s="1"/>
  <c r="M178" i="1"/>
  <c r="N178" i="1" s="1"/>
  <c r="O178" i="1" s="1"/>
  <c r="L49" i="1"/>
  <c r="L43" i="1"/>
  <c r="L33" i="1"/>
  <c r="Y33" i="1" s="1"/>
  <c r="L79" i="1"/>
  <c r="BO86" i="1"/>
  <c r="BO89" i="1"/>
  <c r="BO82" i="1"/>
  <c r="BD10" i="2"/>
  <c r="BQ10" i="2" s="1"/>
  <c r="AZ19" i="2"/>
  <c r="BM19" i="2" s="1"/>
  <c r="BA19" i="2"/>
  <c r="BN19" i="2" s="1"/>
  <c r="BA10" i="2"/>
  <c r="BN10" i="2" s="1"/>
  <c r="BB19" i="2"/>
  <c r="BO19" i="2" s="1"/>
  <c r="BC19" i="2"/>
  <c r="BP19" i="2" s="1"/>
  <c r="BA16" i="2"/>
  <c r="BN16" i="2" s="1"/>
  <c r="AW9" i="2"/>
  <c r="BJ9" i="2" s="1"/>
  <c r="AY21" i="2"/>
  <c r="BL21" i="2" s="1"/>
  <c r="AS8" i="2"/>
  <c r="BF8" i="2" s="1"/>
  <c r="AT8" i="2"/>
  <c r="BG8" i="2" s="1"/>
  <c r="AV12" i="2"/>
  <c r="BI12" i="2" s="1"/>
  <c r="AU14" i="2"/>
  <c r="BH14" i="2" s="1"/>
  <c r="BA9" i="2"/>
  <c r="BN9" i="2" s="1"/>
  <c r="AW14" i="2"/>
  <c r="BJ14" i="2" s="1"/>
  <c r="AX11" i="2"/>
  <c r="BK11" i="2" s="1"/>
  <c r="AZ14" i="2"/>
  <c r="BM14" i="2" s="1"/>
  <c r="AU19" i="2"/>
  <c r="BH19" i="2" s="1"/>
  <c r="AU7" i="2"/>
  <c r="BH7" i="2" s="1"/>
  <c r="BB8" i="2"/>
  <c r="BO8" i="2" s="1"/>
  <c r="BD9" i="2"/>
  <c r="BQ9" i="2" s="1"/>
  <c r="AY11" i="2"/>
  <c r="BL11" i="2" s="1"/>
  <c r="AY12" i="2"/>
  <c r="BL12" i="2" s="1"/>
  <c r="BD14" i="2"/>
  <c r="BQ14" i="2" s="1"/>
  <c r="BA17" i="2"/>
  <c r="BN17" i="2" s="1"/>
  <c r="AV19" i="2"/>
  <c r="BI19" i="2" s="1"/>
  <c r="BC21" i="2"/>
  <c r="BP21" i="2" s="1"/>
  <c r="AU8" i="2"/>
  <c r="BH8" i="2" s="1"/>
  <c r="AX9" i="2"/>
  <c r="BK9" i="2" s="1"/>
  <c r="AS17" i="2"/>
  <c r="BF17" i="2" s="1"/>
  <c r="AU12" i="2"/>
  <c r="BH12" i="2" s="1"/>
  <c r="AU17" i="2"/>
  <c r="BH17" i="2" s="1"/>
  <c r="AZ9" i="2"/>
  <c r="BM9" i="2" s="1"/>
  <c r="AW17" i="2"/>
  <c r="BJ17" i="2" s="1"/>
  <c r="AW11" i="2"/>
  <c r="BJ11" i="2" s="1"/>
  <c r="AY17" i="2"/>
  <c r="BL17" i="2" s="1"/>
  <c r="BB9" i="2"/>
  <c r="BO9" i="2" s="1"/>
  <c r="AZ7" i="2"/>
  <c r="BM7" i="2" s="1"/>
  <c r="BC8" i="2"/>
  <c r="BP8" i="2" s="1"/>
  <c r="AZ11" i="2"/>
  <c r="BM11" i="2" s="1"/>
  <c r="BA12" i="2"/>
  <c r="BN12" i="2" s="1"/>
  <c r="BB17" i="2"/>
  <c r="BO17" i="2" s="1"/>
  <c r="AW19" i="2"/>
  <c r="BJ19" i="2" s="1"/>
  <c r="AS9" i="2"/>
  <c r="BF9" i="2" s="1"/>
  <c r="AT12" i="2"/>
  <c r="BG12" i="2" s="1"/>
  <c r="AX12" i="2"/>
  <c r="BK12" i="2" s="1"/>
  <c r="AZ17" i="2"/>
  <c r="BM17" i="2" s="1"/>
  <c r="BA21" i="2"/>
  <c r="BN21" i="2" s="1"/>
  <c r="AV10" i="2"/>
  <c r="BI10" i="2" s="1"/>
  <c r="BB11" i="2"/>
  <c r="BO11" i="2" s="1"/>
  <c r="BB12" i="2"/>
  <c r="BO12" i="2" s="1"/>
  <c r="BC17" i="2"/>
  <c r="BP17" i="2" s="1"/>
  <c r="AX19" i="2"/>
  <c r="BK19" i="2" s="1"/>
  <c r="AX8" i="2"/>
  <c r="BK8" i="2" s="1"/>
  <c r="AU11" i="2"/>
  <c r="BH11" i="2" s="1"/>
  <c r="AV11" i="2"/>
  <c r="BI11" i="2" s="1"/>
  <c r="AS19" i="2"/>
  <c r="BF19" i="2" s="1"/>
  <c r="AZ8" i="2"/>
  <c r="BM8" i="2" s="1"/>
  <c r="AW12" i="2"/>
  <c r="BJ12" i="2" s="1"/>
  <c r="AT19" i="2"/>
  <c r="BG19" i="2" s="1"/>
  <c r="BA8" i="2"/>
  <c r="BN8" i="2" s="1"/>
  <c r="BC11" i="2"/>
  <c r="BP11" i="2" s="1"/>
  <c r="BC12" i="2"/>
  <c r="BP12" i="2" s="1"/>
  <c r="BD17" i="2"/>
  <c r="BQ17" i="2" s="1"/>
  <c r="AY19" i="2"/>
  <c r="BL19" i="2" s="1"/>
  <c r="AU21" i="2"/>
  <c r="BH21" i="2" s="1"/>
  <c r="AV21" i="2"/>
  <c r="BI21" i="2" s="1"/>
  <c r="AW21" i="2"/>
  <c r="BJ21" i="2" s="1"/>
  <c r="AX21" i="2"/>
  <c r="BK21" i="2" s="1"/>
  <c r="AY20" i="2"/>
  <c r="BL20" i="2" s="1"/>
  <c r="AS20" i="2"/>
  <c r="BF20" i="2" s="1"/>
  <c r="AW20" i="2"/>
  <c r="BJ20" i="2" s="1"/>
  <c r="AZ20" i="2"/>
  <c r="BM20" i="2" s="1"/>
  <c r="BB20" i="2"/>
  <c r="BO20" i="2" s="1"/>
  <c r="AT20" i="2"/>
  <c r="BG20" i="2" s="1"/>
  <c r="AU20" i="2"/>
  <c r="BH20" i="2" s="1"/>
  <c r="AV20" i="2"/>
  <c r="BI20" i="2" s="1"/>
  <c r="L140" i="1"/>
  <c r="M140" i="1"/>
  <c r="N140" i="1" s="1"/>
  <c r="O140" i="1" s="1"/>
  <c r="L38" i="1"/>
  <c r="L69" i="1"/>
  <c r="L21" i="1"/>
  <c r="L81" i="1"/>
  <c r="M174" i="1"/>
  <c r="N174" i="1" s="1"/>
  <c r="M142" i="1"/>
  <c r="N142" i="1" s="1"/>
  <c r="O142" i="1" s="1"/>
  <c r="L142" i="1"/>
  <c r="L147" i="1"/>
  <c r="L178" i="1"/>
  <c r="L177" i="1"/>
  <c r="L175" i="1"/>
  <c r="L86" i="1"/>
  <c r="BO84" i="1"/>
  <c r="BO142" i="1"/>
  <c r="L157" i="1"/>
  <c r="L141" i="1"/>
  <c r="BO148" i="1"/>
  <c r="M170" i="1"/>
  <c r="N170" i="1" s="1"/>
  <c r="BO175" i="1"/>
  <c r="L6" i="1"/>
  <c r="L161" i="1"/>
  <c r="L168" i="1"/>
  <c r="L173" i="1"/>
  <c r="L179" i="1"/>
  <c r="BO80" i="1"/>
  <c r="L67" i="1"/>
  <c r="L89" i="1"/>
  <c r="L143" i="1"/>
  <c r="M155" i="1"/>
  <c r="N155" i="1" s="1"/>
  <c r="M168" i="1"/>
  <c r="N168" i="1" s="1"/>
  <c r="O168" i="1" s="1"/>
  <c r="M176" i="1"/>
  <c r="N176" i="1" s="1"/>
  <c r="O176" i="1" s="1"/>
  <c r="BO149" i="1"/>
  <c r="M171" i="1"/>
  <c r="N171" i="1" s="1"/>
  <c r="O171" i="1" s="1"/>
  <c r="L68" i="1"/>
  <c r="L80" i="1"/>
  <c r="BY185" i="1"/>
  <c r="BZ185" i="1" s="1"/>
  <c r="L51" i="1"/>
  <c r="L64" i="1"/>
  <c r="L73" i="1"/>
  <c r="L162" i="1"/>
  <c r="BO81" i="1"/>
  <c r="L20" i="1"/>
  <c r="BO79" i="1"/>
  <c r="L18" i="1"/>
  <c r="Y18" i="1" s="1"/>
  <c r="L23" i="1"/>
  <c r="L24" i="1"/>
  <c r="M161" i="1"/>
  <c r="N161" i="1" s="1"/>
  <c r="O161" i="1" s="1"/>
  <c r="R161" i="1" s="1"/>
  <c r="T161" i="1" s="1"/>
  <c r="M152" i="1"/>
  <c r="L152" i="1"/>
  <c r="M159" i="1"/>
  <c r="N159" i="1" s="1"/>
  <c r="O159" i="1" s="1"/>
  <c r="R159" i="1" s="1"/>
  <c r="T159" i="1" s="1"/>
  <c r="L159" i="1"/>
  <c r="L113" i="1"/>
  <c r="L118" i="1"/>
  <c r="L109" i="1"/>
  <c r="L115" i="1"/>
  <c r="L111" i="1"/>
  <c r="AT107" i="1"/>
  <c r="L116" i="1"/>
  <c r="L114" i="1"/>
  <c r="L117" i="1"/>
  <c r="L112" i="1"/>
  <c r="L108" i="1"/>
  <c r="BO146" i="1"/>
  <c r="M146" i="1"/>
  <c r="N146" i="1" s="1"/>
  <c r="O146" i="1" s="1"/>
  <c r="M157" i="1"/>
  <c r="L4" i="1"/>
  <c r="CN6" i="3"/>
  <c r="CP5" i="3"/>
  <c r="M144" i="1"/>
  <c r="BO144" i="1"/>
  <c r="L144" i="1"/>
  <c r="M156" i="1"/>
  <c r="N156" i="1" s="1"/>
  <c r="BY6" i="3"/>
  <c r="CA9" i="3" s="1"/>
  <c r="CA5" i="3"/>
  <c r="CA11" i="3" s="1"/>
  <c r="EA12" i="3"/>
  <c r="EB12" i="3" s="1"/>
  <c r="DW12" i="3"/>
  <c r="DX12" i="3" s="1"/>
  <c r="DY12" i="3" s="1"/>
  <c r="DZ12" i="3" s="1"/>
  <c r="L19" i="1"/>
  <c r="L10" i="1"/>
  <c r="M147" i="1"/>
  <c r="N147" i="1" s="1"/>
  <c r="BO147" i="1"/>
  <c r="L74" i="1"/>
  <c r="L82" i="1"/>
  <c r="M145" i="1"/>
  <c r="N145" i="1" s="1"/>
  <c r="O145" i="1" s="1"/>
  <c r="AH8" i="3"/>
  <c r="AJ8" i="3" s="1"/>
  <c r="AH9" i="3"/>
  <c r="L154" i="1"/>
  <c r="L169" i="1"/>
  <c r="L71" i="1"/>
  <c r="M139" i="1"/>
  <c r="L139" i="1"/>
  <c r="M154" i="1"/>
  <c r="N154" i="1" s="1"/>
  <c r="L158" i="1"/>
  <c r="M158" i="1"/>
  <c r="N158" i="1" s="1"/>
  <c r="L160" i="1"/>
  <c r="L148" i="1"/>
  <c r="AW15" i="2"/>
  <c r="BJ15" i="2" s="1"/>
  <c r="BD15" i="2"/>
  <c r="BQ15" i="2" s="1"/>
  <c r="BC15" i="2"/>
  <c r="BP15" i="2" s="1"/>
  <c r="BB15" i="2"/>
  <c r="BO15" i="2" s="1"/>
  <c r="AY15" i="2"/>
  <c r="BL15" i="2" s="1"/>
  <c r="AZ15" i="2"/>
  <c r="BM15" i="2" s="1"/>
  <c r="AV15" i="2"/>
  <c r="BI15" i="2" s="1"/>
  <c r="AT15" i="2"/>
  <c r="BG15" i="2" s="1"/>
  <c r="BA15" i="2"/>
  <c r="BN15" i="2" s="1"/>
  <c r="AX15" i="2"/>
  <c r="BK15" i="2" s="1"/>
  <c r="AU15" i="2"/>
  <c r="BH15" i="2" s="1"/>
  <c r="D5" i="3"/>
  <c r="B6" i="3"/>
  <c r="BY187" i="1"/>
  <c r="BZ187" i="1" s="1"/>
  <c r="BY188" i="1"/>
  <c r="BZ188" i="1" s="1"/>
  <c r="BY186" i="1"/>
  <c r="BZ186" i="1" s="1"/>
  <c r="L176" i="1"/>
  <c r="BO171" i="1"/>
  <c r="AX7" i="2"/>
  <c r="BK7" i="2" s="1"/>
  <c r="AW7" i="2"/>
  <c r="BJ7" i="2" s="1"/>
  <c r="AV7" i="2"/>
  <c r="BI7" i="2" s="1"/>
  <c r="AS7" i="2"/>
  <c r="BF7" i="2" s="1"/>
  <c r="AY7" i="2"/>
  <c r="BL7" i="2" s="1"/>
  <c r="AT7" i="2"/>
  <c r="BG7" i="2" s="1"/>
  <c r="AU10" i="2"/>
  <c r="BH10" i="2" s="1"/>
  <c r="AT10" i="2"/>
  <c r="BG10" i="2" s="1"/>
  <c r="AS10" i="2"/>
  <c r="BF10" i="2" s="1"/>
  <c r="BB10" i="2"/>
  <c r="BO10" i="2" s="1"/>
  <c r="BC10" i="2"/>
  <c r="BP10" i="2" s="1"/>
  <c r="FM14" i="3"/>
  <c r="FO14" i="3" s="1"/>
  <c r="FM11" i="3"/>
  <c r="FO11" i="3" s="1"/>
  <c r="FM13" i="3"/>
  <c r="FO13" i="3" s="1"/>
  <c r="FM12" i="3"/>
  <c r="FO12" i="3" s="1"/>
  <c r="BO179" i="1"/>
  <c r="BA7" i="2"/>
  <c r="BN7" i="2" s="1"/>
  <c r="AX10" i="2"/>
  <c r="BK10" i="2" s="1"/>
  <c r="AV16" i="2"/>
  <c r="BI16" i="2" s="1"/>
  <c r="AT16" i="2"/>
  <c r="BG16" i="2" s="1"/>
  <c r="AW16" i="2"/>
  <c r="BJ16" i="2" s="1"/>
  <c r="AU16" i="2"/>
  <c r="BH16" i="2" s="1"/>
  <c r="AS16" i="2"/>
  <c r="BF16" i="2" s="1"/>
  <c r="BD16" i="2"/>
  <c r="BQ16" i="2" s="1"/>
  <c r="BB16" i="2"/>
  <c r="BO16" i="2" s="1"/>
  <c r="AZ16" i="2"/>
  <c r="BM16" i="2" s="1"/>
  <c r="S5" i="3"/>
  <c r="Q6" i="3"/>
  <c r="M150" i="1"/>
  <c r="N150" i="1" s="1"/>
  <c r="O150" i="1" s="1"/>
  <c r="L150" i="1"/>
  <c r="L155" i="1"/>
  <c r="L163" i="1"/>
  <c r="AZ5" i="2"/>
  <c r="BM5" i="2" s="1"/>
  <c r="BB7" i="2"/>
  <c r="BO7" i="2" s="1"/>
  <c r="AY10" i="2"/>
  <c r="BL10" i="2" s="1"/>
  <c r="BC14" i="2"/>
  <c r="BP14" i="2" s="1"/>
  <c r="BB14" i="2"/>
  <c r="BO14" i="2" s="1"/>
  <c r="BA14" i="2"/>
  <c r="BN14" i="2" s="1"/>
  <c r="AY14" i="2"/>
  <c r="BL14" i="2" s="1"/>
  <c r="AV14" i="2"/>
  <c r="BI14" i="2" s="1"/>
  <c r="AT14" i="2"/>
  <c r="BG14" i="2" s="1"/>
  <c r="AX16" i="2"/>
  <c r="BK16" i="2" s="1"/>
  <c r="M149" i="1"/>
  <c r="N149" i="1" s="1"/>
  <c r="O149" i="1" s="1"/>
  <c r="L170" i="1"/>
  <c r="BC7" i="2"/>
  <c r="BP7" i="2" s="1"/>
  <c r="AZ10" i="2"/>
  <c r="BM10" i="2" s="1"/>
  <c r="AY16" i="2"/>
  <c r="BL16" i="2" s="1"/>
  <c r="AW9" i="3"/>
  <c r="AW8" i="3"/>
  <c r="AY8" i="3" s="1"/>
  <c r="BJ6" i="3"/>
  <c r="BL5" i="3"/>
  <c r="AW18" i="2"/>
  <c r="BJ18" i="2" s="1"/>
  <c r="M153" i="1"/>
  <c r="N153" i="1" s="1"/>
  <c r="L174" i="1"/>
  <c r="BO177" i="1"/>
  <c r="L172" i="1"/>
  <c r="BO176" i="1"/>
  <c r="AV9" i="2"/>
  <c r="BI9" i="2" s="1"/>
  <c r="AU9" i="2"/>
  <c r="BH9" i="2" s="1"/>
  <c r="AT9" i="2"/>
  <c r="BG9" i="2" s="1"/>
  <c r="BC9" i="2"/>
  <c r="BP9" i="2" s="1"/>
  <c r="BD8" i="2"/>
  <c r="BQ8" i="2" s="1"/>
  <c r="BA11" i="2"/>
  <c r="BN11" i="2" s="1"/>
  <c r="AZ12" i="2"/>
  <c r="BM12" i="2" s="1"/>
  <c r="BD11" i="2"/>
  <c r="BQ11" i="2" s="1"/>
  <c r="DC6" i="3"/>
  <c r="DE5" i="3"/>
  <c r="AV8" i="2"/>
  <c r="BI8" i="2" s="1"/>
  <c r="AS11" i="2"/>
  <c r="BF11" i="2" s="1"/>
  <c r="BD12" i="2"/>
  <c r="BQ12" i="2" s="1"/>
  <c r="DT13" i="3"/>
  <c r="DV13" i="3" s="1"/>
  <c r="DT14" i="3"/>
  <c r="DV14" i="3" s="1"/>
  <c r="EI14" i="3"/>
  <c r="EK14" i="3" s="1"/>
  <c r="EI12" i="3"/>
  <c r="EK12" i="3" s="1"/>
  <c r="AX20" i="2"/>
  <c r="BK20" i="2" s="1"/>
  <c r="AZ21" i="2"/>
  <c r="BM21" i="2" s="1"/>
  <c r="AV17" i="2"/>
  <c r="BI17" i="2" s="1"/>
  <c r="BA20" i="2"/>
  <c r="BN20" i="2" s="1"/>
  <c r="BD21" i="2"/>
  <c r="BQ21" i="2" s="1"/>
  <c r="AX17" i="2"/>
  <c r="BK17" i="2" s="1"/>
  <c r="BD20" i="2"/>
  <c r="BQ20" i="2" s="1"/>
  <c r="AS21" i="2"/>
  <c r="BF21" i="2" s="1"/>
  <c r="AT21" i="2"/>
  <c r="BG21" i="2" s="1"/>
  <c r="M65" i="1" l="1"/>
  <c r="N65" i="1" s="1"/>
  <c r="O65" i="1" s="1"/>
  <c r="Y65" i="1"/>
  <c r="M59" i="1"/>
  <c r="N59" i="1" s="1"/>
  <c r="O59" i="1" s="1"/>
  <c r="Y59" i="1"/>
  <c r="M348" i="1"/>
  <c r="N348" i="1" s="1"/>
  <c r="O348" i="1" s="1"/>
  <c r="P348" i="1" s="1"/>
  <c r="Q348" i="1" s="1"/>
  <c r="R348" i="1" s="1"/>
  <c r="T348" i="1" s="1"/>
  <c r="Y348" i="1"/>
  <c r="M346" i="1"/>
  <c r="N346" i="1" s="1"/>
  <c r="O346" i="1" s="1"/>
  <c r="P346" i="1" s="1"/>
  <c r="Q346" i="1" s="1"/>
  <c r="R346" i="1" s="1"/>
  <c r="T346" i="1" s="1"/>
  <c r="Y346" i="1"/>
  <c r="M43" i="1"/>
  <c r="N43" i="1" s="1"/>
  <c r="O43" i="1" s="1"/>
  <c r="Q43" i="1" s="1"/>
  <c r="R43" i="1" s="1"/>
  <c r="T43" i="1" s="1"/>
  <c r="Y43" i="1"/>
  <c r="M74" i="1"/>
  <c r="N74" i="1" s="1"/>
  <c r="O74" i="1" s="1"/>
  <c r="P74" i="1" s="1"/>
  <c r="Q74" i="1" s="1"/>
  <c r="R74" i="1" s="1"/>
  <c r="T74" i="1" s="1"/>
  <c r="Y74" i="1"/>
  <c r="M56" i="1"/>
  <c r="N56" i="1" s="1"/>
  <c r="O56" i="1" s="1"/>
  <c r="Y56" i="1"/>
  <c r="M34" i="1"/>
  <c r="N34" i="1" s="1"/>
  <c r="O34" i="1" s="1"/>
  <c r="Q34" i="1" s="1"/>
  <c r="R34" i="1" s="1"/>
  <c r="T34" i="1" s="1"/>
  <c r="Y34" i="1"/>
  <c r="M51" i="1"/>
  <c r="N51" i="1" s="1"/>
  <c r="O51" i="1" s="1"/>
  <c r="Y51" i="1"/>
  <c r="M38" i="1"/>
  <c r="N38" i="1" s="1"/>
  <c r="O38" i="1" s="1"/>
  <c r="Q38" i="1" s="1"/>
  <c r="R38" i="1" s="1"/>
  <c r="T38" i="1" s="1"/>
  <c r="Y38" i="1"/>
  <c r="M86" i="1"/>
  <c r="N86" i="1" s="1"/>
  <c r="O86" i="1" s="1"/>
  <c r="P86" i="1" s="1"/>
  <c r="Q86" i="1" s="1"/>
  <c r="R86" i="1" s="1"/>
  <c r="T86" i="1" s="1"/>
  <c r="Y86" i="1"/>
  <c r="M80" i="1"/>
  <c r="N80" i="1" s="1"/>
  <c r="O80" i="1" s="1"/>
  <c r="P80" i="1" s="1"/>
  <c r="Q80" i="1" s="1"/>
  <c r="R80" i="1" s="1"/>
  <c r="T80" i="1" s="1"/>
  <c r="Y80" i="1"/>
  <c r="M82" i="1"/>
  <c r="N82" i="1" s="1"/>
  <c r="O82" i="1" s="1"/>
  <c r="Y82" i="1"/>
  <c r="M68" i="1"/>
  <c r="N68" i="1" s="1"/>
  <c r="O68" i="1" s="1"/>
  <c r="P68" i="1" s="1"/>
  <c r="Y68" i="1"/>
  <c r="M84" i="1"/>
  <c r="N84" i="1" s="1"/>
  <c r="O84" i="1" s="1"/>
  <c r="P84" i="1" s="1"/>
  <c r="Y84" i="1"/>
  <c r="M71" i="1"/>
  <c r="N71" i="1" s="1"/>
  <c r="O71" i="1" s="1"/>
  <c r="P71" i="1" s="1"/>
  <c r="Y71" i="1"/>
  <c r="M81" i="1"/>
  <c r="N81" i="1" s="1"/>
  <c r="O81" i="1" s="1"/>
  <c r="P81" i="1" s="1"/>
  <c r="Q81" i="1" s="1"/>
  <c r="R81" i="1" s="1"/>
  <c r="T81" i="1" s="1"/>
  <c r="Y81" i="1"/>
  <c r="M50" i="1"/>
  <c r="N50" i="1" s="1"/>
  <c r="O50" i="1" s="1"/>
  <c r="Y50" i="1"/>
  <c r="M36" i="1"/>
  <c r="N36" i="1" s="1"/>
  <c r="O36" i="1" s="1"/>
  <c r="Q36" i="1" s="1"/>
  <c r="R36" i="1" s="1"/>
  <c r="T36" i="1" s="1"/>
  <c r="Y36" i="1"/>
  <c r="M343" i="1"/>
  <c r="N343" i="1" s="1"/>
  <c r="O343" i="1" s="1"/>
  <c r="P343" i="1" s="1"/>
  <c r="Q343" i="1" s="1"/>
  <c r="R343" i="1" s="1"/>
  <c r="T343" i="1" s="1"/>
  <c r="Y343" i="1"/>
  <c r="M54" i="1"/>
  <c r="N54" i="1" s="1"/>
  <c r="O54" i="1" s="1"/>
  <c r="Y54" i="1"/>
  <c r="M73" i="1"/>
  <c r="N73" i="1" s="1"/>
  <c r="O73" i="1" s="1"/>
  <c r="P73" i="1" s="1"/>
  <c r="Y73" i="1"/>
  <c r="M89" i="1"/>
  <c r="N89" i="1" s="1"/>
  <c r="O89" i="1" s="1"/>
  <c r="P89" i="1" s="1"/>
  <c r="Q89" i="1" s="1"/>
  <c r="R89" i="1" s="1"/>
  <c r="T89" i="1" s="1"/>
  <c r="Y89" i="1"/>
  <c r="M40" i="1"/>
  <c r="N40" i="1" s="1"/>
  <c r="O40" i="1" s="1"/>
  <c r="Q40" i="1" s="1"/>
  <c r="R40" i="1" s="1"/>
  <c r="T40" i="1" s="1"/>
  <c r="Y40" i="1"/>
  <c r="M52" i="1"/>
  <c r="N52" i="1" s="1"/>
  <c r="O52" i="1" s="1"/>
  <c r="Y52" i="1"/>
  <c r="M66" i="1"/>
  <c r="N66" i="1" s="1"/>
  <c r="O66" i="1" s="1"/>
  <c r="Y66" i="1"/>
  <c r="M67" i="1"/>
  <c r="N67" i="1" s="1"/>
  <c r="O67" i="1" s="1"/>
  <c r="P67" i="1" s="1"/>
  <c r="Y67" i="1"/>
  <c r="M69" i="1"/>
  <c r="N69" i="1" s="1"/>
  <c r="O69" i="1" s="1"/>
  <c r="P69" i="1" s="1"/>
  <c r="Q69" i="1" s="1"/>
  <c r="R69" i="1" s="1"/>
  <c r="T69" i="1" s="1"/>
  <c r="Y69" i="1"/>
  <c r="M35" i="1"/>
  <c r="N35" i="1" s="1"/>
  <c r="O35" i="1" s="1"/>
  <c r="Q35" i="1" s="1"/>
  <c r="R35" i="1" s="1"/>
  <c r="T35" i="1" s="1"/>
  <c r="Y35" i="1"/>
  <c r="M345" i="1"/>
  <c r="N345" i="1" s="1"/>
  <c r="O345" i="1" s="1"/>
  <c r="P345" i="1" s="1"/>
  <c r="Q345" i="1" s="1"/>
  <c r="R345" i="1" s="1"/>
  <c r="T345" i="1" s="1"/>
  <c r="Y345" i="1"/>
  <c r="M21" i="1"/>
  <c r="N21" i="1" s="1"/>
  <c r="O21" i="1" s="1"/>
  <c r="P21" i="1" s="1"/>
  <c r="Y21" i="1"/>
  <c r="M7" i="1"/>
  <c r="N7" i="1" s="1"/>
  <c r="O7" i="1" s="1"/>
  <c r="P7" i="1" s="1"/>
  <c r="Q7" i="1" s="1"/>
  <c r="R7" i="1" s="1"/>
  <c r="T7" i="1" s="1"/>
  <c r="Y7" i="1"/>
  <c r="M19" i="1"/>
  <c r="N19" i="1" s="1"/>
  <c r="O19" i="1" s="1"/>
  <c r="P19" i="1" s="1"/>
  <c r="Y19" i="1"/>
  <c r="M11" i="1"/>
  <c r="N11" i="1" s="1"/>
  <c r="O11" i="1" s="1"/>
  <c r="P11" i="1" s="1"/>
  <c r="Q11" i="1" s="1"/>
  <c r="R11" i="1" s="1"/>
  <c r="T11" i="1" s="1"/>
  <c r="Y11" i="1"/>
  <c r="M15" i="1"/>
  <c r="N15" i="1" s="1"/>
  <c r="O15" i="1" s="1"/>
  <c r="P15" i="1" s="1"/>
  <c r="Q15" i="1" s="1"/>
  <c r="R15" i="1" s="1"/>
  <c r="T15" i="1" s="1"/>
  <c r="Y15" i="1"/>
  <c r="M9" i="1"/>
  <c r="N9" i="1" s="1"/>
  <c r="O9" i="1" s="1"/>
  <c r="P9" i="1" s="1"/>
  <c r="Q9" i="1" s="1"/>
  <c r="R9" i="1" s="1"/>
  <c r="T9" i="1" s="1"/>
  <c r="Y9" i="1"/>
  <c r="M6" i="1"/>
  <c r="N6" i="1" s="1"/>
  <c r="O6" i="1" s="1"/>
  <c r="P6" i="1" s="1"/>
  <c r="Q6" i="1" s="1"/>
  <c r="R6" i="1" s="1"/>
  <c r="T6" i="1" s="1"/>
  <c r="Y6" i="1"/>
  <c r="M5" i="1"/>
  <c r="N5" i="1" s="1"/>
  <c r="O5" i="1" s="1"/>
  <c r="P5" i="1" s="1"/>
  <c r="Q5" i="1" s="1"/>
  <c r="R5" i="1" s="1"/>
  <c r="T5" i="1" s="1"/>
  <c r="Y5" i="1"/>
  <c r="M26" i="1"/>
  <c r="N26" i="1" s="1"/>
  <c r="O26" i="1" s="1"/>
  <c r="P26" i="1" s="1"/>
  <c r="Q26" i="1" s="1"/>
  <c r="R26" i="1" s="1"/>
  <c r="Y26" i="1"/>
  <c r="M24" i="1"/>
  <c r="N24" i="1" s="1"/>
  <c r="O24" i="1" s="1"/>
  <c r="P24" i="1" s="1"/>
  <c r="Q24" i="1" s="1"/>
  <c r="R24" i="1" s="1"/>
  <c r="Y24" i="1"/>
  <c r="M14" i="1"/>
  <c r="N14" i="1" s="1"/>
  <c r="O14" i="1" s="1"/>
  <c r="P14" i="1" s="1"/>
  <c r="Q14" i="1" s="1"/>
  <c r="R14" i="1" s="1"/>
  <c r="T14" i="1" s="1"/>
  <c r="Y14" i="1"/>
  <c r="M23" i="1"/>
  <c r="N23" i="1" s="1"/>
  <c r="O23" i="1" s="1"/>
  <c r="P23" i="1" s="1"/>
  <c r="Q23" i="1" s="1"/>
  <c r="R23" i="1" s="1"/>
  <c r="T23" i="1" s="1"/>
  <c r="Y23" i="1"/>
  <c r="M25" i="1"/>
  <c r="Y25" i="1"/>
  <c r="M10" i="1"/>
  <c r="N10" i="1" s="1"/>
  <c r="O10" i="1" s="1"/>
  <c r="P10" i="1" s="1"/>
  <c r="Q10" i="1" s="1"/>
  <c r="R10" i="1" s="1"/>
  <c r="T10" i="1" s="1"/>
  <c r="Y10" i="1"/>
  <c r="M20" i="1"/>
  <c r="N20" i="1" s="1"/>
  <c r="O20" i="1" s="1"/>
  <c r="P20" i="1" s="1"/>
  <c r="Y20" i="1"/>
  <c r="M28" i="1"/>
  <c r="N28" i="1" s="1"/>
  <c r="O28" i="1" s="1"/>
  <c r="P28" i="1" s="1"/>
  <c r="Q28" i="1" s="1"/>
  <c r="R28" i="1" s="1"/>
  <c r="Y28" i="1"/>
  <c r="M27" i="1"/>
  <c r="N27" i="1" s="1"/>
  <c r="O27" i="1" s="1"/>
  <c r="P27" i="1" s="1"/>
  <c r="Q27" i="1" s="1"/>
  <c r="R27" i="1" s="1"/>
  <c r="Y27" i="1"/>
  <c r="M49" i="1"/>
  <c r="N49" i="1" s="1"/>
  <c r="O49" i="1" s="1"/>
  <c r="Y49" i="1"/>
  <c r="Y4" i="1"/>
  <c r="M64" i="1"/>
  <c r="N64" i="1" s="1"/>
  <c r="O64" i="1" s="1"/>
  <c r="P64" i="1" s="1"/>
  <c r="Y64" i="1"/>
  <c r="M79" i="1"/>
  <c r="N79" i="1" s="1"/>
  <c r="O79" i="1" s="1"/>
  <c r="P79" i="1" s="1"/>
  <c r="Q79" i="1" s="1"/>
  <c r="R79" i="1" s="1"/>
  <c r="T79" i="1" s="1"/>
  <c r="Y79" i="1"/>
  <c r="M33" i="1"/>
  <c r="N33" i="1" s="1"/>
  <c r="O33" i="1" s="1"/>
  <c r="M18" i="1"/>
  <c r="N18" i="1" s="1"/>
  <c r="O18" i="1" s="1"/>
  <c r="P18" i="1" s="1"/>
  <c r="Q18" i="1" s="1"/>
  <c r="N157" i="1"/>
  <c r="O157" i="1" s="1"/>
  <c r="R157" i="1" s="1"/>
  <c r="T157" i="1" s="1"/>
  <c r="N175" i="1"/>
  <c r="O175" i="1" s="1"/>
  <c r="R175" i="1" s="1"/>
  <c r="T175" i="1" s="1"/>
  <c r="N173" i="1"/>
  <c r="O173" i="1" s="1"/>
  <c r="R173" i="1" s="1"/>
  <c r="T173" i="1" s="1"/>
  <c r="N152" i="1"/>
  <c r="O152" i="1" s="1"/>
  <c r="R152" i="1" s="1"/>
  <c r="T152" i="1" s="1"/>
  <c r="L361" i="1"/>
  <c r="J297" i="1"/>
  <c r="R50" i="1"/>
  <c r="T50" i="1" s="1"/>
  <c r="E6" i="7" s="1"/>
  <c r="H6" i="28" s="1"/>
  <c r="L6" i="28" s="1"/>
  <c r="M6" i="28" s="1"/>
  <c r="R59" i="1"/>
  <c r="T59" i="1" s="1"/>
  <c r="N6" i="7" s="1"/>
  <c r="P66" i="1"/>
  <c r="BO66" i="1" s="1"/>
  <c r="BP66" i="1" s="1"/>
  <c r="L360" i="1"/>
  <c r="J296" i="1"/>
  <c r="L358" i="1"/>
  <c r="J294" i="1"/>
  <c r="P65" i="1"/>
  <c r="BO65" i="1" s="1"/>
  <c r="BP65" i="1" s="1"/>
  <c r="L363" i="1"/>
  <c r="J299" i="1"/>
  <c r="R51" i="1"/>
  <c r="T51" i="1" s="1"/>
  <c r="F6" i="7" s="1"/>
  <c r="N6" i="28" s="1"/>
  <c r="R6" i="28" s="1"/>
  <c r="S6" i="28" s="1"/>
  <c r="O174" i="1"/>
  <c r="R174" i="1" s="1"/>
  <c r="T174" i="1" s="1"/>
  <c r="K5" i="7"/>
  <c r="AR5" i="28" s="1"/>
  <c r="E5" i="7"/>
  <c r="H5" i="28" s="1"/>
  <c r="O170" i="1"/>
  <c r="R170" i="1" s="1"/>
  <c r="T170" i="1" s="1"/>
  <c r="G5" i="7"/>
  <c r="T5" i="28" s="1"/>
  <c r="X5" i="28" s="1"/>
  <c r="Y5" i="28" s="1"/>
  <c r="N5" i="7"/>
  <c r="BJ5" i="28" s="1"/>
  <c r="BN5" i="28" s="1"/>
  <c r="BO5" i="28" s="1"/>
  <c r="F5" i="7"/>
  <c r="N5" i="28" s="1"/>
  <c r="R5" i="28" s="1"/>
  <c r="S5" i="28" s="1"/>
  <c r="O179" i="1"/>
  <c r="R179" i="1" s="1"/>
  <c r="T179" i="1" s="1"/>
  <c r="O147" i="1"/>
  <c r="R147" i="1" s="1"/>
  <c r="T147" i="1" s="1"/>
  <c r="O155" i="1"/>
  <c r="R155" i="1" s="1"/>
  <c r="T155" i="1" s="1"/>
  <c r="O154" i="1"/>
  <c r="R154" i="1" s="1"/>
  <c r="T154" i="1" s="1"/>
  <c r="O153" i="1"/>
  <c r="R153" i="1" s="1"/>
  <c r="T153" i="1" s="1"/>
  <c r="O156" i="1"/>
  <c r="R156" i="1" s="1"/>
  <c r="T156" i="1" s="1"/>
  <c r="O160" i="1"/>
  <c r="R160" i="1" s="1"/>
  <c r="T160" i="1" s="1"/>
  <c r="O158" i="1"/>
  <c r="R158" i="1" s="1"/>
  <c r="T158" i="1" s="1"/>
  <c r="N25" i="1"/>
  <c r="O25" i="1" s="1"/>
  <c r="BW17" i="28"/>
  <c r="P18" i="27" s="1"/>
  <c r="BW19" i="28"/>
  <c r="P20" i="27" s="1"/>
  <c r="AJ23" i="2"/>
  <c r="AQ23" i="2"/>
  <c r="AV5" i="2"/>
  <c r="BI5" i="2" s="1"/>
  <c r="AI23" i="2"/>
  <c r="AS5" i="2"/>
  <c r="BF5" i="2" s="1"/>
  <c r="AF23" i="2"/>
  <c r="BA5" i="2"/>
  <c r="BN5" i="2" s="1"/>
  <c r="AN23" i="2"/>
  <c r="BB5" i="2"/>
  <c r="BO5" i="2" s="1"/>
  <c r="AO23" i="2"/>
  <c r="AT5" i="2"/>
  <c r="BG5" i="2" s="1"/>
  <c r="AG23" i="2"/>
  <c r="AU5" i="2"/>
  <c r="BH5" i="2" s="1"/>
  <c r="AH23" i="2"/>
  <c r="BC5" i="2"/>
  <c r="BP5" i="2" s="1"/>
  <c r="AP23" i="2"/>
  <c r="AY5" i="2"/>
  <c r="BL5" i="2" s="1"/>
  <c r="AL23" i="2"/>
  <c r="AX5" i="2"/>
  <c r="BK5" i="2" s="1"/>
  <c r="AK23" i="2"/>
  <c r="E4" i="17"/>
  <c r="L88" i="1"/>
  <c r="AC11" i="7"/>
  <c r="D14" i="17"/>
  <c r="E14" i="17" s="1"/>
  <c r="AC18" i="7"/>
  <c r="AC15" i="7"/>
  <c r="AC16" i="7"/>
  <c r="AC20" i="7"/>
  <c r="L60" i="1"/>
  <c r="L58" i="1"/>
  <c r="L42" i="1"/>
  <c r="AY8" i="2"/>
  <c r="BL8" i="2" s="1"/>
  <c r="L13" i="1"/>
  <c r="D12" i="17"/>
  <c r="Z4" i="7"/>
  <c r="DJ4" i="28" s="1"/>
  <c r="L12" i="1"/>
  <c r="L57" i="1"/>
  <c r="Y4" i="7"/>
  <c r="DI4" i="28" s="1"/>
  <c r="L55" i="1"/>
  <c r="L39" i="1"/>
  <c r="L70" i="1"/>
  <c r="BO85" i="1"/>
  <c r="AX14" i="2"/>
  <c r="BK14" i="2" s="1"/>
  <c r="I5" i="7"/>
  <c r="BO90" i="1"/>
  <c r="C11" i="17"/>
  <c r="E11" i="17" s="1"/>
  <c r="Y3" i="7"/>
  <c r="DI3" i="28" s="1"/>
  <c r="C12" i="17"/>
  <c r="Q90" i="5"/>
  <c r="R90" i="5" s="1"/>
  <c r="S90" i="5" s="1"/>
  <c r="J331" i="1"/>
  <c r="L331" i="1" s="1"/>
  <c r="M331" i="1" s="1"/>
  <c r="N331" i="1" s="1"/>
  <c r="O331" i="1" s="1"/>
  <c r="J316" i="1"/>
  <c r="L316" i="1" s="1"/>
  <c r="M316" i="1" s="1"/>
  <c r="N316" i="1" s="1"/>
  <c r="O316" i="1" s="1"/>
  <c r="P316" i="1" s="1"/>
  <c r="Q316" i="1" s="1"/>
  <c r="R316" i="1" s="1"/>
  <c r="T316" i="1" s="1"/>
  <c r="D23" i="6"/>
  <c r="L90" i="1"/>
  <c r="L41" i="1"/>
  <c r="M375" i="1"/>
  <c r="N375" i="1" s="1"/>
  <c r="O375" i="1" s="1"/>
  <c r="T375" i="1" s="1"/>
  <c r="L375" i="1"/>
  <c r="AH13" i="3"/>
  <c r="AJ13" i="3" s="1"/>
  <c r="AO13" i="3" s="1"/>
  <c r="AP13" i="3" s="1"/>
  <c r="Z3" i="7"/>
  <c r="DJ3" i="28" s="1"/>
  <c r="Q115" i="5"/>
  <c r="M373" i="1"/>
  <c r="N373" i="1" s="1"/>
  <c r="O373" i="1" s="1"/>
  <c r="T373" i="1" s="1"/>
  <c r="L373" i="1"/>
  <c r="M376" i="1"/>
  <c r="N376" i="1" s="1"/>
  <c r="O376" i="1" s="1"/>
  <c r="T376" i="1" s="1"/>
  <c r="L376" i="1"/>
  <c r="AW12" i="3"/>
  <c r="AY12" i="3" s="1"/>
  <c r="AZ12" i="3" s="1"/>
  <c r="BO87" i="1"/>
  <c r="D9" i="17"/>
  <c r="E9" i="17" s="1"/>
  <c r="E6" i="17"/>
  <c r="Q124" i="5"/>
  <c r="R124" i="5" s="1"/>
  <c r="S124" i="5" s="1"/>
  <c r="J330" i="1"/>
  <c r="L330" i="1" s="1"/>
  <c r="M330" i="1" s="1"/>
  <c r="N330" i="1" s="1"/>
  <c r="O330" i="1" s="1"/>
  <c r="D22" i="6"/>
  <c r="J315" i="1"/>
  <c r="L315" i="1" s="1"/>
  <c r="M315" i="1" s="1"/>
  <c r="N315" i="1" s="1"/>
  <c r="O315" i="1" s="1"/>
  <c r="P315" i="1" s="1"/>
  <c r="Q315" i="1" s="1"/>
  <c r="R315" i="1" s="1"/>
  <c r="T315" i="1" s="1"/>
  <c r="L72" i="1"/>
  <c r="AH14" i="3"/>
  <c r="AJ14" i="3" s="1"/>
  <c r="AO15" i="3" s="1"/>
  <c r="AP15" i="3" s="1"/>
  <c r="Q14" i="5"/>
  <c r="L75" i="1"/>
  <c r="L29" i="1"/>
  <c r="AB3" i="7"/>
  <c r="DL3" i="28" s="1"/>
  <c r="Q145" i="5"/>
  <c r="R145" i="5" s="1"/>
  <c r="S145" i="5" s="1"/>
  <c r="J341" i="1"/>
  <c r="L341" i="1" s="1"/>
  <c r="Q64" i="5"/>
  <c r="R64" i="5" s="1"/>
  <c r="S64" i="5" s="1"/>
  <c r="L85" i="1"/>
  <c r="I160" i="5"/>
  <c r="Q153" i="5"/>
  <c r="R153" i="5" s="1"/>
  <c r="S153" i="5" s="1"/>
  <c r="J356" i="1"/>
  <c r="J313" i="1"/>
  <c r="L313" i="1" s="1"/>
  <c r="M313" i="1" s="1"/>
  <c r="N313" i="1" s="1"/>
  <c r="O313" i="1" s="1"/>
  <c r="P313" i="1" s="1"/>
  <c r="Q313" i="1" s="1"/>
  <c r="R313" i="1" s="1"/>
  <c r="T313" i="1" s="1"/>
  <c r="D20" i="6"/>
  <c r="J328" i="1"/>
  <c r="L328" i="1" s="1"/>
  <c r="M328" i="1" s="1"/>
  <c r="N328" i="1" s="1"/>
  <c r="O328" i="1" s="1"/>
  <c r="L87" i="1"/>
  <c r="E5" i="17"/>
  <c r="F32" i="6"/>
  <c r="J371" i="1" s="1"/>
  <c r="Q135" i="5"/>
  <c r="R135" i="5" s="1"/>
  <c r="S135" i="5" s="1"/>
  <c r="M378" i="1"/>
  <c r="N378" i="1" s="1"/>
  <c r="O378" i="1" s="1"/>
  <c r="T378" i="1" s="1"/>
  <c r="L378" i="1"/>
  <c r="L44" i="1"/>
  <c r="Q105" i="5"/>
  <c r="D25" i="6"/>
  <c r="J318" i="1"/>
  <c r="L318" i="1" s="1"/>
  <c r="M318" i="1" s="1"/>
  <c r="N318" i="1" s="1"/>
  <c r="O318" i="1" s="1"/>
  <c r="P318" i="1" s="1"/>
  <c r="Q318" i="1" s="1"/>
  <c r="R318" i="1" s="1"/>
  <c r="T318" i="1" s="1"/>
  <c r="J333" i="1"/>
  <c r="L333" i="1" s="1"/>
  <c r="M333" i="1" s="1"/>
  <c r="N333" i="1" s="1"/>
  <c r="O333" i="1" s="1"/>
  <c r="AH11" i="3"/>
  <c r="AJ11" i="3" s="1"/>
  <c r="AO11" i="3" s="1"/>
  <c r="AP11" i="3" s="1"/>
  <c r="EL11" i="3"/>
  <c r="EM11" i="3" s="1"/>
  <c r="EN11" i="3" s="1"/>
  <c r="EO11" i="3" s="1"/>
  <c r="ES11" i="3" s="1"/>
  <c r="E3" i="17"/>
  <c r="D8" i="7"/>
  <c r="FM8" i="3"/>
  <c r="FO8" i="3" s="1"/>
  <c r="FP8" i="3" s="1"/>
  <c r="EX8" i="3"/>
  <c r="EZ8" i="3" s="1"/>
  <c r="FE8" i="3" s="1"/>
  <c r="FF8" i="3" s="1"/>
  <c r="L110" i="1"/>
  <c r="BA18" i="2"/>
  <c r="BN18" i="2" s="1"/>
  <c r="BC18" i="2"/>
  <c r="BP18" i="2" s="1"/>
  <c r="BD18" i="2"/>
  <c r="BQ18" i="2" s="1"/>
  <c r="AZ18" i="2"/>
  <c r="BM18" i="2" s="1"/>
  <c r="AV18" i="2"/>
  <c r="BI18" i="2" s="1"/>
  <c r="BB18" i="2"/>
  <c r="BO18" i="2" s="1"/>
  <c r="AX18" i="2"/>
  <c r="BK18" i="2" s="1"/>
  <c r="AY18" i="2"/>
  <c r="BL18" i="2" s="1"/>
  <c r="AU18" i="2"/>
  <c r="BH18" i="2" s="1"/>
  <c r="BF18" i="2"/>
  <c r="AW5" i="2"/>
  <c r="BJ5" i="2" s="1"/>
  <c r="E13" i="17"/>
  <c r="G18" i="17"/>
  <c r="I18" i="17"/>
  <c r="H18" i="17"/>
  <c r="E8" i="17"/>
  <c r="E10" i="17"/>
  <c r="F18" i="17"/>
  <c r="AW14" i="3"/>
  <c r="AY14" i="3" s="1"/>
  <c r="BD15" i="3" s="1"/>
  <c r="BE15" i="3" s="1"/>
  <c r="AW13" i="3"/>
  <c r="AY13" i="3" s="1"/>
  <c r="AZ13" i="3" s="1"/>
  <c r="EA11" i="3"/>
  <c r="EB11" i="3" s="1"/>
  <c r="L125" i="1"/>
  <c r="M125" i="1" s="1"/>
  <c r="N125" i="1" s="1"/>
  <c r="Q125" i="1"/>
  <c r="R125" i="1" s="1"/>
  <c r="T125" i="1" s="1"/>
  <c r="Q134" i="1"/>
  <c r="R134" i="1" s="1"/>
  <c r="T134" i="1" s="1"/>
  <c r="L134" i="1"/>
  <c r="M134" i="1" s="1"/>
  <c r="N134" i="1" s="1"/>
  <c r="Q130" i="1"/>
  <c r="R130" i="1" s="1"/>
  <c r="T130" i="1" s="1"/>
  <c r="L130" i="1"/>
  <c r="M130" i="1" s="1"/>
  <c r="N130" i="1" s="1"/>
  <c r="L128" i="1"/>
  <c r="M128" i="1" s="1"/>
  <c r="N128" i="1" s="1"/>
  <c r="Q128" i="1"/>
  <c r="R128" i="1" s="1"/>
  <c r="T128" i="1" s="1"/>
  <c r="L129" i="1"/>
  <c r="M129" i="1" s="1"/>
  <c r="N129" i="1" s="1"/>
  <c r="Q129" i="1"/>
  <c r="R129" i="1" s="1"/>
  <c r="T129" i="1" s="1"/>
  <c r="L126" i="1"/>
  <c r="M126" i="1" s="1"/>
  <c r="N126" i="1" s="1"/>
  <c r="Q126" i="1"/>
  <c r="R126" i="1" s="1"/>
  <c r="T126" i="1" s="1"/>
  <c r="Q132" i="1"/>
  <c r="R132" i="1" s="1"/>
  <c r="T132" i="1" s="1"/>
  <c r="L132" i="1"/>
  <c r="M132" i="1" s="1"/>
  <c r="N132" i="1" s="1"/>
  <c r="L133" i="1"/>
  <c r="M133" i="1" s="1"/>
  <c r="N133" i="1" s="1"/>
  <c r="Q133" i="1"/>
  <c r="R133" i="1" s="1"/>
  <c r="T133" i="1" s="1"/>
  <c r="Q123" i="1"/>
  <c r="R123" i="1" s="1"/>
  <c r="T123" i="1" s="1"/>
  <c r="L123" i="1"/>
  <c r="M123" i="1" s="1"/>
  <c r="N123" i="1" s="1"/>
  <c r="L127" i="1"/>
  <c r="M127" i="1" s="1"/>
  <c r="N127" i="1" s="1"/>
  <c r="Q127" i="1"/>
  <c r="R127" i="1" s="1"/>
  <c r="T127" i="1" s="1"/>
  <c r="Q131" i="1"/>
  <c r="R131" i="1" s="1"/>
  <c r="T131" i="1" s="1"/>
  <c r="L131" i="1"/>
  <c r="M131" i="1" s="1"/>
  <c r="N131" i="1" s="1"/>
  <c r="Q124" i="1"/>
  <c r="R124" i="1" s="1"/>
  <c r="T124" i="1" s="1"/>
  <c r="L124" i="1"/>
  <c r="M124" i="1" s="1"/>
  <c r="N124" i="1" s="1"/>
  <c r="N139" i="1"/>
  <c r="N144" i="1"/>
  <c r="O144" i="1" s="1"/>
  <c r="R144" i="1" s="1"/>
  <c r="T144" i="1" s="1"/>
  <c r="EX13" i="3"/>
  <c r="EZ13" i="3" s="1"/>
  <c r="FA13" i="3" s="1"/>
  <c r="FB13" i="3" s="1"/>
  <c r="FC13" i="3" s="1"/>
  <c r="FD13" i="3" s="1"/>
  <c r="FA14" i="3"/>
  <c r="FB14" i="3" s="1"/>
  <c r="FC14" i="3" s="1"/>
  <c r="FD14" i="3" s="1"/>
  <c r="FH14" i="3" s="1"/>
  <c r="DT8" i="3"/>
  <c r="DV8" i="3" s="1"/>
  <c r="EA8" i="3" s="1"/>
  <c r="EB8" i="3" s="1"/>
  <c r="EL13" i="3"/>
  <c r="EM13" i="3" s="1"/>
  <c r="EN13" i="3" s="1"/>
  <c r="EO13" i="3" s="1"/>
  <c r="EX11" i="3"/>
  <c r="EZ11" i="3" s="1"/>
  <c r="FE11" i="3" s="1"/>
  <c r="FF11" i="3" s="1"/>
  <c r="EX12" i="3"/>
  <c r="EZ12" i="3" s="1"/>
  <c r="FE12" i="3" s="1"/>
  <c r="FF12" i="3" s="1"/>
  <c r="AT115" i="1"/>
  <c r="AT111" i="1"/>
  <c r="AT114" i="1"/>
  <c r="AT113" i="1"/>
  <c r="AT117" i="1"/>
  <c r="AT116" i="1"/>
  <c r="AT112" i="1"/>
  <c r="AT108" i="1"/>
  <c r="AT118" i="1"/>
  <c r="AT109" i="1"/>
  <c r="Q84" i="1"/>
  <c r="R84" i="1" s="1"/>
  <c r="P82" i="1"/>
  <c r="Q82" i="1" s="1"/>
  <c r="R82" i="1" s="1"/>
  <c r="T82" i="1" s="1"/>
  <c r="R148" i="1"/>
  <c r="T148" i="1" s="1"/>
  <c r="M4" i="1"/>
  <c r="N4" i="1" s="1"/>
  <c r="R177" i="1"/>
  <c r="T177" i="1" s="1"/>
  <c r="R140" i="1"/>
  <c r="T140" i="1" s="1"/>
  <c r="R143" i="1"/>
  <c r="T143" i="1" s="1"/>
  <c r="R145" i="1"/>
  <c r="T145" i="1" s="1"/>
  <c r="R178" i="1"/>
  <c r="T178" i="1" s="1"/>
  <c r="R146" i="1"/>
  <c r="T146" i="1" s="1"/>
  <c r="R142" i="1"/>
  <c r="T142" i="1" s="1"/>
  <c r="R169" i="1"/>
  <c r="T169" i="1" s="1"/>
  <c r="R52" i="1"/>
  <c r="R150" i="1"/>
  <c r="T150" i="1" s="1"/>
  <c r="R171" i="1"/>
  <c r="T171" i="1" s="1"/>
  <c r="R54" i="1"/>
  <c r="T54" i="1" s="1"/>
  <c r="R172" i="1"/>
  <c r="T172" i="1" s="1"/>
  <c r="R141" i="1"/>
  <c r="T141" i="1" s="1"/>
  <c r="R176" i="1"/>
  <c r="T176" i="1" s="1"/>
  <c r="R149" i="1"/>
  <c r="T149" i="1" s="1"/>
  <c r="R56" i="1"/>
  <c r="T56" i="1" s="1"/>
  <c r="L107" i="1"/>
  <c r="C15" i="7"/>
  <c r="C16" i="27" s="1"/>
  <c r="Q68" i="1"/>
  <c r="R68" i="1" s="1"/>
  <c r="T68" i="1" s="1"/>
  <c r="BO68" i="1"/>
  <c r="BP68" i="1" s="1"/>
  <c r="Q67" i="1"/>
  <c r="R67" i="1" s="1"/>
  <c r="T67" i="1" s="1"/>
  <c r="BO67" i="1"/>
  <c r="BP67" i="1" s="1"/>
  <c r="Q64" i="1"/>
  <c r="BO64" i="1"/>
  <c r="BP64" i="1" s="1"/>
  <c r="Q71" i="1"/>
  <c r="R71" i="1" s="1"/>
  <c r="T71" i="1" s="1"/>
  <c r="BO71" i="1"/>
  <c r="BP71" i="1" s="1"/>
  <c r="Q73" i="1"/>
  <c r="R73" i="1" s="1"/>
  <c r="T73" i="1" s="1"/>
  <c r="BO73" i="1"/>
  <c r="BP73" i="1" s="1"/>
  <c r="EI8" i="3"/>
  <c r="EK8" i="3" s="1"/>
  <c r="EI9" i="3"/>
  <c r="Q21" i="1"/>
  <c r="R21" i="1" s="1"/>
  <c r="T21" i="1" s="1"/>
  <c r="Q20" i="1"/>
  <c r="R20" i="1" s="1"/>
  <c r="T20" i="1" s="1"/>
  <c r="Q19" i="1"/>
  <c r="R19" i="1" s="1"/>
  <c r="T19" i="1" s="1"/>
  <c r="CP9" i="3"/>
  <c r="CP8" i="3"/>
  <c r="CR8" i="3" s="1"/>
  <c r="DE11" i="3"/>
  <c r="DG11" i="3" s="1"/>
  <c r="DE12" i="3"/>
  <c r="DG12" i="3" s="1"/>
  <c r="DE13" i="3"/>
  <c r="DG13" i="3" s="1"/>
  <c r="DE14" i="3"/>
  <c r="DG14" i="3" s="1"/>
  <c r="FO9" i="3"/>
  <c r="FM10" i="3"/>
  <c r="FO10" i="3" s="1"/>
  <c r="D9" i="3"/>
  <c r="D8" i="3"/>
  <c r="F8" i="3" s="1"/>
  <c r="ED12" i="3"/>
  <c r="BC3" i="2"/>
  <c r="BP3" i="2" s="1"/>
  <c r="DE9" i="3"/>
  <c r="DE8" i="3"/>
  <c r="DG8" i="3" s="1"/>
  <c r="D14" i="3"/>
  <c r="F14" i="3" s="1"/>
  <c r="D11" i="3"/>
  <c r="F11" i="3" s="1"/>
  <c r="D13" i="3"/>
  <c r="F13" i="3" s="1"/>
  <c r="D12" i="3"/>
  <c r="F12" i="3" s="1"/>
  <c r="AW3" i="2"/>
  <c r="BJ3" i="2" s="1"/>
  <c r="AX3" i="2"/>
  <c r="BK3" i="2" s="1"/>
  <c r="S9" i="3"/>
  <c r="S8" i="3"/>
  <c r="U8" i="3" s="1"/>
  <c r="FP12" i="3"/>
  <c r="FT12" i="3"/>
  <c r="FU12" i="3" s="1"/>
  <c r="CA13" i="3"/>
  <c r="CC13" i="3" s="1"/>
  <c r="CA12" i="3"/>
  <c r="CC12" i="3" s="1"/>
  <c r="CA14" i="3"/>
  <c r="CC14" i="3" s="1"/>
  <c r="CC11" i="3"/>
  <c r="BR189" i="1"/>
  <c r="BL11" i="3"/>
  <c r="BN11" i="3" s="1"/>
  <c r="BL14" i="3"/>
  <c r="BN14" i="3" s="1"/>
  <c r="BL12" i="3"/>
  <c r="BN12" i="3" s="1"/>
  <c r="BL13" i="3"/>
  <c r="BN13" i="3" s="1"/>
  <c r="EZ9" i="3"/>
  <c r="EX10" i="3"/>
  <c r="EZ10" i="3" s="1"/>
  <c r="AH10" i="3"/>
  <c r="AJ10" i="3" s="1"/>
  <c r="AJ9" i="3"/>
  <c r="BZ189" i="1"/>
  <c r="DT10" i="3"/>
  <c r="DV10" i="3" s="1"/>
  <c r="DV9" i="3"/>
  <c r="BB3" i="2"/>
  <c r="BO3" i="2" s="1"/>
  <c r="BD3" i="2"/>
  <c r="BQ3" i="2" s="1"/>
  <c r="AU3" i="2"/>
  <c r="BH3" i="2" s="1"/>
  <c r="AZ3" i="2"/>
  <c r="BM3" i="2" s="1"/>
  <c r="CA8" i="3"/>
  <c r="CC8" i="3" s="1"/>
  <c r="BA3" i="2"/>
  <c r="BN3" i="2" s="1"/>
  <c r="EP12" i="3"/>
  <c r="EQ12" i="3" s="1"/>
  <c r="EL12" i="3"/>
  <c r="EM12" i="3" s="1"/>
  <c r="EN12" i="3" s="1"/>
  <c r="EO12" i="3" s="1"/>
  <c r="EP15" i="3"/>
  <c r="EQ15" i="3" s="1"/>
  <c r="EL14" i="3"/>
  <c r="EM14" i="3" s="1"/>
  <c r="EN14" i="3" s="1"/>
  <c r="EO14" i="3" s="1"/>
  <c r="BL9" i="3"/>
  <c r="BL8" i="3"/>
  <c r="BN8" i="3" s="1"/>
  <c r="BD11" i="3"/>
  <c r="BE11" i="3" s="1"/>
  <c r="AZ11" i="3"/>
  <c r="FP13" i="3"/>
  <c r="FQ13" i="3" s="1"/>
  <c r="FR13" i="3" s="1"/>
  <c r="FS13" i="3" s="1"/>
  <c r="FT13" i="3"/>
  <c r="FU13" i="3" s="1"/>
  <c r="AO8" i="3"/>
  <c r="AP8" i="3" s="1"/>
  <c r="AK8" i="3"/>
  <c r="AS3" i="2"/>
  <c r="S12" i="3"/>
  <c r="U12" i="3" s="1"/>
  <c r="S13" i="3"/>
  <c r="U13" i="3" s="1"/>
  <c r="S11" i="3"/>
  <c r="U11" i="3" s="1"/>
  <c r="S14" i="3"/>
  <c r="U14" i="3" s="1"/>
  <c r="EA15" i="3"/>
  <c r="EB15" i="3" s="1"/>
  <c r="DW14" i="3"/>
  <c r="DX14" i="3" s="1"/>
  <c r="DY14" i="3" s="1"/>
  <c r="DZ14" i="3" s="1"/>
  <c r="AZ8" i="3"/>
  <c r="BA8" i="3" s="1"/>
  <c r="BB8" i="3" s="1"/>
  <c r="BC8" i="3" s="1"/>
  <c r="BD8" i="3"/>
  <c r="BE8" i="3" s="1"/>
  <c r="FP11" i="3"/>
  <c r="FQ11" i="3" s="1"/>
  <c r="FR11" i="3" s="1"/>
  <c r="FS11" i="3" s="1"/>
  <c r="FT11" i="3"/>
  <c r="FU11" i="3" s="1"/>
  <c r="AT3" i="2"/>
  <c r="BG3" i="2" s="1"/>
  <c r="EA13" i="3"/>
  <c r="EB13" i="3" s="1"/>
  <c r="DW13" i="3"/>
  <c r="DX11" i="3"/>
  <c r="DY11" i="3" s="1"/>
  <c r="DZ11" i="3" s="1"/>
  <c r="ED11" i="3" s="1"/>
  <c r="AY9" i="3"/>
  <c r="AW10" i="3"/>
  <c r="AY10" i="3" s="1"/>
  <c r="AO12" i="3"/>
  <c r="AP12" i="3" s="1"/>
  <c r="AK12" i="3"/>
  <c r="AL12" i="3" s="1"/>
  <c r="AM12" i="3" s="1"/>
  <c r="AN12" i="3" s="1"/>
  <c r="FP14" i="3"/>
  <c r="FQ14" i="3" s="1"/>
  <c r="FR14" i="3" s="1"/>
  <c r="FS14" i="3" s="1"/>
  <c r="FT15" i="3"/>
  <c r="FU15" i="3" s="1"/>
  <c r="AV3" i="2"/>
  <c r="BI3" i="2" s="1"/>
  <c r="CP14" i="3"/>
  <c r="CR14" i="3" s="1"/>
  <c r="CP13" i="3"/>
  <c r="CR13" i="3" s="1"/>
  <c r="CP12" i="3"/>
  <c r="CR12" i="3" s="1"/>
  <c r="CP11" i="3"/>
  <c r="CR11" i="3" s="1"/>
  <c r="AY3" i="2"/>
  <c r="BL3" i="2" s="1"/>
  <c r="J292" i="1" l="1"/>
  <c r="X356" i="1"/>
  <c r="AA356" i="1" s="1"/>
  <c r="AC356" i="1" s="1"/>
  <c r="BO69" i="1"/>
  <c r="BP69" i="1" s="1"/>
  <c r="M44" i="1"/>
  <c r="N44" i="1" s="1"/>
  <c r="O44" i="1" s="1"/>
  <c r="Q44" i="1" s="1"/>
  <c r="R44" i="1" s="1"/>
  <c r="T44" i="1" s="1"/>
  <c r="Y44" i="1"/>
  <c r="M57" i="1"/>
  <c r="N57" i="1" s="1"/>
  <c r="O57" i="1" s="1"/>
  <c r="Y57" i="1"/>
  <c r="M72" i="1"/>
  <c r="N72" i="1" s="1"/>
  <c r="O72" i="1" s="1"/>
  <c r="P72" i="1" s="1"/>
  <c r="Q72" i="1" s="1"/>
  <c r="R72" i="1" s="1"/>
  <c r="Y72" i="1"/>
  <c r="M85" i="1"/>
  <c r="N85" i="1" s="1"/>
  <c r="O85" i="1" s="1"/>
  <c r="P85" i="1" s="1"/>
  <c r="Q85" i="1" s="1"/>
  <c r="R85" i="1" s="1"/>
  <c r="T85" i="1" s="1"/>
  <c r="Y85" i="1"/>
  <c r="M88" i="1"/>
  <c r="N88" i="1" s="1"/>
  <c r="O88" i="1" s="1"/>
  <c r="P88" i="1" s="1"/>
  <c r="Q88" i="1" s="1"/>
  <c r="R88" i="1" s="1"/>
  <c r="T88" i="1" s="1"/>
  <c r="Y88" i="1"/>
  <c r="M341" i="1"/>
  <c r="N341" i="1" s="1"/>
  <c r="O341" i="1" s="1"/>
  <c r="O349" i="1" s="1"/>
  <c r="Y341" i="1"/>
  <c r="M42" i="1"/>
  <c r="N42" i="1" s="1"/>
  <c r="O42" i="1" s="1"/>
  <c r="Q42" i="1" s="1"/>
  <c r="R42" i="1" s="1"/>
  <c r="T42" i="1" s="1"/>
  <c r="Y42" i="1"/>
  <c r="M41" i="1"/>
  <c r="N41" i="1" s="1"/>
  <c r="O41" i="1" s="1"/>
  <c r="Q41" i="1" s="1"/>
  <c r="R41" i="1" s="1"/>
  <c r="T41" i="1" s="1"/>
  <c r="Y41" i="1"/>
  <c r="M58" i="1"/>
  <c r="N58" i="1" s="1"/>
  <c r="O58" i="1" s="1"/>
  <c r="Y58" i="1"/>
  <c r="M360" i="1"/>
  <c r="N360" i="1" s="1"/>
  <c r="O360" i="1" s="1"/>
  <c r="P360" i="1" s="1"/>
  <c r="Q360" i="1" s="1"/>
  <c r="R360" i="1" s="1"/>
  <c r="T360" i="1" s="1"/>
  <c r="Y360" i="1"/>
  <c r="M90" i="1"/>
  <c r="N90" i="1" s="1"/>
  <c r="O90" i="1" s="1"/>
  <c r="P90" i="1" s="1"/>
  <c r="Q90" i="1" s="1"/>
  <c r="R90" i="1" s="1"/>
  <c r="T90" i="1" s="1"/>
  <c r="Y90" i="1"/>
  <c r="M70" i="1"/>
  <c r="N70" i="1" s="1"/>
  <c r="O70" i="1" s="1"/>
  <c r="P70" i="1" s="1"/>
  <c r="Q70" i="1" s="1"/>
  <c r="R70" i="1" s="1"/>
  <c r="T70" i="1" s="1"/>
  <c r="Y70" i="1"/>
  <c r="M60" i="1"/>
  <c r="N60" i="1" s="1"/>
  <c r="O60" i="1" s="1"/>
  <c r="Y60" i="1"/>
  <c r="M361" i="1"/>
  <c r="N361" i="1" s="1"/>
  <c r="O361" i="1" s="1"/>
  <c r="P361" i="1" s="1"/>
  <c r="Q361" i="1" s="1"/>
  <c r="R361" i="1" s="1"/>
  <c r="T361" i="1" s="1"/>
  <c r="Y361" i="1"/>
  <c r="M87" i="1"/>
  <c r="N87" i="1" s="1"/>
  <c r="O87" i="1" s="1"/>
  <c r="P87" i="1" s="1"/>
  <c r="Q87" i="1" s="1"/>
  <c r="R87" i="1" s="1"/>
  <c r="T87" i="1" s="1"/>
  <c r="Y87" i="1"/>
  <c r="M39" i="1"/>
  <c r="N39" i="1" s="1"/>
  <c r="O39" i="1" s="1"/>
  <c r="Q39" i="1" s="1"/>
  <c r="R39" i="1" s="1"/>
  <c r="T39" i="1" s="1"/>
  <c r="Y39" i="1"/>
  <c r="M75" i="1"/>
  <c r="N75" i="1" s="1"/>
  <c r="O75" i="1" s="1"/>
  <c r="P75" i="1" s="1"/>
  <c r="Q75" i="1" s="1"/>
  <c r="R75" i="1" s="1"/>
  <c r="Y75" i="1"/>
  <c r="M55" i="1"/>
  <c r="N55" i="1" s="1"/>
  <c r="O55" i="1" s="1"/>
  <c r="Y55" i="1"/>
  <c r="M363" i="1"/>
  <c r="N363" i="1" s="1"/>
  <c r="O363" i="1" s="1"/>
  <c r="P363" i="1" s="1"/>
  <c r="Q363" i="1" s="1"/>
  <c r="R363" i="1" s="1"/>
  <c r="T363" i="1" s="1"/>
  <c r="Y363" i="1"/>
  <c r="M358" i="1"/>
  <c r="N358" i="1" s="1"/>
  <c r="O358" i="1" s="1"/>
  <c r="P358" i="1" s="1"/>
  <c r="Q358" i="1" s="1"/>
  <c r="R358" i="1" s="1"/>
  <c r="T358" i="1" s="1"/>
  <c r="Y358" i="1"/>
  <c r="BO74" i="1"/>
  <c r="BP74" i="1" s="1"/>
  <c r="AE23" i="1"/>
  <c r="M12" i="1"/>
  <c r="N12" i="1" s="1"/>
  <c r="O12" i="1" s="1"/>
  <c r="P12" i="1" s="1"/>
  <c r="Q12" i="1" s="1"/>
  <c r="R12" i="1" s="1"/>
  <c r="T12" i="1" s="1"/>
  <c r="Y12" i="1"/>
  <c r="M29" i="1"/>
  <c r="N29" i="1" s="1"/>
  <c r="O29" i="1" s="1"/>
  <c r="P29" i="1" s="1"/>
  <c r="Q29" i="1" s="1"/>
  <c r="R29" i="1" s="1"/>
  <c r="Y29" i="1"/>
  <c r="M13" i="1"/>
  <c r="N13" i="1" s="1"/>
  <c r="O13" i="1" s="1"/>
  <c r="P13" i="1" s="1"/>
  <c r="Q13" i="1" s="1"/>
  <c r="R13" i="1" s="1"/>
  <c r="T13" i="1" s="1"/>
  <c r="Y13" i="1"/>
  <c r="AE20" i="1"/>
  <c r="AE19" i="1"/>
  <c r="AE21" i="1"/>
  <c r="R115" i="5"/>
  <c r="S115" i="5" s="1"/>
  <c r="P5" i="35"/>
  <c r="Q5" i="35" s="1"/>
  <c r="R5" i="35" s="1"/>
  <c r="R105" i="5"/>
  <c r="S105" i="5" s="1"/>
  <c r="P3" i="35"/>
  <c r="Q3" i="35" s="1"/>
  <c r="R3" i="35" s="1"/>
  <c r="R14" i="5"/>
  <c r="S14" i="5" s="1"/>
  <c r="H5" i="30"/>
  <c r="T92" i="5"/>
  <c r="U92" i="5" s="1"/>
  <c r="U93" i="5" s="1"/>
  <c r="BF3" i="2"/>
  <c r="AS23" i="2"/>
  <c r="BD13" i="3"/>
  <c r="BE13" i="3" s="1"/>
  <c r="Q66" i="1"/>
  <c r="R66" i="1" s="1"/>
  <c r="AK14" i="3"/>
  <c r="AL14" i="3" s="1"/>
  <c r="AM14" i="3" s="1"/>
  <c r="AN14" i="3" s="1"/>
  <c r="AR14" i="3" s="1"/>
  <c r="AJ19" i="1"/>
  <c r="AO5" i="1"/>
  <c r="E4" i="7"/>
  <c r="H4" i="28" s="1"/>
  <c r="AJ20" i="1"/>
  <c r="F4" i="7"/>
  <c r="N4" i="28" s="1"/>
  <c r="P4" i="28" s="1"/>
  <c r="P29" i="28" s="1"/>
  <c r="AO6" i="1"/>
  <c r="N4" i="7"/>
  <c r="BJ4" i="28" s="1"/>
  <c r="BL4" i="28" s="1"/>
  <c r="BL29" i="28" s="1"/>
  <c r="AO10" i="1"/>
  <c r="AO15" i="1"/>
  <c r="AO11" i="1"/>
  <c r="AJ21" i="1"/>
  <c r="AO7" i="1"/>
  <c r="G4" i="7"/>
  <c r="T4" i="28" s="1"/>
  <c r="V4" i="28" s="1"/>
  <c r="V29" i="28" s="1"/>
  <c r="AJ23" i="1"/>
  <c r="AO9" i="1"/>
  <c r="BD12" i="3"/>
  <c r="BE12" i="3" s="1"/>
  <c r="P330" i="1"/>
  <c r="Q330" i="1" s="1"/>
  <c r="R330" i="1" s="1"/>
  <c r="P333" i="1"/>
  <c r="Q333" i="1" s="1"/>
  <c r="R333" i="1" s="1"/>
  <c r="P331" i="1"/>
  <c r="Q331" i="1" s="1"/>
  <c r="R331" i="1" s="1"/>
  <c r="P328" i="1"/>
  <c r="Q328" i="1" s="1"/>
  <c r="R328" i="1" s="1"/>
  <c r="FT8" i="3"/>
  <c r="FU8" i="3" s="1"/>
  <c r="K4" i="7"/>
  <c r="AR4" i="28" s="1"/>
  <c r="AT4" i="28" s="1"/>
  <c r="AW4" i="28" s="1"/>
  <c r="Q65" i="1"/>
  <c r="R65" i="1" s="1"/>
  <c r="O4" i="7"/>
  <c r="BP4" i="28" s="1"/>
  <c r="BR4" i="28" s="1"/>
  <c r="BR29" i="28" s="1"/>
  <c r="R55" i="1"/>
  <c r="T55" i="1" s="1"/>
  <c r="R58" i="1"/>
  <c r="T58" i="1" s="1"/>
  <c r="M6" i="7" s="1"/>
  <c r="BD6" i="28" s="1"/>
  <c r="BH6" i="28" s="1"/>
  <c r="BI6" i="28" s="1"/>
  <c r="R60" i="1"/>
  <c r="T60" i="1" s="1"/>
  <c r="O6" i="7" s="1"/>
  <c r="I4" i="7"/>
  <c r="AF4" i="28" s="1"/>
  <c r="AH4" i="28" s="1"/>
  <c r="AH29" i="28" s="1"/>
  <c r="R57" i="1"/>
  <c r="T57" i="1" s="1"/>
  <c r="L6" i="7" s="1"/>
  <c r="J4" i="7"/>
  <c r="AL4" i="28" s="1"/>
  <c r="T84" i="1"/>
  <c r="I12" i="7" s="1"/>
  <c r="AF12" i="28" s="1"/>
  <c r="T26" i="1"/>
  <c r="T27" i="1"/>
  <c r="T28" i="1"/>
  <c r="G11" i="7"/>
  <c r="T11" i="28" s="1"/>
  <c r="X11" i="28" s="1"/>
  <c r="Y11" i="28" s="1"/>
  <c r="M11" i="7"/>
  <c r="BD11" i="28" s="1"/>
  <c r="BH11" i="28" s="1"/>
  <c r="BI11" i="28" s="1"/>
  <c r="H11" i="7"/>
  <c r="Z11" i="28" s="1"/>
  <c r="AD11" i="28" s="1"/>
  <c r="AE11" i="28" s="1"/>
  <c r="T52" i="1"/>
  <c r="G6" i="7" s="1"/>
  <c r="T6" i="28" s="1"/>
  <c r="X6" i="28" s="1"/>
  <c r="Y6" i="28" s="1"/>
  <c r="AO14" i="1"/>
  <c r="T24" i="1"/>
  <c r="K11" i="7"/>
  <c r="AR11" i="28" s="1"/>
  <c r="AV11" i="28" s="1"/>
  <c r="AW11" i="28" s="1"/>
  <c r="P25" i="1"/>
  <c r="Q25" i="1" s="1"/>
  <c r="R25" i="1" s="1"/>
  <c r="O181" i="1"/>
  <c r="J5" i="7"/>
  <c r="AL5" i="28" s="1"/>
  <c r="O5" i="7"/>
  <c r="BP5" i="28" s="1"/>
  <c r="BT5" i="28" s="1"/>
  <c r="BU5" i="28" s="1"/>
  <c r="L5" i="7"/>
  <c r="AX5" i="28" s="1"/>
  <c r="M5" i="7"/>
  <c r="BD5" i="28" s="1"/>
  <c r="BH5" i="28" s="1"/>
  <c r="BI5" i="28" s="1"/>
  <c r="AV5" i="28"/>
  <c r="AW5" i="28" s="1"/>
  <c r="F25" i="29"/>
  <c r="V25" i="29" s="1"/>
  <c r="F24" i="29"/>
  <c r="V24" i="29" s="1"/>
  <c r="L5" i="28"/>
  <c r="M5" i="28" s="1"/>
  <c r="F20" i="29"/>
  <c r="O139" i="1"/>
  <c r="R139" i="1" s="1"/>
  <c r="T139" i="1" s="1"/>
  <c r="M11" i="17"/>
  <c r="S11" i="17" s="1"/>
  <c r="AC11" i="17" s="1"/>
  <c r="AD11" i="17" s="1"/>
  <c r="AT147" i="1"/>
  <c r="L16" i="7" s="1"/>
  <c r="AM16" i="7" s="1"/>
  <c r="BP147" i="1"/>
  <c r="BQ147" i="1" s="1"/>
  <c r="BJ6" i="28"/>
  <c r="BN6" i="28" s="1"/>
  <c r="BO6" i="28" s="1"/>
  <c r="M5" i="17"/>
  <c r="S5" i="17" s="1"/>
  <c r="AC5" i="17" s="1"/>
  <c r="AD5" i="17" s="1"/>
  <c r="B8" i="28"/>
  <c r="F8" i="28" s="1"/>
  <c r="AF5" i="28"/>
  <c r="AJ5" i="28" s="1"/>
  <c r="AK5" i="28" s="1"/>
  <c r="I11" i="7"/>
  <c r="AQ89" i="1"/>
  <c r="AR89" i="1"/>
  <c r="AQ86" i="1"/>
  <c r="AR86" i="1"/>
  <c r="AQ81" i="1"/>
  <c r="AR81" i="1"/>
  <c r="AQ82" i="1"/>
  <c r="AR82" i="1"/>
  <c r="AQ80" i="1"/>
  <c r="AR80" i="1"/>
  <c r="N12" i="7"/>
  <c r="AP89" i="1"/>
  <c r="AS89" i="1" s="1"/>
  <c r="K12" i="7"/>
  <c r="AP86" i="1"/>
  <c r="AS86" i="1" s="1"/>
  <c r="F12" i="7"/>
  <c r="AP81" i="1"/>
  <c r="AS81" i="1" s="1"/>
  <c r="G12" i="7"/>
  <c r="AP82" i="1"/>
  <c r="AS82" i="1" s="1"/>
  <c r="E12" i="7"/>
  <c r="AP80" i="1"/>
  <c r="AS80" i="1" s="1"/>
  <c r="BW16" i="28"/>
  <c r="P17" i="27" s="1"/>
  <c r="BW18" i="28"/>
  <c r="P19" i="27" s="1"/>
  <c r="BW11" i="28"/>
  <c r="BW15" i="28"/>
  <c r="P16" i="27" s="1"/>
  <c r="BW20" i="28"/>
  <c r="AK13" i="3"/>
  <c r="AL13" i="3" s="1"/>
  <c r="AM13" i="3" s="1"/>
  <c r="AN13" i="3" s="1"/>
  <c r="E12" i="17"/>
  <c r="I3" i="7"/>
  <c r="J311" i="1"/>
  <c r="L311" i="1" s="1"/>
  <c r="M311" i="1" s="1"/>
  <c r="N311" i="1" s="1"/>
  <c r="O311" i="1" s="1"/>
  <c r="P311" i="1" s="1"/>
  <c r="Q311" i="1" s="1"/>
  <c r="R311" i="1" s="1"/>
  <c r="T311" i="1" s="1"/>
  <c r="J326" i="1"/>
  <c r="L326" i="1" s="1"/>
  <c r="M326" i="1" s="1"/>
  <c r="N326" i="1" s="1"/>
  <c r="O326" i="1" s="1"/>
  <c r="D18" i="6"/>
  <c r="L356" i="1"/>
  <c r="D7" i="17"/>
  <c r="BO83" i="1"/>
  <c r="U4" i="7"/>
  <c r="L8" i="1"/>
  <c r="AK11" i="3"/>
  <c r="AL11" i="3" s="1"/>
  <c r="AM11" i="3" s="1"/>
  <c r="AN11" i="3" s="1"/>
  <c r="AZ14" i="3"/>
  <c r="BA14" i="3" s="1"/>
  <c r="BB14" i="3" s="1"/>
  <c r="BC14" i="3" s="1"/>
  <c r="M371" i="1"/>
  <c r="N371" i="1" s="1"/>
  <c r="O371" i="1" s="1"/>
  <c r="T371" i="1" s="1"/>
  <c r="L371" i="1"/>
  <c r="U6" i="7"/>
  <c r="L53" i="1"/>
  <c r="U5" i="7"/>
  <c r="L37" i="1"/>
  <c r="FA8" i="3"/>
  <c r="FB8" i="3" s="1"/>
  <c r="FC8" i="3" s="1"/>
  <c r="FD8" i="3" s="1"/>
  <c r="U12" i="7"/>
  <c r="L83" i="1"/>
  <c r="C7" i="17"/>
  <c r="C15" i="17" s="1"/>
  <c r="U3" i="7"/>
  <c r="L22" i="1"/>
  <c r="E3" i="7"/>
  <c r="F3" i="7"/>
  <c r="G3" i="7"/>
  <c r="DW8" i="3"/>
  <c r="DX8" i="3" s="1"/>
  <c r="DY8" i="3" s="1"/>
  <c r="DZ8" i="3" s="1"/>
  <c r="ED8" i="3" s="1"/>
  <c r="K6" i="7"/>
  <c r="FE13" i="3"/>
  <c r="FF13" i="3" s="1"/>
  <c r="AR23" i="2"/>
  <c r="FA11" i="3"/>
  <c r="FB11" i="3" s="1"/>
  <c r="FC11" i="3" s="1"/>
  <c r="FD11" i="3" s="1"/>
  <c r="ES13" i="3"/>
  <c r="FA12" i="3"/>
  <c r="FB12" i="3" s="1"/>
  <c r="FC12" i="3" s="1"/>
  <c r="FD12" i="3" s="1"/>
  <c r="FH12" i="3" s="1"/>
  <c r="M4" i="17"/>
  <c r="C22" i="11"/>
  <c r="C34" i="11" s="1"/>
  <c r="O4" i="1"/>
  <c r="P4" i="1" s="1"/>
  <c r="R18" i="1"/>
  <c r="T18" i="1" s="1"/>
  <c r="Q33" i="1"/>
  <c r="R33" i="1" s="1"/>
  <c r="T33" i="1" s="1"/>
  <c r="R49" i="1"/>
  <c r="T49" i="1" s="1"/>
  <c r="BP141" i="1"/>
  <c r="BQ141" i="1" s="1"/>
  <c r="AT141" i="1"/>
  <c r="F16" i="7" s="1"/>
  <c r="R64" i="1"/>
  <c r="T64" i="1" s="1"/>
  <c r="EI10" i="3"/>
  <c r="EK10" i="3" s="1"/>
  <c r="EK9" i="3"/>
  <c r="EP8" i="3"/>
  <c r="EQ8" i="3" s="1"/>
  <c r="EL8" i="3"/>
  <c r="EM8" i="3" s="1"/>
  <c r="EN8" i="3" s="1"/>
  <c r="EO8" i="3" s="1"/>
  <c r="ES8" i="3" s="1"/>
  <c r="BO14" i="3"/>
  <c r="BP14" i="3" s="1"/>
  <c r="BQ14" i="3" s="1"/>
  <c r="BR14" i="3" s="1"/>
  <c r="BS15" i="3"/>
  <c r="BT15" i="3" s="1"/>
  <c r="Z13" i="3"/>
  <c r="AA13" i="3" s="1"/>
  <c r="V13" i="3"/>
  <c r="BO11" i="3"/>
  <c r="BP11" i="3" s="1"/>
  <c r="BQ11" i="3" s="1"/>
  <c r="BR11" i="3" s="1"/>
  <c r="BS11" i="3"/>
  <c r="BT11" i="3" s="1"/>
  <c r="K15" i="3"/>
  <c r="L15" i="3" s="1"/>
  <c r="G14" i="3"/>
  <c r="H14" i="3" s="1"/>
  <c r="I14" i="3" s="1"/>
  <c r="J14" i="3" s="1"/>
  <c r="Z12" i="3"/>
  <c r="AA12" i="3" s="1"/>
  <c r="V12" i="3"/>
  <c r="W12" i="3" s="1"/>
  <c r="X12" i="3" s="1"/>
  <c r="Y12" i="3" s="1"/>
  <c r="CW12" i="3"/>
  <c r="CX12" i="3" s="1"/>
  <c r="CS12" i="3"/>
  <c r="BG8" i="3"/>
  <c r="CW13" i="3"/>
  <c r="CX13" i="3" s="1"/>
  <c r="CS13" i="3"/>
  <c r="AK10" i="3"/>
  <c r="AL10" i="3" s="1"/>
  <c r="AM10" i="3" s="1"/>
  <c r="AN10" i="3" s="1"/>
  <c r="AO10" i="3"/>
  <c r="AP10" i="3" s="1"/>
  <c r="K8" i="3"/>
  <c r="L8" i="3" s="1"/>
  <c r="G8" i="3"/>
  <c r="CW15" i="3"/>
  <c r="CX15" i="3" s="1"/>
  <c r="CS14" i="3"/>
  <c r="DX13" i="3"/>
  <c r="DY13" i="3" s="1"/>
  <c r="DZ13" i="3" s="1"/>
  <c r="ED13" i="3" s="1"/>
  <c r="BA11" i="3"/>
  <c r="BB11" i="3" s="1"/>
  <c r="BC11" i="3" s="1"/>
  <c r="BG11" i="3" s="1"/>
  <c r="BA12" i="3"/>
  <c r="BB12" i="3" s="1"/>
  <c r="BC12" i="3" s="1"/>
  <c r="BG12" i="3" s="1"/>
  <c r="FE10" i="3"/>
  <c r="FF10" i="3" s="1"/>
  <c r="FA10" i="3"/>
  <c r="FB10" i="3" s="1"/>
  <c r="FC10" i="3" s="1"/>
  <c r="FD10" i="3" s="1"/>
  <c r="FQ8" i="3"/>
  <c r="FR8" i="3" s="1"/>
  <c r="FS8" i="3" s="1"/>
  <c r="FW8" i="3" s="1"/>
  <c r="F9" i="3"/>
  <c r="D10" i="3"/>
  <c r="F10" i="3" s="1"/>
  <c r="CH8" i="3"/>
  <c r="CI8" i="3" s="1"/>
  <c r="CD8" i="3"/>
  <c r="CE8" i="3" s="1"/>
  <c r="CF8" i="3" s="1"/>
  <c r="CG8" i="3" s="1"/>
  <c r="FE9" i="3"/>
  <c r="FF9" i="3" s="1"/>
  <c r="FA9" i="3"/>
  <c r="FP10" i="3"/>
  <c r="FQ10" i="3" s="1"/>
  <c r="FR10" i="3" s="1"/>
  <c r="FS10" i="3" s="1"/>
  <c r="FT10" i="3"/>
  <c r="FU10" i="3" s="1"/>
  <c r="G11" i="3"/>
  <c r="H11" i="3" s="1"/>
  <c r="I11" i="3" s="1"/>
  <c r="J11" i="3" s="1"/>
  <c r="K11" i="3"/>
  <c r="L11" i="3" s="1"/>
  <c r="ES12" i="3"/>
  <c r="FQ12" i="3"/>
  <c r="FR12" i="3" s="1"/>
  <c r="FS12" i="3" s="1"/>
  <c r="FW12" i="3" s="1"/>
  <c r="I182" i="1"/>
  <c r="FH13" i="3"/>
  <c r="CA10" i="3"/>
  <c r="CC10" i="3" s="1"/>
  <c r="CC9" i="3"/>
  <c r="CD11" i="3"/>
  <c r="CE11" i="3" s="1"/>
  <c r="CF11" i="3" s="1"/>
  <c r="CG11" i="3" s="1"/>
  <c r="CH11" i="3"/>
  <c r="CI11" i="3" s="1"/>
  <c r="Z8" i="3"/>
  <c r="AA8" i="3" s="1"/>
  <c r="V8" i="3"/>
  <c r="W8" i="3" s="1"/>
  <c r="X8" i="3" s="1"/>
  <c r="Y8" i="3" s="1"/>
  <c r="FP9" i="3"/>
  <c r="FT9" i="3"/>
  <c r="FU9" i="3" s="1"/>
  <c r="BN9" i="3"/>
  <c r="BL10" i="3"/>
  <c r="BN10" i="3" s="1"/>
  <c r="U9" i="3"/>
  <c r="S10" i="3"/>
  <c r="U10" i="3" s="1"/>
  <c r="DH8" i="3"/>
  <c r="DI8" i="3" s="1"/>
  <c r="DJ8" i="3" s="1"/>
  <c r="DK8" i="3" s="1"/>
  <c r="DL8" i="3"/>
  <c r="DM8" i="3" s="1"/>
  <c r="DH14" i="3"/>
  <c r="DL15" i="3"/>
  <c r="DM15" i="3" s="1"/>
  <c r="CP10" i="3"/>
  <c r="CR10" i="3" s="1"/>
  <c r="CR9" i="3"/>
  <c r="BA13" i="3"/>
  <c r="BB13" i="3" s="1"/>
  <c r="BC13" i="3" s="1"/>
  <c r="BG13" i="3" s="1"/>
  <c r="CH12" i="3"/>
  <c r="CI12" i="3" s="1"/>
  <c r="CD12" i="3"/>
  <c r="CE12" i="3" s="1"/>
  <c r="CF12" i="3" s="1"/>
  <c r="CG12" i="3" s="1"/>
  <c r="DG9" i="3"/>
  <c r="DE10" i="3"/>
  <c r="DG10" i="3" s="1"/>
  <c r="DH13" i="3"/>
  <c r="DI13" i="3" s="1"/>
  <c r="DJ13" i="3" s="1"/>
  <c r="DK13" i="3" s="1"/>
  <c r="DL13" i="3"/>
  <c r="DM13" i="3" s="1"/>
  <c r="AR12" i="3"/>
  <c r="ES14" i="3"/>
  <c r="BS13" i="3"/>
  <c r="BT13" i="3" s="1"/>
  <c r="BO13" i="3"/>
  <c r="CH13" i="3"/>
  <c r="CI13" i="3" s="1"/>
  <c r="CD13" i="3"/>
  <c r="K12" i="3"/>
  <c r="L12" i="3" s="1"/>
  <c r="G12" i="3"/>
  <c r="DH12" i="3"/>
  <c r="DI12" i="3" s="1"/>
  <c r="DJ12" i="3" s="1"/>
  <c r="DK12" i="3" s="1"/>
  <c r="DL12" i="3"/>
  <c r="DM12" i="3" s="1"/>
  <c r="BD10" i="3"/>
  <c r="BE10" i="3" s="1"/>
  <c r="AZ10" i="3"/>
  <c r="CW11" i="3"/>
  <c r="CX11" i="3" s="1"/>
  <c r="CS11" i="3"/>
  <c r="BD9" i="3"/>
  <c r="BE9" i="3" s="1"/>
  <c r="AZ9" i="3"/>
  <c r="BA9" i="3" s="1"/>
  <c r="BB9" i="3" s="1"/>
  <c r="BC9" i="3" s="1"/>
  <c r="AO9" i="3"/>
  <c r="AP9" i="3" s="1"/>
  <c r="AK9" i="3"/>
  <c r="AL9" i="3" s="1"/>
  <c r="AM9" i="3" s="1"/>
  <c r="AN9" i="3" s="1"/>
  <c r="BO8" i="3"/>
  <c r="BS8" i="3"/>
  <c r="BT8" i="3" s="1"/>
  <c r="CW8" i="3"/>
  <c r="CX8" i="3" s="1"/>
  <c r="CS8" i="3"/>
  <c r="FW14" i="3"/>
  <c r="ED14" i="3"/>
  <c r="AL8" i="3"/>
  <c r="AM8" i="3" s="1"/>
  <c r="AN8" i="3" s="1"/>
  <c r="AR8" i="3" s="1"/>
  <c r="CH15" i="3"/>
  <c r="CI15" i="3" s="1"/>
  <c r="CD14" i="3"/>
  <c r="CE14" i="3" s="1"/>
  <c r="CF14" i="3" s="1"/>
  <c r="CG14" i="3" s="1"/>
  <c r="FW11" i="3"/>
  <c r="Z15" i="3"/>
  <c r="AA15" i="3" s="1"/>
  <c r="V14" i="3"/>
  <c r="W14" i="3" s="1"/>
  <c r="X14" i="3" s="1"/>
  <c r="Y14" i="3" s="1"/>
  <c r="FW13" i="3"/>
  <c r="EA9" i="3"/>
  <c r="EB9" i="3" s="1"/>
  <c r="DW9" i="3"/>
  <c r="DX9" i="3" s="1"/>
  <c r="DY9" i="3" s="1"/>
  <c r="DZ9" i="3" s="1"/>
  <c r="BS12" i="3"/>
  <c r="BT12" i="3" s="1"/>
  <c r="BO12" i="3"/>
  <c r="BP12" i="3" s="1"/>
  <c r="BQ12" i="3" s="1"/>
  <c r="BR12" i="3" s="1"/>
  <c r="K13" i="3"/>
  <c r="L13" i="3" s="1"/>
  <c r="G13" i="3"/>
  <c r="H13" i="3" s="1"/>
  <c r="I13" i="3" s="1"/>
  <c r="J13" i="3" s="1"/>
  <c r="DL11" i="3"/>
  <c r="DM11" i="3" s="1"/>
  <c r="DH11" i="3"/>
  <c r="DI11" i="3" s="1"/>
  <c r="DJ11" i="3" s="1"/>
  <c r="DK11" i="3" s="1"/>
  <c r="Z11" i="3"/>
  <c r="AA11" i="3" s="1"/>
  <c r="V11" i="3"/>
  <c r="EA10" i="3"/>
  <c r="EB10" i="3" s="1"/>
  <c r="DW10" i="3"/>
  <c r="DX10" i="3" s="1"/>
  <c r="DY10" i="3" s="1"/>
  <c r="DZ10" i="3" s="1"/>
  <c r="M53" i="1" l="1"/>
  <c r="N53" i="1" s="1"/>
  <c r="O53" i="1" s="1"/>
  <c r="Y53" i="1"/>
  <c r="P341" i="1"/>
  <c r="Q341" i="1" s="1"/>
  <c r="R341" i="1" s="1"/>
  <c r="T341" i="1" s="1"/>
  <c r="M356" i="1"/>
  <c r="N356" i="1" s="1"/>
  <c r="O356" i="1" s="1"/>
  <c r="P356" i="1" s="1"/>
  <c r="Q356" i="1" s="1"/>
  <c r="R356" i="1" s="1"/>
  <c r="T356" i="1" s="1"/>
  <c r="Y356" i="1"/>
  <c r="U182" i="1"/>
  <c r="X182" i="1"/>
  <c r="AC182" i="1" s="1"/>
  <c r="M83" i="1"/>
  <c r="N83" i="1" s="1"/>
  <c r="O83" i="1" s="1"/>
  <c r="P83" i="1" s="1"/>
  <c r="Q83" i="1" s="1"/>
  <c r="R83" i="1" s="1"/>
  <c r="Y83" i="1"/>
  <c r="M37" i="1"/>
  <c r="N37" i="1" s="1"/>
  <c r="O37" i="1" s="1"/>
  <c r="Q37" i="1" s="1"/>
  <c r="R37" i="1" s="1"/>
  <c r="T37" i="1" s="1"/>
  <c r="Y37" i="1"/>
  <c r="M8" i="1"/>
  <c r="N8" i="1" s="1"/>
  <c r="O8" i="1" s="1"/>
  <c r="P8" i="1" s="1"/>
  <c r="Q8" i="1" s="1"/>
  <c r="R8" i="1" s="1"/>
  <c r="T8" i="1" s="1"/>
  <c r="Y8" i="1"/>
  <c r="M22" i="1"/>
  <c r="N22" i="1" s="1"/>
  <c r="O22" i="1" s="1"/>
  <c r="Y22" i="1"/>
  <c r="N3" i="7"/>
  <c r="BJ3" i="28" s="1"/>
  <c r="AE28" i="1"/>
  <c r="AE27" i="1"/>
  <c r="L3" i="7"/>
  <c r="AX3" i="28" s="1"/>
  <c r="AE26" i="1"/>
  <c r="J3" i="7"/>
  <c r="AL3" i="28" s="1"/>
  <c r="AE24" i="1"/>
  <c r="AP87" i="1"/>
  <c r="AS87" i="1" s="1"/>
  <c r="L12" i="7"/>
  <c r="AX12" i="28" s="1"/>
  <c r="AQ87" i="1"/>
  <c r="AR87" i="1"/>
  <c r="AP88" i="1"/>
  <c r="AS88" i="1" s="1"/>
  <c r="AQ88" i="1"/>
  <c r="AR88" i="1"/>
  <c r="M12" i="7"/>
  <c r="BD12" i="28" s="1"/>
  <c r="AR85" i="1"/>
  <c r="AP85" i="1"/>
  <c r="AS85" i="1" s="1"/>
  <c r="AQ85" i="1"/>
  <c r="J12" i="7"/>
  <c r="AL12" i="28" s="1"/>
  <c r="AR90" i="1"/>
  <c r="AQ90" i="1"/>
  <c r="O12" i="7"/>
  <c r="BP12" i="28" s="1"/>
  <c r="AP90" i="1"/>
  <c r="AS90" i="1" s="1"/>
  <c r="T330" i="1"/>
  <c r="AT375" i="1" s="1"/>
  <c r="T331" i="1"/>
  <c r="AT376" i="1" s="1"/>
  <c r="T328" i="1"/>
  <c r="AT373" i="1" s="1"/>
  <c r="AW373" i="1" s="1"/>
  <c r="T388" i="1" s="1"/>
  <c r="J8" i="7" s="1"/>
  <c r="AL8" i="28" s="1"/>
  <c r="AP8" i="28" s="1"/>
  <c r="AQ8" i="28" s="1"/>
  <c r="T333" i="1"/>
  <c r="AT378" i="1" s="1"/>
  <c r="T72" i="1"/>
  <c r="BP87" i="1" s="1"/>
  <c r="BQ87" i="1" s="1"/>
  <c r="T65" i="1"/>
  <c r="E11" i="7" s="1"/>
  <c r="T75" i="1"/>
  <c r="O11" i="7" s="1"/>
  <c r="BP11" i="28" s="1"/>
  <c r="BT11" i="28" s="1"/>
  <c r="BU11" i="28" s="1"/>
  <c r="T66" i="1"/>
  <c r="K5" i="17" s="1"/>
  <c r="Q5" i="17" s="1"/>
  <c r="K8" i="17"/>
  <c r="Q8" i="17" s="1"/>
  <c r="AP84" i="1"/>
  <c r="AS84" i="1" s="1"/>
  <c r="AR84" i="1"/>
  <c r="AQ84" i="1"/>
  <c r="AJ26" i="1"/>
  <c r="L4" i="7"/>
  <c r="AX4" i="28" s="1"/>
  <c r="AJ28" i="1"/>
  <c r="AJ27" i="1"/>
  <c r="AO13" i="1"/>
  <c r="M4" i="7"/>
  <c r="BD4" i="28" s="1"/>
  <c r="BF4" i="28" s="1"/>
  <c r="BF29" i="28" s="1"/>
  <c r="P326" i="1"/>
  <c r="Q326" i="1" s="1"/>
  <c r="R326" i="1" s="1"/>
  <c r="FH8" i="3"/>
  <c r="AO12" i="1"/>
  <c r="AJ24" i="1"/>
  <c r="AL108" i="1"/>
  <c r="CF17" i="28"/>
  <c r="CG17" i="28" s="1"/>
  <c r="CF18" i="28"/>
  <c r="CG18" i="28" s="1"/>
  <c r="CF19" i="28"/>
  <c r="CG19" i="28" s="1"/>
  <c r="CF21" i="28"/>
  <c r="CF20" i="28"/>
  <c r="CG20" i="28"/>
  <c r="CG21" i="28" s="1"/>
  <c r="CG22" i="28" s="1"/>
  <c r="CF11" i="28"/>
  <c r="BO72" i="1"/>
  <c r="BP72" i="1" s="1"/>
  <c r="BO75" i="1"/>
  <c r="BP75" i="1" s="1"/>
  <c r="BO70" i="1"/>
  <c r="BP70" i="1" s="1"/>
  <c r="BP82" i="1"/>
  <c r="BQ82" i="1" s="1"/>
  <c r="BP88" i="1"/>
  <c r="BQ88" i="1" s="1"/>
  <c r="T29" i="1"/>
  <c r="AE29" i="1" s="1"/>
  <c r="T25" i="1"/>
  <c r="AE25" i="1" s="1"/>
  <c r="K6" i="17"/>
  <c r="Q6" i="17" s="1"/>
  <c r="M3" i="7"/>
  <c r="BD3" i="28" s="1"/>
  <c r="BP85" i="1"/>
  <c r="BQ85" i="1" s="1"/>
  <c r="AX16" i="28"/>
  <c r="K26" i="29" s="1"/>
  <c r="P22" i="1"/>
  <c r="Q22" i="1" s="1"/>
  <c r="BU4" i="28"/>
  <c r="J4" i="28"/>
  <c r="J29" i="28" s="1"/>
  <c r="CL4" i="28" s="1"/>
  <c r="CL21" i="28" s="1"/>
  <c r="E20" i="29"/>
  <c r="V20" i="29" s="1"/>
  <c r="P12" i="27"/>
  <c r="AN4" i="28"/>
  <c r="E22" i="29"/>
  <c r="E23" i="29"/>
  <c r="P21" i="27"/>
  <c r="S4" i="28"/>
  <c r="H5" i="7"/>
  <c r="Z5" i="28" s="1"/>
  <c r="BB5" i="28"/>
  <c r="BC5" i="28" s="1"/>
  <c r="F26" i="29"/>
  <c r="AP5" i="28"/>
  <c r="AQ5" i="28" s="1"/>
  <c r="F22" i="29"/>
  <c r="F23" i="29"/>
  <c r="AV139" i="1"/>
  <c r="AV145" i="1" s="1"/>
  <c r="AV163" i="1" s="1"/>
  <c r="BO4" i="28"/>
  <c r="AT29" i="28"/>
  <c r="CL10" i="28" s="1"/>
  <c r="CL27" i="28" s="1"/>
  <c r="AK4" i="28"/>
  <c r="AF11" i="28"/>
  <c r="AJ11" i="28" s="1"/>
  <c r="AK11" i="28" s="1"/>
  <c r="H12" i="28"/>
  <c r="T12" i="28"/>
  <c r="BJ12" i="28"/>
  <c r="AR12" i="28"/>
  <c r="AX6" i="28"/>
  <c r="BB6" i="28" s="1"/>
  <c r="BC6" i="28" s="1"/>
  <c r="AR6" i="28"/>
  <c r="AV6" i="28" s="1"/>
  <c r="AW6" i="28" s="1"/>
  <c r="BP6" i="28"/>
  <c r="BT6" i="28" s="1"/>
  <c r="BU6" i="28" s="1"/>
  <c r="AF3" i="28"/>
  <c r="N12" i="28"/>
  <c r="Y4" i="28"/>
  <c r="AQ79" i="1"/>
  <c r="AR79" i="1"/>
  <c r="D12" i="7"/>
  <c r="AP79" i="1"/>
  <c r="AS79" i="1" s="1"/>
  <c r="CL14" i="28"/>
  <c r="CL31" i="28" s="1"/>
  <c r="BR40" i="28"/>
  <c r="CL5" i="28"/>
  <c r="CL22" i="28" s="1"/>
  <c r="P40" i="28"/>
  <c r="CL13" i="28"/>
  <c r="CL30" i="28" s="1"/>
  <c r="BL40" i="28"/>
  <c r="CL6" i="28"/>
  <c r="CL23" i="28" s="1"/>
  <c r="V40" i="28"/>
  <c r="AH40" i="28"/>
  <c r="CL8" i="28"/>
  <c r="CL25" i="28" s="1"/>
  <c r="AC12" i="7"/>
  <c r="BW12" i="28" s="1"/>
  <c r="P13" i="27" s="1"/>
  <c r="DE12" i="28"/>
  <c r="AC3" i="7"/>
  <c r="DE3" i="28"/>
  <c r="DM3" i="28" s="1"/>
  <c r="AC6" i="7"/>
  <c r="DE6" i="28"/>
  <c r="AC5" i="7"/>
  <c r="DE5" i="28"/>
  <c r="AC4" i="7"/>
  <c r="DE4" i="28"/>
  <c r="DM4" i="28" s="1"/>
  <c r="G8" i="28"/>
  <c r="AG16" i="7"/>
  <c r="N16" i="28"/>
  <c r="P47" i="1"/>
  <c r="AV33" i="1" s="1"/>
  <c r="AV41" i="1" s="1"/>
  <c r="H3" i="28"/>
  <c r="AH3" i="7"/>
  <c r="T3" i="28"/>
  <c r="N3" i="28"/>
  <c r="Q76" i="1"/>
  <c r="R76" i="1" s="1"/>
  <c r="AV64" i="1" s="1"/>
  <c r="AV70" i="1" s="1"/>
  <c r="AR13" i="3"/>
  <c r="BG14" i="3"/>
  <c r="AR11" i="3"/>
  <c r="P349" i="1"/>
  <c r="Q349" i="1" s="1"/>
  <c r="R349" i="1" s="1"/>
  <c r="AT337" i="1"/>
  <c r="BO337" i="1" s="1"/>
  <c r="E7" i="17"/>
  <c r="E18" i="17" s="1"/>
  <c r="E19" i="17" s="1"/>
  <c r="D15" i="17"/>
  <c r="C16" i="17" s="1"/>
  <c r="BP142" i="1"/>
  <c r="BQ142" i="1" s="1"/>
  <c r="M6" i="17"/>
  <c r="S6" i="17" s="1"/>
  <c r="AC6" i="17" s="1"/>
  <c r="AD6" i="17" s="1"/>
  <c r="BP140" i="1"/>
  <c r="BQ140" i="1" s="1"/>
  <c r="S4" i="17"/>
  <c r="AC4" i="17" s="1"/>
  <c r="AD4" i="17" s="1"/>
  <c r="J6" i="7"/>
  <c r="BP84" i="1"/>
  <c r="BQ84" i="1" s="1"/>
  <c r="I6" i="7"/>
  <c r="AL112" i="1"/>
  <c r="AL111" i="1"/>
  <c r="BP145" i="1"/>
  <c r="BQ145" i="1" s="1"/>
  <c r="M9" i="17"/>
  <c r="S9" i="17" s="1"/>
  <c r="AC9" i="17" s="1"/>
  <c r="AD9" i="17" s="1"/>
  <c r="AT148" i="1"/>
  <c r="M16" i="7" s="1"/>
  <c r="M12" i="17"/>
  <c r="S12" i="17" s="1"/>
  <c r="AC12" i="17" s="1"/>
  <c r="AD12" i="17" s="1"/>
  <c r="BP144" i="1"/>
  <c r="BQ144" i="1" s="1"/>
  <c r="M8" i="17"/>
  <c r="S8" i="17" s="1"/>
  <c r="AC8" i="17" s="1"/>
  <c r="AD8" i="17" s="1"/>
  <c r="AT143" i="1"/>
  <c r="H16" i="7" s="1"/>
  <c r="M7" i="17"/>
  <c r="AT150" i="1"/>
  <c r="O16" i="7" s="1"/>
  <c r="M14" i="17"/>
  <c r="S14" i="17" s="1"/>
  <c r="AC14" i="17" s="1"/>
  <c r="AD14" i="17" s="1"/>
  <c r="AT146" i="1"/>
  <c r="K16" i="7" s="1"/>
  <c r="M10" i="17"/>
  <c r="S10" i="17" s="1"/>
  <c r="AC10" i="17" s="1"/>
  <c r="AD10" i="17" s="1"/>
  <c r="BP149" i="1"/>
  <c r="BQ149" i="1" s="1"/>
  <c r="M13" i="17"/>
  <c r="S13" i="17" s="1"/>
  <c r="AC13" i="17" s="1"/>
  <c r="AD13" i="17" s="1"/>
  <c r="BP89" i="1"/>
  <c r="BQ89" i="1" s="1"/>
  <c r="N11" i="7"/>
  <c r="K13" i="17"/>
  <c r="Q13" i="17" s="1"/>
  <c r="FH11" i="3"/>
  <c r="M120" i="1"/>
  <c r="AT149" i="1"/>
  <c r="N16" i="7" s="1"/>
  <c r="AT140" i="1"/>
  <c r="E16" i="7" s="1"/>
  <c r="AT145" i="1"/>
  <c r="J16" i="7" s="1"/>
  <c r="AT142" i="1"/>
  <c r="G16" i="7" s="1"/>
  <c r="BP143" i="1"/>
  <c r="BQ143" i="1" s="1"/>
  <c r="AT144" i="1"/>
  <c r="I16" i="7" s="1"/>
  <c r="BP146" i="1"/>
  <c r="BQ146" i="1" s="1"/>
  <c r="BP148" i="1"/>
  <c r="BQ148" i="1" s="1"/>
  <c r="BP150" i="1"/>
  <c r="BQ150" i="1" s="1"/>
  <c r="D6" i="7"/>
  <c r="D5" i="7"/>
  <c r="F39" i="11"/>
  <c r="C35" i="11"/>
  <c r="Q4" i="1"/>
  <c r="R4" i="1" s="1"/>
  <c r="T4" i="1" s="1"/>
  <c r="AJ18" i="1" s="1"/>
  <c r="C19" i="7"/>
  <c r="C20" i="27" s="1"/>
  <c r="EP9" i="3"/>
  <c r="EQ9" i="3" s="1"/>
  <c r="EL9" i="3"/>
  <c r="EP10" i="3"/>
  <c r="EQ10" i="3" s="1"/>
  <c r="EL10" i="3"/>
  <c r="EM10" i="3" s="1"/>
  <c r="EN10" i="3" s="1"/>
  <c r="EO10" i="3" s="1"/>
  <c r="ES10" i="3" s="1"/>
  <c r="DO11" i="3"/>
  <c r="BG9" i="3"/>
  <c r="DO12" i="3"/>
  <c r="Z9" i="3"/>
  <c r="AA9" i="3" s="1"/>
  <c r="V9" i="3"/>
  <c r="L184" i="1"/>
  <c r="M184" i="1"/>
  <c r="N184" i="1" s="1"/>
  <c r="CK8" i="3"/>
  <c r="BV11" i="3"/>
  <c r="BS10" i="3"/>
  <c r="BT10" i="3" s="1"/>
  <c r="BO10" i="3"/>
  <c r="BP10" i="3" s="1"/>
  <c r="BQ10" i="3" s="1"/>
  <c r="BR10" i="3" s="1"/>
  <c r="CT8" i="3"/>
  <c r="CU8" i="3" s="1"/>
  <c r="CV8" i="3" s="1"/>
  <c r="CZ8" i="3" s="1"/>
  <c r="H12" i="3"/>
  <c r="I12" i="3" s="1"/>
  <c r="J12" i="3" s="1"/>
  <c r="N12" i="3" s="1"/>
  <c r="CW9" i="3"/>
  <c r="CX9" i="3" s="1"/>
  <c r="CS9" i="3"/>
  <c r="CT9" i="3" s="1"/>
  <c r="CU9" i="3" s="1"/>
  <c r="CV9" i="3" s="1"/>
  <c r="BO9" i="3"/>
  <c r="BP9" i="3" s="1"/>
  <c r="BQ9" i="3" s="1"/>
  <c r="BR9" i="3" s="1"/>
  <c r="BS9" i="3"/>
  <c r="BT9" i="3" s="1"/>
  <c r="CD10" i="3"/>
  <c r="CE10" i="3" s="1"/>
  <c r="CF10" i="3" s="1"/>
  <c r="CG10" i="3" s="1"/>
  <c r="CH10" i="3"/>
  <c r="CI10" i="3" s="1"/>
  <c r="M183" i="1"/>
  <c r="N183" i="1" s="1"/>
  <c r="O183" i="1" s="1"/>
  <c r="R183" i="1" s="1"/>
  <c r="T183" i="1" s="1"/>
  <c r="AM169" i="1" s="1"/>
  <c r="L183" i="1"/>
  <c r="CT12" i="3"/>
  <c r="CU12" i="3" s="1"/>
  <c r="CV12" i="3" s="1"/>
  <c r="CZ12" i="3" s="1"/>
  <c r="ED10" i="3"/>
  <c r="AC14" i="3"/>
  <c r="CW10" i="3"/>
  <c r="CX10" i="3" s="1"/>
  <c r="CS10" i="3"/>
  <c r="CT10" i="3" s="1"/>
  <c r="CU10" i="3" s="1"/>
  <c r="CV10" i="3" s="1"/>
  <c r="M186" i="1"/>
  <c r="N186" i="1" s="1"/>
  <c r="O186" i="1" s="1"/>
  <c r="R186" i="1" s="1"/>
  <c r="T186" i="1" s="1"/>
  <c r="AM172" i="1" s="1"/>
  <c r="L186" i="1"/>
  <c r="K10" i="3"/>
  <c r="L10" i="3" s="1"/>
  <c r="G10" i="3"/>
  <c r="H10" i="3" s="1"/>
  <c r="I10" i="3" s="1"/>
  <c r="J10" i="3" s="1"/>
  <c r="W13" i="3"/>
  <c r="X13" i="3" s="1"/>
  <c r="Y13" i="3" s="1"/>
  <c r="AC13" i="3" s="1"/>
  <c r="AR10" i="3"/>
  <c r="CT11" i="3"/>
  <c r="CU11" i="3" s="1"/>
  <c r="CV11" i="3" s="1"/>
  <c r="CZ11" i="3" s="1"/>
  <c r="M189" i="1"/>
  <c r="N189" i="1" s="1"/>
  <c r="L189" i="1"/>
  <c r="CE13" i="3"/>
  <c r="CF13" i="3" s="1"/>
  <c r="CG13" i="3" s="1"/>
  <c r="CK13" i="3" s="1"/>
  <c r="FQ9" i="3"/>
  <c r="FR9" i="3" s="1"/>
  <c r="FS9" i="3" s="1"/>
  <c r="FW9" i="3" s="1"/>
  <c r="M185" i="1"/>
  <c r="N185" i="1" s="1"/>
  <c r="O185" i="1" s="1"/>
  <c r="R185" i="1" s="1"/>
  <c r="T185" i="1" s="1"/>
  <c r="AM171" i="1" s="1"/>
  <c r="L185" i="1"/>
  <c r="N13" i="3"/>
  <c r="FW10" i="3"/>
  <c r="CK14" i="3"/>
  <c r="BP8" i="3"/>
  <c r="BQ8" i="3" s="1"/>
  <c r="BR8" i="3" s="1"/>
  <c r="BV8" i="3" s="1"/>
  <c r="DO13" i="3"/>
  <c r="DI14" i="3"/>
  <c r="DJ14" i="3" s="1"/>
  <c r="DK14" i="3" s="1"/>
  <c r="DO14" i="3" s="1"/>
  <c r="AC8" i="3"/>
  <c r="L188" i="1"/>
  <c r="M188" i="1"/>
  <c r="FH10" i="3"/>
  <c r="CT14" i="3"/>
  <c r="CU14" i="3" s="1"/>
  <c r="CV14" i="3" s="1"/>
  <c r="CZ14" i="3" s="1"/>
  <c r="L190" i="1"/>
  <c r="M190" i="1"/>
  <c r="N190" i="1" s="1"/>
  <c r="CD9" i="3"/>
  <c r="CE9" i="3" s="1"/>
  <c r="CF9" i="3" s="1"/>
  <c r="CG9" i="3" s="1"/>
  <c r="CH9" i="3"/>
  <c r="CI9" i="3" s="1"/>
  <c r="G9" i="3"/>
  <c r="H9" i="3" s="1"/>
  <c r="I9" i="3" s="1"/>
  <c r="J9" i="3" s="1"/>
  <c r="K9" i="3"/>
  <c r="L9" i="3" s="1"/>
  <c r="M187" i="1"/>
  <c r="N187" i="1" s="1"/>
  <c r="O187" i="1" s="1"/>
  <c r="R187" i="1" s="1"/>
  <c r="T187" i="1" s="1"/>
  <c r="AM173" i="1" s="1"/>
  <c r="L187" i="1"/>
  <c r="BV14" i="3"/>
  <c r="W11" i="3"/>
  <c r="X11" i="3" s="1"/>
  <c r="Y11" i="3" s="1"/>
  <c r="AC11" i="3" s="1"/>
  <c r="BV12" i="3"/>
  <c r="AR9" i="3"/>
  <c r="BA10" i="3"/>
  <c r="BB10" i="3" s="1"/>
  <c r="BC10" i="3" s="1"/>
  <c r="BG10" i="3" s="1"/>
  <c r="BP13" i="3"/>
  <c r="BQ13" i="3" s="1"/>
  <c r="BR13" i="3" s="1"/>
  <c r="BV13" i="3" s="1"/>
  <c r="DL10" i="3"/>
  <c r="DM10" i="3" s="1"/>
  <c r="DH10" i="3"/>
  <c r="L193" i="1"/>
  <c r="M193" i="1"/>
  <c r="N193" i="1" s="1"/>
  <c r="N14" i="3"/>
  <c r="N11" i="3"/>
  <c r="DL9" i="3"/>
  <c r="DM9" i="3" s="1"/>
  <c r="DH9" i="3"/>
  <c r="DI9" i="3" s="1"/>
  <c r="DJ9" i="3" s="1"/>
  <c r="DK9" i="3" s="1"/>
  <c r="DO8" i="3"/>
  <c r="M191" i="1"/>
  <c r="N191" i="1" s="1"/>
  <c r="L191" i="1"/>
  <c r="FB9" i="3"/>
  <c r="FC9" i="3" s="1"/>
  <c r="FD9" i="3" s="1"/>
  <c r="FH9" i="3" s="1"/>
  <c r="H8" i="3"/>
  <c r="I8" i="3" s="1"/>
  <c r="J8" i="3" s="1"/>
  <c r="N8" i="3" s="1"/>
  <c r="CT13" i="3"/>
  <c r="CU13" i="3" s="1"/>
  <c r="CV13" i="3" s="1"/>
  <c r="CZ13" i="3" s="1"/>
  <c r="L192" i="1"/>
  <c r="M192" i="1"/>
  <c r="N192" i="1" s="1"/>
  <c r="AC12" i="3"/>
  <c r="ED9" i="3"/>
  <c r="CK12" i="3"/>
  <c r="Z10" i="3"/>
  <c r="AA10" i="3" s="1"/>
  <c r="V10" i="3"/>
  <c r="CK11" i="3"/>
  <c r="L182" i="1"/>
  <c r="M182" i="1"/>
  <c r="N182" i="1" s="1"/>
  <c r="O182" i="1" s="1"/>
  <c r="N31" i="1" l="1"/>
  <c r="O31" i="1"/>
  <c r="P31" i="1" s="1"/>
  <c r="Q31" i="1" s="1"/>
  <c r="AE18" i="1"/>
  <c r="T83" i="1"/>
  <c r="R105" i="1"/>
  <c r="AV79" i="1" s="1"/>
  <c r="AV85" i="1" s="1"/>
  <c r="BP81" i="1"/>
  <c r="BQ81" i="1" s="1"/>
  <c r="F11" i="7"/>
  <c r="N11" i="28" s="1"/>
  <c r="R11" i="28" s="1"/>
  <c r="S11" i="28" s="1"/>
  <c r="R294" i="1"/>
  <c r="T294" i="1" s="1"/>
  <c r="AJ294" i="1" s="1"/>
  <c r="AW376" i="1"/>
  <c r="T391" i="1" s="1"/>
  <c r="M8" i="7" s="1"/>
  <c r="BD8" i="28" s="1"/>
  <c r="BH8" i="28" s="1"/>
  <c r="R297" i="1"/>
  <c r="T297" i="1" s="1"/>
  <c r="AJ297" i="1" s="1"/>
  <c r="AW378" i="1"/>
  <c r="T393" i="1" s="1"/>
  <c r="O8" i="7" s="1"/>
  <c r="BP8" i="28" s="1"/>
  <c r="BT8" i="28" s="1"/>
  <c r="BU8" i="28" s="1"/>
  <c r="R299" i="1"/>
  <c r="T299" i="1" s="1"/>
  <c r="AJ299" i="1" s="1"/>
  <c r="AW375" i="1"/>
  <c r="T390" i="1" s="1"/>
  <c r="L8" i="7" s="1"/>
  <c r="AX8" i="28" s="1"/>
  <c r="BB8" i="28" s="1"/>
  <c r="BC8" i="28" s="1"/>
  <c r="R296" i="1"/>
  <c r="T296" i="1" s="1"/>
  <c r="AJ296" i="1" s="1"/>
  <c r="T326" i="1"/>
  <c r="AT371" i="1" s="1"/>
  <c r="H11" i="28"/>
  <c r="L11" i="28" s="1"/>
  <c r="M11" i="28" s="1"/>
  <c r="AF3" i="7"/>
  <c r="L11" i="7"/>
  <c r="AX11" i="28" s="1"/>
  <c r="BB11" i="28" s="1"/>
  <c r="BC11" i="28" s="1"/>
  <c r="BP90" i="1"/>
  <c r="BQ90" i="1" s="1"/>
  <c r="K4" i="17"/>
  <c r="Q4" i="17" s="1"/>
  <c r="BP80" i="1"/>
  <c r="BQ80" i="1" s="1"/>
  <c r="E15" i="7"/>
  <c r="H15" i="28" s="1"/>
  <c r="K15" i="28" s="1"/>
  <c r="L4" i="17"/>
  <c r="R4" i="17" s="1"/>
  <c r="AO8" i="1"/>
  <c r="K3" i="7"/>
  <c r="AR3" i="28" s="1"/>
  <c r="AJ25" i="1"/>
  <c r="O3" i="7"/>
  <c r="AJ29" i="1"/>
  <c r="BP76" i="1"/>
  <c r="BP86" i="1"/>
  <c r="BQ86" i="1" s="1"/>
  <c r="P62" i="1"/>
  <c r="K10" i="17"/>
  <c r="Q10" i="17" s="1"/>
  <c r="R53" i="1"/>
  <c r="T53" i="1" s="1"/>
  <c r="H6" i="7" s="1"/>
  <c r="Z6" i="28" s="1"/>
  <c r="AD6" i="28" s="1"/>
  <c r="AE6" i="28" s="1"/>
  <c r="Q62" i="1"/>
  <c r="AV49" i="1" s="1"/>
  <c r="AV51" i="1" s="1"/>
  <c r="BW4" i="28"/>
  <c r="P5" i="27" s="1"/>
  <c r="J11" i="7"/>
  <c r="AL11" i="28" s="1"/>
  <c r="AP11" i="28" s="1"/>
  <c r="AQ11" i="28" s="1"/>
  <c r="K9" i="17"/>
  <c r="Q9" i="17" s="1"/>
  <c r="D11" i="7"/>
  <c r="B11" i="28" s="1"/>
  <c r="F11" i="28" s="1"/>
  <c r="G11" i="28" s="1"/>
  <c r="M4" i="28"/>
  <c r="J40" i="28"/>
  <c r="R22" i="1"/>
  <c r="T22" i="1" s="1"/>
  <c r="Q30" i="1"/>
  <c r="AV18" i="1" s="1"/>
  <c r="AV25" i="1" s="1"/>
  <c r="AT139" i="1"/>
  <c r="D16" i="7" s="1"/>
  <c r="AE16" i="7" s="1"/>
  <c r="V22" i="29"/>
  <c r="O190" i="1"/>
  <c r="R190" i="1" s="1"/>
  <c r="T190" i="1" s="1"/>
  <c r="AM176" i="1" s="1"/>
  <c r="N7" i="17"/>
  <c r="T7" i="17" s="1"/>
  <c r="AN172" i="1"/>
  <c r="V23" i="29"/>
  <c r="O191" i="1"/>
  <c r="R191" i="1" s="1"/>
  <c r="T191" i="1" s="1"/>
  <c r="AM177" i="1" s="1"/>
  <c r="O189" i="1"/>
  <c r="R189" i="1" s="1"/>
  <c r="T189" i="1" s="1"/>
  <c r="AM175" i="1" s="1"/>
  <c r="AN29" i="28"/>
  <c r="AQ4" i="28"/>
  <c r="N8" i="17"/>
  <c r="T8" i="17" s="1"/>
  <c r="AN173" i="1"/>
  <c r="N6" i="17"/>
  <c r="T6" i="17" s="1"/>
  <c r="AN171" i="1"/>
  <c r="O192" i="1"/>
  <c r="R192" i="1" s="1"/>
  <c r="T192" i="1" s="1"/>
  <c r="AM178" i="1" s="1"/>
  <c r="O193" i="1"/>
  <c r="R193" i="1" s="1"/>
  <c r="T193" i="1" s="1"/>
  <c r="AM179" i="1" s="1"/>
  <c r="N4" i="17"/>
  <c r="T4" i="17" s="1"/>
  <c r="AN169" i="1"/>
  <c r="O184" i="1"/>
  <c r="R184" i="1" s="1"/>
  <c r="T184" i="1" s="1"/>
  <c r="AM170" i="1" s="1"/>
  <c r="AZ4" i="28"/>
  <c r="AZ29" i="28" s="1"/>
  <c r="CL11" i="28" s="1"/>
  <c r="CL28" i="28" s="1"/>
  <c r="E26" i="29"/>
  <c r="V26" i="29" s="1"/>
  <c r="AT40" i="28"/>
  <c r="AD5" i="28"/>
  <c r="AE5" i="28" s="1"/>
  <c r="F21" i="29"/>
  <c r="M3" i="17"/>
  <c r="S3" i="17" s="1"/>
  <c r="AC3" i="17" s="1"/>
  <c r="AD3" i="17" s="1"/>
  <c r="BP139" i="1"/>
  <c r="BQ139" i="1" s="1"/>
  <c r="BI4" i="28"/>
  <c r="AF16" i="28"/>
  <c r="AL6" i="28"/>
  <c r="AP6" i="28" s="1"/>
  <c r="AQ6" i="28" s="1"/>
  <c r="AF6" i="28"/>
  <c r="AJ6" i="28" s="1"/>
  <c r="AK6" i="28" s="1"/>
  <c r="B6" i="28"/>
  <c r="F6" i="28" s="1"/>
  <c r="G6" i="28" s="1"/>
  <c r="H15" i="7"/>
  <c r="B12" i="28"/>
  <c r="I15" i="7"/>
  <c r="D4" i="7"/>
  <c r="AO4" i="1"/>
  <c r="CL12" i="28"/>
  <c r="CL29" i="28" s="1"/>
  <c r="BF40" i="28"/>
  <c r="BW3" i="28"/>
  <c r="P4" i="27" s="1"/>
  <c r="BW6" i="28"/>
  <c r="BW5" i="28"/>
  <c r="CF5" i="28" s="1"/>
  <c r="AP16" i="7"/>
  <c r="BP16" i="28"/>
  <c r="AI16" i="7"/>
  <c r="Z16" i="28"/>
  <c r="AK16" i="7"/>
  <c r="AL16" i="28"/>
  <c r="AN16" i="7"/>
  <c r="BD16" i="28"/>
  <c r="AF16" i="7"/>
  <c r="H16" i="28"/>
  <c r="AL16" i="7"/>
  <c r="AR16" i="28"/>
  <c r="AH16" i="7"/>
  <c r="T16" i="28"/>
  <c r="AO16" i="7"/>
  <c r="BJ16" i="28"/>
  <c r="P5" i="7"/>
  <c r="B5" i="28"/>
  <c r="BJ11" i="28"/>
  <c r="N188" i="1"/>
  <c r="O188" i="1" s="1"/>
  <c r="BP112" i="1"/>
  <c r="L8" i="17"/>
  <c r="R8" i="17" s="1"/>
  <c r="AJ16" i="7"/>
  <c r="D3" i="7"/>
  <c r="K3" i="17"/>
  <c r="Q3" i="17" s="1"/>
  <c r="AT18" i="1"/>
  <c r="R31" i="1"/>
  <c r="AV4" i="1" s="1"/>
  <c r="AV11" i="1" s="1"/>
  <c r="AJ3" i="7"/>
  <c r="AO3" i="7"/>
  <c r="R120" i="1"/>
  <c r="L7" i="17"/>
  <c r="R7" i="17" s="1"/>
  <c r="BP111" i="1"/>
  <c r="S7" i="17"/>
  <c r="H4" i="7"/>
  <c r="BG25" i="3"/>
  <c r="B33" i="3" s="1"/>
  <c r="AR25" i="3"/>
  <c r="B32" i="3" s="1"/>
  <c r="BP108" i="1"/>
  <c r="R182" i="1"/>
  <c r="T182" i="1" s="1"/>
  <c r="FW25" i="3"/>
  <c r="B41" i="3" s="1"/>
  <c r="EM9" i="3"/>
  <c r="EN9" i="3" s="1"/>
  <c r="EO9" i="3" s="1"/>
  <c r="ES9" i="3" s="1"/>
  <c r="ES25" i="3" s="1"/>
  <c r="B39" i="3" s="1"/>
  <c r="ED25" i="3"/>
  <c r="B38" i="3" s="1"/>
  <c r="FH25" i="3"/>
  <c r="B40" i="3" s="1"/>
  <c r="W10" i="3"/>
  <c r="X10" i="3" s="1"/>
  <c r="Y10" i="3" s="1"/>
  <c r="AC10" i="3" s="1"/>
  <c r="DI10" i="3"/>
  <c r="DJ10" i="3" s="1"/>
  <c r="DK10" i="3" s="1"/>
  <c r="DO10" i="3" s="1"/>
  <c r="AT185" i="1"/>
  <c r="G18" i="7" s="1"/>
  <c r="BP171" i="1"/>
  <c r="BQ171" i="1" s="1"/>
  <c r="N10" i="3"/>
  <c r="AT187" i="1"/>
  <c r="I18" i="7" s="1"/>
  <c r="BP173" i="1"/>
  <c r="BQ173" i="1" s="1"/>
  <c r="W9" i="3"/>
  <c r="X9" i="3" s="1"/>
  <c r="Y9" i="3" s="1"/>
  <c r="AC9" i="3" s="1"/>
  <c r="AT186" i="1"/>
  <c r="H18" i="7" s="1"/>
  <c r="BP172" i="1"/>
  <c r="BQ172" i="1" s="1"/>
  <c r="AT183" i="1"/>
  <c r="E18" i="7" s="1"/>
  <c r="BP169" i="1"/>
  <c r="BQ169" i="1" s="1"/>
  <c r="BV10" i="3"/>
  <c r="CK9" i="3"/>
  <c r="CZ10" i="3"/>
  <c r="DO9" i="3"/>
  <c r="N9" i="3"/>
  <c r="CK10" i="3"/>
  <c r="BV9" i="3"/>
  <c r="CZ9" i="3"/>
  <c r="AJ22" i="1" l="1"/>
  <c r="AJ17" i="1" s="1"/>
  <c r="AE22" i="1"/>
  <c r="AE17" i="1" s="1"/>
  <c r="AN3" i="7"/>
  <c r="K12" i="17"/>
  <c r="Q12" i="17" s="1"/>
  <c r="AP83" i="1"/>
  <c r="AS83" i="1" s="1"/>
  <c r="H12" i="7"/>
  <c r="AQ83" i="1"/>
  <c r="AR83" i="1"/>
  <c r="AG3" i="7"/>
  <c r="AP3" i="7"/>
  <c r="K11" i="17"/>
  <c r="Q11" i="17" s="1"/>
  <c r="AW371" i="1"/>
  <c r="T386" i="1" s="1"/>
  <c r="H8" i="7" s="1"/>
  <c r="R292" i="1"/>
  <c r="T292" i="1" s="1"/>
  <c r="AJ292" i="1" s="1"/>
  <c r="K14" i="17"/>
  <c r="Q14" i="17" s="1"/>
  <c r="AM3" i="7"/>
  <c r="AV107" i="1"/>
  <c r="AV118" i="1" s="1"/>
  <c r="AF15" i="7"/>
  <c r="BP3" i="28"/>
  <c r="AL3" i="7"/>
  <c r="N25" i="3"/>
  <c r="B30" i="3" s="1"/>
  <c r="BP110" i="1"/>
  <c r="AL110" i="1"/>
  <c r="M15" i="7"/>
  <c r="AN15" i="7" s="1"/>
  <c r="AL116" i="1"/>
  <c r="J15" i="7"/>
  <c r="AK15" i="7" s="1"/>
  <c r="AL113" i="1"/>
  <c r="L13" i="17"/>
  <c r="R13" i="17" s="1"/>
  <c r="AL117" i="1"/>
  <c r="L14" i="17"/>
  <c r="R14" i="17" s="1"/>
  <c r="AL118" i="1"/>
  <c r="K15" i="7"/>
  <c r="AL15" i="7" s="1"/>
  <c r="AL114" i="1"/>
  <c r="L11" i="17"/>
  <c r="R11" i="17" s="1"/>
  <c r="AL115" i="1"/>
  <c r="F15" i="7"/>
  <c r="N15" i="28" s="1"/>
  <c r="Q15" i="28" s="1"/>
  <c r="AL109" i="1"/>
  <c r="D15" i="7"/>
  <c r="B15" i="28" s="1"/>
  <c r="E15" i="28" s="1"/>
  <c r="AL107" i="1"/>
  <c r="K29" i="28"/>
  <c r="M15" i="28"/>
  <c r="P6" i="7"/>
  <c r="L15" i="7"/>
  <c r="AM15" i="7" s="1"/>
  <c r="L12" i="17"/>
  <c r="R12" i="17" s="1"/>
  <c r="BP116" i="1"/>
  <c r="L9" i="17"/>
  <c r="R9" i="17" s="1"/>
  <c r="BP114" i="1"/>
  <c r="BP115" i="1"/>
  <c r="BP113" i="1"/>
  <c r="N15" i="7"/>
  <c r="AO15" i="7" s="1"/>
  <c r="BP109" i="1"/>
  <c r="BP117" i="1"/>
  <c r="L5" i="17"/>
  <c r="R5" i="17" s="1"/>
  <c r="AK3" i="7"/>
  <c r="L10" i="17"/>
  <c r="R10" i="17" s="1"/>
  <c r="O15" i="7"/>
  <c r="BP118" i="1"/>
  <c r="L6" i="17"/>
  <c r="R6" i="17" s="1"/>
  <c r="BX11" i="28"/>
  <c r="Q12" i="27" s="1"/>
  <c r="BP107" i="1"/>
  <c r="L3" i="17"/>
  <c r="R3" i="17" s="1"/>
  <c r="G15" i="7"/>
  <c r="AH15" i="7" s="1"/>
  <c r="P11" i="7"/>
  <c r="M19" i="17"/>
  <c r="S19" i="17" s="1"/>
  <c r="P16" i="7"/>
  <c r="M21" i="17"/>
  <c r="M23" i="17" s="1"/>
  <c r="R30" i="1"/>
  <c r="B16" i="28"/>
  <c r="BX16" i="28" s="1"/>
  <c r="Q17" i="27" s="1"/>
  <c r="BC4" i="28"/>
  <c r="AZ40" i="28"/>
  <c r="N14" i="17"/>
  <c r="T14" i="17" s="1"/>
  <c r="AN179" i="1"/>
  <c r="AT193" i="1"/>
  <c r="O18" i="7" s="1"/>
  <c r="AP18" i="7" s="1"/>
  <c r="BP179" i="1"/>
  <c r="BQ179" i="1" s="1"/>
  <c r="N5" i="17"/>
  <c r="T5" i="17" s="1"/>
  <c r="AN170" i="1"/>
  <c r="BP170" i="1"/>
  <c r="BQ170" i="1" s="1"/>
  <c r="AT184" i="1"/>
  <c r="F18" i="7" s="1"/>
  <c r="N18" i="28" s="1"/>
  <c r="N12" i="17"/>
  <c r="T12" i="17" s="1"/>
  <c r="AN177" i="1"/>
  <c r="BP177" i="1"/>
  <c r="BQ177" i="1" s="1"/>
  <c r="AT191" i="1"/>
  <c r="M18" i="7" s="1"/>
  <c r="AN18" i="7" s="1"/>
  <c r="N13" i="17"/>
  <c r="T13" i="17" s="1"/>
  <c r="AN178" i="1"/>
  <c r="BP178" i="1"/>
  <c r="BQ178" i="1" s="1"/>
  <c r="AT192" i="1"/>
  <c r="N18" i="7" s="1"/>
  <c r="AO18" i="7" s="1"/>
  <c r="N11" i="17"/>
  <c r="T11" i="17" s="1"/>
  <c r="AN176" i="1"/>
  <c r="AT190" i="1"/>
  <c r="L18" i="7" s="1"/>
  <c r="AM18" i="7" s="1"/>
  <c r="BP176" i="1"/>
  <c r="BQ176" i="1" s="1"/>
  <c r="P7" i="27"/>
  <c r="P6" i="27"/>
  <c r="N10" i="17"/>
  <c r="T10" i="17" s="1"/>
  <c r="AN175" i="1"/>
  <c r="BP175" i="1"/>
  <c r="BQ175" i="1" s="1"/>
  <c r="M18" i="17"/>
  <c r="S18" i="17" s="1"/>
  <c r="AN40" i="28"/>
  <c r="CL9" i="28"/>
  <c r="CL26" i="28" s="1"/>
  <c r="AT189" i="1"/>
  <c r="K18" i="7" s="1"/>
  <c r="AL18" i="7" s="1"/>
  <c r="CB6" i="28"/>
  <c r="BX6" i="28"/>
  <c r="Q7" i="27" s="1"/>
  <c r="S29" i="17"/>
  <c r="S30" i="17" s="1"/>
  <c r="AC7" i="17"/>
  <c r="AD7" i="17" s="1"/>
  <c r="Z15" i="28"/>
  <c r="AC15" i="28" s="1"/>
  <c r="CC6" i="28"/>
  <c r="AJ15" i="7"/>
  <c r="AF15" i="28"/>
  <c r="AI15" i="28" s="1"/>
  <c r="AF18" i="28"/>
  <c r="AI15" i="7"/>
  <c r="B3" i="28"/>
  <c r="B4" i="28"/>
  <c r="D4" i="28" s="1"/>
  <c r="D29" i="28" s="1"/>
  <c r="F5" i="28"/>
  <c r="BX5" i="28"/>
  <c r="Q6" i="27" s="1"/>
  <c r="AH18" i="7"/>
  <c r="T18" i="28"/>
  <c r="AF18" i="7"/>
  <c r="H18" i="28"/>
  <c r="AI18" i="7"/>
  <c r="Z18" i="28"/>
  <c r="BI8" i="28"/>
  <c r="BN11" i="28"/>
  <c r="CB11" i="28" s="1"/>
  <c r="P4" i="7"/>
  <c r="Z4" i="28"/>
  <c r="E21" i="29" s="1"/>
  <c r="V21" i="29" s="1"/>
  <c r="R188" i="1"/>
  <c r="O195" i="1"/>
  <c r="AJ18" i="7"/>
  <c r="BO199" i="1"/>
  <c r="F20" i="7"/>
  <c r="O5" i="17"/>
  <c r="U5" i="17" s="1"/>
  <c r="BO200" i="1"/>
  <c r="G20" i="7"/>
  <c r="O6" i="17"/>
  <c r="U6" i="17" s="1"/>
  <c r="AE3" i="7"/>
  <c r="BO207" i="1"/>
  <c r="N20" i="7"/>
  <c r="O13" i="17"/>
  <c r="U13" i="17" s="1"/>
  <c r="M20" i="7"/>
  <c r="O12" i="17"/>
  <c r="U12" i="17" s="1"/>
  <c r="BO208" i="1"/>
  <c r="O20" i="7"/>
  <c r="O14" i="17"/>
  <c r="U14" i="17" s="1"/>
  <c r="BO205" i="1"/>
  <c r="L20" i="7"/>
  <c r="O11" i="17"/>
  <c r="U11" i="17" s="1"/>
  <c r="DO25" i="3"/>
  <c r="BP79" i="1"/>
  <c r="BQ79" i="1" s="1"/>
  <c r="BO206" i="1"/>
  <c r="CK25" i="3"/>
  <c r="B35" i="3" s="1"/>
  <c r="I20" i="7" s="1"/>
  <c r="AC25" i="3"/>
  <c r="B31" i="3" s="1"/>
  <c r="CZ25" i="3"/>
  <c r="B36" i="3" s="1"/>
  <c r="BV25" i="3"/>
  <c r="B34" i="3" s="1"/>
  <c r="P12" i="7" l="1"/>
  <c r="Z12" i="28"/>
  <c r="BX12" i="28" s="1"/>
  <c r="Q13" i="27" s="1"/>
  <c r="AW379" i="1"/>
  <c r="AG15" i="7"/>
  <c r="AR15" i="28"/>
  <c r="AU15" i="28" s="1"/>
  <c r="AU29" i="28" s="1"/>
  <c r="AL15" i="28"/>
  <c r="AO15" i="28" s="1"/>
  <c r="AQ15" i="28" s="1"/>
  <c r="AE15" i="7"/>
  <c r="BD15" i="28"/>
  <c r="BG15" i="28" s="1"/>
  <c r="BG29" i="28" s="1"/>
  <c r="AX15" i="28"/>
  <c r="BA15" i="28" s="1"/>
  <c r="BA29" i="28" s="1"/>
  <c r="Q29" i="28"/>
  <c r="S15" i="28"/>
  <c r="AI29" i="28"/>
  <c r="AK15" i="28"/>
  <c r="E29" i="28"/>
  <c r="G15" i="28"/>
  <c r="AC29" i="28"/>
  <c r="AE15" i="28"/>
  <c r="CM4" i="28"/>
  <c r="CM21" i="28" s="1"/>
  <c r="K40" i="28"/>
  <c r="V7" i="27"/>
  <c r="U12" i="27"/>
  <c r="CE11" i="28"/>
  <c r="U7" i="27"/>
  <c r="CE6" i="28"/>
  <c r="P15" i="7"/>
  <c r="BJ15" i="28"/>
  <c r="BM15" i="28" s="1"/>
  <c r="R29" i="17"/>
  <c r="R30" i="17" s="1"/>
  <c r="T15" i="28"/>
  <c r="W15" i="28" s="1"/>
  <c r="L19" i="17"/>
  <c r="R19" i="17" s="1"/>
  <c r="L18" i="17"/>
  <c r="R18" i="17" s="1"/>
  <c r="L21" i="17"/>
  <c r="L23" i="17" s="1"/>
  <c r="T188" i="1"/>
  <c r="BP15" i="28"/>
  <c r="BS15" i="28" s="1"/>
  <c r="AP15" i="7"/>
  <c r="H3" i="7"/>
  <c r="AI3" i="7" s="1"/>
  <c r="BP83" i="1"/>
  <c r="BQ83" i="1" s="1"/>
  <c r="K7" i="17"/>
  <c r="Q7" i="17" s="1"/>
  <c r="Q29" i="17" s="1"/>
  <c r="Q30" i="17" s="1"/>
  <c r="AR18" i="28"/>
  <c r="BP18" i="28"/>
  <c r="AX18" i="28"/>
  <c r="AG18" i="7"/>
  <c r="CF29" i="28"/>
  <c r="CF30" i="28" s="1"/>
  <c r="BJ18" i="28"/>
  <c r="BD18" i="28"/>
  <c r="G4" i="28"/>
  <c r="M41" i="7"/>
  <c r="M44" i="7" s="1"/>
  <c r="AE3" i="17"/>
  <c r="AE4" i="17"/>
  <c r="Z8" i="28"/>
  <c r="AD8" i="28" s="1"/>
  <c r="CB8" i="28" s="1"/>
  <c r="BX4" i="28"/>
  <c r="Q5" i="27" s="1"/>
  <c r="AB4" i="28"/>
  <c r="CL3" i="28"/>
  <c r="CL20" i="28" s="1"/>
  <c r="D40" i="28"/>
  <c r="CB5" i="28"/>
  <c r="G5" i="28"/>
  <c r="CC5" i="28" s="1"/>
  <c r="AM20" i="7"/>
  <c r="AX20" i="28"/>
  <c r="BB20" i="28" s="1"/>
  <c r="AG20" i="7"/>
  <c r="N20" i="28"/>
  <c r="R20" i="28" s="1"/>
  <c r="AN20" i="7"/>
  <c r="BD20" i="28"/>
  <c r="AP20" i="7"/>
  <c r="BP20" i="28"/>
  <c r="AO20" i="7"/>
  <c r="BJ20" i="28"/>
  <c r="AH20" i="7"/>
  <c r="T20" i="28"/>
  <c r="X20" i="28" s="1"/>
  <c r="BO11" i="28"/>
  <c r="CC11" i="28" s="1"/>
  <c r="V12" i="27" s="1"/>
  <c r="P8" i="7"/>
  <c r="F35" i="7"/>
  <c r="B37" i="3"/>
  <c r="DO27" i="3"/>
  <c r="DD2" i="3" s="1"/>
  <c r="N41" i="7"/>
  <c r="N44" i="7" s="1"/>
  <c r="O41" i="7"/>
  <c r="O44" i="7" s="1"/>
  <c r="G35" i="7"/>
  <c r="E20" i="7"/>
  <c r="O4" i="17"/>
  <c r="U4" i="17" s="1"/>
  <c r="D20" i="7"/>
  <c r="O3" i="17"/>
  <c r="U3" i="17" s="1"/>
  <c r="M35" i="7"/>
  <c r="L41" i="7"/>
  <c r="N35" i="7"/>
  <c r="L35" i="7"/>
  <c r="J20" i="7"/>
  <c r="O9" i="17"/>
  <c r="U9" i="17" s="1"/>
  <c r="O8" i="17"/>
  <c r="U8" i="17" s="1"/>
  <c r="O35" i="7"/>
  <c r="H20" i="7"/>
  <c r="O7" i="17"/>
  <c r="BO197" i="1"/>
  <c r="BO198" i="1"/>
  <c r="BO201" i="1"/>
  <c r="BO203" i="1"/>
  <c r="BO202" i="1"/>
  <c r="Z5" i="30" l="1"/>
  <c r="AN174" i="1"/>
  <c r="AM174" i="1"/>
  <c r="AO29" i="28"/>
  <c r="AO40" i="28" s="1"/>
  <c r="BI15" i="28"/>
  <c r="BC15" i="28"/>
  <c r="AW15" i="28"/>
  <c r="W29" i="28"/>
  <c r="Y15" i="28"/>
  <c r="CM5" i="28"/>
  <c r="CM22" i="28" s="1"/>
  <c r="Q40" i="28"/>
  <c r="BS29" i="28"/>
  <c r="BU15" i="28"/>
  <c r="CM8" i="28"/>
  <c r="CM25" i="28" s="1"/>
  <c r="AI40" i="28"/>
  <c r="CM10" i="28"/>
  <c r="CM27" i="28" s="1"/>
  <c r="AU40" i="28"/>
  <c r="CM12" i="28"/>
  <c r="CM29" i="28" s="1"/>
  <c r="BG40" i="28"/>
  <c r="BM29" i="28"/>
  <c r="BO15" i="28"/>
  <c r="CM7" i="28"/>
  <c r="CM24" i="28" s="1"/>
  <c r="AC40" i="28"/>
  <c r="CM3" i="28"/>
  <c r="E40" i="28"/>
  <c r="CA15" i="28"/>
  <c r="CM11" i="28"/>
  <c r="CM28" i="28" s="1"/>
  <c r="BA40" i="28"/>
  <c r="V6" i="27"/>
  <c r="CE5" i="28"/>
  <c r="U9" i="27"/>
  <c r="CE8" i="28"/>
  <c r="U6" i="27"/>
  <c r="BP174" i="1"/>
  <c r="BQ174" i="1" s="1"/>
  <c r="AT188" i="1"/>
  <c r="J18" i="7" s="1"/>
  <c r="AK18" i="7" s="1"/>
  <c r="BX15" i="28"/>
  <c r="Q16" i="27" s="1"/>
  <c r="N9" i="17"/>
  <c r="T9" i="17" s="1"/>
  <c r="K18" i="17"/>
  <c r="Q18" i="17" s="1"/>
  <c r="K21" i="17"/>
  <c r="K23" i="17" s="1"/>
  <c r="K19" i="17"/>
  <c r="Q19" i="17" s="1"/>
  <c r="Z3" i="28"/>
  <c r="BX3" i="28" s="1"/>
  <c r="Q4" i="27" s="1"/>
  <c r="P3" i="7"/>
  <c r="BX8" i="28"/>
  <c r="Q9" i="27" s="1"/>
  <c r="B20" i="28"/>
  <c r="F20" i="28" s="1"/>
  <c r="F29" i="28" s="1"/>
  <c r="CN3" i="28" s="1"/>
  <c r="CN20" i="28" s="1"/>
  <c r="Z20" i="28"/>
  <c r="AD20" i="28" s="1"/>
  <c r="AE20" i="28" s="1"/>
  <c r="AL20" i="28"/>
  <c r="AP20" i="28" s="1"/>
  <c r="AQ20" i="28" s="1"/>
  <c r="AQ29" i="28" s="1"/>
  <c r="AQ40" i="28" s="1"/>
  <c r="H20" i="28"/>
  <c r="L20" i="28" s="1"/>
  <c r="L29" i="28" s="1"/>
  <c r="AB29" i="28"/>
  <c r="AE4" i="28"/>
  <c r="CC4" i="28" s="1"/>
  <c r="V5" i="27" s="1"/>
  <c r="BZ4" i="28"/>
  <c r="AE8" i="28"/>
  <c r="CC8" i="28" s="1"/>
  <c r="V9" i="27" s="1"/>
  <c r="AX29" i="28"/>
  <c r="AX40" i="28" s="1"/>
  <c r="T29" i="28"/>
  <c r="CJ6" i="28" s="1"/>
  <c r="CJ23" i="28" s="1"/>
  <c r="N29" i="28"/>
  <c r="BN20" i="28"/>
  <c r="BJ29" i="28"/>
  <c r="I35" i="7"/>
  <c r="AF20" i="28"/>
  <c r="S20" i="28"/>
  <c r="S29" i="28" s="1"/>
  <c r="S40" i="28" s="1"/>
  <c r="R29" i="28"/>
  <c r="BT20" i="28"/>
  <c r="BP29" i="28"/>
  <c r="BH20" i="28"/>
  <c r="BD29" i="28"/>
  <c r="BC20" i="28"/>
  <c r="BB29" i="28"/>
  <c r="Y20" i="28"/>
  <c r="X29" i="28"/>
  <c r="O10" i="17"/>
  <c r="U10" i="17" s="1"/>
  <c r="K20" i="7"/>
  <c r="BO204" i="1"/>
  <c r="L44" i="7"/>
  <c r="L46" i="7"/>
  <c r="I41" i="7"/>
  <c r="I44" i="7" s="1"/>
  <c r="AE20" i="7"/>
  <c r="AF20" i="7"/>
  <c r="E35" i="7"/>
  <c r="AJ20" i="7"/>
  <c r="AK20" i="7"/>
  <c r="U7" i="17"/>
  <c r="AI20" i="7"/>
  <c r="H35" i="7"/>
  <c r="S5" i="27" l="1"/>
  <c r="S31" i="27" s="1"/>
  <c r="Y5" i="30"/>
  <c r="AB5" i="30" s="1"/>
  <c r="AI5" i="30" s="1"/>
  <c r="CC15" i="28"/>
  <c r="V16" i="27" s="1"/>
  <c r="BC29" i="28"/>
  <c r="BC40" i="28" s="1"/>
  <c r="BA41" i="28" s="1"/>
  <c r="CM9" i="28"/>
  <c r="CM26" i="28" s="1"/>
  <c r="CA29" i="28"/>
  <c r="E46" i="28"/>
  <c r="I61" i="28" s="1"/>
  <c r="I73" i="28" s="1"/>
  <c r="Y29" i="28"/>
  <c r="Y40" i="28" s="1"/>
  <c r="U41" i="28" s="1"/>
  <c r="CM13" i="28"/>
  <c r="CM30" i="28" s="1"/>
  <c r="BM40" i="28"/>
  <c r="CM6" i="28"/>
  <c r="CM23" i="28" s="1"/>
  <c r="CS23" i="28" s="1"/>
  <c r="W40" i="28"/>
  <c r="CM20" i="28"/>
  <c r="T16" i="27"/>
  <c r="Z9" i="30"/>
  <c r="AB9" i="30" s="1"/>
  <c r="AI9" i="30" s="1"/>
  <c r="CM14" i="28"/>
  <c r="CM31" i="28" s="1"/>
  <c r="BS40" i="28"/>
  <c r="J35" i="7"/>
  <c r="AL18" i="28"/>
  <c r="AL29" i="28" s="1"/>
  <c r="AL40" i="28" s="1"/>
  <c r="J41" i="7"/>
  <c r="J44" i="7" s="1"/>
  <c r="CQ23" i="28"/>
  <c r="CR23" i="28"/>
  <c r="AP29" i="28"/>
  <c r="CN9" i="28" s="1"/>
  <c r="CN26" i="28" s="1"/>
  <c r="M20" i="28"/>
  <c r="M29" i="28" s="1"/>
  <c r="M40" i="28" s="1"/>
  <c r="J41" i="28" s="1"/>
  <c r="AD29" i="28"/>
  <c r="AD40" i="28" s="1"/>
  <c r="AL20" i="7"/>
  <c r="H29" i="28"/>
  <c r="H40" i="28" s="1"/>
  <c r="Z29" i="28"/>
  <c r="Z40" i="28" s="1"/>
  <c r="CJ11" i="28"/>
  <c r="CJ28" i="28" s="1"/>
  <c r="AE29" i="28"/>
  <c r="AE40" i="28" s="1"/>
  <c r="AA41" i="28" s="1"/>
  <c r="CL7" i="28"/>
  <c r="AB40" i="28"/>
  <c r="BZ29" i="28"/>
  <c r="D46" i="28"/>
  <c r="I60" i="28" s="1"/>
  <c r="I72" i="28" s="1"/>
  <c r="T40" i="28"/>
  <c r="G20" i="28"/>
  <c r="G29" i="28" s="1"/>
  <c r="U29" i="17"/>
  <c r="U30" i="17" s="1"/>
  <c r="N40" i="28"/>
  <c r="CJ5" i="28"/>
  <c r="CJ22" i="28" s="1"/>
  <c r="L40" i="28"/>
  <c r="CN4" i="28"/>
  <c r="CN21" i="28" s="1"/>
  <c r="X40" i="28"/>
  <c r="CN6" i="28"/>
  <c r="CN23" i="28" s="1"/>
  <c r="CT23" i="28" s="1"/>
  <c r="BP40" i="28"/>
  <c r="CJ14" i="28"/>
  <c r="CJ31" i="28" s="1"/>
  <c r="BB40" i="28"/>
  <c r="CN11" i="28"/>
  <c r="CN28" i="28" s="1"/>
  <c r="R40" i="28"/>
  <c r="R41" i="28" s="1"/>
  <c r="CN5" i="28"/>
  <c r="CN22" i="28" s="1"/>
  <c r="BD40" i="28"/>
  <c r="CJ12" i="28"/>
  <c r="CJ29" i="28" s="1"/>
  <c r="BJ40" i="28"/>
  <c r="CJ13" i="28"/>
  <c r="CJ30" i="28" s="1"/>
  <c r="F40" i="28"/>
  <c r="BU20" i="28"/>
  <c r="BU29" i="28" s="1"/>
  <c r="BU40" i="28" s="1"/>
  <c r="BT29" i="28"/>
  <c r="AN41" i="28"/>
  <c r="AM41" i="28"/>
  <c r="AO41" i="28"/>
  <c r="AJ20" i="28"/>
  <c r="AF29" i="28"/>
  <c r="P41" i="28"/>
  <c r="Q41" i="28"/>
  <c r="O41" i="28"/>
  <c r="O19" i="17"/>
  <c r="U19" i="17" s="1"/>
  <c r="K41" i="7"/>
  <c r="K46" i="7" s="1"/>
  <c r="AR20" i="28"/>
  <c r="BX20" i="28" s="1"/>
  <c r="Q21" i="27" s="1"/>
  <c r="O18" i="17"/>
  <c r="U18" i="17" s="1"/>
  <c r="BI20" i="28"/>
  <c r="BI29" i="28" s="1"/>
  <c r="BI40" i="28" s="1"/>
  <c r="BH29" i="28"/>
  <c r="O21" i="17"/>
  <c r="O23" i="17" s="1"/>
  <c r="BO20" i="28"/>
  <c r="BO29" i="28" s="1"/>
  <c r="BO40" i="28" s="1"/>
  <c r="BN29" i="28"/>
  <c r="P20" i="7"/>
  <c r="K35" i="7"/>
  <c r="E20" i="11"/>
  <c r="E34" i="11" s="1"/>
  <c r="AJ9" i="30" l="1"/>
  <c r="AO7" i="30"/>
  <c r="AJ5" i="30"/>
  <c r="AO6" i="30"/>
  <c r="T31" i="27"/>
  <c r="W41" i="28"/>
  <c r="V41" i="28"/>
  <c r="BB41" i="28"/>
  <c r="AY41" i="28"/>
  <c r="AZ41" i="28"/>
  <c r="J46" i="7"/>
  <c r="M46" i="7" s="1"/>
  <c r="X41" i="28"/>
  <c r="CA40" i="28"/>
  <c r="T44" i="27" s="1"/>
  <c r="E49" i="28"/>
  <c r="G61" i="28" s="1"/>
  <c r="G73" i="28" s="1"/>
  <c r="CM32" i="28"/>
  <c r="CM15" i="28"/>
  <c r="P35" i="7"/>
  <c r="CJ9" i="28"/>
  <c r="CJ26" i="28" s="1"/>
  <c r="CS26" i="28" s="1"/>
  <c r="CT22" i="28"/>
  <c r="K41" i="28"/>
  <c r="CQ31" i="28"/>
  <c r="CS31" i="28"/>
  <c r="CR31" i="28"/>
  <c r="I41" i="28"/>
  <c r="CL15" i="28"/>
  <c r="CL24" i="28"/>
  <c r="CQ29" i="28"/>
  <c r="CS29" i="28"/>
  <c r="CR29" i="28"/>
  <c r="AP40" i="28"/>
  <c r="AP41" i="28" s="1"/>
  <c r="CQ30" i="28"/>
  <c r="CS30" i="28"/>
  <c r="CR30" i="28"/>
  <c r="CQ28" i="28"/>
  <c r="CS28" i="28"/>
  <c r="CR28" i="28"/>
  <c r="L41" i="28"/>
  <c r="CQ22" i="28"/>
  <c r="CS22" i="28"/>
  <c r="CR22" i="28"/>
  <c r="CT28" i="28"/>
  <c r="CJ4" i="28"/>
  <c r="CJ21" i="28" s="1"/>
  <c r="CT21" i="28" s="1"/>
  <c r="AC41" i="28"/>
  <c r="AB41" i="28"/>
  <c r="CJ7" i="28"/>
  <c r="CJ24" i="28" s="1"/>
  <c r="CN7" i="28"/>
  <c r="CN24" i="28" s="1"/>
  <c r="AD41" i="28"/>
  <c r="BZ40" i="28"/>
  <c r="S44" i="27" s="1"/>
  <c r="D49" i="28"/>
  <c r="BH40" i="28"/>
  <c r="BH41" i="28" s="1"/>
  <c r="CN12" i="28"/>
  <c r="CN29" i="28" s="1"/>
  <c r="CT29" i="28" s="1"/>
  <c r="BN40" i="28"/>
  <c r="BN41" i="28" s="1"/>
  <c r="CN13" i="28"/>
  <c r="CN30" i="28" s="1"/>
  <c r="CT30" i="28" s="1"/>
  <c r="AF40" i="28"/>
  <c r="CJ8" i="28"/>
  <c r="CJ25" i="28" s="1"/>
  <c r="BT40" i="28"/>
  <c r="BT41" i="28" s="1"/>
  <c r="CN14" i="28"/>
  <c r="CN31" i="28" s="1"/>
  <c r="CT31" i="28" s="1"/>
  <c r="G40" i="28"/>
  <c r="AV20" i="28"/>
  <c r="CB20" i="28" s="1"/>
  <c r="CE20" i="28" s="1"/>
  <c r="CE29" i="28" s="1"/>
  <c r="AR29" i="28"/>
  <c r="AK20" i="28"/>
  <c r="AJ29" i="28"/>
  <c r="CN8" i="28" s="1"/>
  <c r="CN25" i="28" s="1"/>
  <c r="BK41" i="28"/>
  <c r="K44" i="7"/>
  <c r="BM41" i="28"/>
  <c r="BL41" i="28"/>
  <c r="P41" i="7"/>
  <c r="P44" i="7" s="1"/>
  <c r="R46" i="7" s="1"/>
  <c r="R47" i="7" s="1"/>
  <c r="R48" i="7" s="1"/>
  <c r="BS41" i="28"/>
  <c r="BQ41" i="28"/>
  <c r="BR41" i="28"/>
  <c r="BE41" i="28"/>
  <c r="BF41" i="28"/>
  <c r="BG41" i="28"/>
  <c r="E35" i="11"/>
  <c r="E38" i="11"/>
  <c r="G34" i="11"/>
  <c r="E39" i="11"/>
  <c r="AP7" i="30" l="1"/>
  <c r="AQ7" i="30"/>
  <c r="AP6" i="30"/>
  <c r="AQ6" i="30"/>
  <c r="CQ26" i="28"/>
  <c r="CT26" i="28"/>
  <c r="CR26" i="28"/>
  <c r="U21" i="27"/>
  <c r="Z12" i="30"/>
  <c r="AB12" i="30" s="1"/>
  <c r="AI12" i="30" s="1"/>
  <c r="CT25" i="28"/>
  <c r="CQ24" i="28"/>
  <c r="CS24" i="28"/>
  <c r="CR24" i="28"/>
  <c r="CL32" i="28"/>
  <c r="CQ21" i="28"/>
  <c r="CS21" i="28"/>
  <c r="CR21" i="28"/>
  <c r="CQ25" i="28"/>
  <c r="CS25" i="28"/>
  <c r="CR25" i="28"/>
  <c r="CT24" i="28"/>
  <c r="G60" i="28"/>
  <c r="AR40" i="28"/>
  <c r="CJ10" i="28"/>
  <c r="CJ27" i="28" s="1"/>
  <c r="AK29" i="28"/>
  <c r="AK40" i="28" s="1"/>
  <c r="E41" i="28"/>
  <c r="C41" i="28"/>
  <c r="D41" i="28"/>
  <c r="F41" i="28"/>
  <c r="R41" i="7"/>
  <c r="R44" i="7"/>
  <c r="AJ40" i="28"/>
  <c r="AW20" i="28"/>
  <c r="AW29" i="28" s="1"/>
  <c r="AW40" i="28" s="1"/>
  <c r="AV29" i="28"/>
  <c r="P168" i="1"/>
  <c r="R168" i="1" l="1"/>
  <c r="T168" i="1" s="1"/>
  <c r="AM168" i="1" s="1"/>
  <c r="AK168" i="1"/>
  <c r="AL168" i="1" s="1"/>
  <c r="AM182" i="1" s="1"/>
  <c r="AJ12" i="30"/>
  <c r="AO10" i="30"/>
  <c r="U31" i="27"/>
  <c r="G72" i="28"/>
  <c r="CQ27" i="28"/>
  <c r="CS27" i="28"/>
  <c r="CR27" i="28"/>
  <c r="AV40" i="28"/>
  <c r="AV41" i="28" s="1"/>
  <c r="CN10" i="28"/>
  <c r="CC40" i="28"/>
  <c r="V44" i="27" s="1"/>
  <c r="G46" i="28"/>
  <c r="CC20" i="28"/>
  <c r="V21" i="27" s="1"/>
  <c r="CC29" i="28"/>
  <c r="CB29" i="28"/>
  <c r="AH41" i="28"/>
  <c r="AG41" i="28"/>
  <c r="AI41" i="28"/>
  <c r="G49" i="28"/>
  <c r="AS41" i="28"/>
  <c r="AT41" i="28"/>
  <c r="AU41" i="28"/>
  <c r="F46" i="28"/>
  <c r="I62" i="28" s="1"/>
  <c r="AJ41" i="28"/>
  <c r="N3" i="17" l="1"/>
  <c r="N21" i="17" s="1"/>
  <c r="N23" i="17" s="1"/>
  <c r="BP168" i="1"/>
  <c r="BQ168" i="1" s="1"/>
  <c r="AN168" i="1"/>
  <c r="AT182" i="1"/>
  <c r="D18" i="7" s="1"/>
  <c r="B18" i="28" s="1"/>
  <c r="B29" i="28" s="1"/>
  <c r="B40" i="28" s="1"/>
  <c r="AP10" i="30"/>
  <c r="AQ10" i="30"/>
  <c r="CB40" i="28"/>
  <c r="U44" i="27" s="1"/>
  <c r="F49" i="28"/>
  <c r="E48" i="28" s="1"/>
  <c r="F48" i="28" s="1"/>
  <c r="CN15" i="28"/>
  <c r="CN27" i="28"/>
  <c r="F50" i="28"/>
  <c r="I74" i="28"/>
  <c r="I75" i="28" s="1"/>
  <c r="I63" i="28"/>
  <c r="E50" i="28"/>
  <c r="C50" i="28"/>
  <c r="D50" i="28"/>
  <c r="D35" i="7" l="1"/>
  <c r="P18" i="7"/>
  <c r="N19" i="17"/>
  <c r="T19" i="17" s="1"/>
  <c r="N24" i="17"/>
  <c r="T3" i="17"/>
  <c r="T29" i="17" s="1"/>
  <c r="T30" i="17" s="1"/>
  <c r="AE18" i="7"/>
  <c r="N18" i="17"/>
  <c r="T18" i="17" s="1"/>
  <c r="AT195" i="1"/>
  <c r="V31" i="27"/>
  <c r="G62" i="28"/>
  <c r="G63" i="28" s="1"/>
  <c r="CT27" i="28"/>
  <c r="CN32" i="28"/>
  <c r="BX18" i="28"/>
  <c r="Q19" i="27" s="1"/>
  <c r="I76" i="28"/>
  <c r="I90" i="28"/>
  <c r="I91" i="28" s="1"/>
  <c r="B46" i="28"/>
  <c r="BX29" i="28"/>
  <c r="CJ3" i="28"/>
  <c r="B49" i="28"/>
  <c r="BX40" i="28"/>
  <c r="I65" i="28"/>
  <c r="I66" i="28"/>
  <c r="I67" i="28"/>
  <c r="I68" i="28"/>
  <c r="Q31" i="27" l="1"/>
  <c r="G74" i="28"/>
  <c r="G75" i="28" s="1"/>
  <c r="R75" i="28" s="1"/>
  <c r="CJ15" i="28"/>
  <c r="CM16" i="28" s="1"/>
  <c r="CJ20" i="28"/>
  <c r="E51" i="28"/>
  <c r="C51" i="28"/>
  <c r="D51" i="28"/>
  <c r="F51" i="28"/>
  <c r="I82" i="28"/>
  <c r="I69" i="28"/>
  <c r="G68" i="28"/>
  <c r="G66" i="28"/>
  <c r="G65" i="28"/>
  <c r="R63" i="28"/>
  <c r="G67" i="28"/>
  <c r="Q44" i="27" l="1"/>
  <c r="CK16" i="28"/>
  <c r="CJ34" i="28"/>
  <c r="CJ33" i="28"/>
  <c r="CL16" i="28"/>
  <c r="CN16" i="28"/>
  <c r="G82" i="28"/>
  <c r="G83" i="28" s="1"/>
  <c r="CJ32" i="28"/>
  <c r="CS20" i="28"/>
  <c r="CS32" i="28" s="1"/>
  <c r="CQ20" i="28"/>
  <c r="CQ32" i="28" s="1"/>
  <c r="CR20" i="28"/>
  <c r="CR32" i="28" s="1"/>
  <c r="CT20" i="28"/>
  <c r="CT32" i="28" s="1"/>
  <c r="G69" i="28"/>
  <c r="CK33" i="28" l="1"/>
  <c r="CM33" i="28"/>
  <c r="CL33" i="28"/>
  <c r="CN33" i="28"/>
  <c r="R82" i="28"/>
  <c r="Q75" i="28"/>
  <c r="C43" i="32"/>
  <c r="C38" i="32" s="1"/>
</calcChain>
</file>

<file path=xl/comments1.xml><?xml version="1.0" encoding="utf-8"?>
<comments xmlns="http://schemas.openxmlformats.org/spreadsheetml/2006/main">
  <authors>
    <author>Ajit Agrahari</author>
  </authors>
  <commentList>
    <comment ref="Q4" authorId="0" shapeId="0">
      <text>
        <r>
          <rPr>
            <b/>
            <sz val="9"/>
            <color indexed="81"/>
            <rFont val="Tahoma"/>
            <family val="2"/>
          </rPr>
          <t>Ajit Agrahari:</t>
        </r>
        <r>
          <rPr>
            <sz val="9"/>
            <color indexed="81"/>
            <rFont val="Tahoma"/>
            <family val="2"/>
          </rPr>
          <t xml:space="preserve">
Winder Operator - 18
Chips Charging - 3
Dryer - 6
Spinning + Control Room - 9
Data Entry - 1
Burn Out - 6</t>
        </r>
      </text>
    </comment>
    <comment ref="Q5" authorId="0" shapeId="0">
      <text>
        <r>
          <rPr>
            <b/>
            <sz val="9"/>
            <color indexed="81"/>
            <rFont val="Tahoma"/>
            <family val="2"/>
          </rPr>
          <t>Ajit Agrahari:</t>
        </r>
        <r>
          <rPr>
            <sz val="9"/>
            <color indexed="81"/>
            <rFont val="Tahoma"/>
            <family val="2"/>
          </rPr>
          <t xml:space="preserve">
Winder Operator - 13
Material Handling - 3
Spinning - Operator - 4
G-Burnout - 4
H-DRYER (BCF+POY) - 3
Chips Charging - 3</t>
        </r>
      </text>
    </comment>
    <comment ref="Q6" authorId="0" shapeId="0">
      <text>
        <r>
          <rPr>
            <b/>
            <sz val="9"/>
            <color indexed="81"/>
            <rFont val="Tahoma"/>
            <family val="2"/>
          </rPr>
          <t>Ajit Agrahari:</t>
        </r>
        <r>
          <rPr>
            <sz val="9"/>
            <color indexed="81"/>
            <rFont val="Tahoma"/>
            <family val="2"/>
          </rPr>
          <t xml:space="preserve">
Operator - 62
Helper - 9 
Jobber - 3
Fitter - 3
Material Handler - 3
Paper Tube Segregation - 1
Roping (Mandays) - 3</t>
        </r>
      </text>
    </comment>
    <comment ref="Q7" authorId="0" shapeId="0">
      <text>
        <r>
          <rPr>
            <b/>
            <sz val="9"/>
            <color indexed="81"/>
            <rFont val="Tahoma"/>
            <family val="2"/>
          </rPr>
          <t>Ajit Agrahari:</t>
        </r>
        <r>
          <rPr>
            <sz val="9"/>
            <color indexed="81"/>
            <rFont val="Tahoma"/>
            <family val="2"/>
          </rPr>
          <t xml:space="preserve">
Operator : 24
Jobber : 3</t>
        </r>
      </text>
    </comment>
    <comment ref="Q8" authorId="0" shapeId="0">
      <text>
        <r>
          <rPr>
            <b/>
            <sz val="9"/>
            <color indexed="81"/>
            <rFont val="Tahoma"/>
            <family val="2"/>
          </rPr>
          <t>Ajit Agrahari:</t>
        </r>
        <r>
          <rPr>
            <sz val="9"/>
            <color indexed="81"/>
            <rFont val="Tahoma"/>
            <family val="2"/>
          </rPr>
          <t xml:space="preserve">
Operator : 15</t>
        </r>
      </text>
    </comment>
    <comment ref="Q9" authorId="0" shapeId="0">
      <text>
        <r>
          <rPr>
            <b/>
            <sz val="9"/>
            <color indexed="81"/>
            <rFont val="Tahoma"/>
            <family val="2"/>
          </rPr>
          <t>Ajit Agrahari:</t>
        </r>
        <r>
          <rPr>
            <sz val="9"/>
            <color indexed="81"/>
            <rFont val="Tahoma"/>
            <family val="2"/>
          </rPr>
          <t xml:space="preserve">
COPs Winder : 10
PTST : 31
Assembly Winder : 30
TFO : 17
Auto Clave: 6
Helper - 12
Fitter - 3
Jobber - 3
DEO - 3
HR - 3</t>
        </r>
      </text>
    </comment>
    <comment ref="Q12" authorId="0" shapeId="0">
      <text>
        <r>
          <rPr>
            <b/>
            <sz val="9"/>
            <color indexed="81"/>
            <rFont val="Tahoma"/>
            <family val="2"/>
          </rPr>
          <t>Ajit Agrahari:</t>
        </r>
        <r>
          <rPr>
            <sz val="9"/>
            <color indexed="81"/>
            <rFont val="Tahoma"/>
            <family val="2"/>
          </rPr>
          <t xml:space="preserve">
Operator - 55
Jobber - 3
Material Handler - 3
Helper - 3</t>
        </r>
      </text>
    </comment>
    <comment ref="Q13" authorId="0" shapeId="0">
      <text>
        <r>
          <rPr>
            <b/>
            <sz val="9"/>
            <color indexed="81"/>
            <rFont val="Tahoma"/>
            <family val="2"/>
          </rPr>
          <t>Ajit Agrahari:</t>
        </r>
        <r>
          <rPr>
            <sz val="9"/>
            <color indexed="81"/>
            <rFont val="Tahoma"/>
            <family val="2"/>
          </rPr>
          <t xml:space="preserve">
Operator - 63
Jobber - 3
Material Handler - 3
Paper Tube Segregation - 3
Fitter - 3</t>
        </r>
      </text>
    </comment>
    <comment ref="Q14" authorId="0" shapeId="0">
      <text>
        <r>
          <rPr>
            <b/>
            <sz val="9"/>
            <color indexed="81"/>
            <rFont val="Tahoma"/>
            <family val="2"/>
          </rPr>
          <t>Ajit Agrahari:</t>
        </r>
        <r>
          <rPr>
            <sz val="9"/>
            <color indexed="81"/>
            <rFont val="Tahoma"/>
            <family val="2"/>
          </rPr>
          <t xml:space="preserve">
Roping Operators: 6
Yarn Packing: 12
Papertube Repair: 3
Forklift Operator: 3</t>
        </r>
      </text>
    </comment>
    <comment ref="Q15" authorId="0" shapeId="0">
      <text>
        <r>
          <rPr>
            <b/>
            <sz val="9"/>
            <color indexed="81"/>
            <rFont val="Tahoma"/>
            <family val="2"/>
          </rPr>
          <t>Ajit Agrahari:</t>
        </r>
        <r>
          <rPr>
            <sz val="9"/>
            <color indexed="81"/>
            <rFont val="Tahoma"/>
            <family val="2"/>
          </rPr>
          <t xml:space="preserve">
MASTERBATCH DEVELOPMENT - 12
LAB DIP PROCESS - 3
QC DOCUMENT/SAP ENTRY - 3
MASTERBATCH PRODUCTION - 9
New Extruder - 6</t>
        </r>
      </text>
    </comment>
    <comment ref="Q16" authorId="0" shapeId="0">
      <text>
        <r>
          <rPr>
            <b/>
            <sz val="9"/>
            <color indexed="81"/>
            <rFont val="Tahoma"/>
            <family val="2"/>
          </rPr>
          <t>Ajit Agrahari:</t>
        </r>
        <r>
          <rPr>
            <sz val="9"/>
            <color indexed="81"/>
            <rFont val="Tahoma"/>
            <family val="2"/>
          </rPr>
          <t xml:space="preserve">
Operator - 42
Minder - 21
Creel Loading Crew - 42
Jobber - 3
MHE - 5
Blade Grinder - 3
Technician - 6
Rewinding and Bit Winding - 21
Yarn Clearance - 6
Roll Packing - 3
Rope - 12</t>
        </r>
      </text>
    </comment>
    <comment ref="Q17" authorId="0" shapeId="0">
      <text>
        <r>
          <rPr>
            <b/>
            <sz val="9"/>
            <color indexed="81"/>
            <rFont val="Tahoma"/>
            <family val="2"/>
          </rPr>
          <t>Ajit Agrahari:</t>
        </r>
        <r>
          <rPr>
            <sz val="9"/>
            <color indexed="81"/>
            <rFont val="Tahoma"/>
            <family val="2"/>
          </rPr>
          <t xml:space="preserve">
Chromojet Operator : 24
Digital Operator: 13
Sample M/C : 6
Jobber+DEO : 3
Forklift Operator: 3</t>
        </r>
      </text>
    </comment>
    <comment ref="Q19" authorId="0" shapeId="0">
      <text>
        <r>
          <rPr>
            <b/>
            <sz val="9"/>
            <color indexed="81"/>
            <rFont val="Tahoma"/>
            <family val="2"/>
          </rPr>
          <t>Ajit Agrahari:</t>
        </r>
        <r>
          <rPr>
            <sz val="9"/>
            <color indexed="81"/>
            <rFont val="Tahoma"/>
            <family val="2"/>
          </rPr>
          <t xml:space="preserve">
CT Line Operator : 37
W2W Line Operator : 30
Calcium Loading - 2
Pearl Mill - 5
Compounding - 5
MP for Rework - 9
Forklift Driver - 6
Side Matching - 8
TPR - 6
Rerolling - 6
</t>
        </r>
      </text>
    </comment>
    <comment ref="Q21" authorId="0" shapeId="0">
      <text>
        <r>
          <rPr>
            <b/>
            <sz val="9"/>
            <color indexed="81"/>
            <rFont val="Tahoma"/>
            <family val="2"/>
          </rPr>
          <t>Ajit Agrahari:</t>
        </r>
        <r>
          <rPr>
            <sz val="9"/>
            <color indexed="81"/>
            <rFont val="Tahoma"/>
            <family val="2"/>
          </rPr>
          <t xml:space="preserve">
Length Cutting - 8
Length Overedging - 10
Cross Cutting - 9
Combiline - 29
Table Cutting - 21
Manual Overedging - 23
Bar Tak - 8
Packing Line - 139
RRS - 12
Fitter - 4
DEO - 6
Compliance - 2
Jobber - Cutting - 3
Jobber - Stitching - 3
Jobber - Packing &amp; CT packing - 6
Trims Handler - 3</t>
        </r>
      </text>
    </comment>
    <comment ref="Q22" authorId="0" shapeId="0">
      <text>
        <r>
          <rPr>
            <b/>
            <sz val="9"/>
            <color indexed="81"/>
            <rFont val="Tahoma"/>
            <family val="2"/>
          </rPr>
          <t>Ajit Agrahari:</t>
        </r>
        <r>
          <rPr>
            <sz val="9"/>
            <color indexed="81"/>
            <rFont val="Tahoma"/>
            <family val="2"/>
          </rPr>
          <t xml:space="preserve">
Yarn : 6
Tufting &amp; Printing: 3
Coating and CSP : 3</t>
        </r>
      </text>
    </comment>
    <comment ref="Q23" authorId="0" shapeId="0">
      <text>
        <r>
          <rPr>
            <b/>
            <sz val="9"/>
            <color indexed="81"/>
            <rFont val="Tahoma"/>
            <family val="2"/>
          </rPr>
          <t>Ajit Agrahari:</t>
        </r>
        <r>
          <rPr>
            <sz val="9"/>
            <color indexed="81"/>
            <rFont val="Tahoma"/>
            <family val="2"/>
          </rPr>
          <t xml:space="preserve">
Yarn : 34
Tufting : 3
Printing: 3
Coating: 19
CSP: 37</t>
        </r>
      </text>
    </comment>
    <comment ref="Q24" authorId="0" shapeId="0">
      <text>
        <r>
          <rPr>
            <b/>
            <sz val="9"/>
            <color indexed="81"/>
            <rFont val="Tahoma"/>
            <family val="2"/>
          </rPr>
          <t>Ajit Agrahari:</t>
        </r>
        <r>
          <rPr>
            <sz val="9"/>
            <color indexed="81"/>
            <rFont val="Tahoma"/>
            <family val="2"/>
          </rPr>
          <t xml:space="preserve">
Yarn : 24
Tufting &amp; Coating: 26</t>
        </r>
      </text>
    </comment>
    <comment ref="Q27" authorId="0" shapeId="0">
      <text>
        <r>
          <rPr>
            <b/>
            <sz val="9"/>
            <color indexed="81"/>
            <rFont val="Tahoma"/>
            <family val="2"/>
          </rPr>
          <t>Ajit Agrahari:</t>
        </r>
        <r>
          <rPr>
            <sz val="9"/>
            <color indexed="81"/>
            <rFont val="Tahoma"/>
            <family val="2"/>
          </rPr>
          <t xml:space="preserve">
</t>
        </r>
        <r>
          <rPr>
            <b/>
            <sz val="9"/>
            <color indexed="81"/>
            <rFont val="Tahoma"/>
            <family val="2"/>
          </rPr>
          <t xml:space="preserve">SCM - Store 
</t>
        </r>
        <r>
          <rPr>
            <sz val="9"/>
            <color indexed="81"/>
            <rFont val="Tahoma"/>
            <family val="2"/>
          </rPr>
          <t xml:space="preserve">Yarn - 9
Tufting - 12
Coating - 7
CSP - 8
</t>
        </r>
        <r>
          <rPr>
            <b/>
            <sz val="9"/>
            <color indexed="81"/>
            <rFont val="Tahoma"/>
            <family val="2"/>
          </rPr>
          <t xml:space="preserve">SCM - Warehouse   
</t>
        </r>
        <r>
          <rPr>
            <sz val="9"/>
            <color indexed="81"/>
            <rFont val="Tahoma"/>
            <family val="2"/>
          </rPr>
          <t>Tufting - 10
CSP/Coating - 26</t>
        </r>
      </text>
    </comment>
    <comment ref="Q28" authorId="0" shapeId="0">
      <text>
        <r>
          <rPr>
            <b/>
            <sz val="9"/>
            <color indexed="81"/>
            <rFont val="Tahoma"/>
            <family val="2"/>
          </rPr>
          <t>Ajit Agrahari:</t>
        </r>
        <r>
          <rPr>
            <sz val="9"/>
            <color indexed="81"/>
            <rFont val="Tahoma"/>
            <family val="2"/>
          </rPr>
          <t xml:space="preserve">
Store Unloading - 13
Scrap Bailing - 12
GRN DEO - 1
Stores – Engg. - 3
Purchase - 1</t>
        </r>
      </text>
    </comment>
    <comment ref="Q29" authorId="0" shapeId="0">
      <text>
        <r>
          <rPr>
            <b/>
            <sz val="9"/>
            <color indexed="81"/>
            <rFont val="Tahoma"/>
            <family val="2"/>
          </rPr>
          <t>Ajit Agrahari:</t>
        </r>
        <r>
          <rPr>
            <sz val="9"/>
            <color indexed="81"/>
            <rFont val="Tahoma"/>
            <family val="2"/>
          </rPr>
          <t xml:space="preserve">
</t>
        </r>
        <r>
          <rPr>
            <b/>
            <sz val="9"/>
            <color indexed="81"/>
            <rFont val="Tahoma"/>
            <family val="2"/>
          </rPr>
          <t>PPC - 4
Safety - 9
DEO/ASST/FIN./HR/TO - 7
TRAINER - 6
Admin - 157</t>
        </r>
        <r>
          <rPr>
            <sz val="9"/>
            <color indexed="81"/>
            <rFont val="Tahoma"/>
            <family val="2"/>
          </rPr>
          <t xml:space="preserve">
Security - SIS - 36
Security - ASO - 5
Security - SAP weigh - 6
Security - Mantra - 1
Horticulture - Vividh - 22
Fire &amp; Safety - OHC/Ambulance Vivara/veeassure - 9
Genral Admin - Reception &amp; Courrier Services - 1
Genral Admin - Kiartabad - 1
Genral Admin - Scrap supervisor - 1
Genral Admin - Central service - 1
Guest House - Prism Hospitality - 6
Housekeeping - IBS Hostel - 11
Housekeeping - Plant &amp; Common area Forbes - 43
Temple - Veeassure - 2
Transport - Veeassure - 3
CMS - 2
Pass Section - 1
</t>
        </r>
      </text>
    </comment>
  </commentList>
</comments>
</file>

<file path=xl/comments2.xml><?xml version="1.0" encoding="utf-8"?>
<comments xmlns="http://schemas.openxmlformats.org/spreadsheetml/2006/main">
  <authors>
    <author>MirzaAli Jaffer</author>
  </authors>
  <commentList>
    <comment ref="A17" authorId="0" shapeId="0">
      <text>
        <r>
          <rPr>
            <b/>
            <sz val="10"/>
            <color indexed="81"/>
            <rFont val="Tahoma"/>
            <family val="2"/>
          </rPr>
          <t>MirzaAli Jaffer:</t>
        </r>
        <r>
          <rPr>
            <sz val="10"/>
            <color indexed="81"/>
            <rFont val="Tahoma"/>
            <family val="2"/>
          </rPr>
          <t xml:space="preserve">
Taken from Multiply</t>
        </r>
      </text>
    </comment>
    <comment ref="A18" authorId="0" shapeId="0">
      <text>
        <r>
          <rPr>
            <b/>
            <sz val="10"/>
            <color indexed="81"/>
            <rFont val="Tahoma"/>
            <family val="2"/>
          </rPr>
          <t>MirzaAli Jaffer:</t>
        </r>
        <r>
          <rPr>
            <sz val="10"/>
            <color indexed="81"/>
            <rFont val="Tahoma"/>
            <family val="2"/>
          </rPr>
          <t xml:space="preserve">
Taken from Multiply</t>
        </r>
      </text>
    </comment>
    <comment ref="A19" authorId="0" shapeId="0">
      <text>
        <r>
          <rPr>
            <b/>
            <sz val="10"/>
            <color indexed="81"/>
            <rFont val="Tahoma"/>
            <family val="2"/>
          </rPr>
          <t>MirzaAli Jaffer:</t>
        </r>
        <r>
          <rPr>
            <sz val="10"/>
            <color indexed="81"/>
            <rFont val="Tahoma"/>
            <family val="2"/>
          </rPr>
          <t xml:space="preserve">
Only Area Rugs - Foam req taken</t>
        </r>
      </text>
    </comment>
    <comment ref="A20" authorId="0" shapeId="0">
      <text>
        <r>
          <rPr>
            <b/>
            <sz val="10"/>
            <color indexed="81"/>
            <rFont val="Tahoma"/>
            <family val="2"/>
          </rPr>
          <t>MirzaAli Jaffer:</t>
        </r>
        <r>
          <rPr>
            <sz val="10"/>
            <color indexed="81"/>
            <rFont val="Tahoma"/>
            <family val="2"/>
          </rPr>
          <t xml:space="preserve">
Explanation required for Tufting PPC data and req
</t>
        </r>
      </text>
    </comment>
  </commentList>
</comments>
</file>

<file path=xl/comments3.xml><?xml version="1.0" encoding="utf-8"?>
<comments xmlns="http://schemas.openxmlformats.org/spreadsheetml/2006/main">
  <authors>
    <author>Ajit Agrahari</author>
    <author>MirzaAli Jaffer</author>
    <author>Author</author>
  </authors>
  <commentList>
    <comment ref="S4" authorId="0" shapeId="0">
      <text>
        <r>
          <rPr>
            <b/>
            <sz val="9"/>
            <color indexed="81"/>
            <rFont val="Tahoma"/>
            <family val="2"/>
          </rPr>
          <t>Ajit Agrahari:</t>
        </r>
        <r>
          <rPr>
            <sz val="9"/>
            <color indexed="81"/>
            <rFont val="Tahoma"/>
            <family val="2"/>
          </rPr>
          <t xml:space="preserve">
Material Handling - 3
Spinning - Operator - 4
G-Burnout - 4
H-DRYER (BCF+POY) - 3
Chips Charging - 3</t>
        </r>
      </text>
    </comment>
    <comment ref="X4" authorId="1" shapeId="0">
      <text>
        <r>
          <rPr>
            <b/>
            <sz val="10"/>
            <color indexed="81"/>
            <rFont val="Tahoma"/>
            <family val="2"/>
          </rPr>
          <t>MirzaAli Jaffer:</t>
        </r>
        <r>
          <rPr>
            <sz val="10"/>
            <color indexed="81"/>
            <rFont val="Tahoma"/>
            <family val="2"/>
          </rPr>
          <t xml:space="preserve">
IF the prod reqmt exceeds the available capacity, then for mp calculation, we have to take available no. of machines.</t>
        </r>
      </text>
    </comment>
    <comment ref="S5" authorId="0" shapeId="0">
      <text>
        <r>
          <rPr>
            <b/>
            <sz val="9"/>
            <color indexed="81"/>
            <rFont val="Tahoma"/>
            <family val="2"/>
          </rPr>
          <t>Ajit Agrahari:</t>
        </r>
        <r>
          <rPr>
            <sz val="9"/>
            <color indexed="81"/>
            <rFont val="Tahoma"/>
            <family val="2"/>
          </rPr>
          <t xml:space="preserve">
Material Handling - 3
Spinning - Operator - 4
G-Burnout - 4
H-DRYER (BCF+POY) - 3
Chips Charging - 3</t>
        </r>
      </text>
    </comment>
    <comment ref="AC5" authorId="1" shapeId="0">
      <text>
        <r>
          <rPr>
            <b/>
            <sz val="10"/>
            <color indexed="81"/>
            <rFont val="Tahoma"/>
            <family val="2"/>
          </rPr>
          <t>MirzaAli Jaffer:</t>
        </r>
        <r>
          <rPr>
            <sz val="10"/>
            <color indexed="81"/>
            <rFont val="Tahoma"/>
            <family val="2"/>
          </rPr>
          <t xml:space="preserve">
If the mp/shift is in decimal, and the decimal is more than .3, then roundup at mp/shift, else if less than .3, then roundup at mp/day</t>
        </r>
      </text>
    </comment>
    <comment ref="AD5" authorId="1" shapeId="0">
      <text>
        <r>
          <rPr>
            <b/>
            <sz val="10"/>
            <color indexed="81"/>
            <rFont val="Tahoma"/>
            <family val="2"/>
          </rPr>
          <t xml:space="preserve">MirzaAli Jaffer:
</t>
        </r>
        <r>
          <rPr>
            <sz val="10"/>
            <color indexed="81"/>
            <rFont val="Tahoma"/>
            <family val="2"/>
          </rPr>
          <t>There are 3 logics that we applied to find Total HC Req. /Day
first one is just multiply into 3 shifts
Second is if Total HC Req. /Shift has decimal values lesser than .3, then ROUNDUP at per day
Third is shift buckets
Here in BCF we are using the 2nd logic</t>
        </r>
      </text>
    </comment>
    <comment ref="AE5" authorId="1" shapeId="0">
      <text>
        <r>
          <rPr>
            <b/>
            <sz val="10"/>
            <color indexed="81"/>
            <rFont val="Tahoma"/>
            <family val="2"/>
          </rPr>
          <t xml:space="preserve">MirzaAli Jaffer:
</t>
        </r>
        <r>
          <rPr>
            <sz val="10"/>
            <color indexed="81"/>
            <rFont val="Tahoma"/>
            <family val="2"/>
          </rPr>
          <t>There are 3 logics that we applied to find Total HC Req. /Day
first one is just multiply into 3 shifts
Second is if Total HC Req. /Shift has decimal values lesser than .3, then ROUNDUP at per day
Third is shift buckets
Here in BCF we are using the 2nd logic</t>
        </r>
      </text>
    </comment>
    <comment ref="S6" authorId="0" shapeId="0">
      <text>
        <r>
          <rPr>
            <b/>
            <sz val="9"/>
            <color indexed="81"/>
            <rFont val="Tahoma"/>
            <family val="2"/>
          </rPr>
          <t>Ajit Agrahari:</t>
        </r>
        <r>
          <rPr>
            <sz val="9"/>
            <color indexed="81"/>
            <rFont val="Tahoma"/>
            <family val="2"/>
          </rPr>
          <t xml:space="preserve">
Material Handling - 3
Spinning - Operator - 4
G-Burnout - 4
H-DRYER (BCF+POY) - 3
Chips Charging - 3</t>
        </r>
      </text>
    </comment>
    <comment ref="S7" authorId="0" shapeId="0">
      <text>
        <r>
          <rPr>
            <b/>
            <sz val="9"/>
            <color indexed="81"/>
            <rFont val="Tahoma"/>
            <family val="2"/>
          </rPr>
          <t>Ajit Agrahari:</t>
        </r>
        <r>
          <rPr>
            <sz val="9"/>
            <color indexed="81"/>
            <rFont val="Tahoma"/>
            <family val="2"/>
          </rPr>
          <t xml:space="preserve">
Material Handling - 3
Spinning - Operator - 4
G-Burnout - 4
H-DRYER (BCF+POY) - 3
Chips Charging - 3</t>
        </r>
      </text>
    </comment>
    <comment ref="S8" authorId="0" shapeId="0">
      <text>
        <r>
          <rPr>
            <b/>
            <sz val="9"/>
            <color indexed="81"/>
            <rFont val="Tahoma"/>
            <family val="2"/>
          </rPr>
          <t>Ajit Agrahari:</t>
        </r>
        <r>
          <rPr>
            <sz val="9"/>
            <color indexed="81"/>
            <rFont val="Tahoma"/>
            <family val="2"/>
          </rPr>
          <t xml:space="preserve">
Material Handling - 3
Spinning - Operator - 4
G-Burnout - 4
H-DRYER (BCF+POY) - 3
Chips Charging - 3</t>
        </r>
      </text>
    </comment>
    <comment ref="S9" authorId="0" shapeId="0">
      <text>
        <r>
          <rPr>
            <b/>
            <sz val="9"/>
            <color indexed="81"/>
            <rFont val="Tahoma"/>
            <family val="2"/>
          </rPr>
          <t>Ajit Agrahari:</t>
        </r>
        <r>
          <rPr>
            <sz val="9"/>
            <color indexed="81"/>
            <rFont val="Tahoma"/>
            <family val="2"/>
          </rPr>
          <t xml:space="preserve">
Material Handling - 3
Spinning - Operator - 4
G-Burnout - 4
H-DRYER (BCF+POY) - 3
Chips Charging - 3</t>
        </r>
      </text>
    </comment>
    <comment ref="S10" authorId="0" shapeId="0">
      <text>
        <r>
          <rPr>
            <b/>
            <sz val="9"/>
            <color indexed="81"/>
            <rFont val="Tahoma"/>
            <family val="2"/>
          </rPr>
          <t>Ajit Agrahari:</t>
        </r>
        <r>
          <rPr>
            <sz val="9"/>
            <color indexed="81"/>
            <rFont val="Tahoma"/>
            <family val="2"/>
          </rPr>
          <t xml:space="preserve">
Material Handling - 3
Spinning - Operator - 4
G-Burnout - 4
H-DRYER (BCF+POY) - 3
Chips Charging - 3</t>
        </r>
      </text>
    </comment>
    <comment ref="S11" authorId="0" shapeId="0">
      <text>
        <r>
          <rPr>
            <b/>
            <sz val="9"/>
            <color indexed="81"/>
            <rFont val="Tahoma"/>
            <family val="2"/>
          </rPr>
          <t>Ajit Agrahari:</t>
        </r>
        <r>
          <rPr>
            <sz val="9"/>
            <color indexed="81"/>
            <rFont val="Tahoma"/>
            <family val="2"/>
          </rPr>
          <t xml:space="preserve">
Material Handling - 3
Spinning - Operator - 4
G-Burnout - 4
H-DRYER (BCF+POY) - 3
Chips Charging - 3</t>
        </r>
      </text>
    </comment>
    <comment ref="S12" authorId="0" shapeId="0">
      <text>
        <r>
          <rPr>
            <b/>
            <sz val="9"/>
            <color indexed="81"/>
            <rFont val="Tahoma"/>
            <family val="2"/>
          </rPr>
          <t>Ajit Agrahari:</t>
        </r>
        <r>
          <rPr>
            <sz val="9"/>
            <color indexed="81"/>
            <rFont val="Tahoma"/>
            <family val="2"/>
          </rPr>
          <t xml:space="preserve">
Material Handling - 3
Spinning - Operator - 4
G-Burnout - 4
H-DRYER (BCF+POY) - 3
Chips Charging - 3</t>
        </r>
      </text>
    </comment>
    <comment ref="S13" authorId="0" shapeId="0">
      <text>
        <r>
          <rPr>
            <b/>
            <sz val="9"/>
            <color indexed="81"/>
            <rFont val="Tahoma"/>
            <family val="2"/>
          </rPr>
          <t>Ajit Agrahari:</t>
        </r>
        <r>
          <rPr>
            <sz val="9"/>
            <color indexed="81"/>
            <rFont val="Tahoma"/>
            <family val="2"/>
          </rPr>
          <t xml:space="preserve">
Material Handling - 3
Spinning - Operator - 4
G-Burnout - 4
H-DRYER (BCF+POY) - 3
Chips Charging - 3</t>
        </r>
      </text>
    </comment>
    <comment ref="AC13" authorId="1" shapeId="0">
      <text>
        <r>
          <rPr>
            <b/>
            <sz val="10"/>
            <color indexed="81"/>
            <rFont val="Tahoma"/>
            <family val="2"/>
          </rPr>
          <t>MirzaAli Jaffer:</t>
        </r>
        <r>
          <rPr>
            <sz val="10"/>
            <color indexed="81"/>
            <rFont val="Tahoma"/>
            <family val="2"/>
          </rPr>
          <t xml:space="preserve">
If the mp/shift is in decimal, and the decimal is more than .3, then roundup at mp/shift, else if less than .3, then roundup at mp/day</t>
        </r>
      </text>
    </comment>
    <comment ref="S14" authorId="0" shapeId="0">
      <text>
        <r>
          <rPr>
            <b/>
            <sz val="9"/>
            <color indexed="81"/>
            <rFont val="Tahoma"/>
            <family val="2"/>
          </rPr>
          <t>Ajit Agrahari:</t>
        </r>
        <r>
          <rPr>
            <sz val="9"/>
            <color indexed="81"/>
            <rFont val="Tahoma"/>
            <family val="2"/>
          </rPr>
          <t xml:space="preserve">
Material Handling - 3
Spinning - Operator - 4
G-Burnout - 4
H-DRYER (BCF+POY) - 3
Chips Charging - 3</t>
        </r>
      </text>
    </comment>
    <comment ref="AC14" authorId="1" shapeId="0">
      <text>
        <r>
          <rPr>
            <b/>
            <sz val="10"/>
            <color indexed="81"/>
            <rFont val="Tahoma"/>
            <family val="2"/>
          </rPr>
          <t>MirzaAli Jaffer:</t>
        </r>
        <r>
          <rPr>
            <sz val="10"/>
            <color indexed="81"/>
            <rFont val="Tahoma"/>
            <family val="2"/>
          </rPr>
          <t xml:space="preserve">
If the mp/shift is in decimal, and the decimal is more than .3, then roundup at mp/shift, else if less than .3, then roundup at mp/day</t>
        </r>
      </text>
    </comment>
    <comment ref="S15" authorId="0" shapeId="0">
      <text>
        <r>
          <rPr>
            <b/>
            <sz val="9"/>
            <color indexed="81"/>
            <rFont val="Tahoma"/>
            <family val="2"/>
          </rPr>
          <t>Ajit Agrahari:</t>
        </r>
        <r>
          <rPr>
            <sz val="9"/>
            <color indexed="81"/>
            <rFont val="Tahoma"/>
            <family val="2"/>
          </rPr>
          <t xml:space="preserve">
Material Handling - 3
Spinning - Operator - 4
G-Burnout - 4
H-DRYER (BCF+POY) - 3
Chips Charging - 3</t>
        </r>
      </text>
    </comment>
    <comment ref="AC15" authorId="1" shapeId="0">
      <text>
        <r>
          <rPr>
            <b/>
            <sz val="10"/>
            <color indexed="81"/>
            <rFont val="Tahoma"/>
            <family val="2"/>
          </rPr>
          <t>MirzaAli Jaffer:</t>
        </r>
        <r>
          <rPr>
            <sz val="10"/>
            <color indexed="81"/>
            <rFont val="Tahoma"/>
            <family val="2"/>
          </rPr>
          <t xml:space="preserve">
If the mp/shift is in decimal, and the decimal is more than .3, then roundup at mp/shift, else if less than .3, then roundup at mp/day</t>
        </r>
      </text>
    </comment>
    <comment ref="F18" authorId="2" shapeId="0">
      <text>
        <r>
          <rPr>
            <b/>
            <sz val="9"/>
            <color indexed="81"/>
            <rFont val="Tahoma"/>
            <family val="2"/>
          </rPr>
          <t>Author:</t>
        </r>
        <r>
          <rPr>
            <sz val="9"/>
            <color indexed="81"/>
            <rFont val="Tahoma"/>
            <family val="2"/>
          </rPr>
          <t xml:space="preserve">
P1 &amp; P2 6 Ends Only
</t>
        </r>
      </text>
    </comment>
    <comment ref="P18" authorId="0" shapeId="0">
      <text>
        <r>
          <rPr>
            <b/>
            <sz val="9"/>
            <color indexed="81"/>
            <rFont val="Tahoma"/>
            <family val="2"/>
          </rPr>
          <t>Ajit Agrahari:</t>
        </r>
        <r>
          <rPr>
            <sz val="9"/>
            <color indexed="81"/>
            <rFont val="Tahoma"/>
            <family val="2"/>
          </rPr>
          <t xml:space="preserve">
1 Operator 4 winder/48 Ends
</t>
        </r>
      </text>
    </comment>
    <comment ref="S18" authorId="0" shapeId="0">
      <text>
        <r>
          <rPr>
            <b/>
            <sz val="9"/>
            <color indexed="81"/>
            <rFont val="Tahoma"/>
            <family val="2"/>
          </rPr>
          <t>Ajit Agrahari:</t>
        </r>
        <r>
          <rPr>
            <sz val="9"/>
            <color indexed="81"/>
            <rFont val="Tahoma"/>
            <family val="2"/>
          </rPr>
          <t xml:space="preserve">
Chips Charging - 3
Dryer - 6
Spinning + Control Room - 9
Data Entry - 1
Burn Out - 6</t>
        </r>
      </text>
    </comment>
    <comment ref="X18" authorId="1" shapeId="0">
      <text>
        <r>
          <rPr>
            <b/>
            <sz val="10"/>
            <color indexed="81"/>
            <rFont val="Tahoma"/>
            <family val="2"/>
          </rPr>
          <t>MirzaAli Jaffer:</t>
        </r>
        <r>
          <rPr>
            <sz val="10"/>
            <color indexed="81"/>
            <rFont val="Tahoma"/>
            <family val="2"/>
          </rPr>
          <t xml:space="preserve">
IF the prod reqmt exceeds the available capacity, then for mp calculation, we have to take available no. of machines.</t>
        </r>
      </text>
    </comment>
    <comment ref="S19" authorId="0" shapeId="0">
      <text>
        <r>
          <rPr>
            <b/>
            <sz val="9"/>
            <color indexed="81"/>
            <rFont val="Tahoma"/>
            <family val="2"/>
          </rPr>
          <t>Ajit Agrahari:</t>
        </r>
        <r>
          <rPr>
            <sz val="9"/>
            <color indexed="81"/>
            <rFont val="Tahoma"/>
            <family val="2"/>
          </rPr>
          <t xml:space="preserve">
Chips Charging - 3
Dryer - 6
Spinning + Control Room - 9
Data Entry - 1
Burn Out - 6</t>
        </r>
      </text>
    </comment>
    <comment ref="S20" authorId="0" shapeId="0">
      <text>
        <r>
          <rPr>
            <b/>
            <sz val="9"/>
            <color indexed="81"/>
            <rFont val="Tahoma"/>
            <family val="2"/>
          </rPr>
          <t>Ajit Agrahari:</t>
        </r>
        <r>
          <rPr>
            <sz val="9"/>
            <color indexed="81"/>
            <rFont val="Tahoma"/>
            <family val="2"/>
          </rPr>
          <t xml:space="preserve">
Chips Charging - 3
Dryer - 6
Spinning + Control Room - 9
Data Entry - 1
Burn Out - 6</t>
        </r>
      </text>
    </comment>
    <comment ref="S21" authorId="0" shapeId="0">
      <text>
        <r>
          <rPr>
            <b/>
            <sz val="9"/>
            <color indexed="81"/>
            <rFont val="Tahoma"/>
            <family val="2"/>
          </rPr>
          <t>Ajit Agrahari:</t>
        </r>
        <r>
          <rPr>
            <sz val="9"/>
            <color indexed="81"/>
            <rFont val="Tahoma"/>
            <family val="2"/>
          </rPr>
          <t xml:space="preserve">
Chips Charging - 3
Dryer - 6
Spinning + Control Room - 9
Data Entry - 1
Burn Out - 6</t>
        </r>
      </text>
    </comment>
    <comment ref="S22" authorId="0" shapeId="0">
      <text>
        <r>
          <rPr>
            <b/>
            <sz val="9"/>
            <color indexed="81"/>
            <rFont val="Tahoma"/>
            <family val="2"/>
          </rPr>
          <t>Ajit Agrahari:</t>
        </r>
        <r>
          <rPr>
            <sz val="9"/>
            <color indexed="81"/>
            <rFont val="Tahoma"/>
            <family val="2"/>
          </rPr>
          <t xml:space="preserve">
Chips Charging - 3
Dryer - 6
Spinning + Control Room - 9
Data Entry - 1
Burn Out - 6</t>
        </r>
      </text>
    </comment>
    <comment ref="S23" authorId="0" shapeId="0">
      <text>
        <r>
          <rPr>
            <b/>
            <sz val="9"/>
            <color indexed="81"/>
            <rFont val="Tahoma"/>
            <family val="2"/>
          </rPr>
          <t>Ajit Agrahari:</t>
        </r>
        <r>
          <rPr>
            <sz val="9"/>
            <color indexed="81"/>
            <rFont val="Tahoma"/>
            <family val="2"/>
          </rPr>
          <t xml:space="preserve">
Chips Charging - 3
Dryer - 6
Spinning + Control Room - 9
Data Entry - 1
Burn Out - 6</t>
        </r>
      </text>
    </comment>
    <comment ref="S24" authorId="0" shapeId="0">
      <text>
        <r>
          <rPr>
            <b/>
            <sz val="9"/>
            <color indexed="81"/>
            <rFont val="Tahoma"/>
            <family val="2"/>
          </rPr>
          <t>Ajit Agrahari:</t>
        </r>
        <r>
          <rPr>
            <sz val="9"/>
            <color indexed="81"/>
            <rFont val="Tahoma"/>
            <family val="2"/>
          </rPr>
          <t xml:space="preserve">
Chips Charging - 3
Dryer - 6
Spinning + Control Room - 9
Data Entry - 1
Burn Out - 6</t>
        </r>
      </text>
    </comment>
    <comment ref="S25" authorId="0" shapeId="0">
      <text>
        <r>
          <rPr>
            <b/>
            <sz val="9"/>
            <color indexed="81"/>
            <rFont val="Tahoma"/>
            <family val="2"/>
          </rPr>
          <t>Ajit Agrahari:</t>
        </r>
        <r>
          <rPr>
            <sz val="9"/>
            <color indexed="81"/>
            <rFont val="Tahoma"/>
            <family val="2"/>
          </rPr>
          <t xml:space="preserve">
Chips Charging - 3
Dryer - 6
Spinning + Control Room - 9
Data Entry - 1
Burn Out - 6</t>
        </r>
      </text>
    </comment>
    <comment ref="S26" authorId="0" shapeId="0">
      <text>
        <r>
          <rPr>
            <b/>
            <sz val="9"/>
            <color indexed="81"/>
            <rFont val="Tahoma"/>
            <family val="2"/>
          </rPr>
          <t>Ajit Agrahari:</t>
        </r>
        <r>
          <rPr>
            <sz val="9"/>
            <color indexed="81"/>
            <rFont val="Tahoma"/>
            <family val="2"/>
          </rPr>
          <t xml:space="preserve">
Chips Charging - 3
Dryer - 6
Spinning + Control Room - 9
Data Entry - 1
Burn Out - 6</t>
        </r>
      </text>
    </comment>
    <comment ref="S27" authorId="0" shapeId="0">
      <text>
        <r>
          <rPr>
            <b/>
            <sz val="9"/>
            <color indexed="81"/>
            <rFont val="Tahoma"/>
            <family val="2"/>
          </rPr>
          <t>Ajit Agrahari:</t>
        </r>
        <r>
          <rPr>
            <sz val="9"/>
            <color indexed="81"/>
            <rFont val="Tahoma"/>
            <family val="2"/>
          </rPr>
          <t xml:space="preserve">
Chips Charging - 3
Dryer - 6
Spinning + Control Room - 9
Data Entry - 1
Burn Out - 6</t>
        </r>
      </text>
    </comment>
    <comment ref="S28" authorId="0" shapeId="0">
      <text>
        <r>
          <rPr>
            <b/>
            <sz val="9"/>
            <color indexed="81"/>
            <rFont val="Tahoma"/>
            <family val="2"/>
          </rPr>
          <t>Ajit Agrahari:</t>
        </r>
        <r>
          <rPr>
            <sz val="9"/>
            <color indexed="81"/>
            <rFont val="Tahoma"/>
            <family val="2"/>
          </rPr>
          <t xml:space="preserve">
Chips Charging - 3
Dryer - 6
Spinning + Control Room - 9
Data Entry - 1
Burn Out - 6</t>
        </r>
      </text>
    </comment>
    <comment ref="S29" authorId="0" shapeId="0">
      <text>
        <r>
          <rPr>
            <b/>
            <sz val="9"/>
            <color indexed="81"/>
            <rFont val="Tahoma"/>
            <family val="2"/>
          </rPr>
          <t>Ajit Agrahari:</t>
        </r>
        <r>
          <rPr>
            <sz val="9"/>
            <color indexed="81"/>
            <rFont val="Tahoma"/>
            <family val="2"/>
          </rPr>
          <t xml:space="preserve">
Chips Charging - 3
Dryer - 6
Spinning + Control Room - 9
Data Entry - 1
Burn Out - 6</t>
        </r>
      </text>
    </comment>
    <comment ref="S33" authorId="0" shapeId="0">
      <text>
        <r>
          <rPr>
            <b/>
            <sz val="9"/>
            <color indexed="81"/>
            <rFont val="Tahoma"/>
            <family val="2"/>
          </rPr>
          <t>Ajit Agrahari:</t>
        </r>
        <r>
          <rPr>
            <sz val="9"/>
            <color indexed="81"/>
            <rFont val="Tahoma"/>
            <family val="2"/>
          </rPr>
          <t xml:space="preserve">
Helper - 9 
Jobber - 3
Fitter - 3
Material Handler - 3
Paper Tube Segregation - 1
Roping (Mandays) - 3</t>
        </r>
      </text>
    </comment>
    <comment ref="S34" authorId="0" shapeId="0">
      <text>
        <r>
          <rPr>
            <b/>
            <sz val="9"/>
            <color indexed="81"/>
            <rFont val="Tahoma"/>
            <family val="2"/>
          </rPr>
          <t>Ajit Agrahari:</t>
        </r>
        <r>
          <rPr>
            <sz val="9"/>
            <color indexed="81"/>
            <rFont val="Tahoma"/>
            <family val="2"/>
          </rPr>
          <t xml:space="preserve">
Helper - 9 
Jobber - 3
Fitter - 3
Material Handler - 3
Paper Tube Segregation - 1
Roping (Mandays) - 3</t>
        </r>
      </text>
    </comment>
    <comment ref="S35" authorId="0" shapeId="0">
      <text>
        <r>
          <rPr>
            <b/>
            <sz val="9"/>
            <color indexed="81"/>
            <rFont val="Tahoma"/>
            <family val="2"/>
          </rPr>
          <t>Ajit Agrahari:</t>
        </r>
        <r>
          <rPr>
            <sz val="9"/>
            <color indexed="81"/>
            <rFont val="Tahoma"/>
            <family val="2"/>
          </rPr>
          <t xml:space="preserve">
Helper - 9 
Jobber - 3
Fitter - 3
Material Handler - 3
Paper Tube Segregation - 1
Roping (Mandays) - 3</t>
        </r>
      </text>
    </comment>
    <comment ref="S36" authorId="0" shapeId="0">
      <text>
        <r>
          <rPr>
            <b/>
            <sz val="9"/>
            <color indexed="81"/>
            <rFont val="Tahoma"/>
            <family val="2"/>
          </rPr>
          <t>Ajit Agrahari:</t>
        </r>
        <r>
          <rPr>
            <sz val="9"/>
            <color indexed="81"/>
            <rFont val="Tahoma"/>
            <family val="2"/>
          </rPr>
          <t xml:space="preserve">
Helper - 9 
Jobber - 3
Fitter - 3
Material Handler - 3
Paper Tube Segregation - 1
Roping (Mandays) - 3</t>
        </r>
      </text>
    </comment>
    <comment ref="S37" authorId="0" shapeId="0">
      <text>
        <r>
          <rPr>
            <b/>
            <sz val="9"/>
            <color indexed="81"/>
            <rFont val="Tahoma"/>
            <family val="2"/>
          </rPr>
          <t>Ajit Agrahari:</t>
        </r>
        <r>
          <rPr>
            <sz val="9"/>
            <color indexed="81"/>
            <rFont val="Tahoma"/>
            <family val="2"/>
          </rPr>
          <t xml:space="preserve">
Helper - 9 
Jobber - 3
Fitter - 3
Material Handler - 3
Paper Tube Segregation - 1
Roping (Mandays) - 3</t>
        </r>
      </text>
    </comment>
    <comment ref="S38" authorId="0" shapeId="0">
      <text>
        <r>
          <rPr>
            <b/>
            <sz val="9"/>
            <color indexed="81"/>
            <rFont val="Tahoma"/>
            <family val="2"/>
          </rPr>
          <t>Ajit Agrahari:</t>
        </r>
        <r>
          <rPr>
            <sz val="9"/>
            <color indexed="81"/>
            <rFont val="Tahoma"/>
            <family val="2"/>
          </rPr>
          <t xml:space="preserve">
Helper - 9 
Jobber - 3
Fitter - 3
Material Handler - 3
Paper Tube Segregation - 1
Roping (Mandays) - 3</t>
        </r>
      </text>
    </comment>
    <comment ref="S39" authorId="0" shapeId="0">
      <text>
        <r>
          <rPr>
            <b/>
            <sz val="9"/>
            <color indexed="81"/>
            <rFont val="Tahoma"/>
            <family val="2"/>
          </rPr>
          <t>Ajit Agrahari:</t>
        </r>
        <r>
          <rPr>
            <sz val="9"/>
            <color indexed="81"/>
            <rFont val="Tahoma"/>
            <family val="2"/>
          </rPr>
          <t xml:space="preserve">
Helper - 9 
Jobber - 3
Fitter - 3
Material Handler - 3
Paper Tube Segregation - 1
Roping (Mandays) - 3</t>
        </r>
      </text>
    </comment>
    <comment ref="S40" authorId="0" shapeId="0">
      <text>
        <r>
          <rPr>
            <b/>
            <sz val="9"/>
            <color indexed="81"/>
            <rFont val="Tahoma"/>
            <family val="2"/>
          </rPr>
          <t>Ajit Agrahari:</t>
        </r>
        <r>
          <rPr>
            <sz val="9"/>
            <color indexed="81"/>
            <rFont val="Tahoma"/>
            <family val="2"/>
          </rPr>
          <t xml:space="preserve">
Helper - 9 
Jobber - 3
Fitter - 3
Material Handler - 3
Paper Tube Segregation - 1
Roping (Mandays) - 3</t>
        </r>
      </text>
    </comment>
    <comment ref="S41" authorId="0" shapeId="0">
      <text>
        <r>
          <rPr>
            <b/>
            <sz val="9"/>
            <color indexed="81"/>
            <rFont val="Tahoma"/>
            <family val="2"/>
          </rPr>
          <t>Ajit Agrahari:</t>
        </r>
        <r>
          <rPr>
            <sz val="9"/>
            <color indexed="81"/>
            <rFont val="Tahoma"/>
            <family val="2"/>
          </rPr>
          <t xml:space="preserve">
Helper - 9 
Jobber - 3
Fitter - 3
Material Handler - 3
Paper Tube Segregation - 1
Roping (Mandays) - 3</t>
        </r>
      </text>
    </comment>
    <comment ref="S42" authorId="0" shapeId="0">
      <text>
        <r>
          <rPr>
            <b/>
            <sz val="9"/>
            <color indexed="81"/>
            <rFont val="Tahoma"/>
            <family val="2"/>
          </rPr>
          <t>Ajit Agrahari:</t>
        </r>
        <r>
          <rPr>
            <sz val="9"/>
            <color indexed="81"/>
            <rFont val="Tahoma"/>
            <family val="2"/>
          </rPr>
          <t xml:space="preserve">
Helper - 9 
Jobber - 3
Fitter - 3
Material Handler - 3
Paper Tube Segregation - 1
Roping (Mandays) - 3</t>
        </r>
      </text>
    </comment>
    <comment ref="S43" authorId="0" shapeId="0">
      <text>
        <r>
          <rPr>
            <b/>
            <sz val="9"/>
            <color indexed="81"/>
            <rFont val="Tahoma"/>
            <family val="2"/>
          </rPr>
          <t>Ajit Agrahari:</t>
        </r>
        <r>
          <rPr>
            <sz val="9"/>
            <color indexed="81"/>
            <rFont val="Tahoma"/>
            <family val="2"/>
          </rPr>
          <t xml:space="preserve">
Helper - 9 
Jobber - 3
Fitter - 3
Material Handler - 3
Paper Tube Segregation - 1
Roping (Mandays) - 3</t>
        </r>
      </text>
    </comment>
    <comment ref="S44" authorId="0" shapeId="0">
      <text>
        <r>
          <rPr>
            <b/>
            <sz val="9"/>
            <color indexed="81"/>
            <rFont val="Tahoma"/>
            <family val="2"/>
          </rPr>
          <t>Ajit Agrahari:</t>
        </r>
        <r>
          <rPr>
            <sz val="9"/>
            <color indexed="81"/>
            <rFont val="Tahoma"/>
            <family val="2"/>
          </rPr>
          <t xml:space="preserve">
Helper - 9 
Jobber - 3
Fitter - 3
Material Handler - 3
Paper Tube Segregation - 1
Roping (Mandays) - 3</t>
        </r>
      </text>
    </comment>
    <comment ref="S49" authorId="0" shapeId="0">
      <text>
        <r>
          <rPr>
            <b/>
            <sz val="9"/>
            <color indexed="81"/>
            <rFont val="Tahoma"/>
            <family val="2"/>
          </rPr>
          <t>Ajit Agrahari:</t>
        </r>
        <r>
          <rPr>
            <sz val="9"/>
            <color indexed="81"/>
            <rFont val="Tahoma"/>
            <family val="2"/>
          </rPr>
          <t xml:space="preserve">
Jobber - 3</t>
        </r>
      </text>
    </comment>
    <comment ref="S50" authorId="0" shapeId="0">
      <text>
        <r>
          <rPr>
            <b/>
            <sz val="9"/>
            <color indexed="81"/>
            <rFont val="Tahoma"/>
            <family val="2"/>
          </rPr>
          <t>Ajit Agrahari:</t>
        </r>
        <r>
          <rPr>
            <sz val="9"/>
            <color indexed="81"/>
            <rFont val="Tahoma"/>
            <family val="2"/>
          </rPr>
          <t xml:space="preserve">
Jobber - 3</t>
        </r>
      </text>
    </comment>
    <comment ref="S51" authorId="0" shapeId="0">
      <text>
        <r>
          <rPr>
            <b/>
            <sz val="9"/>
            <color indexed="81"/>
            <rFont val="Tahoma"/>
            <family val="2"/>
          </rPr>
          <t>Ajit Agrahari:</t>
        </r>
        <r>
          <rPr>
            <sz val="9"/>
            <color indexed="81"/>
            <rFont val="Tahoma"/>
            <family val="2"/>
          </rPr>
          <t xml:space="preserve">
Jobber - 3</t>
        </r>
      </text>
    </comment>
    <comment ref="S52" authorId="0" shapeId="0">
      <text>
        <r>
          <rPr>
            <b/>
            <sz val="9"/>
            <color indexed="81"/>
            <rFont val="Tahoma"/>
            <family val="2"/>
          </rPr>
          <t>Ajit Agrahari:</t>
        </r>
        <r>
          <rPr>
            <sz val="9"/>
            <color indexed="81"/>
            <rFont val="Tahoma"/>
            <family val="2"/>
          </rPr>
          <t xml:space="preserve">
Jobber - 3</t>
        </r>
      </text>
    </comment>
    <comment ref="S53" authorId="0" shapeId="0">
      <text>
        <r>
          <rPr>
            <b/>
            <sz val="9"/>
            <color indexed="81"/>
            <rFont val="Tahoma"/>
            <family val="2"/>
          </rPr>
          <t>Ajit Agrahari:</t>
        </r>
        <r>
          <rPr>
            <sz val="9"/>
            <color indexed="81"/>
            <rFont val="Tahoma"/>
            <family val="2"/>
          </rPr>
          <t xml:space="preserve">
Jobber - 3</t>
        </r>
      </text>
    </comment>
    <comment ref="S54" authorId="0" shapeId="0">
      <text>
        <r>
          <rPr>
            <b/>
            <sz val="9"/>
            <color indexed="81"/>
            <rFont val="Tahoma"/>
            <family val="2"/>
          </rPr>
          <t>Ajit Agrahari:</t>
        </r>
        <r>
          <rPr>
            <sz val="9"/>
            <color indexed="81"/>
            <rFont val="Tahoma"/>
            <family val="2"/>
          </rPr>
          <t xml:space="preserve">
Jobber - 3</t>
        </r>
      </text>
    </comment>
    <comment ref="S55" authorId="0" shapeId="0">
      <text>
        <r>
          <rPr>
            <b/>
            <sz val="9"/>
            <color indexed="81"/>
            <rFont val="Tahoma"/>
            <family val="2"/>
          </rPr>
          <t>Ajit Agrahari:</t>
        </r>
        <r>
          <rPr>
            <sz val="9"/>
            <color indexed="81"/>
            <rFont val="Tahoma"/>
            <family val="2"/>
          </rPr>
          <t xml:space="preserve">
Jobber - 3</t>
        </r>
      </text>
    </comment>
    <comment ref="S56" authorId="0" shapeId="0">
      <text>
        <r>
          <rPr>
            <b/>
            <sz val="9"/>
            <color indexed="81"/>
            <rFont val="Tahoma"/>
            <family val="2"/>
          </rPr>
          <t>Ajit Agrahari:</t>
        </r>
        <r>
          <rPr>
            <sz val="9"/>
            <color indexed="81"/>
            <rFont val="Tahoma"/>
            <family val="2"/>
          </rPr>
          <t xml:space="preserve">
Jobber - 3</t>
        </r>
      </text>
    </comment>
    <comment ref="S57" authorId="0" shapeId="0">
      <text>
        <r>
          <rPr>
            <b/>
            <sz val="9"/>
            <color indexed="81"/>
            <rFont val="Tahoma"/>
            <family val="2"/>
          </rPr>
          <t>Ajit Agrahari:</t>
        </r>
        <r>
          <rPr>
            <sz val="9"/>
            <color indexed="81"/>
            <rFont val="Tahoma"/>
            <family val="2"/>
          </rPr>
          <t xml:space="preserve">
Jobber - 3</t>
        </r>
      </text>
    </comment>
    <comment ref="S58" authorId="0" shapeId="0">
      <text>
        <r>
          <rPr>
            <b/>
            <sz val="9"/>
            <color indexed="81"/>
            <rFont val="Tahoma"/>
            <family val="2"/>
          </rPr>
          <t>Ajit Agrahari:</t>
        </r>
        <r>
          <rPr>
            <sz val="9"/>
            <color indexed="81"/>
            <rFont val="Tahoma"/>
            <family val="2"/>
          </rPr>
          <t xml:space="preserve">
Jobber - 3</t>
        </r>
      </text>
    </comment>
    <comment ref="S59" authorId="0" shapeId="0">
      <text>
        <r>
          <rPr>
            <b/>
            <sz val="9"/>
            <color indexed="81"/>
            <rFont val="Tahoma"/>
            <family val="2"/>
          </rPr>
          <t>Ajit Agrahari:</t>
        </r>
        <r>
          <rPr>
            <sz val="9"/>
            <color indexed="81"/>
            <rFont val="Tahoma"/>
            <family val="2"/>
          </rPr>
          <t xml:space="preserve">
Jobber - 3</t>
        </r>
      </text>
    </comment>
    <comment ref="S60" authorId="0" shapeId="0">
      <text>
        <r>
          <rPr>
            <b/>
            <sz val="9"/>
            <color indexed="81"/>
            <rFont val="Tahoma"/>
            <family val="2"/>
          </rPr>
          <t>Ajit Agrahari:</t>
        </r>
        <r>
          <rPr>
            <sz val="9"/>
            <color indexed="81"/>
            <rFont val="Tahoma"/>
            <family val="2"/>
          </rPr>
          <t xml:space="preserve">
Jobber - 3</t>
        </r>
      </text>
    </comment>
    <comment ref="S64" authorId="0" shapeId="0">
      <text>
        <r>
          <rPr>
            <b/>
            <sz val="9"/>
            <color indexed="81"/>
            <rFont val="Tahoma"/>
            <family val="2"/>
          </rPr>
          <t>Ajit Agrahari:</t>
        </r>
        <r>
          <rPr>
            <sz val="9"/>
            <color indexed="81"/>
            <rFont val="Tahoma"/>
            <family val="2"/>
          </rPr>
          <t xml:space="preserve">
Jobber - 3
Material Handler - 3
Helper - 3</t>
        </r>
      </text>
    </comment>
    <comment ref="S65" authorId="0" shapeId="0">
      <text>
        <r>
          <rPr>
            <b/>
            <sz val="9"/>
            <color indexed="81"/>
            <rFont val="Tahoma"/>
            <family val="2"/>
          </rPr>
          <t>Ajit Agrahari:</t>
        </r>
        <r>
          <rPr>
            <sz val="9"/>
            <color indexed="81"/>
            <rFont val="Tahoma"/>
            <family val="2"/>
          </rPr>
          <t xml:space="preserve">
Jobber - 3
Material Handler - 3
Helper - 3</t>
        </r>
      </text>
    </comment>
    <comment ref="S66" authorId="0" shapeId="0">
      <text>
        <r>
          <rPr>
            <b/>
            <sz val="9"/>
            <color indexed="81"/>
            <rFont val="Tahoma"/>
            <family val="2"/>
          </rPr>
          <t>Ajit Agrahari:</t>
        </r>
        <r>
          <rPr>
            <sz val="9"/>
            <color indexed="81"/>
            <rFont val="Tahoma"/>
            <family val="2"/>
          </rPr>
          <t xml:space="preserve">
Jobber - 3
Material Handler - 3
Helper - 3</t>
        </r>
      </text>
    </comment>
    <comment ref="S67" authorId="0" shapeId="0">
      <text>
        <r>
          <rPr>
            <b/>
            <sz val="9"/>
            <color indexed="81"/>
            <rFont val="Tahoma"/>
            <family val="2"/>
          </rPr>
          <t>Ajit Agrahari:</t>
        </r>
        <r>
          <rPr>
            <sz val="9"/>
            <color indexed="81"/>
            <rFont val="Tahoma"/>
            <family val="2"/>
          </rPr>
          <t xml:space="preserve">
Jobber - 3
Material Handler - 3
Helper - 3</t>
        </r>
      </text>
    </comment>
    <comment ref="S68" authorId="0" shapeId="0">
      <text>
        <r>
          <rPr>
            <b/>
            <sz val="9"/>
            <color indexed="81"/>
            <rFont val="Tahoma"/>
            <family val="2"/>
          </rPr>
          <t>Ajit Agrahari:</t>
        </r>
        <r>
          <rPr>
            <sz val="9"/>
            <color indexed="81"/>
            <rFont val="Tahoma"/>
            <family val="2"/>
          </rPr>
          <t xml:space="preserve">
Jobber - 3
Material Handler - 3
Helper - 3</t>
        </r>
      </text>
    </comment>
    <comment ref="S69" authorId="0" shapeId="0">
      <text>
        <r>
          <rPr>
            <b/>
            <sz val="9"/>
            <color indexed="81"/>
            <rFont val="Tahoma"/>
            <family val="2"/>
          </rPr>
          <t>Ajit Agrahari:</t>
        </r>
        <r>
          <rPr>
            <sz val="9"/>
            <color indexed="81"/>
            <rFont val="Tahoma"/>
            <family val="2"/>
          </rPr>
          <t xml:space="preserve">
Jobber - 3
Material Handler - 3
Helper - 3</t>
        </r>
      </text>
    </comment>
    <comment ref="S70" authorId="0" shapeId="0">
      <text>
        <r>
          <rPr>
            <b/>
            <sz val="9"/>
            <color indexed="81"/>
            <rFont val="Tahoma"/>
            <family val="2"/>
          </rPr>
          <t>Ajit Agrahari:</t>
        </r>
        <r>
          <rPr>
            <sz val="9"/>
            <color indexed="81"/>
            <rFont val="Tahoma"/>
            <family val="2"/>
          </rPr>
          <t xml:space="preserve">
Jobber - 3
Material Handler - 3
Helper - 3</t>
        </r>
      </text>
    </comment>
    <comment ref="S71" authorId="0" shapeId="0">
      <text>
        <r>
          <rPr>
            <b/>
            <sz val="9"/>
            <color indexed="81"/>
            <rFont val="Tahoma"/>
            <family val="2"/>
          </rPr>
          <t>Ajit Agrahari:</t>
        </r>
        <r>
          <rPr>
            <sz val="9"/>
            <color indexed="81"/>
            <rFont val="Tahoma"/>
            <family val="2"/>
          </rPr>
          <t xml:space="preserve">
Jobber - 3
Material Handler - 3
Helper - 3</t>
        </r>
      </text>
    </comment>
    <comment ref="AC71" authorId="1" shapeId="0">
      <text>
        <r>
          <rPr>
            <b/>
            <sz val="10"/>
            <color indexed="81"/>
            <rFont val="Tahoma"/>
            <family val="2"/>
          </rPr>
          <t>MirzaAli Jaffer:</t>
        </r>
        <r>
          <rPr>
            <sz val="10"/>
            <color indexed="81"/>
            <rFont val="Tahoma"/>
            <family val="2"/>
          </rPr>
          <t xml:space="preserve">
If the mp/shift is in decimal, and the decimal is more than .3, then roundup at mp/shift, else if less than .3, then roundup at mp/day</t>
        </r>
      </text>
    </comment>
    <comment ref="S72" authorId="0" shapeId="0">
      <text>
        <r>
          <rPr>
            <b/>
            <sz val="9"/>
            <color indexed="81"/>
            <rFont val="Tahoma"/>
            <family val="2"/>
          </rPr>
          <t>Ajit Agrahari:</t>
        </r>
        <r>
          <rPr>
            <sz val="9"/>
            <color indexed="81"/>
            <rFont val="Tahoma"/>
            <family val="2"/>
          </rPr>
          <t xml:space="preserve">
Jobber - 3
Material Handler - 3
Helper - 3</t>
        </r>
      </text>
    </comment>
    <comment ref="AC72" authorId="1" shapeId="0">
      <text>
        <r>
          <rPr>
            <b/>
            <sz val="10"/>
            <color indexed="81"/>
            <rFont val="Tahoma"/>
            <family val="2"/>
          </rPr>
          <t>MirzaAli Jaffer:</t>
        </r>
        <r>
          <rPr>
            <sz val="10"/>
            <color indexed="81"/>
            <rFont val="Tahoma"/>
            <family val="2"/>
          </rPr>
          <t xml:space="preserve">
If the mp/shift is in decimal, and the decimal is more than .3, then roundup at mp/shift, else if less than .3, then roundup at mp/day</t>
        </r>
      </text>
    </comment>
    <comment ref="S73" authorId="0" shapeId="0">
      <text>
        <r>
          <rPr>
            <b/>
            <sz val="9"/>
            <color indexed="81"/>
            <rFont val="Tahoma"/>
            <family val="2"/>
          </rPr>
          <t>Ajit Agrahari:</t>
        </r>
        <r>
          <rPr>
            <sz val="9"/>
            <color indexed="81"/>
            <rFont val="Tahoma"/>
            <family val="2"/>
          </rPr>
          <t xml:space="preserve">
Jobber - 3
Material Handler - 3
Helper - 3</t>
        </r>
      </text>
    </comment>
    <comment ref="S74" authorId="0" shapeId="0">
      <text>
        <r>
          <rPr>
            <b/>
            <sz val="9"/>
            <color indexed="81"/>
            <rFont val="Tahoma"/>
            <family val="2"/>
          </rPr>
          <t>Ajit Agrahari:</t>
        </r>
        <r>
          <rPr>
            <sz val="9"/>
            <color indexed="81"/>
            <rFont val="Tahoma"/>
            <family val="2"/>
          </rPr>
          <t xml:space="preserve">
Jobber - 3
Material Handler - 3
Helper - 3</t>
        </r>
      </text>
    </comment>
    <comment ref="S75" authorId="0" shapeId="0">
      <text>
        <r>
          <rPr>
            <b/>
            <sz val="9"/>
            <color indexed="81"/>
            <rFont val="Tahoma"/>
            <family val="2"/>
          </rPr>
          <t>Ajit Agrahari:</t>
        </r>
        <r>
          <rPr>
            <sz val="9"/>
            <color indexed="81"/>
            <rFont val="Tahoma"/>
            <family val="2"/>
          </rPr>
          <t xml:space="preserve">
Jobber - 3
Material Handler - 3
Helper - 3</t>
        </r>
      </text>
    </comment>
    <comment ref="S79" authorId="0" shapeId="0">
      <text>
        <r>
          <rPr>
            <b/>
            <sz val="9"/>
            <color indexed="81"/>
            <rFont val="Tahoma"/>
            <family val="2"/>
          </rPr>
          <t>Ajit Agrahari:</t>
        </r>
        <r>
          <rPr>
            <sz val="9"/>
            <color indexed="81"/>
            <rFont val="Tahoma"/>
            <family val="2"/>
          </rPr>
          <t xml:space="preserve">
Jobber - 3
Material Handler - 3
Paper Tube Segregation - 3
Fitter - 3</t>
        </r>
      </text>
    </comment>
    <comment ref="S80" authorId="0" shapeId="0">
      <text>
        <r>
          <rPr>
            <b/>
            <sz val="9"/>
            <color indexed="81"/>
            <rFont val="Tahoma"/>
            <family val="2"/>
          </rPr>
          <t>Ajit Agrahari:</t>
        </r>
        <r>
          <rPr>
            <sz val="9"/>
            <color indexed="81"/>
            <rFont val="Tahoma"/>
            <family val="2"/>
          </rPr>
          <t xml:space="preserve">
Jobber - 3
Material Handler - 3
Paper Tube Segregation - 3
Fitter - 3</t>
        </r>
      </text>
    </comment>
    <comment ref="AC80" authorId="1" shapeId="0">
      <text>
        <r>
          <rPr>
            <b/>
            <sz val="10"/>
            <color indexed="81"/>
            <rFont val="Tahoma"/>
            <family val="2"/>
          </rPr>
          <t>MirzaAli Jaffer:</t>
        </r>
        <r>
          <rPr>
            <sz val="10"/>
            <color indexed="81"/>
            <rFont val="Tahoma"/>
            <family val="2"/>
          </rPr>
          <t xml:space="preserve">
If the mp/shift is in decimal, and the decimal is more than .3, then roundup at mp/shift, else if less than .3, then roundup at mp/day</t>
        </r>
      </text>
    </comment>
    <comment ref="S81" authorId="0" shapeId="0">
      <text>
        <r>
          <rPr>
            <b/>
            <sz val="9"/>
            <color indexed="81"/>
            <rFont val="Tahoma"/>
            <family val="2"/>
          </rPr>
          <t>Ajit Agrahari:</t>
        </r>
        <r>
          <rPr>
            <sz val="9"/>
            <color indexed="81"/>
            <rFont val="Tahoma"/>
            <family val="2"/>
          </rPr>
          <t xml:space="preserve">
Jobber - 3
Material Handler - 3
Paper Tube Segregation - 3
Fitter - 3</t>
        </r>
      </text>
    </comment>
    <comment ref="AC81" authorId="1" shapeId="0">
      <text>
        <r>
          <rPr>
            <b/>
            <sz val="10"/>
            <color indexed="81"/>
            <rFont val="Tahoma"/>
            <family val="2"/>
          </rPr>
          <t>MirzaAli Jaffer:</t>
        </r>
        <r>
          <rPr>
            <sz val="10"/>
            <color indexed="81"/>
            <rFont val="Tahoma"/>
            <family val="2"/>
          </rPr>
          <t xml:space="preserve">
If the mp/shift is in decimal, and the decimal is more than .3, then roundup at mp/shift, else if less than .3, then roundup at mp/day</t>
        </r>
      </text>
    </comment>
    <comment ref="S82" authorId="0" shapeId="0">
      <text>
        <r>
          <rPr>
            <b/>
            <sz val="9"/>
            <color indexed="81"/>
            <rFont val="Tahoma"/>
            <family val="2"/>
          </rPr>
          <t>Ajit Agrahari:</t>
        </r>
        <r>
          <rPr>
            <sz val="9"/>
            <color indexed="81"/>
            <rFont val="Tahoma"/>
            <family val="2"/>
          </rPr>
          <t xml:space="preserve">
Jobber - 3
Material Handler - 3
Paper Tube Segregation - 3
Fitter - 3</t>
        </r>
      </text>
    </comment>
    <comment ref="S83" authorId="0" shapeId="0">
      <text>
        <r>
          <rPr>
            <b/>
            <sz val="9"/>
            <color indexed="81"/>
            <rFont val="Tahoma"/>
            <family val="2"/>
          </rPr>
          <t>Ajit Agrahari:</t>
        </r>
        <r>
          <rPr>
            <sz val="9"/>
            <color indexed="81"/>
            <rFont val="Tahoma"/>
            <family val="2"/>
          </rPr>
          <t xml:space="preserve">
Jobber - 3
Material Handler - 3
Paper Tube Segregation - 3
Fitter - 3</t>
        </r>
      </text>
    </comment>
    <comment ref="S84" authorId="0" shapeId="0">
      <text>
        <r>
          <rPr>
            <b/>
            <sz val="9"/>
            <color indexed="81"/>
            <rFont val="Tahoma"/>
            <family val="2"/>
          </rPr>
          <t>Ajit Agrahari:</t>
        </r>
        <r>
          <rPr>
            <sz val="9"/>
            <color indexed="81"/>
            <rFont val="Tahoma"/>
            <family val="2"/>
          </rPr>
          <t xml:space="preserve">
Jobber - 3
Material Handler - 3
Paper Tube Segregation - 3
Fitter - 3</t>
        </r>
      </text>
    </comment>
    <comment ref="S85" authorId="0" shapeId="0">
      <text>
        <r>
          <rPr>
            <b/>
            <sz val="9"/>
            <color indexed="81"/>
            <rFont val="Tahoma"/>
            <family val="2"/>
          </rPr>
          <t>Ajit Agrahari:</t>
        </r>
        <r>
          <rPr>
            <sz val="9"/>
            <color indexed="81"/>
            <rFont val="Tahoma"/>
            <family val="2"/>
          </rPr>
          <t xml:space="preserve">
Jobber - 3
Material Handler - 3
Paper Tube Segregation - 3
Fitter - 3</t>
        </r>
      </text>
    </comment>
    <comment ref="S86" authorId="0" shapeId="0">
      <text>
        <r>
          <rPr>
            <b/>
            <sz val="9"/>
            <color indexed="81"/>
            <rFont val="Tahoma"/>
            <family val="2"/>
          </rPr>
          <t>Ajit Agrahari:</t>
        </r>
        <r>
          <rPr>
            <sz val="9"/>
            <color indexed="81"/>
            <rFont val="Tahoma"/>
            <family val="2"/>
          </rPr>
          <t xml:space="preserve">
Jobber - 3
Material Handler - 3
Paper Tube Segregation - 3
Fitter - 3</t>
        </r>
      </text>
    </comment>
    <comment ref="S87" authorId="0" shapeId="0">
      <text>
        <r>
          <rPr>
            <b/>
            <sz val="9"/>
            <color indexed="81"/>
            <rFont val="Tahoma"/>
            <family val="2"/>
          </rPr>
          <t>Ajit Agrahari:</t>
        </r>
        <r>
          <rPr>
            <sz val="9"/>
            <color indexed="81"/>
            <rFont val="Tahoma"/>
            <family val="2"/>
          </rPr>
          <t xml:space="preserve">
Jobber - 3
Material Handler - 3
Paper Tube Segregation - 3
Fitter - 3</t>
        </r>
      </text>
    </comment>
    <comment ref="S88" authorId="0" shapeId="0">
      <text>
        <r>
          <rPr>
            <b/>
            <sz val="9"/>
            <color indexed="81"/>
            <rFont val="Tahoma"/>
            <family val="2"/>
          </rPr>
          <t>Ajit Agrahari:</t>
        </r>
        <r>
          <rPr>
            <sz val="9"/>
            <color indexed="81"/>
            <rFont val="Tahoma"/>
            <family val="2"/>
          </rPr>
          <t xml:space="preserve">
Jobber - 3
Material Handler - 3
Paper Tube Segregation - 3
Fitter - 3</t>
        </r>
      </text>
    </comment>
    <comment ref="S89" authorId="0" shapeId="0">
      <text>
        <r>
          <rPr>
            <b/>
            <sz val="9"/>
            <color indexed="81"/>
            <rFont val="Tahoma"/>
            <family val="2"/>
          </rPr>
          <t>Ajit Agrahari:</t>
        </r>
        <r>
          <rPr>
            <sz val="9"/>
            <color indexed="81"/>
            <rFont val="Tahoma"/>
            <family val="2"/>
          </rPr>
          <t xml:space="preserve">
Jobber - 3
Material Handler - 3
Paper Tube Segregation - 3
Fitter - 3</t>
        </r>
      </text>
    </comment>
    <comment ref="S90" authorId="0" shapeId="0">
      <text>
        <r>
          <rPr>
            <b/>
            <sz val="9"/>
            <color indexed="81"/>
            <rFont val="Tahoma"/>
            <family val="2"/>
          </rPr>
          <t>Ajit Agrahari:</t>
        </r>
        <r>
          <rPr>
            <sz val="9"/>
            <color indexed="81"/>
            <rFont val="Tahoma"/>
            <family val="2"/>
          </rPr>
          <t xml:space="preserve">
Jobber - 3
Material Handler - 3
Paper Tube Segregation - 3
Fitter - 3</t>
        </r>
      </text>
    </comment>
    <comment ref="S93" authorId="0" shapeId="0">
      <text>
        <r>
          <rPr>
            <b/>
            <sz val="9"/>
            <color indexed="81"/>
            <rFont val="Tahoma"/>
            <family val="2"/>
          </rPr>
          <t>Ajit Agrahari:</t>
        </r>
        <r>
          <rPr>
            <sz val="9"/>
            <color indexed="81"/>
            <rFont val="Tahoma"/>
            <family val="2"/>
          </rPr>
          <t xml:space="preserve">
Jobber - 3
Material Handler - 3
Paper Tube Segregation - 3
Fitter - 3</t>
        </r>
      </text>
    </comment>
    <comment ref="AC94" authorId="1" shapeId="0">
      <text>
        <r>
          <rPr>
            <b/>
            <sz val="10"/>
            <color indexed="81"/>
            <rFont val="Tahoma"/>
            <family val="2"/>
          </rPr>
          <t>MirzaAli Jaffer:</t>
        </r>
        <r>
          <rPr>
            <sz val="10"/>
            <color indexed="81"/>
            <rFont val="Tahoma"/>
            <family val="2"/>
          </rPr>
          <t xml:space="preserve">
If the mp/shift is in decimal, and the decimal is more than .3, then roundup at mp/shift, else if less than .3, then roundup at mp/day</t>
        </r>
      </text>
    </comment>
    <comment ref="AC96" authorId="1" shapeId="0">
      <text>
        <r>
          <rPr>
            <b/>
            <sz val="10"/>
            <color indexed="81"/>
            <rFont val="Tahoma"/>
            <family val="2"/>
          </rPr>
          <t>MirzaAli Jaffer:</t>
        </r>
        <r>
          <rPr>
            <sz val="10"/>
            <color indexed="81"/>
            <rFont val="Tahoma"/>
            <family val="2"/>
          </rPr>
          <t xml:space="preserve">
If the mp/shift is in decimal, and the decimal is more than .3, then roundup at mp/shift, else if less than .3, then roundup at mp/day</t>
        </r>
      </text>
    </comment>
    <comment ref="AC97" authorId="1" shapeId="0">
      <text>
        <r>
          <rPr>
            <b/>
            <sz val="10"/>
            <color indexed="81"/>
            <rFont val="Tahoma"/>
            <family val="2"/>
          </rPr>
          <t>MirzaAli Jaffer:</t>
        </r>
        <r>
          <rPr>
            <sz val="10"/>
            <color indexed="81"/>
            <rFont val="Tahoma"/>
            <family val="2"/>
          </rPr>
          <t xml:space="preserve">
If the mp/shift is in decimal, and the decimal is more than .3, then roundup at mp/shift, else if less than .3, then roundup at mp/day</t>
        </r>
      </text>
    </comment>
    <comment ref="AC99" authorId="1" shapeId="0">
      <text>
        <r>
          <rPr>
            <b/>
            <sz val="10"/>
            <color indexed="81"/>
            <rFont val="Tahoma"/>
            <family val="2"/>
          </rPr>
          <t>MirzaAli Jaffer:</t>
        </r>
        <r>
          <rPr>
            <sz val="10"/>
            <color indexed="81"/>
            <rFont val="Tahoma"/>
            <family val="2"/>
          </rPr>
          <t xml:space="preserve">
If the mp/shift is in decimal, and the decimal is more than .3, then roundup at mp/shift, else if less than .3, then roundup at mp/day</t>
        </r>
      </text>
    </comment>
    <comment ref="AC102" authorId="1" shapeId="0">
      <text>
        <r>
          <rPr>
            <b/>
            <sz val="10"/>
            <color indexed="81"/>
            <rFont val="Tahoma"/>
            <family val="2"/>
          </rPr>
          <t>MirzaAli Jaffer:</t>
        </r>
        <r>
          <rPr>
            <sz val="10"/>
            <color indexed="81"/>
            <rFont val="Tahoma"/>
            <family val="2"/>
          </rPr>
          <t xml:space="preserve">
If the mp/shift is in decimal, and the decimal is more than .3, then roundup at mp/shift, else if less than .3, then roundup at mp/day</t>
        </r>
      </text>
    </comment>
    <comment ref="AC103" authorId="1" shapeId="0">
      <text>
        <r>
          <rPr>
            <b/>
            <sz val="10"/>
            <color indexed="81"/>
            <rFont val="Tahoma"/>
            <family val="2"/>
          </rPr>
          <t>MirzaAli Jaffer:</t>
        </r>
        <r>
          <rPr>
            <sz val="10"/>
            <color indexed="81"/>
            <rFont val="Tahoma"/>
            <family val="2"/>
          </rPr>
          <t xml:space="preserve">
If the mp/shift is in decimal, and the decimal is more than .3, then roundup at mp/shift, else if less than .3, then roundup at mp/day</t>
        </r>
      </text>
    </comment>
    <comment ref="S107" authorId="0" shapeId="0">
      <text>
        <r>
          <rPr>
            <b/>
            <sz val="9"/>
            <color indexed="81"/>
            <rFont val="Tahoma"/>
            <family val="2"/>
          </rPr>
          <t>Ajit Agrahari:</t>
        </r>
        <r>
          <rPr>
            <sz val="9"/>
            <color indexed="81"/>
            <rFont val="Tahoma"/>
            <family val="2"/>
          </rPr>
          <t xml:space="preserve">
Jobber - 3
MHE - 5
Blade Grinder - 3
Technician - 6
Rewinding and Bit Winding - 21
Yarn Clearance - 6
Roll Packing - 3
Rope - 12</t>
        </r>
      </text>
    </comment>
    <comment ref="S108" authorId="0" shapeId="0">
      <text>
        <r>
          <rPr>
            <b/>
            <sz val="9"/>
            <color indexed="81"/>
            <rFont val="Tahoma"/>
            <family val="2"/>
          </rPr>
          <t>Ajit Agrahari:</t>
        </r>
        <r>
          <rPr>
            <sz val="9"/>
            <color indexed="81"/>
            <rFont val="Tahoma"/>
            <family val="2"/>
          </rPr>
          <t xml:space="preserve">
Jobber - 3
MHE - 5
Blade Grinder - 3
Technician - 6
Rewinding and Bit Winding - 21
Yarn Clearance - 6
Roll Packing - 3
Rope - 12</t>
        </r>
      </text>
    </comment>
    <comment ref="S109" authorId="0" shapeId="0">
      <text>
        <r>
          <rPr>
            <b/>
            <sz val="9"/>
            <color indexed="81"/>
            <rFont val="Tahoma"/>
            <family val="2"/>
          </rPr>
          <t>Ajit Agrahari:</t>
        </r>
        <r>
          <rPr>
            <sz val="9"/>
            <color indexed="81"/>
            <rFont val="Tahoma"/>
            <family val="2"/>
          </rPr>
          <t xml:space="preserve">
Jobber - 3
MHE - 5
Blade Grinder - 3
Technician - 6
Rewinding and Bit Winding - 21
Yarn Clearance - 6
Roll Packing - 3
Rope - 12</t>
        </r>
      </text>
    </comment>
    <comment ref="S110" authorId="0" shapeId="0">
      <text>
        <r>
          <rPr>
            <b/>
            <sz val="9"/>
            <color indexed="81"/>
            <rFont val="Tahoma"/>
            <family val="2"/>
          </rPr>
          <t>Ajit Agrahari:</t>
        </r>
        <r>
          <rPr>
            <sz val="9"/>
            <color indexed="81"/>
            <rFont val="Tahoma"/>
            <family val="2"/>
          </rPr>
          <t xml:space="preserve">
Jobber - 3
MHE - 5
Blade Grinder - 3
Technician - 6
Rewinding and Bit Winding - 21
Yarn Clearance - 6
Roll Packing - 3
Rope - 12</t>
        </r>
      </text>
    </comment>
    <comment ref="S111" authorId="0" shapeId="0">
      <text>
        <r>
          <rPr>
            <b/>
            <sz val="9"/>
            <color indexed="81"/>
            <rFont val="Tahoma"/>
            <family val="2"/>
          </rPr>
          <t>Ajit Agrahari:</t>
        </r>
        <r>
          <rPr>
            <sz val="9"/>
            <color indexed="81"/>
            <rFont val="Tahoma"/>
            <family val="2"/>
          </rPr>
          <t xml:space="preserve">
Jobber - 3
MHE - 5
Blade Grinder - 3
Technician - 6
Rewinding and Bit Winding - 21
Yarn Clearance - 6
Roll Packing - 3
Rope - 12</t>
        </r>
      </text>
    </comment>
    <comment ref="S112" authorId="0" shapeId="0">
      <text>
        <r>
          <rPr>
            <b/>
            <sz val="9"/>
            <color indexed="81"/>
            <rFont val="Tahoma"/>
            <family val="2"/>
          </rPr>
          <t>Ajit Agrahari:</t>
        </r>
        <r>
          <rPr>
            <sz val="9"/>
            <color indexed="81"/>
            <rFont val="Tahoma"/>
            <family val="2"/>
          </rPr>
          <t xml:space="preserve">
Jobber - 3
MHE - 5
Blade Grinder - 3
Technician - 6
Rewinding and Bit Winding - 21
Yarn Clearance - 6
Roll Packing - 3
Rope - 12</t>
        </r>
      </text>
    </comment>
    <comment ref="S113" authorId="0" shapeId="0">
      <text>
        <r>
          <rPr>
            <b/>
            <sz val="9"/>
            <color indexed="81"/>
            <rFont val="Tahoma"/>
            <family val="2"/>
          </rPr>
          <t>Ajit Agrahari:</t>
        </r>
        <r>
          <rPr>
            <sz val="9"/>
            <color indexed="81"/>
            <rFont val="Tahoma"/>
            <family val="2"/>
          </rPr>
          <t xml:space="preserve">
Jobber - 3
MHE - 5
Blade Grinder - 3
Technician - 6
Rewinding and Bit Winding - 21
Yarn Clearance - 6
Roll Packing - 3
Rope - 12</t>
        </r>
      </text>
    </comment>
    <comment ref="S114" authorId="0" shapeId="0">
      <text>
        <r>
          <rPr>
            <b/>
            <sz val="9"/>
            <color indexed="81"/>
            <rFont val="Tahoma"/>
            <family val="2"/>
          </rPr>
          <t>Ajit Agrahari:</t>
        </r>
        <r>
          <rPr>
            <sz val="9"/>
            <color indexed="81"/>
            <rFont val="Tahoma"/>
            <family val="2"/>
          </rPr>
          <t xml:space="preserve">
Jobber - 3
MHE - 5
Blade Grinder - 3
Technician - 6
Rewinding and Bit Winding - 21
Yarn Clearance - 6
Roll Packing - 3
Rope - 12</t>
        </r>
      </text>
    </comment>
    <comment ref="S115" authorId="0" shapeId="0">
      <text>
        <r>
          <rPr>
            <b/>
            <sz val="9"/>
            <color indexed="81"/>
            <rFont val="Tahoma"/>
            <family val="2"/>
          </rPr>
          <t>Ajit Agrahari:</t>
        </r>
        <r>
          <rPr>
            <sz val="9"/>
            <color indexed="81"/>
            <rFont val="Tahoma"/>
            <family val="2"/>
          </rPr>
          <t xml:space="preserve">
Jobber - 3
MHE - 5
Blade Grinder - 3
Technician - 6
Rewinding and Bit Winding - 21
Yarn Clearance - 6
Roll Packing - 3
Rope - 12</t>
        </r>
      </text>
    </comment>
    <comment ref="S116" authorId="0" shapeId="0">
      <text>
        <r>
          <rPr>
            <b/>
            <sz val="9"/>
            <color indexed="81"/>
            <rFont val="Tahoma"/>
            <family val="2"/>
          </rPr>
          <t>Ajit Agrahari:</t>
        </r>
        <r>
          <rPr>
            <sz val="9"/>
            <color indexed="81"/>
            <rFont val="Tahoma"/>
            <family val="2"/>
          </rPr>
          <t xml:space="preserve">
Jobber - 3
MHE - 5
Blade Grinder - 3
Technician - 6
Rewinding and Bit Winding - 21
Yarn Clearance - 6
Roll Packing - 3
Rope - 12</t>
        </r>
      </text>
    </comment>
    <comment ref="S117" authorId="0" shapeId="0">
      <text>
        <r>
          <rPr>
            <b/>
            <sz val="9"/>
            <color indexed="81"/>
            <rFont val="Tahoma"/>
            <family val="2"/>
          </rPr>
          <t>Ajit Agrahari:</t>
        </r>
        <r>
          <rPr>
            <sz val="9"/>
            <color indexed="81"/>
            <rFont val="Tahoma"/>
            <family val="2"/>
          </rPr>
          <t xml:space="preserve">
Jobber - 3
MHE - 5
Blade Grinder - 3
Technician - 6
Rewinding and Bit Winding - 21
Yarn Clearance - 6
Roll Packing - 3
Rope - 12</t>
        </r>
      </text>
    </comment>
    <comment ref="S118" authorId="0" shapeId="0">
      <text>
        <r>
          <rPr>
            <b/>
            <sz val="9"/>
            <color indexed="81"/>
            <rFont val="Tahoma"/>
            <family val="2"/>
          </rPr>
          <t>Ajit Agrahari:</t>
        </r>
        <r>
          <rPr>
            <sz val="9"/>
            <color indexed="81"/>
            <rFont val="Tahoma"/>
            <family val="2"/>
          </rPr>
          <t xml:space="preserve">
Jobber - 3
MHE - 5
Blade Grinder - 3
Technician - 6
Rewinding and Bit Winding - 21
Yarn Clearance - 6
Roll Packing - 3
Rope - 12</t>
        </r>
      </text>
    </comment>
    <comment ref="S139" authorId="0" shapeId="0">
      <text>
        <r>
          <rPr>
            <b/>
            <sz val="9"/>
            <color indexed="81"/>
            <rFont val="Tahoma"/>
            <family val="2"/>
          </rPr>
          <t>Ajit Agrahari:</t>
        </r>
        <r>
          <rPr>
            <sz val="9"/>
            <color indexed="81"/>
            <rFont val="Tahoma"/>
            <family val="2"/>
          </rPr>
          <t xml:space="preserve">
Sample M/C - 6</t>
        </r>
      </text>
    </comment>
    <comment ref="S140" authorId="0" shapeId="0">
      <text>
        <r>
          <rPr>
            <b/>
            <sz val="9"/>
            <color indexed="81"/>
            <rFont val="Tahoma"/>
            <family val="2"/>
          </rPr>
          <t>Ajit Agrahari:</t>
        </r>
        <r>
          <rPr>
            <sz val="9"/>
            <color indexed="81"/>
            <rFont val="Tahoma"/>
            <family val="2"/>
          </rPr>
          <t xml:space="preserve">
Sample M/C - 6</t>
        </r>
      </text>
    </comment>
    <comment ref="S141" authorId="0" shapeId="0">
      <text>
        <r>
          <rPr>
            <b/>
            <sz val="9"/>
            <color indexed="81"/>
            <rFont val="Tahoma"/>
            <family val="2"/>
          </rPr>
          <t>Ajit Agrahari:</t>
        </r>
        <r>
          <rPr>
            <sz val="9"/>
            <color indexed="81"/>
            <rFont val="Tahoma"/>
            <family val="2"/>
          </rPr>
          <t xml:space="preserve">
Sample M/C - 6</t>
        </r>
      </text>
    </comment>
    <comment ref="S142" authorId="0" shapeId="0">
      <text>
        <r>
          <rPr>
            <b/>
            <sz val="9"/>
            <color indexed="81"/>
            <rFont val="Tahoma"/>
            <family val="2"/>
          </rPr>
          <t>Ajit Agrahari:</t>
        </r>
        <r>
          <rPr>
            <sz val="9"/>
            <color indexed="81"/>
            <rFont val="Tahoma"/>
            <family val="2"/>
          </rPr>
          <t xml:space="preserve">
Sample M/C - 6</t>
        </r>
      </text>
    </comment>
    <comment ref="S143" authorId="0" shapeId="0">
      <text>
        <r>
          <rPr>
            <b/>
            <sz val="9"/>
            <color indexed="81"/>
            <rFont val="Tahoma"/>
            <family val="2"/>
          </rPr>
          <t>Ajit Agrahari:</t>
        </r>
        <r>
          <rPr>
            <sz val="9"/>
            <color indexed="81"/>
            <rFont val="Tahoma"/>
            <family val="2"/>
          </rPr>
          <t xml:space="preserve">
Sample M/C - 6</t>
        </r>
      </text>
    </comment>
    <comment ref="S144" authorId="0" shapeId="0">
      <text>
        <r>
          <rPr>
            <b/>
            <sz val="9"/>
            <color indexed="81"/>
            <rFont val="Tahoma"/>
            <family val="2"/>
          </rPr>
          <t>Ajit Agrahari:</t>
        </r>
        <r>
          <rPr>
            <sz val="9"/>
            <color indexed="81"/>
            <rFont val="Tahoma"/>
            <family val="2"/>
          </rPr>
          <t xml:space="preserve">
Sample M/C - 6</t>
        </r>
      </text>
    </comment>
    <comment ref="S145" authorId="0" shapeId="0">
      <text>
        <r>
          <rPr>
            <b/>
            <sz val="9"/>
            <color indexed="81"/>
            <rFont val="Tahoma"/>
            <family val="2"/>
          </rPr>
          <t>Ajit Agrahari:</t>
        </r>
        <r>
          <rPr>
            <sz val="9"/>
            <color indexed="81"/>
            <rFont val="Tahoma"/>
            <family val="2"/>
          </rPr>
          <t xml:space="preserve">
Sample M/C - 6</t>
        </r>
      </text>
    </comment>
    <comment ref="S146" authorId="0" shapeId="0">
      <text>
        <r>
          <rPr>
            <b/>
            <sz val="9"/>
            <color indexed="81"/>
            <rFont val="Tahoma"/>
            <family val="2"/>
          </rPr>
          <t>Ajit Agrahari:</t>
        </r>
        <r>
          <rPr>
            <sz val="9"/>
            <color indexed="81"/>
            <rFont val="Tahoma"/>
            <family val="2"/>
          </rPr>
          <t xml:space="preserve">
Sample M/C - 6</t>
        </r>
      </text>
    </comment>
    <comment ref="S147" authorId="0" shapeId="0">
      <text>
        <r>
          <rPr>
            <b/>
            <sz val="9"/>
            <color indexed="81"/>
            <rFont val="Tahoma"/>
            <family val="2"/>
          </rPr>
          <t>Ajit Agrahari:</t>
        </r>
        <r>
          <rPr>
            <sz val="9"/>
            <color indexed="81"/>
            <rFont val="Tahoma"/>
            <family val="2"/>
          </rPr>
          <t xml:space="preserve">
Sample M/C - 6</t>
        </r>
      </text>
    </comment>
    <comment ref="AE147" authorId="1" shapeId="0">
      <text>
        <r>
          <rPr>
            <b/>
            <sz val="10"/>
            <color indexed="81"/>
            <rFont val="Tahoma"/>
            <family val="2"/>
          </rPr>
          <t>MirzaAli Jaffer:</t>
        </r>
        <r>
          <rPr>
            <sz val="10"/>
            <color indexed="81"/>
            <rFont val="Tahoma"/>
            <family val="2"/>
          </rPr>
          <t xml:space="preserve">
</t>
        </r>
      </text>
    </comment>
    <comment ref="S148" authorId="0" shapeId="0">
      <text>
        <r>
          <rPr>
            <b/>
            <sz val="9"/>
            <color indexed="81"/>
            <rFont val="Tahoma"/>
            <family val="2"/>
          </rPr>
          <t>Ajit Agrahari:</t>
        </r>
        <r>
          <rPr>
            <sz val="9"/>
            <color indexed="81"/>
            <rFont val="Tahoma"/>
            <family val="2"/>
          </rPr>
          <t xml:space="preserve">
Sample M/C - 6</t>
        </r>
      </text>
    </comment>
    <comment ref="S149" authorId="0" shapeId="0">
      <text>
        <r>
          <rPr>
            <b/>
            <sz val="9"/>
            <color indexed="81"/>
            <rFont val="Tahoma"/>
            <family val="2"/>
          </rPr>
          <t>Ajit Agrahari:</t>
        </r>
        <r>
          <rPr>
            <sz val="9"/>
            <color indexed="81"/>
            <rFont val="Tahoma"/>
            <family val="2"/>
          </rPr>
          <t xml:space="preserve">
Sample M/C - 6</t>
        </r>
      </text>
    </comment>
    <comment ref="S150" authorId="0" shapeId="0">
      <text>
        <r>
          <rPr>
            <b/>
            <sz val="9"/>
            <color indexed="81"/>
            <rFont val="Tahoma"/>
            <family val="2"/>
          </rPr>
          <t>Ajit Agrahari:</t>
        </r>
        <r>
          <rPr>
            <sz val="9"/>
            <color indexed="81"/>
            <rFont val="Tahoma"/>
            <family val="2"/>
          </rPr>
          <t xml:space="preserve">
Sample M/C - 6</t>
        </r>
      </text>
    </comment>
    <comment ref="S152" authorId="0" shapeId="0">
      <text>
        <r>
          <rPr>
            <b/>
            <sz val="9"/>
            <color indexed="81"/>
            <rFont val="Tahoma"/>
            <family val="2"/>
          </rPr>
          <t>Ajit Agrahari:</t>
        </r>
        <r>
          <rPr>
            <sz val="9"/>
            <color indexed="81"/>
            <rFont val="Tahoma"/>
            <family val="2"/>
          </rPr>
          <t xml:space="preserve">
Jobber/DEO - 3
Forklift Driver (MHE) - 3</t>
        </r>
      </text>
    </comment>
    <comment ref="S153" authorId="0" shapeId="0">
      <text>
        <r>
          <rPr>
            <b/>
            <sz val="9"/>
            <color indexed="81"/>
            <rFont val="Tahoma"/>
            <family val="2"/>
          </rPr>
          <t>Ajit Agrahari:</t>
        </r>
        <r>
          <rPr>
            <sz val="9"/>
            <color indexed="81"/>
            <rFont val="Tahoma"/>
            <family val="2"/>
          </rPr>
          <t xml:space="preserve">
Jobber/DEO - 3
Forklift Driver (MHE) - 3</t>
        </r>
      </text>
    </comment>
    <comment ref="S154" authorId="0" shapeId="0">
      <text>
        <r>
          <rPr>
            <b/>
            <sz val="9"/>
            <color indexed="81"/>
            <rFont val="Tahoma"/>
            <family val="2"/>
          </rPr>
          <t>Ajit Agrahari:</t>
        </r>
        <r>
          <rPr>
            <sz val="9"/>
            <color indexed="81"/>
            <rFont val="Tahoma"/>
            <family val="2"/>
          </rPr>
          <t xml:space="preserve">
Jobber/DEO - 3
Forklift Driver (MHE) - 3</t>
        </r>
      </text>
    </comment>
    <comment ref="S155" authorId="0" shapeId="0">
      <text>
        <r>
          <rPr>
            <b/>
            <sz val="9"/>
            <color indexed="81"/>
            <rFont val="Tahoma"/>
            <family val="2"/>
          </rPr>
          <t>Ajit Agrahari:</t>
        </r>
        <r>
          <rPr>
            <sz val="9"/>
            <color indexed="81"/>
            <rFont val="Tahoma"/>
            <family val="2"/>
          </rPr>
          <t xml:space="preserve">
Jobber/DEO - 3
Forklift Driver (MHE) - 3</t>
        </r>
      </text>
    </comment>
    <comment ref="S156" authorId="0" shapeId="0">
      <text>
        <r>
          <rPr>
            <b/>
            <sz val="9"/>
            <color indexed="81"/>
            <rFont val="Tahoma"/>
            <family val="2"/>
          </rPr>
          <t>Ajit Agrahari:</t>
        </r>
        <r>
          <rPr>
            <sz val="9"/>
            <color indexed="81"/>
            <rFont val="Tahoma"/>
            <family val="2"/>
          </rPr>
          <t xml:space="preserve">
Jobber/DEO - 3
Forklift Driver (MHE) - 3</t>
        </r>
      </text>
    </comment>
    <comment ref="S157" authorId="0" shapeId="0">
      <text>
        <r>
          <rPr>
            <b/>
            <sz val="9"/>
            <color indexed="81"/>
            <rFont val="Tahoma"/>
            <family val="2"/>
          </rPr>
          <t>Ajit Agrahari:</t>
        </r>
        <r>
          <rPr>
            <sz val="9"/>
            <color indexed="81"/>
            <rFont val="Tahoma"/>
            <family val="2"/>
          </rPr>
          <t xml:space="preserve">
Jobber/DEO - 3
Forklift Driver (MHE) - 3</t>
        </r>
      </text>
    </comment>
    <comment ref="S158" authorId="0" shapeId="0">
      <text>
        <r>
          <rPr>
            <b/>
            <sz val="9"/>
            <color indexed="81"/>
            <rFont val="Tahoma"/>
            <family val="2"/>
          </rPr>
          <t>Ajit Agrahari:</t>
        </r>
        <r>
          <rPr>
            <sz val="9"/>
            <color indexed="81"/>
            <rFont val="Tahoma"/>
            <family val="2"/>
          </rPr>
          <t xml:space="preserve">
Jobber/DEO - 3
Forklift Driver (MHE) - 3</t>
        </r>
      </text>
    </comment>
    <comment ref="S159" authorId="0" shapeId="0">
      <text>
        <r>
          <rPr>
            <b/>
            <sz val="9"/>
            <color indexed="81"/>
            <rFont val="Tahoma"/>
            <family val="2"/>
          </rPr>
          <t>Ajit Agrahari:</t>
        </r>
        <r>
          <rPr>
            <sz val="9"/>
            <color indexed="81"/>
            <rFont val="Tahoma"/>
            <family val="2"/>
          </rPr>
          <t xml:space="preserve">
Jobber/DEO - 3
Forklift Driver (MHE) - 3</t>
        </r>
      </text>
    </comment>
    <comment ref="S160" authorId="0" shapeId="0">
      <text>
        <r>
          <rPr>
            <b/>
            <sz val="9"/>
            <color indexed="81"/>
            <rFont val="Tahoma"/>
            <family val="2"/>
          </rPr>
          <t>Ajit Agrahari:</t>
        </r>
        <r>
          <rPr>
            <sz val="9"/>
            <color indexed="81"/>
            <rFont val="Tahoma"/>
            <family val="2"/>
          </rPr>
          <t xml:space="preserve">
Jobber/DEO - 3
Forklift Driver (MHE) - 3</t>
        </r>
      </text>
    </comment>
    <comment ref="S161" authorId="0" shapeId="0">
      <text>
        <r>
          <rPr>
            <b/>
            <sz val="9"/>
            <color indexed="81"/>
            <rFont val="Tahoma"/>
            <family val="2"/>
          </rPr>
          <t>Ajit Agrahari:</t>
        </r>
        <r>
          <rPr>
            <sz val="9"/>
            <color indexed="81"/>
            <rFont val="Tahoma"/>
            <family val="2"/>
          </rPr>
          <t xml:space="preserve">
Jobber/DEO - 3
Forklift Driver (MHE) - 3</t>
        </r>
      </text>
    </comment>
    <comment ref="S162" authorId="0" shapeId="0">
      <text>
        <r>
          <rPr>
            <b/>
            <sz val="9"/>
            <color indexed="81"/>
            <rFont val="Tahoma"/>
            <family val="2"/>
          </rPr>
          <t>Ajit Agrahari:</t>
        </r>
        <r>
          <rPr>
            <sz val="9"/>
            <color indexed="81"/>
            <rFont val="Tahoma"/>
            <family val="2"/>
          </rPr>
          <t xml:space="preserve">
Jobber/DEO - 3
Forklift Driver (MHE) - 3</t>
        </r>
      </text>
    </comment>
    <comment ref="S163" authorId="0" shapeId="0">
      <text>
        <r>
          <rPr>
            <b/>
            <sz val="9"/>
            <color indexed="81"/>
            <rFont val="Tahoma"/>
            <family val="2"/>
          </rPr>
          <t>Ajit Agrahari:</t>
        </r>
        <r>
          <rPr>
            <sz val="9"/>
            <color indexed="81"/>
            <rFont val="Tahoma"/>
            <family val="2"/>
          </rPr>
          <t xml:space="preserve">
Jobber/DEO - 3
Forklift Driver (MHE) - 3</t>
        </r>
      </text>
    </comment>
    <comment ref="S168" authorId="0" shapeId="0">
      <text>
        <r>
          <rPr>
            <b/>
            <sz val="9"/>
            <color indexed="81"/>
            <rFont val="Tahoma"/>
            <family val="2"/>
          </rPr>
          <t>Ajit Agrahari:</t>
        </r>
        <r>
          <rPr>
            <sz val="9"/>
            <color indexed="81"/>
            <rFont val="Tahoma"/>
            <family val="2"/>
          </rPr>
          <t xml:space="preserve">
Calcium Loading - 2
Pearl Mill - 5
Compounding - 5</t>
        </r>
      </text>
    </comment>
    <comment ref="S169" authorId="0" shapeId="0">
      <text>
        <r>
          <rPr>
            <b/>
            <sz val="9"/>
            <color indexed="81"/>
            <rFont val="Tahoma"/>
            <family val="2"/>
          </rPr>
          <t>Ajit Agrahari:</t>
        </r>
        <r>
          <rPr>
            <sz val="9"/>
            <color indexed="81"/>
            <rFont val="Tahoma"/>
            <family val="2"/>
          </rPr>
          <t xml:space="preserve">
Calcium Loading - 2
Pearl Mill - 5
Compounding - 5</t>
        </r>
      </text>
    </comment>
    <comment ref="S170" authorId="0" shapeId="0">
      <text>
        <r>
          <rPr>
            <b/>
            <sz val="9"/>
            <color indexed="81"/>
            <rFont val="Tahoma"/>
            <family val="2"/>
          </rPr>
          <t>Ajit Agrahari:</t>
        </r>
        <r>
          <rPr>
            <sz val="9"/>
            <color indexed="81"/>
            <rFont val="Tahoma"/>
            <family val="2"/>
          </rPr>
          <t xml:space="preserve">
Calcium Loading - 2
Pearl Mill - 5
Compounding - 5</t>
        </r>
      </text>
    </comment>
    <comment ref="S171" authorId="0" shapeId="0">
      <text>
        <r>
          <rPr>
            <b/>
            <sz val="9"/>
            <color indexed="81"/>
            <rFont val="Tahoma"/>
            <family val="2"/>
          </rPr>
          <t>Ajit Agrahari:</t>
        </r>
        <r>
          <rPr>
            <sz val="9"/>
            <color indexed="81"/>
            <rFont val="Tahoma"/>
            <family val="2"/>
          </rPr>
          <t xml:space="preserve">
Calcium Loading - 2
Pearl Mill - 5
Compounding - 5</t>
        </r>
      </text>
    </comment>
    <comment ref="AE171" authorId="1" shapeId="0">
      <text>
        <r>
          <rPr>
            <b/>
            <sz val="10"/>
            <color indexed="81"/>
            <rFont val="Tahoma"/>
            <family val="2"/>
          </rPr>
          <t>MirzaAli Jaffer:</t>
        </r>
        <r>
          <rPr>
            <sz val="10"/>
            <color indexed="81"/>
            <rFont val="Tahoma"/>
            <family val="2"/>
          </rPr>
          <t xml:space="preserve">
0-0.33 -&gt; 1 shift
0.34-0.66 -&gt; 2 shifts
0.67-1.00 -&gt; 3 shifts</t>
        </r>
      </text>
    </comment>
    <comment ref="S172" authorId="0" shapeId="0">
      <text>
        <r>
          <rPr>
            <b/>
            <sz val="9"/>
            <color indexed="81"/>
            <rFont val="Tahoma"/>
            <family val="2"/>
          </rPr>
          <t>Ajit Agrahari:</t>
        </r>
        <r>
          <rPr>
            <sz val="9"/>
            <color indexed="81"/>
            <rFont val="Tahoma"/>
            <family val="2"/>
          </rPr>
          <t xml:space="preserve">
Calcium Loading - 2
Pearl Mill - 5
Compounding - 5</t>
        </r>
      </text>
    </comment>
    <comment ref="S173" authorId="0" shapeId="0">
      <text>
        <r>
          <rPr>
            <b/>
            <sz val="9"/>
            <color indexed="81"/>
            <rFont val="Tahoma"/>
            <family val="2"/>
          </rPr>
          <t>Ajit Agrahari:</t>
        </r>
        <r>
          <rPr>
            <sz val="9"/>
            <color indexed="81"/>
            <rFont val="Tahoma"/>
            <family val="2"/>
          </rPr>
          <t xml:space="preserve">
Calcium Loading - 2
Pearl Mill - 5
Compounding - 5</t>
        </r>
      </text>
    </comment>
    <comment ref="S174" authorId="0" shapeId="0">
      <text>
        <r>
          <rPr>
            <b/>
            <sz val="9"/>
            <color indexed="81"/>
            <rFont val="Tahoma"/>
            <family val="2"/>
          </rPr>
          <t>Ajit Agrahari:</t>
        </r>
        <r>
          <rPr>
            <sz val="9"/>
            <color indexed="81"/>
            <rFont val="Tahoma"/>
            <family val="2"/>
          </rPr>
          <t xml:space="preserve">
Calcium Loading - 2
Pearl Mill - 5
Compounding - 5</t>
        </r>
      </text>
    </comment>
    <comment ref="S175" authorId="0" shapeId="0">
      <text>
        <r>
          <rPr>
            <b/>
            <sz val="9"/>
            <color indexed="81"/>
            <rFont val="Tahoma"/>
            <family val="2"/>
          </rPr>
          <t>Ajit Agrahari:</t>
        </r>
        <r>
          <rPr>
            <sz val="9"/>
            <color indexed="81"/>
            <rFont val="Tahoma"/>
            <family val="2"/>
          </rPr>
          <t xml:space="preserve">
Calcium Loading - 2
Pearl Mill - 5
Compounding - 5</t>
        </r>
      </text>
    </comment>
    <comment ref="S176" authorId="0" shapeId="0">
      <text>
        <r>
          <rPr>
            <b/>
            <sz val="9"/>
            <color indexed="81"/>
            <rFont val="Tahoma"/>
            <family val="2"/>
          </rPr>
          <t>Ajit Agrahari:</t>
        </r>
        <r>
          <rPr>
            <sz val="9"/>
            <color indexed="81"/>
            <rFont val="Tahoma"/>
            <family val="2"/>
          </rPr>
          <t xml:space="preserve">
Calcium Loading - 2
Pearl Mill - 5
Compounding - 5</t>
        </r>
      </text>
    </comment>
    <comment ref="S177" authorId="0" shapeId="0">
      <text>
        <r>
          <rPr>
            <b/>
            <sz val="9"/>
            <color indexed="81"/>
            <rFont val="Tahoma"/>
            <family val="2"/>
          </rPr>
          <t>Ajit Agrahari:</t>
        </r>
        <r>
          <rPr>
            <sz val="9"/>
            <color indexed="81"/>
            <rFont val="Tahoma"/>
            <family val="2"/>
          </rPr>
          <t xml:space="preserve">
Calcium Loading - 2
Pearl Mill - 5
Compounding - 5</t>
        </r>
      </text>
    </comment>
    <comment ref="S178" authorId="0" shapeId="0">
      <text>
        <r>
          <rPr>
            <b/>
            <sz val="9"/>
            <color indexed="81"/>
            <rFont val="Tahoma"/>
            <family val="2"/>
          </rPr>
          <t>Ajit Agrahari:</t>
        </r>
        <r>
          <rPr>
            <sz val="9"/>
            <color indexed="81"/>
            <rFont val="Tahoma"/>
            <family val="2"/>
          </rPr>
          <t xml:space="preserve">
Calcium Loading - 2
Pearl Mill - 5
Compounding - 5</t>
        </r>
      </text>
    </comment>
    <comment ref="S179" authorId="0" shapeId="0">
      <text>
        <r>
          <rPr>
            <b/>
            <sz val="9"/>
            <color indexed="81"/>
            <rFont val="Tahoma"/>
            <family val="2"/>
          </rPr>
          <t>Ajit Agrahari:</t>
        </r>
        <r>
          <rPr>
            <sz val="9"/>
            <color indexed="81"/>
            <rFont val="Tahoma"/>
            <family val="2"/>
          </rPr>
          <t xml:space="preserve">
Calcium Loading - 2
Pearl Mill - 5
Compounding - 5</t>
        </r>
      </text>
    </comment>
    <comment ref="S182" authorId="0" shapeId="0">
      <text>
        <r>
          <rPr>
            <b/>
            <sz val="9"/>
            <color indexed="81"/>
            <rFont val="Tahoma"/>
            <family val="2"/>
          </rPr>
          <t>Ajit Agrahari:</t>
        </r>
        <r>
          <rPr>
            <sz val="9"/>
            <color indexed="81"/>
            <rFont val="Tahoma"/>
            <family val="2"/>
          </rPr>
          <t xml:space="preserve">
MP for Rework - 9
Forklift Driver - 6
Side Matching - 8
TPR - 6
Rerolling - 6</t>
        </r>
      </text>
    </comment>
    <comment ref="S183" authorId="0" shapeId="0">
      <text>
        <r>
          <rPr>
            <b/>
            <sz val="9"/>
            <color indexed="81"/>
            <rFont val="Tahoma"/>
            <family val="2"/>
          </rPr>
          <t>Ajit Agrahari:</t>
        </r>
        <r>
          <rPr>
            <sz val="9"/>
            <color indexed="81"/>
            <rFont val="Tahoma"/>
            <family val="2"/>
          </rPr>
          <t xml:space="preserve">
MP for Rework - 9
Forklift Driver - 6
Side Matching - 8
TPR - 6
Rerolling - 6</t>
        </r>
      </text>
    </comment>
    <comment ref="S184" authorId="0" shapeId="0">
      <text>
        <r>
          <rPr>
            <b/>
            <sz val="9"/>
            <color indexed="81"/>
            <rFont val="Tahoma"/>
            <family val="2"/>
          </rPr>
          <t>Ajit Agrahari:</t>
        </r>
        <r>
          <rPr>
            <sz val="9"/>
            <color indexed="81"/>
            <rFont val="Tahoma"/>
            <family val="2"/>
          </rPr>
          <t xml:space="preserve">
MP for Rework - 9
Forklift Driver - 6
Side Matching - 8
TPR - 6
Rerolling - 6</t>
        </r>
      </text>
    </comment>
    <comment ref="S185" authorId="0" shapeId="0">
      <text>
        <r>
          <rPr>
            <b/>
            <sz val="9"/>
            <color indexed="81"/>
            <rFont val="Tahoma"/>
            <family val="2"/>
          </rPr>
          <t>Ajit Agrahari:</t>
        </r>
        <r>
          <rPr>
            <sz val="9"/>
            <color indexed="81"/>
            <rFont val="Tahoma"/>
            <family val="2"/>
          </rPr>
          <t xml:space="preserve">
MP for Rework - 9
Forklift Driver - 6
Side Matching - 8
TPR - 6
Rerolling - 6</t>
        </r>
      </text>
    </comment>
    <comment ref="S186" authorId="0" shapeId="0">
      <text>
        <r>
          <rPr>
            <b/>
            <sz val="9"/>
            <color indexed="81"/>
            <rFont val="Tahoma"/>
            <family val="2"/>
          </rPr>
          <t>Ajit Agrahari:</t>
        </r>
        <r>
          <rPr>
            <sz val="9"/>
            <color indexed="81"/>
            <rFont val="Tahoma"/>
            <family val="2"/>
          </rPr>
          <t xml:space="preserve">
MP for Rework - 9
Forklift Driver - 6
Side Matching - 8
TPR - 6
Rerolling - 6</t>
        </r>
      </text>
    </comment>
    <comment ref="S187" authorId="0" shapeId="0">
      <text>
        <r>
          <rPr>
            <b/>
            <sz val="9"/>
            <color indexed="81"/>
            <rFont val="Tahoma"/>
            <family val="2"/>
          </rPr>
          <t>Ajit Agrahari:</t>
        </r>
        <r>
          <rPr>
            <sz val="9"/>
            <color indexed="81"/>
            <rFont val="Tahoma"/>
            <family val="2"/>
          </rPr>
          <t xml:space="preserve">
MP for Rework - 9
Forklift Driver - 6
Side Matching - 8
TPR - 6
Rerolling - 6</t>
        </r>
      </text>
    </comment>
    <comment ref="S188" authorId="0" shapeId="0">
      <text>
        <r>
          <rPr>
            <b/>
            <sz val="9"/>
            <color indexed="81"/>
            <rFont val="Tahoma"/>
            <family val="2"/>
          </rPr>
          <t>Ajit Agrahari:</t>
        </r>
        <r>
          <rPr>
            <sz val="9"/>
            <color indexed="81"/>
            <rFont val="Tahoma"/>
            <family val="2"/>
          </rPr>
          <t xml:space="preserve">
MP for Rework - 9
Forklift Driver - 6
Side Matching - 8
TPR - 6
Rerolling - 6</t>
        </r>
      </text>
    </comment>
    <comment ref="S189" authorId="0" shapeId="0">
      <text>
        <r>
          <rPr>
            <b/>
            <sz val="9"/>
            <color indexed="81"/>
            <rFont val="Tahoma"/>
            <family val="2"/>
          </rPr>
          <t>Ajit Agrahari:</t>
        </r>
        <r>
          <rPr>
            <sz val="9"/>
            <color indexed="81"/>
            <rFont val="Tahoma"/>
            <family val="2"/>
          </rPr>
          <t xml:space="preserve">
MP for Rework - 9
Forklift Driver - 6
Side Matching - 8
TPR - 6
Rerolling - 6</t>
        </r>
      </text>
    </comment>
    <comment ref="S190" authorId="0" shapeId="0">
      <text>
        <r>
          <rPr>
            <b/>
            <sz val="9"/>
            <color indexed="81"/>
            <rFont val="Tahoma"/>
            <family val="2"/>
          </rPr>
          <t>Ajit Agrahari:</t>
        </r>
        <r>
          <rPr>
            <sz val="9"/>
            <color indexed="81"/>
            <rFont val="Tahoma"/>
            <family val="2"/>
          </rPr>
          <t xml:space="preserve">
MP for Rework - 9
Forklift Driver - 6
Side Matching - 8
TPR - 6
Rerolling - 6</t>
        </r>
      </text>
    </comment>
    <comment ref="S191" authorId="0" shapeId="0">
      <text>
        <r>
          <rPr>
            <b/>
            <sz val="9"/>
            <color indexed="81"/>
            <rFont val="Tahoma"/>
            <family val="2"/>
          </rPr>
          <t>Ajit Agrahari:</t>
        </r>
        <r>
          <rPr>
            <sz val="9"/>
            <color indexed="81"/>
            <rFont val="Tahoma"/>
            <family val="2"/>
          </rPr>
          <t xml:space="preserve">
MP for Rework - 9
Forklift Driver - 6
Side Matching - 8
TPR - 6
Rerolling - 6</t>
        </r>
      </text>
    </comment>
    <comment ref="S192" authorId="0" shapeId="0">
      <text>
        <r>
          <rPr>
            <b/>
            <sz val="9"/>
            <color indexed="81"/>
            <rFont val="Tahoma"/>
            <family val="2"/>
          </rPr>
          <t>Ajit Agrahari:</t>
        </r>
        <r>
          <rPr>
            <sz val="9"/>
            <color indexed="81"/>
            <rFont val="Tahoma"/>
            <family val="2"/>
          </rPr>
          <t xml:space="preserve">
MP for Rework - 9
Forklift Driver - 6
Side Matching - 8
TPR - 6
Rerolling - 6</t>
        </r>
      </text>
    </comment>
    <comment ref="S193" authorId="0" shapeId="0">
      <text>
        <r>
          <rPr>
            <b/>
            <sz val="9"/>
            <color indexed="81"/>
            <rFont val="Tahoma"/>
            <family val="2"/>
          </rPr>
          <t>Ajit Agrahari:</t>
        </r>
        <r>
          <rPr>
            <sz val="9"/>
            <color indexed="81"/>
            <rFont val="Tahoma"/>
            <family val="2"/>
          </rPr>
          <t xml:space="preserve">
MP for Rework - 9
Forklift Driver - 6
Side Matching - 8
TPR - 6
Rerolling - 6</t>
        </r>
      </text>
    </comment>
    <comment ref="U196" authorId="1" shapeId="0">
      <text>
        <r>
          <rPr>
            <b/>
            <sz val="10"/>
            <color indexed="81"/>
            <rFont val="Tahoma"/>
            <family val="2"/>
          </rPr>
          <t>MirzaAli Jaffer:
Actual in plant</t>
        </r>
        <r>
          <rPr>
            <sz val="10"/>
            <color indexed="81"/>
            <rFont val="Tahoma"/>
            <family val="2"/>
          </rPr>
          <t xml:space="preserve">
For reference</t>
        </r>
      </text>
    </comment>
    <comment ref="S197" authorId="0" shapeId="0">
      <text>
        <r>
          <rPr>
            <b/>
            <sz val="9"/>
            <color indexed="81"/>
            <rFont val="Tahoma"/>
            <family val="2"/>
          </rPr>
          <t>Ajit Agrahari:</t>
        </r>
        <r>
          <rPr>
            <sz val="9"/>
            <color indexed="81"/>
            <rFont val="Tahoma"/>
            <family val="2"/>
          </rPr>
          <t xml:space="preserve">
RRS - 12
Fitter - 4
DEO - 6
Compliance - 2
Jobber - Cutting - 3
Jobber - Stitching - 3
Jobber - Packing &amp; CT packing - 6
Trims Handler - 3</t>
        </r>
      </text>
    </comment>
    <comment ref="S198" authorId="0" shapeId="0">
      <text>
        <r>
          <rPr>
            <b/>
            <sz val="9"/>
            <color indexed="81"/>
            <rFont val="Tahoma"/>
            <family val="2"/>
          </rPr>
          <t>Ajit Agrahari:</t>
        </r>
        <r>
          <rPr>
            <sz val="9"/>
            <color indexed="81"/>
            <rFont val="Tahoma"/>
            <family val="2"/>
          </rPr>
          <t xml:space="preserve">
RRS - 12
Fitter - 4
DEO - 6
Compliance - 2
Jobber - Cutting - 3
Jobber - Stitching - 3
Jobber - Packing &amp; CT packing - 6
Trims Handler - 3</t>
        </r>
      </text>
    </comment>
    <comment ref="S199" authorId="0" shapeId="0">
      <text>
        <r>
          <rPr>
            <b/>
            <sz val="9"/>
            <color indexed="81"/>
            <rFont val="Tahoma"/>
            <family val="2"/>
          </rPr>
          <t>Ajit Agrahari:</t>
        </r>
        <r>
          <rPr>
            <sz val="9"/>
            <color indexed="81"/>
            <rFont val="Tahoma"/>
            <family val="2"/>
          </rPr>
          <t xml:space="preserve">
RRS - 12
Fitter - 4
DEO - 6
Compliance - 2
Jobber - Cutting - 3
Jobber - Stitching - 3
Jobber - Packing &amp; CT packing - 6
Trims Handler - 3</t>
        </r>
      </text>
    </comment>
    <comment ref="S200" authorId="0" shapeId="0">
      <text>
        <r>
          <rPr>
            <b/>
            <sz val="9"/>
            <color indexed="81"/>
            <rFont val="Tahoma"/>
            <family val="2"/>
          </rPr>
          <t>Ajit Agrahari:</t>
        </r>
        <r>
          <rPr>
            <sz val="9"/>
            <color indexed="81"/>
            <rFont val="Tahoma"/>
            <family val="2"/>
          </rPr>
          <t xml:space="preserve">
RRS - 12
Fitter - 4
DEO - 6
Compliance - 2
Jobber - Cutting - 3
Jobber - Stitching - 3
Jobber - Packing &amp; CT packing - 6
Trims Handler - 3</t>
        </r>
      </text>
    </comment>
    <comment ref="S201" authorId="0" shapeId="0">
      <text>
        <r>
          <rPr>
            <b/>
            <sz val="9"/>
            <color indexed="81"/>
            <rFont val="Tahoma"/>
            <family val="2"/>
          </rPr>
          <t>Ajit Agrahari:</t>
        </r>
        <r>
          <rPr>
            <sz val="9"/>
            <color indexed="81"/>
            <rFont val="Tahoma"/>
            <family val="2"/>
          </rPr>
          <t xml:space="preserve">
RRS - 12
Fitter - 4
DEO - 6
Compliance - 2
Jobber - Cutting - 3
Jobber - Stitching - 3
Jobber - Packing &amp; CT packing - 6
Trims Handler - 3</t>
        </r>
      </text>
    </comment>
    <comment ref="S202" authorId="0" shapeId="0">
      <text>
        <r>
          <rPr>
            <b/>
            <sz val="9"/>
            <color indexed="81"/>
            <rFont val="Tahoma"/>
            <family val="2"/>
          </rPr>
          <t>Ajit Agrahari:</t>
        </r>
        <r>
          <rPr>
            <sz val="9"/>
            <color indexed="81"/>
            <rFont val="Tahoma"/>
            <family val="2"/>
          </rPr>
          <t xml:space="preserve">
RRS - 12
Fitter - 4
DEO - 6
Compliance - 2
Jobber - Cutting - 3
Jobber - Stitching - 3
Jobber - Packing &amp; CT packing - 6
Trims Handler - 3</t>
        </r>
      </text>
    </comment>
    <comment ref="S203" authorId="0" shapeId="0">
      <text>
        <r>
          <rPr>
            <b/>
            <sz val="9"/>
            <color indexed="81"/>
            <rFont val="Tahoma"/>
            <family val="2"/>
          </rPr>
          <t>Ajit Agrahari:</t>
        </r>
        <r>
          <rPr>
            <sz val="9"/>
            <color indexed="81"/>
            <rFont val="Tahoma"/>
            <family val="2"/>
          </rPr>
          <t xml:space="preserve">
RRS - 12
Fitter - 4
DEO - 6
Compliance - 2
Jobber - Cutting - 3
Jobber - Stitching - 3
Jobber - Packing &amp; CT packing - 6
Trims Handler - 3</t>
        </r>
      </text>
    </comment>
    <comment ref="S204" authorId="0" shapeId="0">
      <text>
        <r>
          <rPr>
            <b/>
            <sz val="9"/>
            <color indexed="81"/>
            <rFont val="Tahoma"/>
            <family val="2"/>
          </rPr>
          <t>Ajit Agrahari:</t>
        </r>
        <r>
          <rPr>
            <sz val="9"/>
            <color indexed="81"/>
            <rFont val="Tahoma"/>
            <family val="2"/>
          </rPr>
          <t xml:space="preserve">
RRS - 12
Fitter - 4
DEO - 6
Compliance - 2
Jobber - Cutting - 3
Jobber - Stitching - 3
Jobber - Packing &amp; CT packing - 6
Trims Handler - 3</t>
        </r>
      </text>
    </comment>
    <comment ref="S205" authorId="0" shapeId="0">
      <text>
        <r>
          <rPr>
            <b/>
            <sz val="9"/>
            <color indexed="81"/>
            <rFont val="Tahoma"/>
            <family val="2"/>
          </rPr>
          <t>Ajit Agrahari:</t>
        </r>
        <r>
          <rPr>
            <sz val="9"/>
            <color indexed="81"/>
            <rFont val="Tahoma"/>
            <family val="2"/>
          </rPr>
          <t xml:space="preserve">
RRS - 12
Fitter - 4
DEO - 6
Compliance - 2
Jobber - Cutting - 3
Jobber - Stitching - 3
Jobber - Packing &amp; CT packing - 6
Trims Handler - 3</t>
        </r>
      </text>
    </comment>
    <comment ref="S206" authorId="0" shapeId="0">
      <text>
        <r>
          <rPr>
            <b/>
            <sz val="9"/>
            <color indexed="81"/>
            <rFont val="Tahoma"/>
            <family val="2"/>
          </rPr>
          <t>Ajit Agrahari:</t>
        </r>
        <r>
          <rPr>
            <sz val="9"/>
            <color indexed="81"/>
            <rFont val="Tahoma"/>
            <family val="2"/>
          </rPr>
          <t xml:space="preserve">
RRS - 12
Fitter - 4
DEO - 6
Compliance - 2
Jobber - Cutting - 3
Jobber - Stitching - 3
Jobber - Packing &amp; CT packing - 6
Trims Handler - 3</t>
        </r>
      </text>
    </comment>
    <comment ref="S207" authorId="0" shapeId="0">
      <text>
        <r>
          <rPr>
            <b/>
            <sz val="9"/>
            <color indexed="81"/>
            <rFont val="Tahoma"/>
            <family val="2"/>
          </rPr>
          <t>Ajit Agrahari:</t>
        </r>
        <r>
          <rPr>
            <sz val="9"/>
            <color indexed="81"/>
            <rFont val="Tahoma"/>
            <family val="2"/>
          </rPr>
          <t xml:space="preserve">
RRS - 12
Fitter - 4
DEO - 6
Compliance - 2
Jobber - Cutting - 3
Jobber - Stitching - 3
Jobber - Packing &amp; CT packing - 6
Trims Handler - 3</t>
        </r>
      </text>
    </comment>
    <comment ref="S208" authorId="0" shapeId="0">
      <text>
        <r>
          <rPr>
            <b/>
            <sz val="9"/>
            <color indexed="81"/>
            <rFont val="Tahoma"/>
            <family val="2"/>
          </rPr>
          <t>Ajit Agrahari:</t>
        </r>
        <r>
          <rPr>
            <sz val="9"/>
            <color indexed="81"/>
            <rFont val="Tahoma"/>
            <family val="2"/>
          </rPr>
          <t xml:space="preserve">
RRS - 12
Fitter - 4
DEO - 6
Compliance - 2
Jobber - Cutting - 3
Jobber - Stitching - 3
Jobber - Packing &amp; CT packing - 6
Trims Handler - 3</t>
        </r>
      </text>
    </comment>
    <comment ref="S288" authorId="0" shapeId="0">
      <text>
        <r>
          <rPr>
            <b/>
            <sz val="9"/>
            <color indexed="81"/>
            <rFont val="Tahoma"/>
            <family val="2"/>
          </rPr>
          <t>Ajit Agrahari:</t>
        </r>
        <r>
          <rPr>
            <sz val="9"/>
            <color indexed="81"/>
            <rFont val="Tahoma"/>
            <family val="2"/>
          </rPr>
          <t xml:space="preserve">
Helper - 12
Fitter - 3
Jobber - 3
DEO - 3
HR - 3</t>
        </r>
      </text>
    </comment>
    <comment ref="S289" authorId="0" shapeId="0">
      <text>
        <r>
          <rPr>
            <b/>
            <sz val="9"/>
            <color indexed="81"/>
            <rFont val="Tahoma"/>
            <family val="2"/>
          </rPr>
          <t>Ajit Agrahari:</t>
        </r>
        <r>
          <rPr>
            <sz val="9"/>
            <color indexed="81"/>
            <rFont val="Tahoma"/>
            <family val="2"/>
          </rPr>
          <t xml:space="preserve">
Helper - 12
Fitter - 3
Jobber - 3
DEO - 3
HR - 3</t>
        </r>
      </text>
    </comment>
    <comment ref="S290" authorId="0" shapeId="0">
      <text>
        <r>
          <rPr>
            <b/>
            <sz val="9"/>
            <color indexed="81"/>
            <rFont val="Tahoma"/>
            <family val="2"/>
          </rPr>
          <t>Ajit Agrahari:</t>
        </r>
        <r>
          <rPr>
            <sz val="9"/>
            <color indexed="81"/>
            <rFont val="Tahoma"/>
            <family val="2"/>
          </rPr>
          <t xml:space="preserve">
Helper - 12
Fitter - 3
Jobber - 3
DEO - 3
HR - 3</t>
        </r>
      </text>
    </comment>
    <comment ref="S291" authorId="0" shapeId="0">
      <text>
        <r>
          <rPr>
            <b/>
            <sz val="9"/>
            <color indexed="81"/>
            <rFont val="Tahoma"/>
            <family val="2"/>
          </rPr>
          <t>Ajit Agrahari:</t>
        </r>
        <r>
          <rPr>
            <sz val="9"/>
            <color indexed="81"/>
            <rFont val="Tahoma"/>
            <family val="2"/>
          </rPr>
          <t xml:space="preserve">
Helper - 12
Fitter - 3
Jobber - 3
DEO - 3
HR - 3</t>
        </r>
      </text>
    </comment>
    <comment ref="S292" authorId="0" shapeId="0">
      <text>
        <r>
          <rPr>
            <b/>
            <sz val="9"/>
            <color indexed="81"/>
            <rFont val="Tahoma"/>
            <family val="2"/>
          </rPr>
          <t>Ajit Agrahari:</t>
        </r>
        <r>
          <rPr>
            <sz val="9"/>
            <color indexed="81"/>
            <rFont val="Tahoma"/>
            <family val="2"/>
          </rPr>
          <t xml:space="preserve">
Helper - 12
Fitter - 3
Jobber - 3
DEO - 3
HR - 3</t>
        </r>
      </text>
    </comment>
    <comment ref="S293" authorId="0" shapeId="0">
      <text>
        <r>
          <rPr>
            <b/>
            <sz val="9"/>
            <color indexed="81"/>
            <rFont val="Tahoma"/>
            <family val="2"/>
          </rPr>
          <t>Ajit Agrahari:</t>
        </r>
        <r>
          <rPr>
            <sz val="9"/>
            <color indexed="81"/>
            <rFont val="Tahoma"/>
            <family val="2"/>
          </rPr>
          <t xml:space="preserve">
Helper - 12
Fitter - 3
Jobber - 3
DEO - 3
HR - 3</t>
        </r>
      </text>
    </comment>
    <comment ref="S294" authorId="0" shapeId="0">
      <text>
        <r>
          <rPr>
            <b/>
            <sz val="9"/>
            <color indexed="81"/>
            <rFont val="Tahoma"/>
            <family val="2"/>
          </rPr>
          <t>Ajit Agrahari:</t>
        </r>
        <r>
          <rPr>
            <sz val="9"/>
            <color indexed="81"/>
            <rFont val="Tahoma"/>
            <family val="2"/>
          </rPr>
          <t xml:space="preserve">
Helper - 12
Fitter - 3
Jobber - 3
DEO - 3
HR - 3</t>
        </r>
      </text>
    </comment>
    <comment ref="S295" authorId="0" shapeId="0">
      <text>
        <r>
          <rPr>
            <b/>
            <sz val="9"/>
            <color indexed="81"/>
            <rFont val="Tahoma"/>
            <family val="2"/>
          </rPr>
          <t>Ajit Agrahari:</t>
        </r>
        <r>
          <rPr>
            <sz val="9"/>
            <color indexed="81"/>
            <rFont val="Tahoma"/>
            <family val="2"/>
          </rPr>
          <t xml:space="preserve">
Helper - 12
Fitter - 3
Jobber - 3
DEO - 3
HR - 3</t>
        </r>
      </text>
    </comment>
    <comment ref="S296" authorId="0" shapeId="0">
      <text>
        <r>
          <rPr>
            <b/>
            <sz val="9"/>
            <color indexed="81"/>
            <rFont val="Tahoma"/>
            <family val="2"/>
          </rPr>
          <t>Ajit Agrahari:</t>
        </r>
        <r>
          <rPr>
            <sz val="9"/>
            <color indexed="81"/>
            <rFont val="Tahoma"/>
            <family val="2"/>
          </rPr>
          <t xml:space="preserve">
Helper - 12
Fitter - 3
Jobber - 3
DEO - 3
HR - 3</t>
        </r>
      </text>
    </comment>
    <comment ref="S297" authorId="0" shapeId="0">
      <text>
        <r>
          <rPr>
            <b/>
            <sz val="9"/>
            <color indexed="81"/>
            <rFont val="Tahoma"/>
            <family val="2"/>
          </rPr>
          <t>Ajit Agrahari:</t>
        </r>
        <r>
          <rPr>
            <sz val="9"/>
            <color indexed="81"/>
            <rFont val="Tahoma"/>
            <family val="2"/>
          </rPr>
          <t xml:space="preserve">
Helper - 12
Fitter - 3
Jobber - 3
DEO - 3
HR - 3</t>
        </r>
      </text>
    </comment>
    <comment ref="S298" authorId="0" shapeId="0">
      <text>
        <r>
          <rPr>
            <b/>
            <sz val="9"/>
            <color indexed="81"/>
            <rFont val="Tahoma"/>
            <family val="2"/>
          </rPr>
          <t>Ajit Agrahari:</t>
        </r>
        <r>
          <rPr>
            <sz val="9"/>
            <color indexed="81"/>
            <rFont val="Tahoma"/>
            <family val="2"/>
          </rPr>
          <t xml:space="preserve">
Helper - 12
Fitter - 3
Jobber - 3
DEO - 3
HR - 3</t>
        </r>
      </text>
    </comment>
    <comment ref="S299" authorId="0" shapeId="0">
      <text>
        <r>
          <rPr>
            <b/>
            <sz val="9"/>
            <color indexed="81"/>
            <rFont val="Tahoma"/>
            <family val="2"/>
          </rPr>
          <t>Ajit Agrahari:</t>
        </r>
        <r>
          <rPr>
            <sz val="9"/>
            <color indexed="81"/>
            <rFont val="Tahoma"/>
            <family val="2"/>
          </rPr>
          <t xml:space="preserve">
Helper - 12
Fitter - 3
Jobber - 3
DEO - 3
HR - 3</t>
        </r>
      </text>
    </comment>
    <comment ref="AD308" authorId="1" shapeId="0">
      <text>
        <r>
          <rPr>
            <b/>
            <sz val="10"/>
            <color indexed="81"/>
            <rFont val="Tahoma"/>
            <charset val="1"/>
          </rPr>
          <t>MirzaAli Jaffer:</t>
        </r>
        <r>
          <rPr>
            <sz val="10"/>
            <color indexed="81"/>
            <rFont val="Tahoma"/>
            <charset val="1"/>
          </rPr>
          <t xml:space="preserve">
Is it not required to include the ROUNDUP logic for mp/shift in this section?</t>
        </r>
      </text>
    </comment>
    <comment ref="AD323" authorId="1" shapeId="0">
      <text>
        <r>
          <rPr>
            <b/>
            <sz val="10"/>
            <color indexed="81"/>
            <rFont val="Tahoma"/>
            <charset val="1"/>
          </rPr>
          <t>MirzaAli Jaffer:</t>
        </r>
        <r>
          <rPr>
            <sz val="10"/>
            <color indexed="81"/>
            <rFont val="Tahoma"/>
            <charset val="1"/>
          </rPr>
          <t xml:space="preserve">
Is it not required to include the ROUNDUP logic for mp/shift in this section?</t>
        </r>
      </text>
    </comment>
    <comment ref="F367" authorId="2" shapeId="0">
      <text>
        <r>
          <rPr>
            <b/>
            <sz val="9"/>
            <color indexed="81"/>
            <rFont val="Tahoma"/>
            <family val="2"/>
          </rPr>
          <t>Author:</t>
        </r>
        <r>
          <rPr>
            <sz val="9"/>
            <color indexed="81"/>
            <rFont val="Tahoma"/>
            <family val="2"/>
          </rPr>
          <t xml:space="preserve">
P1 &amp; P2 6 Ends Only
</t>
        </r>
      </text>
    </comment>
    <comment ref="AD367" authorId="1" shapeId="0">
      <text>
        <r>
          <rPr>
            <b/>
            <sz val="10"/>
            <color indexed="81"/>
            <rFont val="Tahoma"/>
            <family val="2"/>
          </rPr>
          <t>MirzaAli Jaffer:</t>
        </r>
        <r>
          <rPr>
            <sz val="10"/>
            <color indexed="81"/>
            <rFont val="Tahoma"/>
            <family val="2"/>
          </rPr>
          <t xml:space="preserve">
0-0.33 -&gt; 1 shift
0.34-0.66 -&gt; 2 shifts
0.67-1.00 -&gt; 3 shifts</t>
        </r>
      </text>
    </comment>
    <comment ref="T382" authorId="1" shapeId="0">
      <text>
        <r>
          <rPr>
            <b/>
            <sz val="10"/>
            <color indexed="81"/>
            <rFont val="Tahoma"/>
            <family val="2"/>
          </rPr>
          <t>MirzaAli Jaffer:</t>
        </r>
        <r>
          <rPr>
            <sz val="10"/>
            <color indexed="81"/>
            <rFont val="Tahoma"/>
            <family val="2"/>
          </rPr>
          <t xml:space="preserve">
Per day</t>
        </r>
      </text>
    </comment>
  </commentList>
</comments>
</file>

<file path=xl/comments4.xml><?xml version="1.0" encoding="utf-8"?>
<comments xmlns="http://schemas.openxmlformats.org/spreadsheetml/2006/main">
  <authors>
    <author>MirzaAli Jaffer</author>
  </authors>
  <commentList>
    <comment ref="G2" authorId="0" shapeId="0">
      <text>
        <r>
          <rPr>
            <b/>
            <sz val="10"/>
            <color indexed="81"/>
            <rFont val="Tahoma"/>
            <charset val="1"/>
          </rPr>
          <t>MirzaAli Jaffer:</t>
        </r>
        <r>
          <rPr>
            <sz val="10"/>
            <color indexed="81"/>
            <rFont val="Tahoma"/>
            <charset val="1"/>
          </rPr>
          <t xml:space="preserve">
J2 is BP
</t>
        </r>
      </text>
    </comment>
    <comment ref="M2" authorId="0" shapeId="0">
      <text>
        <r>
          <rPr>
            <b/>
            <sz val="10"/>
            <color indexed="81"/>
            <rFont val="Tahoma"/>
            <family val="2"/>
          </rPr>
          <t xml:space="preserve">MirzaAli Jaffer:
</t>
        </r>
        <r>
          <rPr>
            <sz val="10"/>
            <color indexed="81"/>
            <rFont val="Tahoma"/>
            <family val="2"/>
          </rPr>
          <t>There are 3 logics that we applied to find Total HC Req. /Day
first one is just multiply into 3 shifts
Second is if Total HC Req. /Shift has decimal values lesser than .3, then ROUNDUP at per day
Third is shift buckets
Here in BCF we are using the 2nd logic</t>
        </r>
      </text>
    </comment>
    <comment ref="I3" authorId="0" shapeId="0">
      <text>
        <r>
          <rPr>
            <b/>
            <sz val="10"/>
            <color indexed="81"/>
            <rFont val="Tahoma"/>
            <charset val="1"/>
          </rPr>
          <t>MirzaAli Jaffer:</t>
        </r>
        <r>
          <rPr>
            <sz val="10"/>
            <color indexed="81"/>
            <rFont val="Tahoma"/>
            <charset val="1"/>
          </rPr>
          <t xml:space="preserve">
How many number of shifts for fixed type mp?</t>
        </r>
      </text>
    </comment>
    <comment ref="G9" authorId="0" shapeId="0">
      <text>
        <r>
          <rPr>
            <b/>
            <sz val="10"/>
            <color indexed="81"/>
            <rFont val="Tahoma"/>
            <charset val="1"/>
          </rPr>
          <t>MirzaAli Jaffer:</t>
        </r>
        <r>
          <rPr>
            <sz val="10"/>
            <color indexed="81"/>
            <rFont val="Tahoma"/>
            <charset val="1"/>
          </rPr>
          <t xml:space="preserve">
J18 is BP. U18 is capacity per machine</t>
        </r>
      </text>
    </comment>
    <comment ref="M9" authorId="0" shapeId="0">
      <text>
        <r>
          <rPr>
            <b/>
            <sz val="10"/>
            <color indexed="81"/>
            <rFont val="Tahoma"/>
            <family val="2"/>
          </rPr>
          <t xml:space="preserve">MirzaAli Jaffer:
</t>
        </r>
        <r>
          <rPr>
            <sz val="10"/>
            <color indexed="81"/>
            <rFont val="Tahoma"/>
            <family val="2"/>
          </rPr>
          <t>There are 3 logics that we applied to find Total HC Req. /Day
first one is just multiply into 3 shifts
Second is if Total HC Req. /Shift has decimal values lesser than .3, then ROUNDUP at per day
Third is shift buckets
Here in BCF we are using the 2nd logic</t>
        </r>
      </text>
    </comment>
    <comment ref="M16" authorId="0" shapeId="0">
      <text>
        <r>
          <rPr>
            <b/>
            <sz val="10"/>
            <color indexed="81"/>
            <rFont val="Tahoma"/>
            <family val="2"/>
          </rPr>
          <t xml:space="preserve">MirzaAli Jaffer:
</t>
        </r>
        <r>
          <rPr>
            <sz val="10"/>
            <color indexed="81"/>
            <rFont val="Tahoma"/>
            <family val="2"/>
          </rPr>
          <t>There are 3 logics that we applied to find Total HC Req. /Day
first one is just multiply into 3 shifts
Second is if Total HC Req. /Shift has decimal values lesser than .3, then ROUNDUP at per day
Third is shift buckets
Here in BCF we are using the 2nd logic</t>
        </r>
      </text>
    </comment>
    <comment ref="M24" authorId="0" shapeId="0">
      <text>
        <r>
          <rPr>
            <b/>
            <sz val="10"/>
            <color indexed="81"/>
            <rFont val="Tahoma"/>
            <family val="2"/>
          </rPr>
          <t xml:space="preserve">MirzaAli Jaffer:
</t>
        </r>
        <r>
          <rPr>
            <sz val="10"/>
            <color indexed="81"/>
            <rFont val="Tahoma"/>
            <family val="2"/>
          </rPr>
          <t>There are 3 logics that we applied to find Total HC Req. /Day
first one is just multiply into 3 shifts
Second is if Total HC Req. /Shift has decimal values lesser than .3, then ROUNDUP at per day
Third is shift buckets
Here in BCF we are using the 2nd logic</t>
        </r>
      </text>
    </comment>
    <comment ref="M26" authorId="0" shapeId="0">
      <text>
        <r>
          <rPr>
            <b/>
            <sz val="10"/>
            <color indexed="81"/>
            <rFont val="Tahoma"/>
            <family val="2"/>
          </rPr>
          <t xml:space="preserve">MirzaAli Jaffer:
</t>
        </r>
        <r>
          <rPr>
            <sz val="10"/>
            <color indexed="81"/>
            <rFont val="Tahoma"/>
            <family val="2"/>
          </rPr>
          <t>There are 3 logics that we applied to find Total HC Req. /Day
first one is just multiply into 3 shifts
Second is if Total HC Req. /Shift has decimal values lesser than .3, then ROUNDUP at per day
Third is shift buckets
Here in BCF we are using the 2nd logic</t>
        </r>
      </text>
    </comment>
    <comment ref="M32" authorId="0" shapeId="0">
      <text>
        <r>
          <rPr>
            <b/>
            <sz val="10"/>
            <color indexed="81"/>
            <rFont val="Tahoma"/>
            <family val="2"/>
          </rPr>
          <t xml:space="preserve">MirzaAli Jaffer:
</t>
        </r>
        <r>
          <rPr>
            <sz val="10"/>
            <color indexed="81"/>
            <rFont val="Tahoma"/>
            <family val="2"/>
          </rPr>
          <t>There are 3 logics that we applied to find Total HC Req. /Day
first one is just multiply into 3 shifts
Second is if Total HC Req. /Shift has decimal values lesser than .3, then ROUNDUP at per day
Third is shift buckets
Here in BCF we are using the 2nd logic</t>
        </r>
      </text>
    </comment>
    <comment ref="M38" authorId="0" shapeId="0">
      <text>
        <r>
          <rPr>
            <b/>
            <sz val="10"/>
            <color indexed="81"/>
            <rFont val="Tahoma"/>
            <family val="2"/>
          </rPr>
          <t xml:space="preserve">MirzaAli Jaffer:
</t>
        </r>
        <r>
          <rPr>
            <sz val="10"/>
            <color indexed="81"/>
            <rFont val="Tahoma"/>
            <family val="2"/>
          </rPr>
          <t>There are 3 logics that we applied to find Total HC Req. /Day
first one is just multiply into 3 shifts
Second is if Total HC Req. /Shift has decimal values lesser than .3, then ROUNDUP at per day
Third is shift buckets
Here in BCF we are using the 2nd logic</t>
        </r>
      </text>
    </comment>
    <comment ref="M103" authorId="0" shapeId="0">
      <text>
        <r>
          <rPr>
            <b/>
            <sz val="10"/>
            <color indexed="81"/>
            <rFont val="Tahoma"/>
            <family val="2"/>
          </rPr>
          <t xml:space="preserve">MirzaAli Jaffer:
</t>
        </r>
        <r>
          <rPr>
            <sz val="10"/>
            <color indexed="81"/>
            <rFont val="Tahoma"/>
            <family val="2"/>
          </rPr>
          <t>There are 3 logics that we applied to find Total HC Req. /Day
first one is just multiply into 3 shifts
Second is if Total HC Req. /Shift has decimal values lesser than .3, then ROUNDUP at per day
Third is shift buckets
Here we are using the 1st logic</t>
        </r>
      </text>
    </comment>
    <comment ref="M104" authorId="0" shapeId="0">
      <text>
        <r>
          <rPr>
            <b/>
            <sz val="10"/>
            <color indexed="81"/>
            <rFont val="Tahoma"/>
            <family val="2"/>
          </rPr>
          <t xml:space="preserve">MirzaAli Jaffer:
</t>
        </r>
        <r>
          <rPr>
            <sz val="10"/>
            <color indexed="81"/>
            <rFont val="Tahoma"/>
            <family val="2"/>
          </rPr>
          <t>There are 3 logics that we applied to find Total HC Req. /Day
first one is just multiply into 3 shifts
Second is if Total HC Req. /Shift has decimal values lesser than .3, then ROUNDUP at per day
Third is shift buckets
Here we are using the 1st logic</t>
        </r>
      </text>
    </comment>
    <comment ref="M105" authorId="0" shapeId="0">
      <text>
        <r>
          <rPr>
            <b/>
            <sz val="10"/>
            <color indexed="81"/>
            <rFont val="Tahoma"/>
            <family val="2"/>
          </rPr>
          <t xml:space="preserve">MirzaAli Jaffer:
</t>
        </r>
        <r>
          <rPr>
            <sz val="10"/>
            <color indexed="81"/>
            <rFont val="Tahoma"/>
            <family val="2"/>
          </rPr>
          <t>There are 3 logics that we applied to find Total HC Req. /Day
first one is just multiply into 3 shifts
Second is if Total HC Req. /Shift has decimal values lesser than .3, then ROUNDUP at per day
Third is shift buckets
Here in BCF we are using the 2nd logic</t>
        </r>
      </text>
    </comment>
  </commentList>
</comments>
</file>

<file path=xl/comments5.xml><?xml version="1.0" encoding="utf-8"?>
<comments xmlns="http://schemas.openxmlformats.org/spreadsheetml/2006/main">
  <authors>
    <author>Ajit Agrahari</author>
  </authors>
  <commentList>
    <comment ref="D136" authorId="0" shapeId="0">
      <text>
        <r>
          <rPr>
            <b/>
            <sz val="9"/>
            <color indexed="81"/>
            <rFont val="Tahoma"/>
            <family val="2"/>
          </rPr>
          <t>Ajit Agrahari:</t>
        </r>
        <r>
          <rPr>
            <sz val="9"/>
            <color indexed="81"/>
            <rFont val="Tahoma"/>
            <family val="2"/>
          </rPr>
          <t xml:space="preserve">
Automation for Selvage Cutter</t>
        </r>
      </text>
    </comment>
  </commentList>
</comments>
</file>

<file path=xl/comments6.xml><?xml version="1.0" encoding="utf-8"?>
<comments xmlns="http://schemas.openxmlformats.org/spreadsheetml/2006/main">
  <authors>
    <author>Ajit Agrahari</author>
  </authors>
  <commentList>
    <comment ref="CF17" authorId="0" shapeId="0">
      <text>
        <r>
          <rPr>
            <b/>
            <sz val="9"/>
            <color indexed="81"/>
            <rFont val="Tahoma"/>
            <family val="2"/>
          </rPr>
          <t>Ajit Agrahari:</t>
        </r>
        <r>
          <rPr>
            <sz val="9"/>
            <color indexed="81"/>
            <rFont val="Tahoma"/>
            <family val="2"/>
          </rPr>
          <t xml:space="preserve">
Bar tack Cost</t>
        </r>
      </text>
    </comment>
    <comment ref="CF18" authorId="0" shapeId="0">
      <text>
        <r>
          <rPr>
            <b/>
            <sz val="9"/>
            <color indexed="81"/>
            <rFont val="Tahoma"/>
            <family val="2"/>
          </rPr>
          <t>Ajit Agrahari:</t>
        </r>
        <r>
          <rPr>
            <sz val="9"/>
            <color indexed="81"/>
            <rFont val="Tahoma"/>
            <family val="2"/>
          </rPr>
          <t xml:space="preserve">
Manual Stitching Cost</t>
        </r>
      </text>
    </comment>
    <comment ref="CF19" authorId="0" shapeId="0">
      <text>
        <r>
          <rPr>
            <b/>
            <sz val="9"/>
            <color indexed="81"/>
            <rFont val="Tahoma"/>
            <family val="2"/>
          </rPr>
          <t>Ajit Agrahari:</t>
        </r>
        <r>
          <rPr>
            <sz val="9"/>
            <color indexed="81"/>
            <rFont val="Tahoma"/>
            <family val="2"/>
          </rPr>
          <t xml:space="preserve">
Manual Cutting Cost</t>
        </r>
      </text>
    </comment>
    <comment ref="CF20" authorId="0" shapeId="0">
      <text>
        <r>
          <rPr>
            <b/>
            <sz val="9"/>
            <color indexed="81"/>
            <rFont val="Tahoma"/>
            <family val="2"/>
          </rPr>
          <t>Ajit Agrahari:</t>
        </r>
        <r>
          <rPr>
            <sz val="9"/>
            <color indexed="81"/>
            <rFont val="Tahoma"/>
            <family val="2"/>
          </rPr>
          <t xml:space="preserve">
Packing - Area Rugs</t>
        </r>
      </text>
    </comment>
    <comment ref="CF21" authorId="0" shapeId="0">
      <text>
        <r>
          <rPr>
            <b/>
            <sz val="9"/>
            <color indexed="81"/>
            <rFont val="Tahoma"/>
            <family val="2"/>
          </rPr>
          <t>Ajit Agrahari:</t>
        </r>
        <r>
          <rPr>
            <sz val="9"/>
            <color indexed="81"/>
            <rFont val="Tahoma"/>
            <family val="2"/>
          </rPr>
          <t xml:space="preserve">
Packing - Bath Rugs</t>
        </r>
      </text>
    </comment>
  </commentList>
</comments>
</file>

<file path=xl/comments7.xml><?xml version="1.0" encoding="utf-8"?>
<comments xmlns="http://schemas.openxmlformats.org/spreadsheetml/2006/main">
  <authors>
    <author>Ajit Agrahari</author>
  </authors>
  <commentList>
    <comment ref="H5" authorId="0" shapeId="0">
      <text>
        <r>
          <rPr>
            <b/>
            <sz val="9"/>
            <color indexed="81"/>
            <rFont val="Tahoma"/>
            <family val="2"/>
          </rPr>
          <t>Ajit Agrahari:</t>
        </r>
        <r>
          <rPr>
            <sz val="9"/>
            <color indexed="81"/>
            <rFont val="Tahoma"/>
            <family val="2"/>
          </rPr>
          <t xml:space="preserve">
POY capacity Consider and BCF Requirement Consider</t>
        </r>
      </text>
    </comment>
  </commentList>
</comments>
</file>

<file path=xl/comments8.xml><?xml version="1.0" encoding="utf-8"?>
<comments xmlns="http://schemas.openxmlformats.org/spreadsheetml/2006/main">
  <authors>
    <author>Ajit Agrahari</author>
  </authors>
  <commentList>
    <comment ref="H3" authorId="0" shapeId="0">
      <text>
        <r>
          <rPr>
            <b/>
            <sz val="9"/>
            <color indexed="81"/>
            <rFont val="Tahoma"/>
            <family val="2"/>
          </rPr>
          <t>Ajit Agrahari:</t>
        </r>
        <r>
          <rPr>
            <sz val="9"/>
            <color indexed="81"/>
            <rFont val="Tahoma"/>
            <family val="2"/>
          </rPr>
          <t xml:space="preserve">
Currently Running at 800 RPM. We are going to increase RPM 1200 with the help of OEM by Q2.</t>
        </r>
      </text>
    </comment>
    <comment ref="H7" authorId="0" shapeId="0">
      <text>
        <r>
          <rPr>
            <b/>
            <sz val="9"/>
            <color indexed="81"/>
            <rFont val="Tahoma"/>
            <family val="2"/>
          </rPr>
          <t>Ajit Agrahari:</t>
        </r>
        <r>
          <rPr>
            <sz val="9"/>
            <color indexed="81"/>
            <rFont val="Tahoma"/>
            <family val="2"/>
          </rPr>
          <t xml:space="preserve">
Currently Running at 800 RPM. We are going to increase RPM 1200 with the help of OEM by Q2.</t>
        </r>
      </text>
    </comment>
    <comment ref="H20" authorId="0" shapeId="0">
      <text>
        <r>
          <rPr>
            <b/>
            <sz val="9"/>
            <color indexed="81"/>
            <rFont val="Tahoma"/>
            <family val="2"/>
          </rPr>
          <t>Ajit Agrahari:</t>
        </r>
        <r>
          <rPr>
            <sz val="9"/>
            <color indexed="81"/>
            <rFont val="Tahoma"/>
            <family val="2"/>
          </rPr>
          <t xml:space="preserve">
Priviously, we are running at 320 RPM, Now we increased to 350. We are going to increase RPM by 500 with the help of OEM. </t>
        </r>
      </text>
    </comment>
  </commentList>
</comments>
</file>

<file path=xl/comments9.xml><?xml version="1.0" encoding="utf-8"?>
<comments xmlns="http://schemas.openxmlformats.org/spreadsheetml/2006/main">
  <authors>
    <author>Author</author>
  </authors>
  <commentList>
    <comment ref="T22" authorId="0" shapeId="0">
      <text>
        <r>
          <rPr>
            <b/>
            <sz val="9"/>
            <color indexed="81"/>
            <rFont val="Tahoma"/>
            <family val="2"/>
          </rPr>
          <t>Author:</t>
        </r>
        <r>
          <rPr>
            <sz val="9"/>
            <color indexed="81"/>
            <rFont val="Tahoma"/>
            <family val="2"/>
          </rPr>
          <t xml:space="preserve">
Manual Overedging Done for all Production</t>
        </r>
      </text>
    </comment>
    <comment ref="K42" authorId="0" shapeId="0">
      <text>
        <r>
          <rPr>
            <b/>
            <sz val="9"/>
            <color indexed="81"/>
            <rFont val="Tahoma"/>
            <family val="2"/>
          </rPr>
          <t>Author:</t>
        </r>
        <r>
          <rPr>
            <sz val="9"/>
            <color indexed="81"/>
            <rFont val="Tahoma"/>
            <family val="2"/>
          </rPr>
          <t xml:space="preserve">
Max limit 250 cm. for more than 250 need to Modify sensors and Belt</t>
        </r>
      </text>
    </comment>
    <comment ref="L42" authorId="0" shapeId="0">
      <text>
        <r>
          <rPr>
            <b/>
            <sz val="9"/>
            <color indexed="81"/>
            <rFont val="Tahoma"/>
            <family val="2"/>
          </rPr>
          <t>Author:</t>
        </r>
        <r>
          <rPr>
            <sz val="9"/>
            <color indexed="81"/>
            <rFont val="Tahoma"/>
            <family val="2"/>
          </rPr>
          <t xml:space="preserve">
Max limit 250 cm. for more than 250 need to Modify sensors and Belt</t>
        </r>
      </text>
    </comment>
    <comment ref="M42" authorId="0" shapeId="0">
      <text>
        <r>
          <rPr>
            <b/>
            <sz val="9"/>
            <color indexed="81"/>
            <rFont val="Tahoma"/>
            <family val="2"/>
          </rPr>
          <t>Author:</t>
        </r>
        <r>
          <rPr>
            <sz val="9"/>
            <color indexed="81"/>
            <rFont val="Tahoma"/>
            <family val="2"/>
          </rPr>
          <t xml:space="preserve">
Max limit 250 cm. for more than 250 need to Modify sensors and Belt</t>
        </r>
      </text>
    </comment>
    <comment ref="N42" authorId="0" shapeId="0">
      <text>
        <r>
          <rPr>
            <b/>
            <sz val="9"/>
            <color indexed="81"/>
            <rFont val="Tahoma"/>
            <family val="2"/>
          </rPr>
          <t>Author:</t>
        </r>
        <r>
          <rPr>
            <sz val="9"/>
            <color indexed="81"/>
            <rFont val="Tahoma"/>
            <family val="2"/>
          </rPr>
          <t xml:space="preserve">
Max limit 250 cm. for more than 250 need to Modify sensors and Belt</t>
        </r>
      </text>
    </comment>
    <comment ref="AE86" authorId="0" shapeId="0">
      <text>
        <r>
          <rPr>
            <b/>
            <sz val="9"/>
            <color indexed="81"/>
            <rFont val="Tahoma"/>
            <family val="2"/>
          </rPr>
          <t>Including Staff As well as House keeping Added.</t>
        </r>
      </text>
    </comment>
  </commentList>
</comments>
</file>

<file path=xl/comments10.xml><?xml version="1.0" encoding="utf-8"?>
<comments xmlns="http://schemas.openxmlformats.org/spreadsheetml/2006/main">
  <authors>
    <author>Ajit Agrahari</author>
  </authors>
  <commentList>
    <comment ref="H3" authorId="0" shapeId="0">
      <text>
        <r>
          <rPr>
            <b/>
            <sz val="9"/>
            <color indexed="81"/>
            <rFont val="Tahoma"/>
            <family val="2"/>
          </rPr>
          <t>Ajit Agrahari:</t>
        </r>
        <r>
          <rPr>
            <sz val="9"/>
            <color indexed="81"/>
            <rFont val="Tahoma"/>
            <family val="2"/>
          </rPr>
          <t xml:space="preserve">
Currently Running at 800 RPM. We are going to increase RPM 1200 with the help of OEM by Q2.</t>
        </r>
      </text>
    </comment>
    <comment ref="H7" authorId="0" shapeId="0">
      <text>
        <r>
          <rPr>
            <b/>
            <sz val="9"/>
            <color indexed="81"/>
            <rFont val="Tahoma"/>
            <family val="2"/>
          </rPr>
          <t>Ajit Agrahari:</t>
        </r>
        <r>
          <rPr>
            <sz val="9"/>
            <color indexed="81"/>
            <rFont val="Tahoma"/>
            <family val="2"/>
          </rPr>
          <t xml:space="preserve">
Currently Running at 800 RPM. We are going to increase RPM 1200 with the help of OEM by Q2.</t>
        </r>
      </text>
    </comment>
    <comment ref="H20" authorId="0" shapeId="0">
      <text>
        <r>
          <rPr>
            <b/>
            <sz val="9"/>
            <color indexed="81"/>
            <rFont val="Tahoma"/>
            <family val="2"/>
          </rPr>
          <t>Ajit Agrahari:</t>
        </r>
        <r>
          <rPr>
            <sz val="9"/>
            <color indexed="81"/>
            <rFont val="Tahoma"/>
            <family val="2"/>
          </rPr>
          <t xml:space="preserve">
Priviously, we are running at 320 RPM, Now we increased to 350. We are going to increase RPM by 500 with the help of OEM. </t>
        </r>
      </text>
    </comment>
  </commentList>
</comments>
</file>

<file path=xl/comments11.xml><?xml version="1.0" encoding="utf-8"?>
<comments xmlns="http://schemas.openxmlformats.org/spreadsheetml/2006/main">
  <authors>
    <author>Author</author>
  </authors>
  <commentList>
    <comment ref="C12" authorId="0" shapeId="0">
      <text>
        <r>
          <rPr>
            <b/>
            <sz val="9"/>
            <color indexed="81"/>
            <rFont val="Tahoma"/>
            <family val="2"/>
          </rPr>
          <t>Author:</t>
        </r>
        <r>
          <rPr>
            <sz val="9"/>
            <color indexed="81"/>
            <rFont val="Tahoma"/>
            <family val="2"/>
          </rPr>
          <t xml:space="preserve">
2 Side Overedging</t>
        </r>
      </text>
    </comment>
    <comment ref="R12" authorId="0" shapeId="0">
      <text>
        <r>
          <rPr>
            <b/>
            <sz val="9"/>
            <color indexed="81"/>
            <rFont val="Tahoma"/>
            <family val="2"/>
          </rPr>
          <t>Author:</t>
        </r>
        <r>
          <rPr>
            <sz val="9"/>
            <color indexed="81"/>
            <rFont val="Tahoma"/>
            <family val="2"/>
          </rPr>
          <t xml:space="preserve">
2 Side Overedging</t>
        </r>
      </text>
    </comment>
    <comment ref="AG12" authorId="0" shapeId="0">
      <text>
        <r>
          <rPr>
            <b/>
            <sz val="9"/>
            <color indexed="81"/>
            <rFont val="Tahoma"/>
            <family val="2"/>
          </rPr>
          <t>Author:</t>
        </r>
        <r>
          <rPr>
            <sz val="9"/>
            <color indexed="81"/>
            <rFont val="Tahoma"/>
            <family val="2"/>
          </rPr>
          <t xml:space="preserve">
2 Side Overedging</t>
        </r>
      </text>
    </comment>
    <comment ref="AV12" authorId="0" shapeId="0">
      <text>
        <r>
          <rPr>
            <b/>
            <sz val="9"/>
            <color indexed="81"/>
            <rFont val="Tahoma"/>
            <family val="2"/>
          </rPr>
          <t>Author:</t>
        </r>
        <r>
          <rPr>
            <sz val="9"/>
            <color indexed="81"/>
            <rFont val="Tahoma"/>
            <family val="2"/>
          </rPr>
          <t xml:space="preserve">
2 Side Overedging</t>
        </r>
      </text>
    </comment>
    <comment ref="BK12" authorId="0" shapeId="0">
      <text>
        <r>
          <rPr>
            <b/>
            <sz val="9"/>
            <color indexed="81"/>
            <rFont val="Tahoma"/>
            <family val="2"/>
          </rPr>
          <t>Author:</t>
        </r>
        <r>
          <rPr>
            <sz val="9"/>
            <color indexed="81"/>
            <rFont val="Tahoma"/>
            <family val="2"/>
          </rPr>
          <t xml:space="preserve">
2 Side Overedging</t>
        </r>
      </text>
    </comment>
    <comment ref="BZ12" authorId="0" shapeId="0">
      <text>
        <r>
          <rPr>
            <b/>
            <sz val="9"/>
            <color indexed="81"/>
            <rFont val="Tahoma"/>
            <family val="2"/>
          </rPr>
          <t>Author:</t>
        </r>
        <r>
          <rPr>
            <sz val="9"/>
            <color indexed="81"/>
            <rFont val="Tahoma"/>
            <family val="2"/>
          </rPr>
          <t xml:space="preserve">
2 Side Overedging</t>
        </r>
      </text>
    </comment>
    <comment ref="CO12" authorId="0" shapeId="0">
      <text>
        <r>
          <rPr>
            <b/>
            <sz val="9"/>
            <color indexed="81"/>
            <rFont val="Tahoma"/>
            <family val="2"/>
          </rPr>
          <t>Author:</t>
        </r>
        <r>
          <rPr>
            <sz val="9"/>
            <color indexed="81"/>
            <rFont val="Tahoma"/>
            <family val="2"/>
          </rPr>
          <t xml:space="preserve">
2 Side Overedging</t>
        </r>
      </text>
    </comment>
    <comment ref="DD12" authorId="0" shapeId="0">
      <text>
        <r>
          <rPr>
            <b/>
            <sz val="9"/>
            <color indexed="81"/>
            <rFont val="Tahoma"/>
            <family val="2"/>
          </rPr>
          <t>Author:</t>
        </r>
        <r>
          <rPr>
            <sz val="9"/>
            <color indexed="81"/>
            <rFont val="Tahoma"/>
            <family val="2"/>
          </rPr>
          <t xml:space="preserve">
2 Side Overedging</t>
        </r>
      </text>
    </comment>
    <comment ref="DS12" authorId="0" shapeId="0">
      <text>
        <r>
          <rPr>
            <b/>
            <sz val="9"/>
            <color indexed="81"/>
            <rFont val="Tahoma"/>
            <family val="2"/>
          </rPr>
          <t>Author:</t>
        </r>
        <r>
          <rPr>
            <sz val="9"/>
            <color indexed="81"/>
            <rFont val="Tahoma"/>
            <family val="2"/>
          </rPr>
          <t xml:space="preserve">
2 Side Overedging</t>
        </r>
      </text>
    </comment>
    <comment ref="EH12" authorId="0" shapeId="0">
      <text>
        <r>
          <rPr>
            <b/>
            <sz val="9"/>
            <color indexed="81"/>
            <rFont val="Tahoma"/>
            <family val="2"/>
          </rPr>
          <t>Author:</t>
        </r>
        <r>
          <rPr>
            <sz val="9"/>
            <color indexed="81"/>
            <rFont val="Tahoma"/>
            <family val="2"/>
          </rPr>
          <t xml:space="preserve">
2 Side Overedging</t>
        </r>
      </text>
    </comment>
    <comment ref="EW12" authorId="0" shapeId="0">
      <text>
        <r>
          <rPr>
            <b/>
            <sz val="9"/>
            <color indexed="81"/>
            <rFont val="Tahoma"/>
            <family val="2"/>
          </rPr>
          <t>Author:</t>
        </r>
        <r>
          <rPr>
            <sz val="9"/>
            <color indexed="81"/>
            <rFont val="Tahoma"/>
            <family val="2"/>
          </rPr>
          <t xml:space="preserve">
2 Side Overedging</t>
        </r>
      </text>
    </comment>
    <comment ref="FL12" authorId="0" shapeId="0">
      <text>
        <r>
          <rPr>
            <b/>
            <sz val="9"/>
            <color indexed="81"/>
            <rFont val="Tahoma"/>
            <family val="2"/>
          </rPr>
          <t>Author:</t>
        </r>
        <r>
          <rPr>
            <sz val="9"/>
            <color indexed="81"/>
            <rFont val="Tahoma"/>
            <family val="2"/>
          </rPr>
          <t xml:space="preserve">
2 Side Overedging</t>
        </r>
      </text>
    </comment>
    <comment ref="B14" authorId="0" shapeId="0">
      <text>
        <r>
          <rPr>
            <b/>
            <sz val="9"/>
            <color indexed="81"/>
            <rFont val="Tahoma"/>
            <family val="2"/>
          </rPr>
          <t>Ajit Agrahari:1.8*70% + .4*30% = 1.38</t>
        </r>
      </text>
    </comment>
    <comment ref="M14" authorId="0" shapeId="0">
      <text>
        <r>
          <rPr>
            <b/>
            <sz val="9"/>
            <color indexed="81"/>
            <rFont val="Tahoma"/>
            <family val="2"/>
          </rPr>
          <t xml:space="preserve">Author:
</t>
        </r>
      </text>
    </comment>
    <comment ref="Q14" authorId="0" shapeId="0">
      <text>
        <r>
          <rPr>
            <b/>
            <sz val="9"/>
            <color indexed="81"/>
            <rFont val="Tahoma"/>
            <family val="2"/>
          </rPr>
          <t>Ajit Agrahari:1.8*70% + .4*30% = 1.38</t>
        </r>
      </text>
    </comment>
    <comment ref="AB14" authorId="0" shapeId="0">
      <text>
        <r>
          <rPr>
            <b/>
            <sz val="9"/>
            <color indexed="81"/>
            <rFont val="Tahoma"/>
            <family val="2"/>
          </rPr>
          <t xml:space="preserve">Author:
</t>
        </r>
      </text>
    </comment>
    <comment ref="AF14" authorId="0" shapeId="0">
      <text>
        <r>
          <rPr>
            <b/>
            <sz val="9"/>
            <color indexed="81"/>
            <rFont val="Tahoma"/>
            <family val="2"/>
          </rPr>
          <t>Ajit Agrahari:1.8*70% + .4*30% = 1.38</t>
        </r>
      </text>
    </comment>
    <comment ref="AQ14" authorId="0" shapeId="0">
      <text>
        <r>
          <rPr>
            <b/>
            <sz val="9"/>
            <color indexed="81"/>
            <rFont val="Tahoma"/>
            <family val="2"/>
          </rPr>
          <t xml:space="preserve">Author:
</t>
        </r>
      </text>
    </comment>
    <comment ref="AU14" authorId="0" shapeId="0">
      <text>
        <r>
          <rPr>
            <b/>
            <sz val="9"/>
            <color indexed="81"/>
            <rFont val="Tahoma"/>
            <family val="2"/>
          </rPr>
          <t>Ajit Agrahari:1.8*70% + .4*30% = 1.38</t>
        </r>
      </text>
    </comment>
    <comment ref="BF14" authorId="0" shapeId="0">
      <text>
        <r>
          <rPr>
            <b/>
            <sz val="9"/>
            <color indexed="81"/>
            <rFont val="Tahoma"/>
            <family val="2"/>
          </rPr>
          <t xml:space="preserve">Author:
</t>
        </r>
      </text>
    </comment>
    <comment ref="BJ14" authorId="0" shapeId="0">
      <text>
        <r>
          <rPr>
            <b/>
            <sz val="9"/>
            <color indexed="81"/>
            <rFont val="Tahoma"/>
            <family val="2"/>
          </rPr>
          <t>Ajit Agrahari:1.8*70% + .4*30% = 1.38</t>
        </r>
      </text>
    </comment>
    <comment ref="BU14" authorId="0" shapeId="0">
      <text>
        <r>
          <rPr>
            <b/>
            <sz val="9"/>
            <color indexed="81"/>
            <rFont val="Tahoma"/>
            <family val="2"/>
          </rPr>
          <t xml:space="preserve">Author:
</t>
        </r>
      </text>
    </comment>
    <comment ref="BY14" authorId="0" shapeId="0">
      <text>
        <r>
          <rPr>
            <b/>
            <sz val="9"/>
            <color indexed="81"/>
            <rFont val="Tahoma"/>
            <family val="2"/>
          </rPr>
          <t>Ajit Agrahari:1.8*70% + .4*30% = 1.38</t>
        </r>
      </text>
    </comment>
    <comment ref="CJ14" authorId="0" shapeId="0">
      <text>
        <r>
          <rPr>
            <b/>
            <sz val="9"/>
            <color indexed="81"/>
            <rFont val="Tahoma"/>
            <family val="2"/>
          </rPr>
          <t xml:space="preserve">Author:
</t>
        </r>
      </text>
    </comment>
    <comment ref="CN14" authorId="0" shapeId="0">
      <text>
        <r>
          <rPr>
            <b/>
            <sz val="9"/>
            <color indexed="81"/>
            <rFont val="Tahoma"/>
            <family val="2"/>
          </rPr>
          <t>Ajit Agrahari:1.8*70% + .4*30% = 1.38</t>
        </r>
      </text>
    </comment>
    <comment ref="CY14" authorId="0" shapeId="0">
      <text>
        <r>
          <rPr>
            <b/>
            <sz val="9"/>
            <color indexed="81"/>
            <rFont val="Tahoma"/>
            <family val="2"/>
          </rPr>
          <t xml:space="preserve">Author:
</t>
        </r>
      </text>
    </comment>
    <comment ref="DC14" authorId="0" shapeId="0">
      <text>
        <r>
          <rPr>
            <b/>
            <sz val="9"/>
            <color indexed="81"/>
            <rFont val="Tahoma"/>
            <family val="2"/>
          </rPr>
          <t>Ajit Agrahari:1.8*70% + .4*30% = 1.38</t>
        </r>
      </text>
    </comment>
    <comment ref="DN14" authorId="0" shapeId="0">
      <text>
        <r>
          <rPr>
            <b/>
            <sz val="9"/>
            <color indexed="81"/>
            <rFont val="Tahoma"/>
            <family val="2"/>
          </rPr>
          <t xml:space="preserve">Author:
</t>
        </r>
      </text>
    </comment>
    <comment ref="DR14" authorId="0" shapeId="0">
      <text>
        <r>
          <rPr>
            <b/>
            <sz val="9"/>
            <color indexed="81"/>
            <rFont val="Tahoma"/>
            <family val="2"/>
          </rPr>
          <t>Ajit Agrahari:1.8*70% + .4*30% = 1.38</t>
        </r>
      </text>
    </comment>
    <comment ref="EC14" authorId="0" shapeId="0">
      <text>
        <r>
          <rPr>
            <b/>
            <sz val="9"/>
            <color indexed="81"/>
            <rFont val="Tahoma"/>
            <family val="2"/>
          </rPr>
          <t xml:space="preserve">Author:
</t>
        </r>
      </text>
    </comment>
    <comment ref="EG14" authorId="0" shapeId="0">
      <text>
        <r>
          <rPr>
            <b/>
            <sz val="9"/>
            <color indexed="81"/>
            <rFont val="Tahoma"/>
            <family val="2"/>
          </rPr>
          <t>Ajit Agrahari:1.8*70% + .4*30% = 1.38</t>
        </r>
      </text>
    </comment>
    <comment ref="ER14" authorId="0" shapeId="0">
      <text>
        <r>
          <rPr>
            <b/>
            <sz val="9"/>
            <color indexed="81"/>
            <rFont val="Tahoma"/>
            <family val="2"/>
          </rPr>
          <t xml:space="preserve">Author:
</t>
        </r>
      </text>
    </comment>
    <comment ref="EV14" authorId="0" shapeId="0">
      <text>
        <r>
          <rPr>
            <b/>
            <sz val="9"/>
            <color indexed="81"/>
            <rFont val="Tahoma"/>
            <family val="2"/>
          </rPr>
          <t>Ajit Agrahari:1.8*70% + .4*30% = 1.38</t>
        </r>
      </text>
    </comment>
    <comment ref="FG14" authorId="0" shapeId="0">
      <text>
        <r>
          <rPr>
            <b/>
            <sz val="9"/>
            <color indexed="81"/>
            <rFont val="Tahoma"/>
            <family val="2"/>
          </rPr>
          <t xml:space="preserve">Author:
</t>
        </r>
      </text>
    </comment>
    <comment ref="FK14" authorId="0" shapeId="0">
      <text>
        <r>
          <rPr>
            <b/>
            <sz val="9"/>
            <color indexed="81"/>
            <rFont val="Tahoma"/>
            <family val="2"/>
          </rPr>
          <t>Ajit Agrahari:1.8*70% + .4*30% = 1.38</t>
        </r>
      </text>
    </comment>
    <comment ref="FV14" authorId="0" shapeId="0">
      <text>
        <r>
          <rPr>
            <b/>
            <sz val="9"/>
            <color indexed="81"/>
            <rFont val="Tahoma"/>
            <family val="2"/>
          </rPr>
          <t xml:space="preserve">Author:
</t>
        </r>
      </text>
    </comment>
    <comment ref="B23" authorId="0" shapeId="0">
      <text>
        <r>
          <rPr>
            <b/>
            <sz val="9"/>
            <color indexed="81"/>
            <rFont val="Tahoma"/>
            <family val="2"/>
          </rPr>
          <t>Author:</t>
        </r>
        <r>
          <rPr>
            <sz val="9"/>
            <color indexed="81"/>
            <rFont val="Tahoma"/>
            <family val="2"/>
          </rPr>
          <t xml:space="preserve">
Need 8 Operator (2 Skill and 6 Trainee)***</t>
        </r>
      </text>
    </comment>
    <comment ref="Q23" authorId="0" shapeId="0">
      <text>
        <r>
          <rPr>
            <b/>
            <sz val="9"/>
            <color indexed="81"/>
            <rFont val="Tahoma"/>
            <family val="2"/>
          </rPr>
          <t>Author:</t>
        </r>
        <r>
          <rPr>
            <sz val="9"/>
            <color indexed="81"/>
            <rFont val="Tahoma"/>
            <family val="2"/>
          </rPr>
          <t xml:space="preserve">
Need 8 Operator (2 Skill and 6 Trainee)***</t>
        </r>
      </text>
    </comment>
    <comment ref="AF23" authorId="0" shapeId="0">
      <text>
        <r>
          <rPr>
            <b/>
            <sz val="9"/>
            <color indexed="81"/>
            <rFont val="Tahoma"/>
            <family val="2"/>
          </rPr>
          <t>Author:</t>
        </r>
        <r>
          <rPr>
            <sz val="9"/>
            <color indexed="81"/>
            <rFont val="Tahoma"/>
            <family val="2"/>
          </rPr>
          <t xml:space="preserve">
Need 8 Operator (2 Skill and 6 Trainee)***</t>
        </r>
      </text>
    </comment>
    <comment ref="AU23" authorId="0" shapeId="0">
      <text>
        <r>
          <rPr>
            <b/>
            <sz val="9"/>
            <color indexed="81"/>
            <rFont val="Tahoma"/>
            <family val="2"/>
          </rPr>
          <t>Author:</t>
        </r>
        <r>
          <rPr>
            <sz val="9"/>
            <color indexed="81"/>
            <rFont val="Tahoma"/>
            <family val="2"/>
          </rPr>
          <t xml:space="preserve">
Need 8 Operator (2 Skill and 6 Trainee)***</t>
        </r>
      </text>
    </comment>
    <comment ref="BJ23" authorId="0" shapeId="0">
      <text>
        <r>
          <rPr>
            <b/>
            <sz val="9"/>
            <color indexed="81"/>
            <rFont val="Tahoma"/>
            <family val="2"/>
          </rPr>
          <t>Author:</t>
        </r>
        <r>
          <rPr>
            <sz val="9"/>
            <color indexed="81"/>
            <rFont val="Tahoma"/>
            <family val="2"/>
          </rPr>
          <t xml:space="preserve">
Need 8 Operator (2 Skill and 6 Trainee)***</t>
        </r>
      </text>
    </comment>
    <comment ref="BY23" authorId="0" shapeId="0">
      <text>
        <r>
          <rPr>
            <b/>
            <sz val="9"/>
            <color indexed="81"/>
            <rFont val="Tahoma"/>
            <family val="2"/>
          </rPr>
          <t>Author:</t>
        </r>
        <r>
          <rPr>
            <sz val="9"/>
            <color indexed="81"/>
            <rFont val="Tahoma"/>
            <family val="2"/>
          </rPr>
          <t xml:space="preserve">
Need 8 Operator (2 Skill and 6 Trainee)***</t>
        </r>
      </text>
    </comment>
    <comment ref="CN23" authorId="0" shapeId="0">
      <text>
        <r>
          <rPr>
            <b/>
            <sz val="9"/>
            <color indexed="81"/>
            <rFont val="Tahoma"/>
            <family val="2"/>
          </rPr>
          <t>Author:</t>
        </r>
        <r>
          <rPr>
            <sz val="9"/>
            <color indexed="81"/>
            <rFont val="Tahoma"/>
            <family val="2"/>
          </rPr>
          <t xml:space="preserve">
Need 8 Operator (2 Skill and 6 Trainee)***</t>
        </r>
      </text>
    </comment>
    <comment ref="DC23" authorId="0" shapeId="0">
      <text>
        <r>
          <rPr>
            <b/>
            <sz val="9"/>
            <color indexed="81"/>
            <rFont val="Tahoma"/>
            <family val="2"/>
          </rPr>
          <t>Author:</t>
        </r>
        <r>
          <rPr>
            <sz val="9"/>
            <color indexed="81"/>
            <rFont val="Tahoma"/>
            <family val="2"/>
          </rPr>
          <t xml:space="preserve">
Need 8 Operator (2 Skill and 6 Trainee)***</t>
        </r>
      </text>
    </comment>
    <comment ref="DR23" authorId="0" shapeId="0">
      <text>
        <r>
          <rPr>
            <b/>
            <sz val="9"/>
            <color indexed="81"/>
            <rFont val="Tahoma"/>
            <family val="2"/>
          </rPr>
          <t>Author:</t>
        </r>
        <r>
          <rPr>
            <sz val="9"/>
            <color indexed="81"/>
            <rFont val="Tahoma"/>
            <family val="2"/>
          </rPr>
          <t xml:space="preserve">
Need 8 Operator (2 Skill and 6 Trainee)***</t>
        </r>
      </text>
    </comment>
    <comment ref="EG23" authorId="0" shapeId="0">
      <text>
        <r>
          <rPr>
            <b/>
            <sz val="9"/>
            <color indexed="81"/>
            <rFont val="Tahoma"/>
            <family val="2"/>
          </rPr>
          <t>Author:</t>
        </r>
        <r>
          <rPr>
            <sz val="9"/>
            <color indexed="81"/>
            <rFont val="Tahoma"/>
            <family val="2"/>
          </rPr>
          <t xml:space="preserve">
Need 8 Operator (2 Skill and 6 Trainee)***</t>
        </r>
      </text>
    </comment>
    <comment ref="EV23" authorId="0" shapeId="0">
      <text>
        <r>
          <rPr>
            <b/>
            <sz val="9"/>
            <color indexed="81"/>
            <rFont val="Tahoma"/>
            <family val="2"/>
          </rPr>
          <t>Author:</t>
        </r>
        <r>
          <rPr>
            <sz val="9"/>
            <color indexed="81"/>
            <rFont val="Tahoma"/>
            <family val="2"/>
          </rPr>
          <t xml:space="preserve">
Need 8 Operator (2 Skill and 6 Trainee)***</t>
        </r>
      </text>
    </comment>
    <comment ref="FK23" authorId="0" shapeId="0">
      <text>
        <r>
          <rPr>
            <b/>
            <sz val="9"/>
            <color indexed="81"/>
            <rFont val="Tahoma"/>
            <family val="2"/>
          </rPr>
          <t>Author:</t>
        </r>
        <r>
          <rPr>
            <sz val="9"/>
            <color indexed="81"/>
            <rFont val="Tahoma"/>
            <family val="2"/>
          </rPr>
          <t xml:space="preserve">
Need 8 Operator (2 Skill and 6 Trainee)***</t>
        </r>
      </text>
    </comment>
  </commentList>
</comments>
</file>

<file path=xl/comments12.xml><?xml version="1.0" encoding="utf-8"?>
<comments xmlns="http://schemas.openxmlformats.org/spreadsheetml/2006/main">
  <authors>
    <author>Author</author>
  </authors>
  <commentList>
    <comment ref="D23" authorId="0" shapeId="0">
      <text>
        <r>
          <rPr>
            <b/>
            <sz val="9"/>
            <color indexed="81"/>
            <rFont val="Tahoma"/>
            <family val="2"/>
          </rPr>
          <t>Author:</t>
        </r>
        <r>
          <rPr>
            <sz val="9"/>
            <color indexed="81"/>
            <rFont val="Tahoma"/>
            <family val="2"/>
          </rPr>
          <t xml:space="preserve">
2 Side Overedging</t>
        </r>
      </text>
    </comment>
  </commentList>
</comments>
</file>

<file path=xl/comments13.xml><?xml version="1.0" encoding="utf-8"?>
<comments xmlns="http://schemas.openxmlformats.org/spreadsheetml/2006/main">
  <authors>
    <author>MirzaAli Jaffer</author>
  </authors>
  <commentList>
    <comment ref="B1" authorId="0" shapeId="0">
      <text>
        <r>
          <rPr>
            <b/>
            <sz val="10"/>
            <color indexed="81"/>
            <rFont val="Tahoma"/>
            <family val="2"/>
          </rPr>
          <t>MirzaAli Jaffer:</t>
        </r>
        <r>
          <rPr>
            <sz val="10"/>
            <color indexed="81"/>
            <rFont val="Tahoma"/>
            <family val="2"/>
          </rPr>
          <t xml:space="preserve">
Bp/day</t>
        </r>
      </text>
    </comment>
    <comment ref="C1" authorId="0" shapeId="0">
      <text>
        <r>
          <rPr>
            <b/>
            <sz val="10"/>
            <color indexed="81"/>
            <rFont val="Tahoma"/>
            <family val="2"/>
          </rPr>
          <t>MirzaAli Jaffer:</t>
        </r>
        <r>
          <rPr>
            <sz val="10"/>
            <color indexed="81"/>
            <rFont val="Tahoma"/>
            <family val="2"/>
          </rPr>
          <t xml:space="preserve">
Bp/day</t>
        </r>
      </text>
    </comment>
    <comment ref="D1" authorId="0" shapeId="0">
      <text>
        <r>
          <rPr>
            <b/>
            <sz val="10"/>
            <color indexed="81"/>
            <rFont val="Tahoma"/>
            <family val="2"/>
          </rPr>
          <t>MirzaAli Jaffer:</t>
        </r>
        <r>
          <rPr>
            <sz val="10"/>
            <color indexed="81"/>
            <rFont val="Tahoma"/>
            <family val="2"/>
          </rPr>
          <t xml:space="preserve">
Bp/day</t>
        </r>
      </text>
    </comment>
    <comment ref="E1" authorId="0" shapeId="0">
      <text>
        <r>
          <rPr>
            <b/>
            <sz val="10"/>
            <color indexed="81"/>
            <rFont val="Tahoma"/>
            <family val="2"/>
          </rPr>
          <t>MirzaAli Jaffer:</t>
        </r>
        <r>
          <rPr>
            <sz val="10"/>
            <color indexed="81"/>
            <rFont val="Tahoma"/>
            <family val="2"/>
          </rPr>
          <t xml:space="preserve">
Bp/day</t>
        </r>
      </text>
    </comment>
    <comment ref="F1" authorId="0" shapeId="0">
      <text>
        <r>
          <rPr>
            <b/>
            <sz val="10"/>
            <color indexed="81"/>
            <rFont val="Tahoma"/>
            <family val="2"/>
          </rPr>
          <t>MirzaAli Jaffer:</t>
        </r>
        <r>
          <rPr>
            <sz val="10"/>
            <color indexed="81"/>
            <rFont val="Tahoma"/>
            <family val="2"/>
          </rPr>
          <t xml:space="preserve">
Bp/day</t>
        </r>
      </text>
    </comment>
    <comment ref="G1" authorId="0" shapeId="0">
      <text>
        <r>
          <rPr>
            <b/>
            <sz val="10"/>
            <color indexed="81"/>
            <rFont val="Tahoma"/>
            <family val="2"/>
          </rPr>
          <t>MirzaAli Jaffer:</t>
        </r>
        <r>
          <rPr>
            <sz val="10"/>
            <color indexed="81"/>
            <rFont val="Tahoma"/>
            <family val="2"/>
          </rPr>
          <t xml:space="preserve">
Bp/day</t>
        </r>
      </text>
    </comment>
    <comment ref="H1" authorId="0" shapeId="0">
      <text>
        <r>
          <rPr>
            <b/>
            <sz val="10"/>
            <color indexed="81"/>
            <rFont val="Tahoma"/>
            <family val="2"/>
          </rPr>
          <t>MirzaAli Jaffer:</t>
        </r>
        <r>
          <rPr>
            <sz val="10"/>
            <color indexed="81"/>
            <rFont val="Tahoma"/>
            <family val="2"/>
          </rPr>
          <t xml:space="preserve">
Bp/day</t>
        </r>
      </text>
    </comment>
    <comment ref="I1" authorId="0" shapeId="0">
      <text>
        <r>
          <rPr>
            <b/>
            <sz val="10"/>
            <color indexed="81"/>
            <rFont val="Tahoma"/>
            <family val="2"/>
          </rPr>
          <t>MirzaAli Jaffer:</t>
        </r>
        <r>
          <rPr>
            <sz val="10"/>
            <color indexed="81"/>
            <rFont val="Tahoma"/>
            <family val="2"/>
          </rPr>
          <t xml:space="preserve">
Bp/day</t>
        </r>
      </text>
    </comment>
    <comment ref="J1" authorId="0" shapeId="0">
      <text>
        <r>
          <rPr>
            <b/>
            <sz val="10"/>
            <color indexed="81"/>
            <rFont val="Tahoma"/>
            <family val="2"/>
          </rPr>
          <t>MirzaAli Jaffer:</t>
        </r>
        <r>
          <rPr>
            <sz val="10"/>
            <color indexed="81"/>
            <rFont val="Tahoma"/>
            <family val="2"/>
          </rPr>
          <t xml:space="preserve">
Bp/day</t>
        </r>
      </text>
    </comment>
    <comment ref="K1" authorId="0" shapeId="0">
      <text>
        <r>
          <rPr>
            <b/>
            <sz val="10"/>
            <color indexed="81"/>
            <rFont val="Tahoma"/>
            <family val="2"/>
          </rPr>
          <t>MirzaAli Jaffer:</t>
        </r>
        <r>
          <rPr>
            <sz val="10"/>
            <color indexed="81"/>
            <rFont val="Tahoma"/>
            <family val="2"/>
          </rPr>
          <t xml:space="preserve">
Bp/day</t>
        </r>
      </text>
    </comment>
    <comment ref="O28" authorId="0" shapeId="0">
      <text>
        <r>
          <rPr>
            <b/>
            <sz val="10"/>
            <color indexed="81"/>
            <rFont val="Tahoma"/>
            <family val="2"/>
          </rPr>
          <t>MirzaAli Jaffer:</t>
        </r>
        <r>
          <rPr>
            <sz val="10"/>
            <color indexed="81"/>
            <rFont val="Tahoma"/>
            <family val="2"/>
          </rPr>
          <t xml:space="preserve">
</t>
        </r>
      </text>
    </comment>
    <comment ref="N32" authorId="0" shapeId="0">
      <text>
        <r>
          <rPr>
            <b/>
            <sz val="10"/>
            <color indexed="81"/>
            <rFont val="Tahoma"/>
            <family val="2"/>
          </rPr>
          <t>MirzaAli Jaffer:</t>
        </r>
        <r>
          <rPr>
            <sz val="10"/>
            <color indexed="81"/>
            <rFont val="Tahoma"/>
            <family val="2"/>
          </rPr>
          <t xml:space="preserve">
In Mp/day, Whole number of machines_required will be multiplied by all the 3 shifts
the decimal value will be:
if if it is between 0-0.33, then 1 shift * mp/machine
if it is between 0.34-0.66, then 2 shifts * mp/machine
if it is between 0.67-1.0, then 3 shifts* mp/machine</t>
        </r>
      </text>
    </comment>
    <comment ref="B34" authorId="0" shapeId="0">
      <text>
        <r>
          <rPr>
            <b/>
            <sz val="10"/>
            <color indexed="81"/>
            <rFont val="Tahoma"/>
            <family val="2"/>
          </rPr>
          <t>MirzaAli Jaffer:</t>
        </r>
        <r>
          <rPr>
            <sz val="10"/>
            <color indexed="81"/>
            <rFont val="Tahoma"/>
            <family val="2"/>
          </rPr>
          <t xml:space="preserve">
</t>
        </r>
      </text>
    </comment>
  </commentList>
</comments>
</file>

<file path=xl/comments14.xml><?xml version="1.0" encoding="utf-8"?>
<comments xmlns="http://schemas.openxmlformats.org/spreadsheetml/2006/main">
  <authors>
    <author>MirzaAli Jaffer</author>
  </authors>
  <commentList>
    <comment ref="F17" authorId="0" shapeId="0">
      <text>
        <r>
          <rPr>
            <b/>
            <sz val="10"/>
            <color indexed="81"/>
            <rFont val="Tahoma"/>
            <family val="2"/>
          </rPr>
          <t>MirzaAli Jaffer:</t>
        </r>
        <r>
          <rPr>
            <sz val="10"/>
            <color indexed="81"/>
            <rFont val="Tahoma"/>
            <family val="2"/>
          </rPr>
          <t xml:space="preserve">
fixed
</t>
        </r>
      </text>
    </comment>
    <comment ref="H17" authorId="0" shapeId="0">
      <text>
        <r>
          <rPr>
            <b/>
            <sz val="10"/>
            <color indexed="81"/>
            <rFont val="Tahoma"/>
            <family val="2"/>
          </rPr>
          <t>MirzaAli Jaffer:</t>
        </r>
        <r>
          <rPr>
            <sz val="10"/>
            <color indexed="81"/>
            <rFont val="Tahoma"/>
            <family val="2"/>
          </rPr>
          <t xml:space="preserve">
fixed
</t>
        </r>
      </text>
    </comment>
    <comment ref="J17" authorId="0" shapeId="0">
      <text>
        <r>
          <rPr>
            <b/>
            <sz val="10"/>
            <color indexed="81"/>
            <rFont val="Tahoma"/>
            <family val="2"/>
          </rPr>
          <t>MirzaAli Jaffer:</t>
        </r>
        <r>
          <rPr>
            <sz val="10"/>
            <color indexed="81"/>
            <rFont val="Tahoma"/>
            <family val="2"/>
          </rPr>
          <t xml:space="preserve">
fixed
</t>
        </r>
      </text>
    </comment>
    <comment ref="L17" authorId="0" shapeId="0">
      <text>
        <r>
          <rPr>
            <b/>
            <sz val="10"/>
            <color indexed="81"/>
            <rFont val="Tahoma"/>
            <family val="2"/>
          </rPr>
          <t>MirzaAli Jaffer:</t>
        </r>
        <r>
          <rPr>
            <sz val="10"/>
            <color indexed="81"/>
            <rFont val="Tahoma"/>
            <family val="2"/>
          </rPr>
          <t xml:space="preserve">
fixed
</t>
        </r>
      </text>
    </comment>
    <comment ref="N17" authorId="0" shapeId="0">
      <text>
        <r>
          <rPr>
            <b/>
            <sz val="10"/>
            <color indexed="81"/>
            <rFont val="Tahoma"/>
            <family val="2"/>
          </rPr>
          <t>MirzaAli Jaffer:</t>
        </r>
        <r>
          <rPr>
            <sz val="10"/>
            <color indexed="81"/>
            <rFont val="Tahoma"/>
            <family val="2"/>
          </rPr>
          <t xml:space="preserve">
fixed
</t>
        </r>
      </text>
    </comment>
    <comment ref="P17" authorId="0" shapeId="0">
      <text>
        <r>
          <rPr>
            <b/>
            <sz val="10"/>
            <color indexed="81"/>
            <rFont val="Tahoma"/>
            <family val="2"/>
          </rPr>
          <t>MirzaAli Jaffer:</t>
        </r>
        <r>
          <rPr>
            <sz val="10"/>
            <color indexed="81"/>
            <rFont val="Tahoma"/>
            <family val="2"/>
          </rPr>
          <t xml:space="preserve">
fixed
</t>
        </r>
      </text>
    </comment>
    <comment ref="R17" authorId="0" shapeId="0">
      <text>
        <r>
          <rPr>
            <b/>
            <sz val="10"/>
            <color indexed="81"/>
            <rFont val="Tahoma"/>
            <family val="2"/>
          </rPr>
          <t>MirzaAli Jaffer:</t>
        </r>
        <r>
          <rPr>
            <sz val="10"/>
            <color indexed="81"/>
            <rFont val="Tahoma"/>
            <family val="2"/>
          </rPr>
          <t xml:space="preserve">
fixed
</t>
        </r>
      </text>
    </comment>
    <comment ref="T17" authorId="0" shapeId="0">
      <text>
        <r>
          <rPr>
            <b/>
            <sz val="10"/>
            <color indexed="81"/>
            <rFont val="Tahoma"/>
            <family val="2"/>
          </rPr>
          <t>MirzaAli Jaffer:</t>
        </r>
        <r>
          <rPr>
            <sz val="10"/>
            <color indexed="81"/>
            <rFont val="Tahoma"/>
            <family val="2"/>
          </rPr>
          <t xml:space="preserve">
fixed
</t>
        </r>
      </text>
    </comment>
    <comment ref="V17" authorId="0" shapeId="0">
      <text>
        <r>
          <rPr>
            <b/>
            <sz val="10"/>
            <color indexed="81"/>
            <rFont val="Tahoma"/>
            <family val="2"/>
          </rPr>
          <t>MirzaAli Jaffer:</t>
        </r>
        <r>
          <rPr>
            <sz val="10"/>
            <color indexed="81"/>
            <rFont val="Tahoma"/>
            <family val="2"/>
          </rPr>
          <t xml:space="preserve">
fixed
</t>
        </r>
      </text>
    </comment>
    <comment ref="X17" authorId="0" shapeId="0">
      <text>
        <r>
          <rPr>
            <b/>
            <sz val="10"/>
            <color indexed="81"/>
            <rFont val="Tahoma"/>
            <family val="2"/>
          </rPr>
          <t>MirzaAli Jaffer:</t>
        </r>
        <r>
          <rPr>
            <sz val="10"/>
            <color indexed="81"/>
            <rFont val="Tahoma"/>
            <family val="2"/>
          </rPr>
          <t xml:space="preserve">
fixed
</t>
        </r>
      </text>
    </comment>
    <comment ref="Z17" authorId="0" shapeId="0">
      <text>
        <r>
          <rPr>
            <b/>
            <sz val="10"/>
            <color indexed="81"/>
            <rFont val="Tahoma"/>
            <family val="2"/>
          </rPr>
          <t>MirzaAli Jaffer:</t>
        </r>
        <r>
          <rPr>
            <sz val="10"/>
            <color indexed="81"/>
            <rFont val="Tahoma"/>
            <family val="2"/>
          </rPr>
          <t xml:space="preserve">
fixed
</t>
        </r>
      </text>
    </comment>
    <comment ref="AB17" authorId="0" shapeId="0">
      <text>
        <r>
          <rPr>
            <b/>
            <sz val="10"/>
            <color indexed="81"/>
            <rFont val="Tahoma"/>
            <family val="2"/>
          </rPr>
          <t>MirzaAli Jaffer:</t>
        </r>
        <r>
          <rPr>
            <sz val="10"/>
            <color indexed="81"/>
            <rFont val="Tahoma"/>
            <family val="2"/>
          </rPr>
          <t xml:space="preserve">
fixed
</t>
        </r>
      </text>
    </comment>
    <comment ref="F18" authorId="0" shapeId="0">
      <text>
        <r>
          <rPr>
            <b/>
            <sz val="10"/>
            <color indexed="81"/>
            <rFont val="Tahoma"/>
            <family val="2"/>
          </rPr>
          <t>MirzaAli Jaffer:</t>
        </r>
        <r>
          <rPr>
            <sz val="10"/>
            <color indexed="81"/>
            <rFont val="Tahoma"/>
            <family val="2"/>
          </rPr>
          <t xml:space="preserve">
Fixed</t>
        </r>
      </text>
    </comment>
    <comment ref="H18" authorId="0" shapeId="0">
      <text>
        <r>
          <rPr>
            <b/>
            <sz val="10"/>
            <color indexed="81"/>
            <rFont val="Tahoma"/>
            <family val="2"/>
          </rPr>
          <t>MirzaAli Jaffer:</t>
        </r>
        <r>
          <rPr>
            <sz val="10"/>
            <color indexed="81"/>
            <rFont val="Tahoma"/>
            <family val="2"/>
          </rPr>
          <t xml:space="preserve">
Fixed</t>
        </r>
      </text>
    </comment>
    <comment ref="J18" authorId="0" shapeId="0">
      <text>
        <r>
          <rPr>
            <b/>
            <sz val="10"/>
            <color indexed="81"/>
            <rFont val="Tahoma"/>
            <family val="2"/>
          </rPr>
          <t>MirzaAli Jaffer:</t>
        </r>
        <r>
          <rPr>
            <sz val="10"/>
            <color indexed="81"/>
            <rFont val="Tahoma"/>
            <family val="2"/>
          </rPr>
          <t xml:space="preserve">
Fixed</t>
        </r>
      </text>
    </comment>
    <comment ref="L18" authorId="0" shapeId="0">
      <text>
        <r>
          <rPr>
            <b/>
            <sz val="10"/>
            <color indexed="81"/>
            <rFont val="Tahoma"/>
            <family val="2"/>
          </rPr>
          <t>MirzaAli Jaffer:</t>
        </r>
        <r>
          <rPr>
            <sz val="10"/>
            <color indexed="81"/>
            <rFont val="Tahoma"/>
            <family val="2"/>
          </rPr>
          <t xml:space="preserve">
Fixed</t>
        </r>
      </text>
    </comment>
    <comment ref="N18" authorId="0" shapeId="0">
      <text>
        <r>
          <rPr>
            <b/>
            <sz val="10"/>
            <color indexed="81"/>
            <rFont val="Tahoma"/>
            <family val="2"/>
          </rPr>
          <t>MirzaAli Jaffer:</t>
        </r>
        <r>
          <rPr>
            <sz val="10"/>
            <color indexed="81"/>
            <rFont val="Tahoma"/>
            <family val="2"/>
          </rPr>
          <t xml:space="preserve">
Fixed</t>
        </r>
      </text>
    </comment>
    <comment ref="P18" authorId="0" shapeId="0">
      <text>
        <r>
          <rPr>
            <b/>
            <sz val="10"/>
            <color indexed="81"/>
            <rFont val="Tahoma"/>
            <family val="2"/>
          </rPr>
          <t>MirzaAli Jaffer:</t>
        </r>
        <r>
          <rPr>
            <sz val="10"/>
            <color indexed="81"/>
            <rFont val="Tahoma"/>
            <family val="2"/>
          </rPr>
          <t xml:space="preserve">
Fixed</t>
        </r>
      </text>
    </comment>
    <comment ref="R18" authorId="0" shapeId="0">
      <text>
        <r>
          <rPr>
            <b/>
            <sz val="10"/>
            <color indexed="81"/>
            <rFont val="Tahoma"/>
            <family val="2"/>
          </rPr>
          <t>MirzaAli Jaffer:</t>
        </r>
        <r>
          <rPr>
            <sz val="10"/>
            <color indexed="81"/>
            <rFont val="Tahoma"/>
            <family val="2"/>
          </rPr>
          <t xml:space="preserve">
Fixed</t>
        </r>
      </text>
    </comment>
    <comment ref="T18" authorId="0" shapeId="0">
      <text>
        <r>
          <rPr>
            <b/>
            <sz val="10"/>
            <color indexed="81"/>
            <rFont val="Tahoma"/>
            <family val="2"/>
          </rPr>
          <t>MirzaAli Jaffer:</t>
        </r>
        <r>
          <rPr>
            <sz val="10"/>
            <color indexed="81"/>
            <rFont val="Tahoma"/>
            <family val="2"/>
          </rPr>
          <t xml:space="preserve">
Fixed</t>
        </r>
      </text>
    </comment>
    <comment ref="V18" authorId="0" shapeId="0">
      <text>
        <r>
          <rPr>
            <b/>
            <sz val="10"/>
            <color indexed="81"/>
            <rFont val="Tahoma"/>
            <family val="2"/>
          </rPr>
          <t>MirzaAli Jaffer:</t>
        </r>
        <r>
          <rPr>
            <sz val="10"/>
            <color indexed="81"/>
            <rFont val="Tahoma"/>
            <family val="2"/>
          </rPr>
          <t xml:space="preserve">
Fixed</t>
        </r>
      </text>
    </comment>
    <comment ref="X18" authorId="0" shapeId="0">
      <text>
        <r>
          <rPr>
            <b/>
            <sz val="10"/>
            <color indexed="81"/>
            <rFont val="Tahoma"/>
            <family val="2"/>
          </rPr>
          <t>MirzaAli Jaffer:</t>
        </r>
        <r>
          <rPr>
            <sz val="10"/>
            <color indexed="81"/>
            <rFont val="Tahoma"/>
            <family val="2"/>
          </rPr>
          <t xml:space="preserve">
Fixed</t>
        </r>
      </text>
    </comment>
    <comment ref="Z18" authorId="0" shapeId="0">
      <text>
        <r>
          <rPr>
            <b/>
            <sz val="10"/>
            <color indexed="81"/>
            <rFont val="Tahoma"/>
            <family val="2"/>
          </rPr>
          <t>MirzaAli Jaffer:</t>
        </r>
        <r>
          <rPr>
            <sz val="10"/>
            <color indexed="81"/>
            <rFont val="Tahoma"/>
            <family val="2"/>
          </rPr>
          <t xml:space="preserve">
Fixed</t>
        </r>
      </text>
    </comment>
    <comment ref="AB18" authorId="0" shapeId="0">
      <text>
        <r>
          <rPr>
            <b/>
            <sz val="10"/>
            <color indexed="81"/>
            <rFont val="Tahoma"/>
            <family val="2"/>
          </rPr>
          <t>MirzaAli Jaffer:</t>
        </r>
        <r>
          <rPr>
            <sz val="10"/>
            <color indexed="81"/>
            <rFont val="Tahoma"/>
            <family val="2"/>
          </rPr>
          <t xml:space="preserve">
Fixed</t>
        </r>
      </text>
    </comment>
  </commentList>
</comments>
</file>

<file path=xl/sharedStrings.xml><?xml version="1.0" encoding="utf-8"?>
<sst xmlns="http://schemas.openxmlformats.org/spreadsheetml/2006/main" count="8769" uniqueCount="1652">
  <si>
    <t>Section</t>
  </si>
  <si>
    <t>Machine</t>
  </si>
  <si>
    <t>Month</t>
  </si>
  <si>
    <t>Avg. Speed</t>
  </si>
  <si>
    <t>Avg. Denier</t>
  </si>
  <si>
    <t>Total Spindle</t>
  </si>
  <si>
    <t>Utilization</t>
  </si>
  <si>
    <t>Efficiency</t>
  </si>
  <si>
    <t>Capacity Per Day</t>
  </si>
  <si>
    <t>BP</t>
  </si>
  <si>
    <t>Spinder Req.</t>
  </si>
  <si>
    <t>Winder Req.</t>
  </si>
  <si>
    <t>MP Req./Shift</t>
  </si>
  <si>
    <t>MP Req./Day</t>
  </si>
  <si>
    <t>Total Manpower Req.</t>
  </si>
  <si>
    <t>1. POY</t>
  </si>
  <si>
    <t>POY</t>
  </si>
  <si>
    <t>2. BCF</t>
  </si>
  <si>
    <t>BCF</t>
  </si>
  <si>
    <t>3. Texturizing</t>
  </si>
  <si>
    <t>Texturizing</t>
  </si>
  <si>
    <t>4. Parallel Winding</t>
  </si>
  <si>
    <t>6. Cabling</t>
  </si>
  <si>
    <t>Cabling</t>
  </si>
  <si>
    <t>7. Heat Set</t>
  </si>
  <si>
    <t>SHS</t>
  </si>
  <si>
    <t>Tufting</t>
  </si>
  <si>
    <t>Width</t>
  </si>
  <si>
    <t>Shift Req</t>
  </si>
  <si>
    <t>Total Time</t>
  </si>
  <si>
    <t>Line Require</t>
  </si>
  <si>
    <t>Printing</t>
  </si>
  <si>
    <t>Coating</t>
  </si>
  <si>
    <t>W2W</t>
  </si>
  <si>
    <t>W2W Coating</t>
  </si>
  <si>
    <t>Speed</t>
  </si>
  <si>
    <t>Eff</t>
  </si>
  <si>
    <t>Per Day</t>
  </si>
  <si>
    <t>Sq Mtrs</t>
  </si>
  <si>
    <t>Annual Req.</t>
  </si>
  <si>
    <t>Ratio</t>
  </si>
  <si>
    <t>Average Per Day</t>
  </si>
  <si>
    <t>Area Rug-Foam</t>
  </si>
  <si>
    <t>Area Rug-Secondary</t>
  </si>
  <si>
    <t>Area Rug-Mesh</t>
  </si>
  <si>
    <t>Pre Coat</t>
  </si>
  <si>
    <t>Uti</t>
  </si>
  <si>
    <t>Prod/Day</t>
  </si>
  <si>
    <t>CT</t>
  </si>
  <si>
    <t>CSP</t>
  </si>
  <si>
    <t>Monthly Business Plan</t>
  </si>
  <si>
    <t>Machine Requirement</t>
  </si>
  <si>
    <t>Shift Requirement</t>
  </si>
  <si>
    <t>Manpower (2 MP for M/c and 1 for Loading/Changeover)</t>
  </si>
  <si>
    <t>SR</t>
  </si>
  <si>
    <t>Number of Machine</t>
  </si>
  <si>
    <t>Type</t>
  </si>
  <si>
    <t>Machine Gauge</t>
  </si>
  <si>
    <t>Eff %</t>
  </si>
  <si>
    <t>Utili</t>
  </si>
  <si>
    <t>RPM</t>
  </si>
  <si>
    <t>SPI</t>
  </si>
  <si>
    <t>Width Utilization</t>
  </si>
  <si>
    <t>Prodn / day Sq Mtr</t>
  </si>
  <si>
    <t>capacity distribution</t>
  </si>
  <si>
    <t>Daily capacity M2</t>
  </si>
  <si>
    <t>1/12 Loop Inf</t>
  </si>
  <si>
    <t>TILES</t>
  </si>
  <si>
    <t>1/12 Loom 1 E 2MTR</t>
  </si>
  <si>
    <t>1/12 Loom 1E Colour Point 2MTR</t>
  </si>
  <si>
    <t>1/10 Cut pile</t>
  </si>
  <si>
    <t>Wall to wall</t>
  </si>
  <si>
    <t>1/10 cut pile 5.2MTR</t>
  </si>
  <si>
    <t>1/10 Loop Inf</t>
  </si>
  <si>
    <t>Tiles</t>
  </si>
  <si>
    <t>1/10 loop 1E Colour Point 4MTR</t>
  </si>
  <si>
    <t>1/10 Enhance graphic loop 4MTR</t>
  </si>
  <si>
    <t>1/10 Loop</t>
  </si>
  <si>
    <t>1/10 loop</t>
  </si>
  <si>
    <t>1/8 Cut pile</t>
  </si>
  <si>
    <t>1/8 cut pile 5.2MTR</t>
  </si>
  <si>
    <t>1/8 cut pile</t>
  </si>
  <si>
    <t>1/8 Cut Shifter</t>
  </si>
  <si>
    <t>5/64 VLOC</t>
  </si>
  <si>
    <t>(5/32+5/32 ) Cut &amp; Loop 4.2MTR</t>
  </si>
  <si>
    <t>3/16 Cut pile</t>
  </si>
  <si>
    <t>3/16 Cut pile Shifter</t>
  </si>
  <si>
    <t>3/8 Cut pile</t>
  </si>
  <si>
    <t>1/8 MLCL</t>
  </si>
  <si>
    <t>1/12 Rainbow</t>
  </si>
  <si>
    <t>1/12 Rainbow 4MTR</t>
  </si>
  <si>
    <t>Total</t>
  </si>
  <si>
    <t>Area Rugs</t>
  </si>
  <si>
    <t>Monthly</t>
  </si>
  <si>
    <t>SQM</t>
  </si>
  <si>
    <t>Printed</t>
  </si>
  <si>
    <t>Daily</t>
  </si>
  <si>
    <t>Pieces</t>
  </si>
  <si>
    <t>Solid</t>
  </si>
  <si>
    <t>Linear Meter</t>
  </si>
  <si>
    <t>Capacity</t>
  </si>
  <si>
    <t>UoM</t>
  </si>
  <si>
    <t>Requirement</t>
  </si>
  <si>
    <t>Setup Available</t>
  </si>
  <si>
    <t>Setup Require</t>
  </si>
  <si>
    <t>Setup Utilization</t>
  </si>
  <si>
    <t>Shift Require</t>
  </si>
  <si>
    <t>MP/Shift/Machine</t>
  </si>
  <si>
    <t>MP Per Day</t>
  </si>
  <si>
    <t>Length Cutting M/C</t>
  </si>
  <si>
    <t>Length Over edging(carpet)</t>
  </si>
  <si>
    <t>Cross cutting  - carpet)</t>
  </si>
  <si>
    <t>Manual Cutting Table</t>
  </si>
  <si>
    <t>Manual Overedging - Carpet</t>
  </si>
  <si>
    <t>Bartack</t>
  </si>
  <si>
    <t xml:space="preserve">Juki Label Sticthing </t>
  </si>
  <si>
    <t>Auto rolling and taping</t>
  </si>
  <si>
    <t>Polypacking (4 persons, 4 lines each)</t>
  </si>
  <si>
    <t>Box Packing</t>
  </si>
  <si>
    <t>Data Entry Operator</t>
  </si>
  <si>
    <t>Trims Handler</t>
  </si>
  <si>
    <t>Fitter</t>
  </si>
  <si>
    <t>Jobber</t>
  </si>
  <si>
    <t>Cutting plan</t>
  </si>
  <si>
    <t>Recovery (8% to 10 %)</t>
  </si>
  <si>
    <t>House Keeping</t>
  </si>
  <si>
    <t>Head Mechanics</t>
  </si>
  <si>
    <t>Winder Operator</t>
  </si>
  <si>
    <t>Material Handling</t>
  </si>
  <si>
    <t>Spinning - Operator</t>
  </si>
  <si>
    <t>Data Entry</t>
  </si>
  <si>
    <t>G-Burnout</t>
  </si>
  <si>
    <t>H-DRYER (BCF+POY)</t>
  </si>
  <si>
    <t>Chips Charging</t>
  </si>
  <si>
    <t>Helper</t>
  </si>
  <si>
    <t>Takeup (Winder)</t>
  </si>
  <si>
    <t>Dryer</t>
  </si>
  <si>
    <t xml:space="preserve">Data Entry </t>
  </si>
  <si>
    <t>General</t>
  </si>
  <si>
    <t>Burn Out</t>
  </si>
  <si>
    <t>PD Sample (M/C will install after 5 Month)</t>
  </si>
  <si>
    <t>Tex</t>
  </si>
  <si>
    <t>Operator</t>
  </si>
  <si>
    <t>DOE</t>
  </si>
  <si>
    <t>Material Handler</t>
  </si>
  <si>
    <t>Paper Tube Sagrigation</t>
  </si>
  <si>
    <t>Roping (Mandays)</t>
  </si>
  <si>
    <t>PW</t>
  </si>
  <si>
    <t>Heat Setting</t>
  </si>
  <si>
    <t>Heat Set</t>
  </si>
  <si>
    <t>Paper Tube Sagrgation</t>
  </si>
  <si>
    <t>Operator and Helper</t>
  </si>
  <si>
    <t>MHE</t>
  </si>
  <si>
    <t>Blade Grinder</t>
  </si>
  <si>
    <t>Technician</t>
  </si>
  <si>
    <t>Rewinding and Bit Winding</t>
  </si>
  <si>
    <t>Yarn Clearance</t>
  </si>
  <si>
    <t>Roll Packing</t>
  </si>
  <si>
    <t>Rope</t>
  </si>
  <si>
    <t>Process Control</t>
  </si>
  <si>
    <t>Changeover Crew</t>
  </si>
  <si>
    <t>Chromojet</t>
  </si>
  <si>
    <t>Unwinding and Stitching</t>
  </si>
  <si>
    <t>HMI - Operator</t>
  </si>
  <si>
    <t>Winder</t>
  </si>
  <si>
    <t>Color Kitchen</t>
  </si>
  <si>
    <t>Digital Printing</t>
  </si>
  <si>
    <t>Digital</t>
  </si>
  <si>
    <t>Stitching</t>
  </si>
  <si>
    <t>Head - Printing</t>
  </si>
  <si>
    <t>Sample M/C</t>
  </si>
  <si>
    <t>DEO/Jobber</t>
  </si>
  <si>
    <t>Fork lift</t>
  </si>
  <si>
    <t>Topical</t>
  </si>
  <si>
    <t>Latex (Carpet Precoat)</t>
  </si>
  <si>
    <t>Shearing</t>
  </si>
  <si>
    <t>1'</t>
  </si>
  <si>
    <t>PVC Operator</t>
  </si>
  <si>
    <t>Glass Scrim/non woven Pad</t>
  </si>
  <si>
    <t>Material Loading</t>
  </si>
  <si>
    <t>Selvage Cutter</t>
  </si>
  <si>
    <t>Extruder Main Operator</t>
  </si>
  <si>
    <t>Die Cutting</t>
  </si>
  <si>
    <t>Selvage Retrack</t>
  </si>
  <si>
    <t>Inspection/Segrigation</t>
  </si>
  <si>
    <t>Packing Robotic HMI</t>
  </si>
  <si>
    <t>Box Feeding</t>
  </si>
  <si>
    <t>Final Stickering Box</t>
  </si>
  <si>
    <t>Wrapping</t>
  </si>
  <si>
    <t>Strapping</t>
  </si>
  <si>
    <t>Calcium Loading</t>
  </si>
  <si>
    <t>Pearl Mill</t>
  </si>
  <si>
    <t>Compounding</t>
  </si>
  <si>
    <t>MP for Rework</t>
  </si>
  <si>
    <t>Forklift Driver</t>
  </si>
  <si>
    <t>Side Matching</t>
  </si>
  <si>
    <t>Rerolling</t>
  </si>
  <si>
    <t>Unwinding</t>
  </si>
  <si>
    <t>Precoat</t>
  </si>
  <si>
    <t>Secondary Coat</t>
  </si>
  <si>
    <t>Selvage</t>
  </si>
  <si>
    <t>Packing Winder</t>
  </si>
  <si>
    <t>Pin Stamping</t>
  </si>
  <si>
    <t>End Cap</t>
  </si>
  <si>
    <t>Sticker</t>
  </si>
  <si>
    <t>Jobber (Line Incharge)</t>
  </si>
  <si>
    <t>Length Cutting</t>
  </si>
  <si>
    <t>Length Overedging</t>
  </si>
  <si>
    <t>Cross Cutting</t>
  </si>
  <si>
    <t>Manual Cutting</t>
  </si>
  <si>
    <t>Stitching Tailor</t>
  </si>
  <si>
    <t>Stitching Helper</t>
  </si>
  <si>
    <t>Combi</t>
  </si>
  <si>
    <t>Packing</t>
  </si>
  <si>
    <t>Rugs Recovery</t>
  </si>
  <si>
    <t>DEO</t>
  </si>
  <si>
    <t>Trims</t>
  </si>
  <si>
    <t>DAYS</t>
  </si>
  <si>
    <t>STATUS</t>
  </si>
  <si>
    <t>DIVISION</t>
  </si>
  <si>
    <t>UOM</t>
  </si>
  <si>
    <t>Avg/month</t>
  </si>
  <si>
    <t>Confirm</t>
  </si>
  <si>
    <t>WFL</t>
  </si>
  <si>
    <t>KG</t>
  </si>
  <si>
    <t>Proj</t>
  </si>
  <si>
    <t>WFL-AR</t>
  </si>
  <si>
    <t>WFL-DOM</t>
  </si>
  <si>
    <t>VAPI</t>
  </si>
  <si>
    <t>AYM</t>
  </si>
  <si>
    <t>Total Req.</t>
  </si>
  <si>
    <t>Avl Capacity</t>
  </si>
  <si>
    <t>Sample Capacity</t>
  </si>
  <si>
    <t>Balance</t>
  </si>
  <si>
    <t>Outsource Plan</t>
  </si>
  <si>
    <t>Open Capacity</t>
  </si>
  <si>
    <t>%</t>
  </si>
  <si>
    <t>Total Req. (Fresh Cabling)</t>
  </si>
  <si>
    <t>Recabling</t>
  </si>
  <si>
    <t>Per Day Req.</t>
  </si>
  <si>
    <t>Cum Load</t>
  </si>
  <si>
    <t>PHS</t>
  </si>
  <si>
    <t>Vapi</t>
  </si>
  <si>
    <t>Multiply Jib Work</t>
  </si>
  <si>
    <t>Perday Requirement</t>
  </si>
  <si>
    <t>H/Setting</t>
  </si>
  <si>
    <t>PHS  Req.</t>
  </si>
  <si>
    <t>SHS  Req.</t>
  </si>
  <si>
    <t>Multiply out side</t>
  </si>
  <si>
    <t>Net Req. from I/H</t>
  </si>
  <si>
    <t>Inhouse Capacity</t>
  </si>
  <si>
    <t>TEXT</t>
  </si>
  <si>
    <t>Multiply</t>
  </si>
  <si>
    <t>Job Work for Multiply</t>
  </si>
  <si>
    <t>Autoclave</t>
  </si>
  <si>
    <t>Assembly Winder</t>
  </si>
  <si>
    <t>TFO</t>
  </si>
  <si>
    <t>Row Labels</t>
  </si>
  <si>
    <t>1/10 Cutpile</t>
  </si>
  <si>
    <t>1/10 Infinity</t>
  </si>
  <si>
    <t>1/12 Infinity</t>
  </si>
  <si>
    <t>1/8 Cut</t>
  </si>
  <si>
    <t>1/8 Cut Shifter 12</t>
  </si>
  <si>
    <t>3/16 cut</t>
  </si>
  <si>
    <t>3/8 cut</t>
  </si>
  <si>
    <t>Grand Total</t>
  </si>
  <si>
    <t>Avg</t>
  </si>
  <si>
    <t>CT Coating</t>
  </si>
  <si>
    <t>Requirement(Conf)</t>
  </si>
  <si>
    <t>Requirement(Enq.)</t>
  </si>
  <si>
    <t>Plant</t>
  </si>
  <si>
    <t>WTW</t>
  </si>
  <si>
    <t>Grass</t>
  </si>
  <si>
    <t>Foam</t>
  </si>
  <si>
    <t>Secondary</t>
  </si>
  <si>
    <t>Mesh</t>
  </si>
  <si>
    <t>Bath Rugs</t>
  </si>
  <si>
    <t>W2W Coating Avearge Workng</t>
  </si>
  <si>
    <t>Avearge / Day</t>
  </si>
  <si>
    <t>Grass ( Average/Day)</t>
  </si>
  <si>
    <t>AR</t>
  </si>
  <si>
    <t>W2W ( Average/Day)</t>
  </si>
  <si>
    <t>Foam(Average/Day)</t>
  </si>
  <si>
    <t>Secondary(Average/Day)</t>
  </si>
  <si>
    <t>Mesh(Average/Day)</t>
  </si>
  <si>
    <t>Pre Coat ( Average/Day)</t>
  </si>
  <si>
    <t>TPR COAting</t>
  </si>
  <si>
    <t>TPR</t>
  </si>
  <si>
    <t>Mtrs</t>
  </si>
  <si>
    <t>Length Heming</t>
  </si>
  <si>
    <t>Pcs</t>
  </si>
  <si>
    <t>Cross Heming</t>
  </si>
  <si>
    <t>Bartag</t>
  </si>
  <si>
    <t>Chromojet Printing</t>
  </si>
  <si>
    <t>Total Chromo Order</t>
  </si>
  <si>
    <t>SPC</t>
  </si>
  <si>
    <t>R&amp;D</t>
  </si>
  <si>
    <t>SCM</t>
  </si>
  <si>
    <t>Engg</t>
  </si>
  <si>
    <t>24-25</t>
  </si>
  <si>
    <t>25-26</t>
  </si>
  <si>
    <t>Yarn</t>
  </si>
  <si>
    <t>Yarn(CL+PR)</t>
  </si>
  <si>
    <t>Tufting BAILING -PR</t>
  </si>
  <si>
    <t>T&amp;C</t>
  </si>
  <si>
    <t>Coating UNLOADING-PR</t>
  </si>
  <si>
    <t>Tufting and Coating (CL+PR)</t>
  </si>
  <si>
    <t>Common</t>
  </si>
  <si>
    <t>TQM</t>
  </si>
  <si>
    <t>PPC</t>
  </si>
  <si>
    <t>Safety</t>
  </si>
  <si>
    <t>DEO/ASST/FIN./HR/TO</t>
  </si>
  <si>
    <t>CSP &amp; Insp</t>
  </si>
  <si>
    <t>Admin</t>
  </si>
  <si>
    <t>TRAINER</t>
  </si>
  <si>
    <t>Utility</t>
  </si>
  <si>
    <t>Engg.</t>
  </si>
  <si>
    <t>Comm</t>
  </si>
  <si>
    <t>Operator PTST</t>
  </si>
  <si>
    <t>Servo winder</t>
  </si>
  <si>
    <t>Assembly</t>
  </si>
  <si>
    <t>Auto Clave</t>
  </si>
  <si>
    <t>HR</t>
  </si>
  <si>
    <t>Assembly winder</t>
  </si>
  <si>
    <t xml:space="preserve"># of M/cs </t>
  </si>
  <si>
    <t>Spindles # Input</t>
  </si>
  <si>
    <t>Spindles # Output</t>
  </si>
  <si>
    <t>TPM</t>
  </si>
  <si>
    <t>MPM</t>
  </si>
  <si>
    <t>Denier in</t>
  </si>
  <si>
    <t>Denier out</t>
  </si>
  <si>
    <t>Available time/shift (mins.)</t>
  </si>
  <si>
    <t>Package Size (In) (Kg)</t>
  </si>
  <si>
    <t>Package Size (Out) (Kg)</t>
  </si>
  <si>
    <t>1. Cops Winder</t>
  </si>
  <si>
    <t>2.1. PT</t>
  </si>
  <si>
    <t>2.2. ST</t>
  </si>
  <si>
    <t>3. Assembly</t>
  </si>
  <si>
    <t>4. TFO</t>
  </si>
  <si>
    <t>5. Autoclave</t>
  </si>
  <si>
    <t>COPs</t>
  </si>
  <si>
    <t>PTST</t>
  </si>
  <si>
    <t>Machine Req</t>
  </si>
  <si>
    <t>Shift Req.</t>
  </si>
  <si>
    <t>Master Batch</t>
  </si>
  <si>
    <t>MASTERBATCH DEVELOPMENT</t>
  </si>
  <si>
    <t>LAB DIP PROCESS</t>
  </si>
  <si>
    <t>QC DOCUMENT/SAP ENTRY</t>
  </si>
  <si>
    <t>MASTERBATCH PRODUCTION</t>
  </si>
  <si>
    <t>New Extruder</t>
  </si>
  <si>
    <t>MB</t>
  </si>
  <si>
    <t>Yarn Common</t>
  </si>
  <si>
    <t>Packer</t>
  </si>
  <si>
    <t>FL Driver</t>
  </si>
  <si>
    <t>Roping</t>
  </si>
  <si>
    <t>Paper Tube Repair</t>
  </si>
  <si>
    <t xml:space="preserve">4. PW </t>
  </si>
  <si>
    <t>8. Tufting</t>
  </si>
  <si>
    <t>9.1 Printing - Chromojet</t>
  </si>
  <si>
    <t>9.2 Printing - Digital</t>
  </si>
  <si>
    <t>10.1 Carpet Tiles</t>
  </si>
  <si>
    <t>10.2 W2W</t>
  </si>
  <si>
    <t>11. Cut and Sew</t>
  </si>
  <si>
    <t>12. TQM</t>
  </si>
  <si>
    <t>13. Engg.</t>
  </si>
  <si>
    <t>16. Common</t>
  </si>
  <si>
    <t>5. Multiply</t>
  </si>
  <si>
    <t>Cut &amp; Sew</t>
  </si>
  <si>
    <t>Stacker</t>
  </si>
  <si>
    <t>Cutter</t>
  </si>
  <si>
    <t>Ma</t>
  </si>
  <si>
    <t>Layering</t>
  </si>
  <si>
    <t>Scisor Cutting</t>
  </si>
  <si>
    <t>Marking</t>
  </si>
  <si>
    <t>Cake Cutting</t>
  </si>
  <si>
    <t>Palletizing</t>
  </si>
  <si>
    <t>Pallet Transfer</t>
  </si>
  <si>
    <t>A+B</t>
  </si>
  <si>
    <t>C+D</t>
  </si>
  <si>
    <t>C</t>
  </si>
  <si>
    <t>D</t>
  </si>
  <si>
    <t>Bring New Mat. For next batch</t>
  </si>
  <si>
    <t>E+D</t>
  </si>
  <si>
    <t>Rewinding</t>
  </si>
  <si>
    <t>Store forklift</t>
  </si>
  <si>
    <t>Store SPC</t>
  </si>
  <si>
    <t>Silo Feeding</t>
  </si>
  <si>
    <t>W/H SPC</t>
  </si>
  <si>
    <t>Logistics</t>
  </si>
  <si>
    <t>W/H Forklift</t>
  </si>
  <si>
    <t xml:space="preserve">Tufting </t>
  </si>
  <si>
    <t>Engineering</t>
  </si>
  <si>
    <t>Utilities - Common</t>
  </si>
  <si>
    <t>ASRS - Instrument</t>
  </si>
  <si>
    <t>Electrical - outside HT Yard</t>
  </si>
  <si>
    <t>-</t>
  </si>
  <si>
    <t>Electrical - Sub Station (HT/PCC) </t>
  </si>
  <si>
    <t>Electrical - Transformer / PCC / PDB / MLDB / Capacitors / Motors for Utilities</t>
  </si>
  <si>
    <t>Utility O &amp;M - WTP/ETP/Fire hydrant/LNG</t>
  </si>
  <si>
    <t>Utility - Civil</t>
  </si>
  <si>
    <t>Utility - DG Operations</t>
  </si>
  <si>
    <t>Utility - Pump House</t>
  </si>
  <si>
    <t>Utility O &amp;M - Boiler, CHP,MEE</t>
  </si>
  <si>
    <t>Utility O &amp;M - Compressors/ chillers</t>
  </si>
  <si>
    <t>Utility O &amp;M - HVAC/N2 plant</t>
  </si>
  <si>
    <t>Utility O &amp;M - PM Activities</t>
  </si>
  <si>
    <t>Utility O &amp;M- Instrument</t>
  </si>
  <si>
    <t>Insrument lab</t>
  </si>
  <si>
    <t>WAMIL - Boiler - Husk and Coal Handling</t>
  </si>
  <si>
    <t>Wamil ETP</t>
  </si>
  <si>
    <t>Wamil TFH</t>
  </si>
  <si>
    <t>WFL Boiler - Husk and Coal Handling</t>
  </si>
  <si>
    <t>Turner</t>
  </si>
  <si>
    <t>Milling/ Grinding </t>
  </si>
  <si>
    <t>Welder</t>
  </si>
  <si>
    <t>Carpenter</t>
  </si>
  <si>
    <t>Rigger</t>
  </si>
  <si>
    <t>Contractor</t>
  </si>
  <si>
    <t xml:space="preserve"># Position </t>
  </si>
  <si>
    <t>Fire &amp; Safety</t>
  </si>
  <si>
    <t>General Admin</t>
  </si>
  <si>
    <t>Guest House</t>
  </si>
  <si>
    <t>Horticulture</t>
  </si>
  <si>
    <t>Hostel</t>
  </si>
  <si>
    <t>Housekeeping</t>
  </si>
  <si>
    <t>Security</t>
  </si>
  <si>
    <t>Temple</t>
  </si>
  <si>
    <t>Transport</t>
  </si>
  <si>
    <t>Associate</t>
  </si>
  <si>
    <t>Guest House (Cook)</t>
  </si>
  <si>
    <t>Plumber &amp; Electrician</t>
  </si>
  <si>
    <t>Pass section</t>
  </si>
  <si>
    <t>Driver</t>
  </si>
  <si>
    <t>Joshisir House (Cook and Assistant</t>
  </si>
  <si>
    <t xml:space="preserve">CMS </t>
  </si>
  <si>
    <t xml:space="preserve">Sr. No. </t>
  </si>
  <si>
    <t>Dept_Position No.</t>
  </si>
  <si>
    <t>ASOs</t>
  </si>
  <si>
    <t xml:space="preserve">SAP/Weigh bridge operators </t>
  </si>
  <si>
    <t xml:space="preserve">Maintenance of Access control </t>
  </si>
  <si>
    <t>Doctor</t>
  </si>
  <si>
    <t>Para-Medical Staff</t>
  </si>
  <si>
    <t>QRT &amp; Ambulance Driver</t>
  </si>
  <si>
    <t>Facility Manager</t>
  </si>
  <si>
    <t>Supervisor</t>
  </si>
  <si>
    <t>Operators</t>
  </si>
  <si>
    <t>Janitors</t>
  </si>
  <si>
    <t>Pantry Boy</t>
  </si>
  <si>
    <t xml:space="preserve"> Loaders</t>
  </si>
  <si>
    <t>Priest -1</t>
  </si>
  <si>
    <t>Priest -2</t>
  </si>
  <si>
    <t xml:space="preserve">Janitors </t>
  </si>
  <si>
    <t>Security Supervisor</t>
  </si>
  <si>
    <t>Security Guards</t>
  </si>
  <si>
    <t>Plumber cum Electrician</t>
  </si>
  <si>
    <t>Receptionist</t>
  </si>
  <si>
    <t>Office Boy Khairatabad</t>
  </si>
  <si>
    <t>Central Service Empl.</t>
  </si>
  <si>
    <t>Scrap Supervisor</t>
  </si>
  <si>
    <t>Driver for company vehicles​</t>
  </si>
  <si>
    <t>Manager</t>
  </si>
  <si>
    <t xml:space="preserve">Supervisor </t>
  </si>
  <si>
    <t>Machine Operator</t>
  </si>
  <si>
    <t>Guardners</t>
  </si>
  <si>
    <t>Plumber</t>
  </si>
  <si>
    <t>Front Desk - Semi Skilled</t>
  </si>
  <si>
    <t>HK, Upkeep /Laundary</t>
  </si>
  <si>
    <t>Master Butler - Skilled</t>
  </si>
  <si>
    <t>Service Boy</t>
  </si>
  <si>
    <t>Kitchen Helper</t>
  </si>
  <si>
    <t>Positions</t>
  </si>
  <si>
    <r>
      <t xml:space="preserve">Security Guard - </t>
    </r>
    <r>
      <rPr>
        <sz val="11"/>
        <color theme="4" tint="-0.249977111117893"/>
        <rFont val="Calibri"/>
        <family val="2"/>
        <scheme val="minor"/>
      </rPr>
      <t>WFL</t>
    </r>
  </si>
  <si>
    <r>
      <t xml:space="preserve">Security Supervisor - </t>
    </r>
    <r>
      <rPr>
        <sz val="11"/>
        <color theme="4" tint="-0.249977111117893"/>
        <rFont val="Calibri"/>
        <family val="2"/>
        <scheme val="minor"/>
      </rPr>
      <t>WFL</t>
    </r>
  </si>
  <si>
    <r>
      <t xml:space="preserve">Security Guard - </t>
    </r>
    <r>
      <rPr>
        <sz val="11"/>
        <color theme="4" tint="-0.249977111117893"/>
        <rFont val="Calibri"/>
        <family val="2"/>
        <scheme val="minor"/>
      </rPr>
      <t>Common Area</t>
    </r>
  </si>
  <si>
    <r>
      <t xml:space="preserve">Security Superviso - </t>
    </r>
    <r>
      <rPr>
        <sz val="11"/>
        <color theme="4" tint="-0.249977111117893"/>
        <rFont val="Calibri"/>
        <family val="2"/>
        <scheme val="minor"/>
      </rPr>
      <t>Common Area</t>
    </r>
  </si>
  <si>
    <t>Stores</t>
  </si>
  <si>
    <t>Admin and Safety</t>
  </si>
  <si>
    <t>A</t>
  </si>
  <si>
    <t>R&amp;D (PD)</t>
  </si>
  <si>
    <t>board Preparation, Sample Preparation</t>
  </si>
  <si>
    <t>BP 25-26</t>
  </si>
  <si>
    <t>Cotton</t>
  </si>
  <si>
    <t>Drylon</t>
  </si>
  <si>
    <t>BCF Twisted</t>
  </si>
  <si>
    <t>4 Roll Conversion System and Needle Bar System Changes</t>
  </si>
  <si>
    <t>Yarn Breakage</t>
  </si>
  <si>
    <t>Doffing Loss</t>
  </si>
  <si>
    <t>Change over</t>
  </si>
  <si>
    <t>PM</t>
  </si>
  <si>
    <t>PH</t>
  </si>
  <si>
    <t>Sample</t>
  </si>
  <si>
    <t>No Program</t>
  </si>
  <si>
    <t>Manufacturer Speed</t>
  </si>
  <si>
    <t>BP 25-26 Prodn</t>
  </si>
  <si>
    <t>Particular</t>
  </si>
  <si>
    <t>First Uom</t>
  </si>
  <si>
    <t>Yarn BCF Overall</t>
  </si>
  <si>
    <t>Production</t>
  </si>
  <si>
    <t>MT</t>
  </si>
  <si>
    <t>Sample Production</t>
  </si>
  <si>
    <t>Yarn POY</t>
  </si>
  <si>
    <t>Parallel Winding</t>
  </si>
  <si>
    <t>Multiplying TFO</t>
  </si>
  <si>
    <t>Multiplying Secondary</t>
  </si>
  <si>
    <t>AutoClave</t>
  </si>
  <si>
    <t>Power Heat Set</t>
  </si>
  <si>
    <t>Superba Heat Set</t>
  </si>
  <si>
    <t>Uom</t>
  </si>
  <si>
    <t>Apr-24</t>
  </si>
  <si>
    <t>May-24</t>
  </si>
  <si>
    <t>Carpet Tile</t>
  </si>
  <si>
    <t>Sqr Mtr</t>
  </si>
  <si>
    <t>Wall to Wall</t>
  </si>
  <si>
    <t>Finished production</t>
  </si>
  <si>
    <t>Area Rugs Production</t>
  </si>
  <si>
    <t>Chormojet Printing</t>
  </si>
  <si>
    <t>Colaris Printing</t>
  </si>
  <si>
    <t>Tufting Overall</t>
  </si>
  <si>
    <t>Average</t>
  </si>
  <si>
    <t>BP 24-25 Act Prodn</t>
  </si>
  <si>
    <t>Department</t>
  </si>
  <si>
    <t>Avg MP</t>
  </si>
  <si>
    <t>ENGINEERING</t>
  </si>
  <si>
    <t>Production Per Day</t>
  </si>
  <si>
    <t>BP 24-25 Prodn</t>
  </si>
  <si>
    <t>BP 24-25 MP</t>
  </si>
  <si>
    <t>BP 24-25 Act MP</t>
  </si>
  <si>
    <t>24 - 25 (BP)</t>
  </si>
  <si>
    <t>2024(Actual)</t>
  </si>
  <si>
    <t>25 -26 (BP)</t>
  </si>
  <si>
    <t>BP (24 -25) Vs (25 -26)</t>
  </si>
  <si>
    <t>DEPARTMENT</t>
  </si>
  <si>
    <t>Floor wise</t>
  </si>
  <si>
    <t>Kye 1</t>
  </si>
  <si>
    <t>Ass</t>
  </si>
  <si>
    <t>Naps</t>
  </si>
  <si>
    <t>CLM</t>
  </si>
  <si>
    <t>Remarks</t>
  </si>
  <si>
    <t>Soft Floor</t>
  </si>
  <si>
    <t>DIRECT</t>
  </si>
  <si>
    <t>Sample M/C Manpower increases</t>
  </si>
  <si>
    <t>Master batch</t>
  </si>
  <si>
    <t>Text</t>
  </si>
  <si>
    <t>Production Increases</t>
  </si>
  <si>
    <t xml:space="preserve">Increases 4 Cabling M/C </t>
  </si>
  <si>
    <t>Heatset</t>
  </si>
  <si>
    <t xml:space="preserve">Increases 1 Heatset M/C </t>
  </si>
  <si>
    <t>Q-Yarn Common</t>
  </si>
  <si>
    <t xml:space="preserve">R-Air Tangling Wdg M/c </t>
  </si>
  <si>
    <t>Z-PACKING(CL+PR)</t>
  </si>
  <si>
    <t>T-ROPING(CL+PR)</t>
  </si>
  <si>
    <t>U- FORKLIFT</t>
  </si>
  <si>
    <t>V-PAPER TUBE</t>
  </si>
  <si>
    <t>V-PAPER TUBE (BCF Recycle )</t>
  </si>
  <si>
    <t>Individual  (POY- BCY Paper tube)</t>
  </si>
  <si>
    <t>W-MULTIPLY(CL+PR)</t>
  </si>
  <si>
    <t>X-MULTIPLY  - AUTO CLAVE(CL+PR)</t>
  </si>
  <si>
    <t>AD- Rewinding(CL+PR)</t>
  </si>
  <si>
    <t>Actual Requirement 30</t>
  </si>
  <si>
    <t>Yarn Process control</t>
  </si>
  <si>
    <t>Process control Manpower Added</t>
  </si>
  <si>
    <t>TOTAL</t>
  </si>
  <si>
    <t>Tufting, Coating &amp; Printing</t>
  </si>
  <si>
    <t>Increases 2 M/C</t>
  </si>
  <si>
    <t>colour Cut Add &amp; (1 Shift Manpoewr Increases)</t>
  </si>
  <si>
    <t>only 2 shift consider in last (BP 24-25) for chormojet. This (BP 25-26) Require 3 Shifts</t>
  </si>
  <si>
    <t>Extrusion</t>
  </si>
  <si>
    <t>Hard Floor</t>
  </si>
  <si>
    <t>A-Mixer+additive room</t>
  </si>
  <si>
    <t>UV Coating</t>
  </si>
  <si>
    <t xml:space="preserve">Barberan / D-High Gloss </t>
  </si>
  <si>
    <t>E-Homag- Cutting &amp; Profiling</t>
  </si>
  <si>
    <t>IXPE</t>
  </si>
  <si>
    <t>Manual Packing (CL+PR)</t>
  </si>
  <si>
    <t>lamination</t>
  </si>
  <si>
    <t>Skirting</t>
  </si>
  <si>
    <t>I-Wraping (CL+PR)</t>
  </si>
  <si>
    <t>F-SLITTING</t>
  </si>
  <si>
    <t>G-Painted beveling</t>
  </si>
  <si>
    <t>J-Forklift WIP Movement</t>
  </si>
  <si>
    <t>K-IXPE Piling Off</t>
  </si>
  <si>
    <t>L-CRUSHER &amp; MILLER - Operation</t>
  </si>
  <si>
    <t>SPC Internal Warehouse Management</t>
  </si>
  <si>
    <t>AD1-Carry boards</t>
  </si>
  <si>
    <t>N-Homag Dust Miller-Operations</t>
  </si>
  <si>
    <t>New Section Added 12 is one shift manpower</t>
  </si>
  <si>
    <t>HOMAG LIBRARY</t>
  </si>
  <si>
    <t>Hawk Trimming M/c</t>
  </si>
  <si>
    <t>New Section Added</t>
  </si>
  <si>
    <t>Wachter auto Pkng</t>
  </si>
  <si>
    <t>WOOD TECH CUTTING MACHINE</t>
  </si>
  <si>
    <t>Support Direct</t>
  </si>
  <si>
    <t>Tufting and Coating TQM</t>
  </si>
  <si>
    <t>Cut Sew- Quality checker</t>
  </si>
  <si>
    <t>Excess to given</t>
  </si>
  <si>
    <t>Tufting and Coating</t>
  </si>
  <si>
    <t>Common for both plants</t>
  </si>
  <si>
    <t>Support Indirect</t>
  </si>
  <si>
    <t>Support direct</t>
  </si>
  <si>
    <t>Sintex Gate (4),New Section Added In SPC (2) , Security (6) Hostel (2), Guest House Service Boy (1), CMS Oparetors (2) AK Joshi sir Home (2) Menber Increases</t>
  </si>
  <si>
    <t>SPC R &amp; D</t>
  </si>
  <si>
    <t>Tufting and Coating R &amp; D</t>
  </si>
  <si>
    <t xml:space="preserve"> </t>
  </si>
  <si>
    <t>GRAND TOTAL</t>
  </si>
  <si>
    <t>M/C Req.</t>
  </si>
  <si>
    <t>BP 24-25</t>
  </si>
  <si>
    <t>Act 24-25</t>
  </si>
  <si>
    <t>14. R&amp;D (PD)</t>
  </si>
  <si>
    <t>15. SCM (Stores &amp; WH)</t>
  </si>
  <si>
    <t>SCM (Stores, WH &amp; Logistics)</t>
  </si>
  <si>
    <t>SCM (Stores &amp; WH)</t>
  </si>
  <si>
    <t>Common Stores</t>
  </si>
  <si>
    <t>Store Unloading</t>
  </si>
  <si>
    <t>Scrap Bailing</t>
  </si>
  <si>
    <t>GRN DEO</t>
  </si>
  <si>
    <t>Stores – Engg.</t>
  </si>
  <si>
    <t>Purchase</t>
  </si>
  <si>
    <t>W/H</t>
  </si>
  <si>
    <t>SPC W/H</t>
  </si>
  <si>
    <t>(1.5 mc per operator) &amp; 3 DEO saved through Digitization.</t>
  </si>
  <si>
    <t>(4 Person on each mc)+ 3 DEO saved in Digitiazation + 3 Person for Cone Segragation.</t>
  </si>
  <si>
    <t>Pallet Wraping + Pallet Strapping + Weighing + Stickering + Transfer to Resp. dept.</t>
  </si>
  <si>
    <t>Scope of improvement in work-Load handling</t>
  </si>
  <si>
    <t>(4 Person for 4 Activities of Pkg. + 2 Person for 2 BW mc  in all 3shifts)</t>
  </si>
  <si>
    <t>Op</t>
  </si>
  <si>
    <t>H</t>
  </si>
  <si>
    <t>CB</t>
  </si>
  <si>
    <t>Per shift</t>
  </si>
  <si>
    <t>can be done be operator.</t>
  </si>
  <si>
    <t>Straping Automation + Selvedge Sensor + Stitching Common</t>
  </si>
  <si>
    <t>Data Automation</t>
  </si>
  <si>
    <t>Work Load Distribution</t>
  </si>
  <si>
    <t>Spinning + Control Room</t>
  </si>
  <si>
    <t>Data Automation + Workload distribution</t>
  </si>
  <si>
    <t>1 Jobber in Gel. + 1 Jobber Night</t>
  </si>
  <si>
    <t>worked on 12 mc Avg. req.</t>
  </si>
  <si>
    <t>Considering Avg. Mc req. of 2.33 Per day.</t>
  </si>
  <si>
    <t>(1 op per mc + 0.5 hlp per mc) + gang of 2 x 2 from change-over</t>
  </si>
  <si>
    <t>No Change</t>
  </si>
  <si>
    <t>No. Change</t>
  </si>
  <si>
    <t>This with 6200 Sq.m.</t>
  </si>
  <si>
    <t>HO Recommendation</t>
  </si>
  <si>
    <t>Not Reqd.</t>
  </si>
  <si>
    <t>Need to confirm with Amit Sir</t>
  </si>
  <si>
    <t>HOD needed for discxussion</t>
  </si>
  <si>
    <t>min</t>
  </si>
  <si>
    <t>Papertube Feeding</t>
  </si>
  <si>
    <t>Pallet Handling</t>
  </si>
  <si>
    <t>Doffing and Threading</t>
  </si>
  <si>
    <t>Bottom Running</t>
  </si>
  <si>
    <t>Breakage Handling</t>
  </si>
  <si>
    <t>Cleaning</t>
  </si>
  <si>
    <t>1 SAP Operator at WFL Entry Gate and 1 at a Weighing Bridge Materi Gate Area</t>
  </si>
  <si>
    <t>2 Reliever</t>
  </si>
  <si>
    <t>7 Cleaning Machine , 4 Cleaning Scooty, 6 Vaccum Cleaner</t>
  </si>
  <si>
    <t>2 shift for Pentry, Also look for VIP Visits and Lunch</t>
  </si>
  <si>
    <t>Waster Loader, Production and non Production Loader</t>
  </si>
  <si>
    <t>Each Block 48 Seats Setup</t>
  </si>
  <si>
    <t>38 Bathrooms, with 3 Seats</t>
  </si>
  <si>
    <t>64 Toiles Block, 180 Seats and Bathrooms</t>
  </si>
  <si>
    <t>Monitoring and Executing Cleaning Activity</t>
  </si>
  <si>
    <t>Stitching, Selvage Sensor, Wrapping, Box feeding</t>
  </si>
  <si>
    <t>HR to Discuss with PD</t>
  </si>
  <si>
    <t>DATA ENTRY AUTOMATION</t>
  </si>
  <si>
    <t>MHE REPLACEMENT</t>
  </si>
  <si>
    <t>METHOD IMPROVEMENT</t>
  </si>
  <si>
    <t>BASED ON SAM / WORKLOAD</t>
  </si>
  <si>
    <t>AUTOMATION</t>
  </si>
  <si>
    <t>Mr Amrik</t>
  </si>
  <si>
    <t>Mr Pandey</t>
  </si>
  <si>
    <t>Mr Parminder</t>
  </si>
  <si>
    <t>Mr Manoj S.</t>
  </si>
  <si>
    <t>--</t>
  </si>
  <si>
    <t>Mr Chandresh</t>
  </si>
  <si>
    <t>Brig.</t>
  </si>
  <si>
    <t>NOT YET DISC.</t>
  </si>
  <si>
    <t>HO</t>
  </si>
  <si>
    <t>COMMON</t>
  </si>
  <si>
    <t>MASTER-BATCH</t>
  </si>
  <si>
    <t>** 2 persons (one person on each floor) continuously monitor the utility part on every mc. &amp; the level of infeed material in every vessels. And if there is any uncertainity found, they inform their supervisor @ it and ask them to do the corrections. This can be covered in EMS, with One or No person required to seperately monitor and update the readings.</t>
  </si>
  <si>
    <t>** DEO can be asked to sit in Control Room to monitor the Spinning parameters while he does the DE's. Also, his current workload should be minimized through Digitization.</t>
  </si>
  <si>
    <t>EMS implementation for Dryer + DEO digitisation.</t>
  </si>
  <si>
    <t>** Segregation to be done at common station with uniform &amp; justified workload distribution.</t>
  </si>
  <si>
    <t>For 10 Winders</t>
  </si>
  <si>
    <t>For 24 Winders</t>
  </si>
  <si>
    <t>** Workload of DEO should be Digitized. And Shared with Spinning Operator</t>
  </si>
  <si>
    <t>1.5 M/C Per Operator (264 Spindles)</t>
  </si>
  <si>
    <t>Balance Data Entries after Data Automation, taken care by jobber</t>
  </si>
  <si>
    <t>Data Automation and QC Report Automation through SAP</t>
  </si>
  <si>
    <t>Operation's</t>
  </si>
  <si>
    <t>Sr. No</t>
  </si>
  <si>
    <t>Length cutting</t>
  </si>
  <si>
    <t>TT CUT &amp; SEW MP : APR/MAY/JUN'25</t>
  </si>
  <si>
    <t>Man Power</t>
  </si>
  <si>
    <t>PLANT</t>
  </si>
  <si>
    <t>M/C Req</t>
  </si>
  <si>
    <t>MP Req.</t>
  </si>
  <si>
    <t>Ratio @ Avg</t>
  </si>
  <si>
    <t>Length Cutting M/c</t>
  </si>
  <si>
    <t>L,C,Data Operator</t>
  </si>
  <si>
    <t>Avg Weight/Towel(gm.)</t>
  </si>
  <si>
    <t>Size Per Towel (In Mtrs)</t>
  </si>
  <si>
    <t>L,C,Jobber</t>
  </si>
  <si>
    <t>Take Care from cutting to cross cutting</t>
  </si>
  <si>
    <t>Production Requerds/Day(Pcss)</t>
  </si>
  <si>
    <t xml:space="preserve">Length in cm </t>
  </si>
  <si>
    <t>Length Cutting Operator</t>
  </si>
  <si>
    <t>Production Requerds/Day(SQM)</t>
  </si>
  <si>
    <t>Width in cm</t>
  </si>
  <si>
    <t>L, C, Helper</t>
  </si>
  <si>
    <t>Forklift Operator</t>
  </si>
  <si>
    <t>Machine Width</t>
  </si>
  <si>
    <t>Material movement from Process</t>
  </si>
  <si>
    <t>Qty (In Pcs)</t>
  </si>
  <si>
    <t xml:space="preserve">Lift Operator </t>
  </si>
  <si>
    <t>Size -wise Splits</t>
  </si>
  <si>
    <t>Material Handling/Forklift Operator at Rugs</t>
  </si>
  <si>
    <t>Pcs/mtr</t>
  </si>
  <si>
    <t>Length Cutting Dep.</t>
  </si>
  <si>
    <t>Total Manpower-(+A)</t>
  </si>
  <si>
    <t xml:space="preserve">Total Pieces/ Width </t>
  </si>
  <si>
    <t>Length Overedging 2 M/c</t>
  </si>
  <si>
    <t>Bcd Segregation</t>
  </si>
  <si>
    <t>Speed mpm</t>
  </si>
  <si>
    <t>Thread Collector (Kitting)</t>
  </si>
  <si>
    <t>Pcs/min</t>
  </si>
  <si>
    <t>L,H,Jobber(2 Jobber/Shift)</t>
  </si>
  <si>
    <t xml:space="preserve">Eff </t>
  </si>
  <si>
    <t>Length Overedging Operator</t>
  </si>
  <si>
    <t>Tailor</t>
  </si>
  <si>
    <t>Pcs/min at given eff</t>
  </si>
  <si>
    <t>Length Overedging Helper</t>
  </si>
  <si>
    <t>Available time</t>
  </si>
  <si>
    <t>Lift Operator</t>
  </si>
  <si>
    <t>Production/m/c</t>
  </si>
  <si>
    <t>Total Manpower-(+B)</t>
  </si>
  <si>
    <t>No of machines required</t>
  </si>
  <si>
    <t>Cross Cutting Operator</t>
  </si>
  <si>
    <t>Measurement</t>
  </si>
  <si>
    <t>Total no of machines reqd</t>
  </si>
  <si>
    <t>Cross Cutting Helper</t>
  </si>
  <si>
    <t>Print %age</t>
  </si>
  <si>
    <t>ROUND</t>
  </si>
  <si>
    <t>Total Manpower-(+C)</t>
  </si>
  <si>
    <t>Pieces / min</t>
  </si>
  <si>
    <t>Total Manpower-(+D)</t>
  </si>
  <si>
    <t>Eff  %</t>
  </si>
  <si>
    <t>Combi Line</t>
  </si>
  <si>
    <t>Combi line Tailor</t>
  </si>
  <si>
    <t>Combi line Helper</t>
  </si>
  <si>
    <t xml:space="preserve">Available time hrs/ day </t>
  </si>
  <si>
    <t>Total Manpower-(+E)</t>
  </si>
  <si>
    <t>Production/m/c/ day in pcs</t>
  </si>
  <si>
    <t>Manual Cross Overedging</t>
  </si>
  <si>
    <t>for Shape Rugs + Alteration 4 (3+1) machine</t>
  </si>
  <si>
    <t>Material Feeder</t>
  </si>
  <si>
    <t>Label Stitching Tailor</t>
  </si>
  <si>
    <t>Total No. Of Machines Reqd</t>
  </si>
  <si>
    <t>Finishing Operation</t>
  </si>
  <si>
    <t>Sample &amp; Maint</t>
  </si>
  <si>
    <t>Total Manpower-(+F)</t>
  </si>
  <si>
    <t>TQM Checker</t>
  </si>
  <si>
    <t>No. of M/C</t>
  </si>
  <si>
    <t>Bar Tak</t>
  </si>
  <si>
    <t>Bar Tak  Tailor</t>
  </si>
  <si>
    <t>Rolling / Folding</t>
  </si>
  <si>
    <t>Polybag Packer</t>
  </si>
  <si>
    <t>230 cm limitation</t>
  </si>
  <si>
    <t>Total Manpower-(+G)</t>
  </si>
  <si>
    <t>Polybag Sticker Pasting</t>
  </si>
  <si>
    <t>Packing Line</t>
  </si>
  <si>
    <t>283 Pcs per finisher</t>
  </si>
  <si>
    <t>340 Pcs Per Finisher</t>
  </si>
  <si>
    <t>Giving Poly Filling given to Rolling/Folding Team</t>
  </si>
  <si>
    <t xml:space="preserve">RRS </t>
  </si>
  <si>
    <t>Trims Handling Will be Taken Care by Jobber</t>
  </si>
  <si>
    <t>Reworker</t>
  </si>
  <si>
    <t>Limitation - 250 cm</t>
  </si>
  <si>
    <t>High Pile can not run on Cross Cutting</t>
  </si>
  <si>
    <t>Total Manpower-(+H)</t>
  </si>
  <si>
    <t>Maintenance</t>
  </si>
  <si>
    <t>Senior Fitter</t>
  </si>
  <si>
    <t>Time Require for 1 Pcs.</t>
  </si>
  <si>
    <t>Total Manpower-(+I)</t>
  </si>
  <si>
    <t>Time Req. for Prod (30%) sec.</t>
  </si>
  <si>
    <t>RRS</t>
  </si>
  <si>
    <t>RRS, Jobber</t>
  </si>
  <si>
    <t>Time Req. for Prod (30%) hrs</t>
  </si>
  <si>
    <t>RRS, Rework</t>
  </si>
  <si>
    <t>Time Req. for Prod (30%) day</t>
  </si>
  <si>
    <t>Table Req. Nos</t>
  </si>
  <si>
    <t>Fitter Maint.</t>
  </si>
  <si>
    <t>Remarks: All Printed and Shape Rugs (dmart, Circle and oval) must be on table</t>
  </si>
  <si>
    <t>Table Req.</t>
  </si>
  <si>
    <t>All Sap Entries and Reservations Done by DEO</t>
  </si>
  <si>
    <t>18 (For 3 Lines)+6(For AQL)</t>
  </si>
  <si>
    <t>General Area  </t>
  </si>
  <si>
    <t>Total Manpower-(+J)</t>
  </si>
  <si>
    <t>Carpentor maint</t>
  </si>
  <si>
    <t>Data Operator General</t>
  </si>
  <si>
    <t>Trasport</t>
  </si>
  <si>
    <t>6 min</t>
  </si>
  <si>
    <t>Electrician Maint.</t>
  </si>
  <si>
    <t>Needleman maint.</t>
  </si>
  <si>
    <t>Shortfall Jobber</t>
  </si>
  <si>
    <t>Trims Issue \Thred Cutter</t>
  </si>
  <si>
    <t>Welder Miant</t>
  </si>
  <si>
    <t>Auto Polybag M/C 03</t>
  </si>
  <si>
    <t>Polybag M/C Operator</t>
  </si>
  <si>
    <t>Remarks: Combi Line Applicable for Low GSM Quality and Low Pile Height</t>
  </si>
  <si>
    <t>Polybag M/C Packer</t>
  </si>
  <si>
    <t>Size</t>
  </si>
  <si>
    <t>No. of Sewing Lines</t>
  </si>
  <si>
    <t>RTF,Data Operator</t>
  </si>
  <si>
    <t>RTF Packer</t>
  </si>
  <si>
    <t>Adjust</t>
  </si>
  <si>
    <t>Carton Packing  </t>
  </si>
  <si>
    <t>Cartons Packers </t>
  </si>
  <si>
    <t>Overedge</t>
  </si>
  <si>
    <t>Details</t>
  </si>
  <si>
    <t>Metal</t>
  </si>
  <si>
    <t>adjust</t>
  </si>
  <si>
    <t>JUKI SAM</t>
  </si>
  <si>
    <t>Carton,Jobber</t>
  </si>
  <si>
    <t>Avail. Min/ Shift/ mc</t>
  </si>
  <si>
    <t>Trs</t>
  </si>
  <si>
    <t>TRS Checker</t>
  </si>
  <si>
    <t>TRS,Cross Cutting Operator</t>
  </si>
  <si>
    <t>No. of mc reqd.</t>
  </si>
  <si>
    <t>TRS Data Entry Operator</t>
  </si>
  <si>
    <t>Sec</t>
  </si>
  <si>
    <t>Linear Mtr</t>
  </si>
  <si>
    <t>No. of Stitcher Reqd/ day</t>
  </si>
  <si>
    <t>TRS,Jobber</t>
  </si>
  <si>
    <t>Palletize</t>
  </si>
  <si>
    <t>TRS,Mender</t>
  </si>
  <si>
    <t>Packers</t>
  </si>
  <si>
    <t>TRS Packer / Carton Packer </t>
  </si>
  <si>
    <t>TRS Stitcher</t>
  </si>
  <si>
    <t>sec</t>
  </si>
  <si>
    <t>Thread Men</t>
  </si>
  <si>
    <t>Contractor (HK)</t>
  </si>
  <si>
    <t>120X170</t>
  </si>
  <si>
    <t>Mender</t>
  </si>
  <si>
    <t>Other Dep.</t>
  </si>
  <si>
    <t>Total Manpower</t>
  </si>
  <si>
    <t>Sec/Pcs</t>
  </si>
  <si>
    <t>1 pcs</t>
  </si>
  <si>
    <t>Stain Remover</t>
  </si>
  <si>
    <t>CSP Total(sum of A to J) - without TQM</t>
  </si>
  <si>
    <t>Floor Cleaning</t>
  </si>
  <si>
    <t>TT TQM</t>
  </si>
  <si>
    <t>(3*2*3) Line TQM Checker , (1*3) AQL/Polybag Checker for 3 Line, (1*3) Box Packing Checker, (1*3) Cutting to Stitching Checker</t>
  </si>
  <si>
    <t>#</t>
  </si>
  <si>
    <t>TOTAL STITCHERS REQD.</t>
  </si>
  <si>
    <t>STAFF</t>
  </si>
  <si>
    <t>CSP  Production</t>
  </si>
  <si>
    <t>Time</t>
  </si>
  <si>
    <t>MC Req</t>
  </si>
  <si>
    <t>Embroidary</t>
  </si>
  <si>
    <t>Nos of Pcs</t>
  </si>
  <si>
    <t>Total manpower (Including TQM)</t>
  </si>
  <si>
    <t>Nos of Pcs (eff.)</t>
  </si>
  <si>
    <t>PPP/ Tailor (PCS)</t>
  </si>
  <si>
    <t>PPP C&amp;S</t>
  </si>
  <si>
    <t>Over</t>
  </si>
  <si>
    <t>Bar tak</t>
  </si>
  <si>
    <t>Time Req. for Prod sec.</t>
  </si>
  <si>
    <t>Time Req. for Prod hrs</t>
  </si>
  <si>
    <t>Time Req. for Prod day</t>
  </si>
  <si>
    <t>5 min</t>
  </si>
  <si>
    <t>M/c Req. Nos</t>
  </si>
  <si>
    <t>160X230</t>
  </si>
  <si>
    <t>Req. M/C</t>
  </si>
  <si>
    <t>Nos of Pcs (eff.) Per M/c</t>
  </si>
  <si>
    <t>As the Feeding of Material from Back process i.e. Overedging is constrain so as per the speed of Machine, Feeding is insufficient which increase the utilization of machine. Also the Type of Articles/Colors runs at a time made the requirement of Extra MAchine</t>
  </si>
  <si>
    <t>Packing Line (Capacity) Pcs/day/line</t>
  </si>
  <si>
    <t>Req. Line</t>
  </si>
  <si>
    <t>Length Cutting Section</t>
  </si>
  <si>
    <t>DTA</t>
  </si>
  <si>
    <t>DTA1</t>
  </si>
  <si>
    <t>DTA2</t>
  </si>
  <si>
    <t>DTA3</t>
  </si>
  <si>
    <t>DTA4</t>
  </si>
  <si>
    <t>DTA5</t>
  </si>
  <si>
    <t>DTA6</t>
  </si>
  <si>
    <t>/Shift</t>
  </si>
  <si>
    <t>Length Hemming Per DTA</t>
  </si>
  <si>
    <t>LH  Jobber</t>
  </si>
  <si>
    <t>Juki Per DTA</t>
  </si>
  <si>
    <t>Juki Jobber</t>
  </si>
  <si>
    <t>Including Board and Catalogue Preparation</t>
  </si>
  <si>
    <t>Including Board/Catalogue Preparation (sample and Production)</t>
  </si>
  <si>
    <t>1 MP/Shift</t>
  </si>
  <si>
    <t>2 MP/Shift</t>
  </si>
  <si>
    <t>1 St Shift</t>
  </si>
  <si>
    <t>B Shift</t>
  </si>
  <si>
    <t xml:space="preserve">C Shift </t>
  </si>
  <si>
    <t>General Store</t>
  </si>
  <si>
    <t>Work Activities</t>
  </si>
  <si>
    <t>Sr No</t>
  </si>
  <si>
    <t>Associates</t>
  </si>
  <si>
    <t>Contract Worker</t>
  </si>
  <si>
    <t>Total Assocites</t>
  </si>
  <si>
    <t>Total Forklift Driver</t>
  </si>
  <si>
    <t>Total Contract Workers</t>
  </si>
  <si>
    <t>BCF Store &amp; MB Store</t>
  </si>
  <si>
    <t xml:space="preserve">1. Goods receipt as per documets.
2. Material reciept intimation to TQM 
3. Material sample taken for qulaition inspection.
4. Material verification physical Vs received qty, Weighment, Invoice no.
5. Material labeling for incoming matrial.
6. Material Baroode Generating and Scanning.
6. Material issue as per reservation with barcode Scanning.
7. Maintain 5S at workplace.
8. Stock counting.
9. At the time of error in ASRS coordinate with ASRS operator &amp; support. </t>
  </si>
  <si>
    <t>ASRS</t>
  </si>
  <si>
    <t>1. Inbound and outbond of Raw material from ASRS.
2. Pallet label and physical material verification while Inbound. 
3. Inbound and outbond of SFG yarn          
4. Monitoring ASRS system.
5. Daily cleaning of ASRS sensors.
6. Checking Wheel and it's allignment.
7. Machanical issue monitoring. 
8. Rejection pallets repackaging with Produciton team.
9. Maintain 5s Overall ASRS area.</t>
  </si>
  <si>
    <t>BCF- TUFTING YARN</t>
  </si>
  <si>
    <t>1. Material Issue As per Plan. 
2. Material Shift from BCF to Tufting Production.
3. Material Shifting from BCF to Turfting SFG Rack.
4. Material Scanning through barcode and shift in Warehouse SAP location.
5. Taking Physcial Material stock of SFG Yarn.</t>
  </si>
  <si>
    <t>TUFTING RM STORE</t>
  </si>
  <si>
    <t>1. Material verification as per documents.
2. Material reciept intimation to TQM 
3. Material sample taken for qulaition inspection.
4. Material labeling after Grn.
5. Material movement in rack through scanning. 
6. As per production requirement Raw material issue to tufting through scanning.</t>
  </si>
  <si>
    <t>TUFTING SFG ROLL</t>
  </si>
  <si>
    <t>1. SFG rolls shifting from Tufting production to SFG rack area.
2. SFG Rolls shifting in rack through barcode scanning.
3. As per Production plan, SFg rolls shifting to Coating Production and Printing machine
4. Maintain Stock.
5. Physical stock verification.</t>
  </si>
  <si>
    <t>COATING RM STORE</t>
  </si>
  <si>
    <t>1. Material verification as per documents.
2. Material reciept intimation to TQM 
3. Material sample taken for qulaition inspection.
4. Verification of Invoice no. , invoice qty Vs Received qty, Weighment.
5. Material labeling after Grn.
6. Secondary backing stored in rack through scanning. 
7. As per production requirement Raw material issue to Coating.
8. Physical stock verification.</t>
  </si>
  <si>
    <t>Cut &amp; Sew Store</t>
  </si>
  <si>
    <t>1. Material receipt &amp; verification as per document.
2. Material reciept intimation to TQM 
3. Material sample taken for qulaition inspection.
4. Verification of Invoice qty Vs received qty, Invoice copy, weighment.
5. Material labeling and stacking in defined loaction.
6. As per requirement need to do additional activities. Like- Article code written on cartoon, pasting stikcers on cartoon, numbers written on cartoon.
7. Issue Material as per production requirement. 
8. Physical stock verification.</t>
  </si>
  <si>
    <t>SPC Store</t>
  </si>
  <si>
    <t xml:space="preserve">1. Goods receipt as per documets.
2. Material reciept intimation to TQM 
3. Material sample taken for qulaition inspection.
4. Material verification physical Vs received qty, Weighment, Invoice no.
5. Material labeling for incoming matrial.
6. Material stacking as per defined location through barcode scanning.
7. Material issue as per reservation.
8. Maintain 3s at workplace.
9. Stock counting.
10. Monitor silo feeding activities. </t>
  </si>
  <si>
    <t>SPC Printing Store</t>
  </si>
  <si>
    <t>SPC SILO FEEDING</t>
  </si>
  <si>
    <t>1. Daily Feeding Calcium and Resin in Silo.
2. Maintain Silo feeding area clean.</t>
  </si>
  <si>
    <t>General Store &amp; Project Store</t>
  </si>
  <si>
    <t>1. Material receipt as per documents.
2. Mateiral verification- Invoice copy, invoice details Vs physical reciept, Qty.
3. Material verifaction activity with user.
4. Material labeling with barcode scanning and stacking at defined location.
4. Heavy material unloading outisde store location.
5.  Material issue as per reservation with barcode scanning.
6. Physical material counting.</t>
  </si>
  <si>
    <t>Scrap Yard + 01 Carpenter</t>
  </si>
  <si>
    <t>1. House keeping activity daily morning at Scrap Yard.
2. Shifting ready material to respective area.
3. Collect the material from yard
4. Loading the material to vehicles.
5. Loose material loading take more time.
6. Damage Palletls collect from yard.
7.Wooden Pallets modfication.
8. As per requirement make Table, Stool or bench etc.</t>
  </si>
  <si>
    <t>Scrap Yard Belling</t>
  </si>
  <si>
    <t>1.Two belling machine available at scrap yard</t>
  </si>
  <si>
    <t>Material Unloaading</t>
  </si>
  <si>
    <t>Plant Wise Material Unloading.</t>
  </si>
  <si>
    <t>STORE OFFICE (DOA)</t>
  </si>
  <si>
    <t>1. Collect all invoices and make the excel sheet.
2. Scanning all GRN completed documets.
3. Take the print out &amp; submite to Finance.</t>
  </si>
  <si>
    <t>For 1 M/c, 1 Operator, 0.5 Mender, 1 Creel work</t>
  </si>
  <si>
    <t>For 1 M/c, 1 Operator, 1 Mender, 1 Creel work</t>
  </si>
  <si>
    <t>Already provided MHE for Pallet and Roll Handling</t>
  </si>
  <si>
    <t>Workload Distribution</t>
  </si>
  <si>
    <t>Centralize the Process control Team for all the section</t>
  </si>
  <si>
    <t>S.F</t>
  </si>
  <si>
    <t>H.F</t>
  </si>
  <si>
    <t>Utility (common)</t>
  </si>
  <si>
    <t>S.F. &amp; H.F. Common</t>
  </si>
  <si>
    <t>Share MP (As per Updated Prodn)</t>
  </si>
  <si>
    <t>MP by HO</t>
  </si>
  <si>
    <t>HODs Number</t>
  </si>
  <si>
    <t>Automation Require. Need time Line</t>
  </si>
  <si>
    <t>Jobber must be common from Tex</t>
  </si>
  <si>
    <t>Pc Rate</t>
  </si>
  <si>
    <t>Automation for DEO 3 and Fitter sharing with Heat set</t>
  </si>
  <si>
    <t>Automation for DEO 3</t>
  </si>
  <si>
    <t>6 Manpower Reduce from Yarn Clearance</t>
  </si>
  <si>
    <t>HF</t>
  </si>
  <si>
    <t>153</t>
  </si>
  <si>
    <t>20% to be Reduce</t>
  </si>
  <si>
    <t>Same as previous</t>
  </si>
  <si>
    <t>Automation</t>
  </si>
  <si>
    <t>8.1 Tufting</t>
  </si>
  <si>
    <t>BP 24-25 Act.</t>
  </si>
  <si>
    <t>Total Manpower Req. 25-26 (Finalized)</t>
  </si>
  <si>
    <t>M-tuff</t>
  </si>
  <si>
    <t>Q1</t>
  </si>
  <si>
    <t>Q2</t>
  </si>
  <si>
    <t>Q3</t>
  </si>
  <si>
    <t>Q4</t>
  </si>
  <si>
    <t>H1</t>
  </si>
  <si>
    <t>H2</t>
  </si>
  <si>
    <t>Act</t>
  </si>
  <si>
    <t>Exp</t>
  </si>
  <si>
    <t>Exp 24-25</t>
  </si>
  <si>
    <t>Prod</t>
  </si>
  <si>
    <t>Export - W2W</t>
  </si>
  <si>
    <t>Domestic - W2W</t>
  </si>
  <si>
    <t>Total - W2W</t>
  </si>
  <si>
    <t>Export - CT</t>
  </si>
  <si>
    <t>Domestic - CT</t>
  </si>
  <si>
    <t>Total - CT</t>
  </si>
  <si>
    <t>Export - AR</t>
  </si>
  <si>
    <t>Domestic - AR</t>
  </si>
  <si>
    <t>Total - AR</t>
  </si>
  <si>
    <t>Digital Print</t>
  </si>
  <si>
    <t>Chromojet Print</t>
  </si>
  <si>
    <t>Prod MT</t>
  </si>
  <si>
    <t>SPC M2'000</t>
  </si>
  <si>
    <t>SP010801</t>
  </si>
  <si>
    <t>SPC - Mixing</t>
  </si>
  <si>
    <t>SP010201</t>
  </si>
  <si>
    <t>SPC - Extruder,Flooring Sheet Line</t>
  </si>
  <si>
    <t>SP010301</t>
  </si>
  <si>
    <t xml:space="preserve">SPC UV Treatment Line </t>
  </si>
  <si>
    <t>SP010302</t>
  </si>
  <si>
    <t>SPC UV Treatment Line  Barberan</t>
  </si>
  <si>
    <t>SP010501</t>
  </si>
  <si>
    <t>SPC Cutting &amp; Profiling machine/Homag</t>
  </si>
  <si>
    <t>SPC Cutting &amp; Profiling machine/Hawk</t>
  </si>
  <si>
    <t>SPC- Dry Back (Wood Tech )</t>
  </si>
  <si>
    <t>SP010601</t>
  </si>
  <si>
    <t xml:space="preserve">SPC EVA /IXPE Backing </t>
  </si>
  <si>
    <t>SP011301</t>
  </si>
  <si>
    <t>SPC - Painted Bevel</t>
  </si>
  <si>
    <t>SP011001</t>
  </si>
  <si>
    <t>SPC Packing Line including Feeding line</t>
  </si>
  <si>
    <t>SP010701</t>
  </si>
  <si>
    <t>SPC Skirting Line</t>
  </si>
  <si>
    <t>SPC - Print Film Machine</t>
  </si>
  <si>
    <t>SPC - Auto Packing</t>
  </si>
  <si>
    <t>Manpower HC Details</t>
  </si>
  <si>
    <t>Staff</t>
  </si>
  <si>
    <t>Assosiate</t>
  </si>
  <si>
    <t>Manpower (Rs. In Cr.)</t>
  </si>
  <si>
    <t>M/C 1</t>
  </si>
  <si>
    <t>M/C 11</t>
  </si>
  <si>
    <t>M/C 3</t>
  </si>
  <si>
    <t>M/C 2</t>
  </si>
  <si>
    <t>M/C 4</t>
  </si>
  <si>
    <t>M/C 12</t>
  </si>
  <si>
    <t>M/C 14</t>
  </si>
  <si>
    <t>M/C 18</t>
  </si>
  <si>
    <t>M/C 5</t>
  </si>
  <si>
    <t>M/C 8</t>
  </si>
  <si>
    <t>M/C 10</t>
  </si>
  <si>
    <t>M/C 17</t>
  </si>
  <si>
    <t>M/C 16</t>
  </si>
  <si>
    <t>M/C 6</t>
  </si>
  <si>
    <t>M/C 9</t>
  </si>
  <si>
    <t>M/C 13</t>
  </si>
  <si>
    <t>M/C 15</t>
  </si>
  <si>
    <t>M/C 7</t>
  </si>
  <si>
    <t>3/8 Cut pile Shifter</t>
  </si>
  <si>
    <t>S.F.</t>
  </si>
  <si>
    <t>Common (Admin Security, Engg. Common, SCM Common)</t>
  </si>
  <si>
    <t>14 M/C (12+2)</t>
  </si>
  <si>
    <t>Updated BP Prodn (May-25)</t>
  </si>
  <si>
    <t>1 Shift</t>
  </si>
  <si>
    <t>Prodn</t>
  </si>
  <si>
    <t>HC</t>
  </si>
  <si>
    <t>sample</t>
  </si>
  <si>
    <t>D Mat</t>
  </si>
  <si>
    <t>5 M/C</t>
  </si>
  <si>
    <t>2 M/C for Sample</t>
  </si>
  <si>
    <t>3 Shift</t>
  </si>
  <si>
    <t>Cutting</t>
  </si>
  <si>
    <t>SQM/Month</t>
  </si>
  <si>
    <t>SQM/Day</t>
  </si>
  <si>
    <t>SQM/Pcs Conversion</t>
  </si>
  <si>
    <t>Pcs/Day</t>
  </si>
  <si>
    <t>Pcs/Month</t>
  </si>
  <si>
    <t>Slit Avg</t>
  </si>
  <si>
    <t>Current Area Rugs</t>
  </si>
  <si>
    <t>Current Bath Rugs</t>
  </si>
  <si>
    <t>JYSK Bath Rugs</t>
  </si>
  <si>
    <t>Wal Mart Bath Rugs</t>
  </si>
  <si>
    <t>Operation</t>
  </si>
  <si>
    <t>Product Type</t>
  </si>
  <si>
    <t>Req./Day</t>
  </si>
  <si>
    <t>M/C Req/Day</t>
  </si>
  <si>
    <t>M/C Requirement</t>
  </si>
  <si>
    <t>Table Cutting</t>
  </si>
  <si>
    <t>Shape Cutting M/C</t>
  </si>
  <si>
    <t>Bath Rugs (JYSK)</t>
  </si>
  <si>
    <t>Bath Rugs (Walmart)</t>
  </si>
  <si>
    <t>Shape Rugs and Alteration</t>
  </si>
  <si>
    <t>4 for dmart/Shape and 2 for alteration</t>
  </si>
  <si>
    <t>Combi - line</t>
  </si>
  <si>
    <t>Length Cutting Jobber</t>
  </si>
  <si>
    <t>Stitching Jobber</t>
  </si>
  <si>
    <t>Line Jobber</t>
  </si>
  <si>
    <t>Box Packing Jobber</t>
  </si>
  <si>
    <t>RRS Jobber</t>
  </si>
  <si>
    <t>RRS Reworker and Helper</t>
  </si>
  <si>
    <t>M/C operator</t>
  </si>
  <si>
    <t>Length Overedging 1</t>
  </si>
  <si>
    <t>Length Overedging 2</t>
  </si>
  <si>
    <t>Manual Cross Cutting</t>
  </si>
  <si>
    <t>Combi Line 1</t>
  </si>
  <si>
    <t>Combi Line 2</t>
  </si>
  <si>
    <t>Manual Overedging</t>
  </si>
  <si>
    <t xml:space="preserve">Packing Line </t>
  </si>
  <si>
    <t>Finishing</t>
  </si>
  <si>
    <t>Rolling/Folding</t>
  </si>
  <si>
    <t>Rework</t>
  </si>
  <si>
    <t>PC</t>
  </si>
  <si>
    <t>OPERATIONS</t>
  </si>
  <si>
    <t>Accessories Cutting</t>
  </si>
  <si>
    <t>Manpower (1.5 MP for M/c and 1 for Loading/Changeover)</t>
  </si>
  <si>
    <t>All</t>
  </si>
  <si>
    <t>Available</t>
  </si>
  <si>
    <t>Additional Req.</t>
  </si>
  <si>
    <t>BR</t>
  </si>
  <si>
    <t>HC/Day</t>
  </si>
  <si>
    <t>Avg/Day</t>
  </si>
  <si>
    <t>BP 2025-26</t>
  </si>
  <si>
    <t>Tile (1) and W2W (.7)</t>
  </si>
  <si>
    <t>NAPs</t>
  </si>
  <si>
    <t>CLM - MD</t>
  </si>
  <si>
    <t>CLM - PR</t>
  </si>
  <si>
    <t>Particulars</t>
  </si>
  <si>
    <t>Assosiates</t>
  </si>
  <si>
    <t>Nos.</t>
  </si>
  <si>
    <t>Mix %</t>
  </si>
  <si>
    <t>Amt. ( in Cr.)</t>
  </si>
  <si>
    <t>Rs. In Cr.</t>
  </si>
  <si>
    <t>Rate / HC</t>
  </si>
  <si>
    <t>Rs. /HC</t>
  </si>
  <si>
    <t>BP 26-27</t>
  </si>
  <si>
    <t>Act 25-26</t>
  </si>
  <si>
    <t>Contractor- MD</t>
  </si>
  <si>
    <t>Contractor- PR</t>
  </si>
  <si>
    <t>Net Sales (S.F) Cr.</t>
  </si>
  <si>
    <t>Net Sales (H.F) Cr.</t>
  </si>
  <si>
    <t>CLM-PR</t>
  </si>
  <si>
    <t>BP 25-26 (S.F.)</t>
  </si>
  <si>
    <t>BP 26-27 (S.F.)</t>
  </si>
  <si>
    <t>BP 25-26 (H.F.)</t>
  </si>
  <si>
    <t>BP 26-27 (H.F.)</t>
  </si>
  <si>
    <t>Average 2026-27</t>
  </si>
  <si>
    <t>Avg Prodn</t>
  </si>
  <si>
    <t>18 M/C</t>
  </si>
  <si>
    <t>1.75 Shift</t>
  </si>
  <si>
    <t>Total HC</t>
  </si>
  <si>
    <t>Soft Flooring</t>
  </si>
  <si>
    <t>Direct PPP Trends  BP 2025-26</t>
  </si>
  <si>
    <t>Direct PPP Trends  BP 2026-27</t>
  </si>
  <si>
    <t>Category</t>
  </si>
  <si>
    <t>Associate 80%</t>
  </si>
  <si>
    <t>CLM MD</t>
  </si>
  <si>
    <t>NAPS/CLM MD</t>
  </si>
  <si>
    <t>Associate 60%</t>
  </si>
  <si>
    <t>CLM/NAPs</t>
  </si>
  <si>
    <t>Hard Flooring</t>
  </si>
  <si>
    <t>Associate/NAPs</t>
  </si>
  <si>
    <t>Associate/Naps</t>
  </si>
  <si>
    <t>NAPS</t>
  </si>
  <si>
    <t>OK. If Extra Sample Add, will provide 3 HC Per Day</t>
  </si>
  <si>
    <t>SCM_Stores</t>
  </si>
  <si>
    <t>SCM_WH</t>
  </si>
  <si>
    <t>Common - Admin</t>
  </si>
  <si>
    <t>SIS</t>
  </si>
  <si>
    <t>ASO</t>
  </si>
  <si>
    <t>SAP weigh</t>
  </si>
  <si>
    <t>Mantra</t>
  </si>
  <si>
    <t>Vividh</t>
  </si>
  <si>
    <t>OHC/Ambulance Vivara/veeassure</t>
  </si>
  <si>
    <t>Genral Admin</t>
  </si>
  <si>
    <t>Kiartabad</t>
  </si>
  <si>
    <t>Scrap supervisor</t>
  </si>
  <si>
    <t>Central service</t>
  </si>
  <si>
    <t>Prism Hospitality</t>
  </si>
  <si>
    <t>IBS Hostel</t>
  </si>
  <si>
    <t>Plant &amp; Common area Forbes</t>
  </si>
  <si>
    <t>Veeassure</t>
  </si>
  <si>
    <t>PD</t>
  </si>
  <si>
    <t>Reception &amp; Courrier Services</t>
  </si>
  <si>
    <t>4 Associate, 3 NAPS</t>
  </si>
  <si>
    <t>4 Associate</t>
  </si>
  <si>
    <t>9 Associate</t>
  </si>
  <si>
    <t>148 CLM - MD, 9 Associate</t>
  </si>
  <si>
    <t>4 Associate, 2 NAPs</t>
  </si>
  <si>
    <t>Due to Business increases from 7500 to 9000 SQM</t>
  </si>
  <si>
    <t>M-Tuft</t>
  </si>
  <si>
    <t>PD Coating - Cutting</t>
  </si>
  <si>
    <t>PD Coating - Stitching</t>
  </si>
  <si>
    <t>PD Coating - Finishing</t>
  </si>
  <si>
    <t>Edge Beveling &amp; Helper</t>
  </si>
  <si>
    <t>Dispatch</t>
  </si>
  <si>
    <t>Production Catalogue Cutting</t>
  </si>
  <si>
    <t>Production Catalogue Pasting</t>
  </si>
  <si>
    <t>1 HC in Yarn, 1 in Tufting and 3 in M-Tuft</t>
  </si>
  <si>
    <t>2 Reduce in PPC, and 14 in Common Admin</t>
  </si>
  <si>
    <t>Consider 6 HC for TPR Line</t>
  </si>
  <si>
    <t>Max</t>
  </si>
  <si>
    <t>Min</t>
  </si>
  <si>
    <t>Prodution on High Output M/C increases</t>
  </si>
  <si>
    <t>2.33 Shift</t>
  </si>
  <si>
    <t>Sr</t>
  </si>
  <si>
    <t>PH date</t>
  </si>
  <si>
    <t>Day</t>
  </si>
  <si>
    <t>Heat setting</t>
  </si>
  <si>
    <t>Printing </t>
  </si>
  <si>
    <t>Ware house</t>
  </si>
  <si>
    <t>Support/Common</t>
  </si>
  <si>
    <t>Wednesday</t>
  </si>
  <si>
    <t>Yes</t>
  </si>
  <si>
    <t>10 Machines</t>
  </si>
  <si>
    <t>2-Machines</t>
  </si>
  <si>
    <t>No</t>
  </si>
  <si>
    <t>4 machines</t>
  </si>
  <si>
    <t>Chromojet &amp; Digital</t>
  </si>
  <si>
    <t>Only require dept</t>
  </si>
  <si>
    <t>Monday</t>
  </si>
  <si>
    <t>Friday</t>
  </si>
  <si>
    <t>Saturday</t>
  </si>
  <si>
    <t>Chromojet only</t>
  </si>
  <si>
    <t>Tuesday</t>
  </si>
  <si>
    <t>8 machines</t>
  </si>
  <si>
    <t>Sunday</t>
  </si>
  <si>
    <t xml:space="preserve">Common </t>
  </si>
  <si>
    <t>HS</t>
  </si>
  <si>
    <t>Color Fasness</t>
  </si>
  <si>
    <t>Chemical Testing</t>
  </si>
  <si>
    <t>Property Testing</t>
  </si>
  <si>
    <t>Forklift</t>
  </si>
  <si>
    <t>Tufting forklift &amp; Operator</t>
  </si>
  <si>
    <t>Tufting  SFG forklift &amp; Operator</t>
  </si>
  <si>
    <t>Overall</t>
  </si>
  <si>
    <t xml:space="preserve">Texturizing M/C and Denier Planning </t>
  </si>
  <si>
    <t>M/C</t>
  </si>
  <si>
    <t>Side</t>
  </si>
  <si>
    <t>Denier</t>
  </si>
  <si>
    <t>HC/Shift/Side</t>
  </si>
  <si>
    <t>B</t>
  </si>
  <si>
    <t>3/4 Sample</t>
  </si>
  <si>
    <t>FY 24-25</t>
  </si>
  <si>
    <t>FY 25-26</t>
  </si>
  <si>
    <t>Count Var</t>
  </si>
  <si>
    <t>PPP</t>
  </si>
  <si>
    <t>Contr</t>
  </si>
  <si>
    <t>FY 25 Vs FY 26</t>
  </si>
  <si>
    <t>EXP 25 Vs FY 26</t>
  </si>
  <si>
    <t>Direct Supporting</t>
  </si>
  <si>
    <t>Indirect Supporting</t>
  </si>
  <si>
    <t>Total Yarn</t>
  </si>
  <si>
    <t xml:space="preserve">Tufting &amp; Coating </t>
  </si>
  <si>
    <t>M2</t>
  </si>
  <si>
    <t>Total Tufting &amp; Coating</t>
  </si>
  <si>
    <t>Total Soft Flooring</t>
  </si>
  <si>
    <t>Print Flim</t>
  </si>
  <si>
    <t>SPC Total</t>
  </si>
  <si>
    <t>FY 26-27</t>
  </si>
  <si>
    <t>ype</t>
  </si>
  <si>
    <t>Function</t>
  </si>
  <si>
    <t>Head Count for 2026-2027</t>
  </si>
  <si>
    <t>HF Total</t>
  </si>
  <si>
    <t>SF</t>
  </si>
  <si>
    <t>Administration</t>
  </si>
  <si>
    <t>Compliance</t>
  </si>
  <si>
    <t>Cut and Sew</t>
  </si>
  <si>
    <t>Directors Office</t>
  </si>
  <si>
    <t>Finance and Accounts</t>
  </si>
  <si>
    <t>GET</t>
  </si>
  <si>
    <t>Human Capital and General Affairs</t>
  </si>
  <si>
    <t>Information Technology</t>
  </si>
  <si>
    <t>Operations</t>
  </si>
  <si>
    <t>Procurement</t>
  </si>
  <si>
    <t>Product Development</t>
  </si>
  <si>
    <t>Projects and BE</t>
  </si>
  <si>
    <t>Warehouse</t>
  </si>
  <si>
    <t>SF Total</t>
  </si>
  <si>
    <t>Act  25-26</t>
  </si>
  <si>
    <t>Kg</t>
  </si>
  <si>
    <t>Standard HC (Fix)</t>
  </si>
  <si>
    <t>1 OP 2 HL</t>
  </si>
  <si>
    <t>2 OP 2 HL</t>
  </si>
  <si>
    <t>Combiline</t>
  </si>
  <si>
    <t>2 OP 5 HL</t>
  </si>
  <si>
    <t>2 Cutter, 2 Marker, 4 Helper</t>
  </si>
  <si>
    <t>PR</t>
  </si>
  <si>
    <t>1 Tailor,.5 Helper</t>
  </si>
  <si>
    <t>1 Tailer</t>
  </si>
  <si>
    <t>Staff Will do it</t>
  </si>
  <si>
    <t>Jobber - Cutting</t>
  </si>
  <si>
    <t>Jobber - Stitching</t>
  </si>
  <si>
    <t>Jobber - Packing &amp; CT packing</t>
  </si>
  <si>
    <t>BP 25-26 Vs. 26-27</t>
  </si>
  <si>
    <t>PPP Var</t>
  </si>
  <si>
    <t>Note</t>
  </si>
  <si>
    <t>Multiply Overall</t>
  </si>
  <si>
    <t>Staff - Classification</t>
  </si>
  <si>
    <t>Values (Cr.)</t>
  </si>
  <si>
    <t>Variance BP 26-27 Vs. BP 25-26 (Aug)</t>
  </si>
  <si>
    <t>Variance BP 26-27 Vs. Act 25-26</t>
  </si>
  <si>
    <t>BP (Aug)</t>
  </si>
  <si>
    <t>Dispatch Value (Yearly)</t>
  </si>
  <si>
    <t>Dispatch Value (Monthly)</t>
  </si>
  <si>
    <t>Yearly Avg</t>
  </si>
  <si>
    <t>FY 26-27 Yearly Avg.</t>
  </si>
  <si>
    <t>26-27</t>
  </si>
  <si>
    <t>CLM PR</t>
  </si>
  <si>
    <t>Associate + NAPs + CLM</t>
  </si>
  <si>
    <t>Days</t>
  </si>
  <si>
    <t>6 Associate, 21 CLM-MD Converted to CLM-PR</t>
  </si>
  <si>
    <t>34 Associate, 27 NAPs, 3 CLM MD Converted to CLM-PR</t>
  </si>
  <si>
    <t>H.F.</t>
  </si>
  <si>
    <t>Variance BP 26-27 Vs. BP 25-26 (April)</t>
  </si>
  <si>
    <t>FY - BP 25-26</t>
  </si>
  <si>
    <t>SCM - Store</t>
  </si>
  <si>
    <t>SCM - Warehouse</t>
  </si>
  <si>
    <t>Security - SIS</t>
  </si>
  <si>
    <t>Security - ASO</t>
  </si>
  <si>
    <t>Security - SAP weigh</t>
  </si>
  <si>
    <t>Security - Mantra</t>
  </si>
  <si>
    <t>Horticulture - Vividh</t>
  </si>
  <si>
    <t>Fire &amp; Safety - OHC/Ambulance Vivara/veeassure</t>
  </si>
  <si>
    <t>Genral Admin - Reception &amp; Courrier Services</t>
  </si>
  <si>
    <t>Genral Admin - Kiartabad</t>
  </si>
  <si>
    <t>Genral Admin - Scrap supervisor</t>
  </si>
  <si>
    <t>Genral Admin - Central service</t>
  </si>
  <si>
    <t>Guest House - Prism Hospitality</t>
  </si>
  <si>
    <t>Housekeeping - IBS Hostel</t>
  </si>
  <si>
    <t>Housekeeping - Plant &amp; Common area Forbes</t>
  </si>
  <si>
    <t>Temple - Veeassure</t>
  </si>
  <si>
    <t>Transport - Veeassure</t>
  </si>
  <si>
    <t>Pass Section</t>
  </si>
  <si>
    <t xml:space="preserve">Plumber </t>
  </si>
  <si>
    <t>Cook</t>
  </si>
  <si>
    <t>Director's Residence</t>
  </si>
  <si>
    <t>Piece Rate Costing</t>
  </si>
  <si>
    <t xml:space="preserve">Expected Budget (as per HR @24,596) </t>
  </si>
  <si>
    <t>Expected Budget (as per Piece Rate)</t>
  </si>
  <si>
    <t>90 Min Doff - 480
180 min Doff - 300</t>
  </si>
  <si>
    <t>Multiskilling - POY 250 and 300 Denier Operator will be develop as multiskill for BCF and POY</t>
  </si>
  <si>
    <t>Actual</t>
  </si>
  <si>
    <t>Washing &amp; Dryer</t>
  </si>
  <si>
    <t>MD</t>
  </si>
  <si>
    <t>Pre-Treatment</t>
  </si>
  <si>
    <t>1 Associate, 1 NAPs, .5 MD</t>
  </si>
  <si>
    <t>2 Associate, 1 NAPs, .5 MD</t>
  </si>
  <si>
    <t>(1 Asso, 5 Naps, 1 CLM- MD)</t>
  </si>
  <si>
    <t>49 Associate, 24 NAPs &amp; 9 CLM-MD Converted to CLM-PR</t>
  </si>
  <si>
    <t>Gates Check, Weighing Scales Qty Check. Along with Shift and Location</t>
  </si>
  <si>
    <t>Area of Work, Plantation, Maintenance Frequency</t>
  </si>
  <si>
    <t>Need to check Activity</t>
  </si>
  <si>
    <t>Activity need to Check. Frequency also need to check</t>
  </si>
  <si>
    <t>Need to Bifercate</t>
  </si>
  <si>
    <t>9 Fireman (Need to Check the Area)
2 CMS
1 Pass Section
1 Plumber
1 Driver
1 Cook
2 Director's Res</t>
  </si>
  <si>
    <t>Can Provide 2 extra</t>
  </si>
  <si>
    <t>Yarn (All Section BCF, POY, Tex, PW, Multiply, Cabling, Heat Set, Rewinding)</t>
  </si>
  <si>
    <t>T&amp;C (Tufting, Printing, Coating)</t>
  </si>
  <si>
    <t>BP (1st Draft)</t>
  </si>
  <si>
    <t>BP (2nd Draft)</t>
  </si>
  <si>
    <t>1st Draft Comparision</t>
  </si>
  <si>
    <t>2nd Draft Comparison</t>
  </si>
  <si>
    <t>2.36 Shift</t>
  </si>
  <si>
    <t>2.72 Shift</t>
  </si>
  <si>
    <t>3/16 Cut</t>
  </si>
  <si>
    <t>3/8 Cut</t>
  </si>
  <si>
    <t>Second Draft</t>
  </si>
  <si>
    <t xml:space="preserve">B'Plan Requirement </t>
  </si>
  <si>
    <t>Available Capacity</t>
  </si>
  <si>
    <t>KPI</t>
  </si>
  <si>
    <t>Type of M/C</t>
  </si>
  <si>
    <t>No of M/C</t>
  </si>
  <si>
    <t>Yearly</t>
  </si>
  <si>
    <t>Shift can be Allocated</t>
  </si>
  <si>
    <t>Capacity/Day/M/c</t>
  </si>
  <si>
    <t>M/C requirement</t>
  </si>
  <si>
    <t>3/16 cut Shifter</t>
  </si>
  <si>
    <t>Capacity/Day/M/C</t>
  </si>
  <si>
    <t>Manpower Requirement</t>
  </si>
  <si>
    <t>Nos. of Machines</t>
  </si>
  <si>
    <t>Shift Available</t>
  </si>
  <si>
    <t>HC 1st Draft</t>
  </si>
  <si>
    <t>HC 2nd Draft</t>
  </si>
  <si>
    <t>BP (2nd V1 Draft)</t>
  </si>
  <si>
    <t>13 M/C</t>
  </si>
  <si>
    <t>11 Winder</t>
  </si>
  <si>
    <t>BP 25-26 Vs. BP 26-27</t>
  </si>
  <si>
    <t>Act 25-26 Vs. BP 26-27</t>
  </si>
  <si>
    <t>10 Winder</t>
  </si>
  <si>
    <t>Avg Daily Deployment</t>
  </si>
  <si>
    <t>Tufting (SQM)</t>
  </si>
  <si>
    <t>Inhouse (AR+W2W+CT)</t>
  </si>
  <si>
    <t>Production Planning (Yearly Avg.)</t>
  </si>
  <si>
    <t>Added 3 TQM for 1 Packing Line, 3 For Printing and 3 For CT</t>
  </si>
  <si>
    <t>BP 2026-27 (2nd V1 Draft)</t>
  </si>
  <si>
    <t xml:space="preserve">Winder Operator Utilized from POY. Multitasking </t>
  </si>
  <si>
    <t>               1,609</t>
  </si>
  <si>
    <t>                       1,642</t>
  </si>
  <si>
    <t>                     66</t>
  </si>
  <si>
    <t>                             66</t>
  </si>
  <si>
    <t>               1,675</t>
  </si>
  <si>
    <t>                       1,708</t>
  </si>
  <si>
    <t>HC 2nd V1 Draft</t>
  </si>
  <si>
    <t>BP 25-26 Vs. BP 26-27 (2nd V1 Draft)</t>
  </si>
  <si>
    <t>6 M/C</t>
  </si>
  <si>
    <t>15 M/C</t>
  </si>
  <si>
    <t>2 Shift</t>
  </si>
  <si>
    <t xml:space="preserve">PPP Trend </t>
  </si>
  <si>
    <t>System</t>
  </si>
  <si>
    <t>Act. Prodn (kg)</t>
  </si>
  <si>
    <t>Act. Cost (Rs.)</t>
  </si>
  <si>
    <t>Act. Rate (Rs./Kg)</t>
  </si>
  <si>
    <t>Act. HC (8 Hrs)</t>
  </si>
  <si>
    <t>Avg Sal (Rs.)</t>
  </si>
  <si>
    <t>Hybrid (Company+Contract)</t>
  </si>
  <si>
    <t>Avg.</t>
  </si>
  <si>
    <t>Company</t>
  </si>
  <si>
    <t>CSP - Packing</t>
  </si>
  <si>
    <t>Loading/Unloading</t>
  </si>
  <si>
    <t>Piece Rate</t>
  </si>
  <si>
    <t>Current Rate</t>
  </si>
  <si>
    <t>Rs./SQM</t>
  </si>
  <si>
    <t>Rs./Pcs</t>
  </si>
  <si>
    <t>Boiler (engg)</t>
  </si>
  <si>
    <t>CSP - All</t>
  </si>
  <si>
    <t>Texturzing</t>
  </si>
  <si>
    <t>Husk Feeding</t>
  </si>
  <si>
    <t>Rate Finalization</t>
  </si>
  <si>
    <t>Qty BP 26-27</t>
  </si>
  <si>
    <t>CSP Packing AR</t>
  </si>
  <si>
    <t>CSP Packing BR</t>
  </si>
  <si>
    <t>Saving Per Annum</t>
  </si>
  <si>
    <t>Saving Per Annum (Cr.)</t>
  </si>
  <si>
    <t>Rs./Kg</t>
  </si>
  <si>
    <t>Rs./Mtr</t>
  </si>
  <si>
    <t>Mtr</t>
  </si>
  <si>
    <t>3rd Draft</t>
  </si>
  <si>
    <t>Total Days in Years</t>
  </si>
  <si>
    <t>Days for Maintenance</t>
  </si>
  <si>
    <t>Sampling</t>
  </si>
  <si>
    <t>No days</t>
  </si>
  <si>
    <t>Process</t>
  </si>
  <si>
    <t>Fila</t>
  </si>
  <si>
    <t>Ply</t>
  </si>
  <si>
    <t>F Den</t>
  </si>
  <si>
    <t>Mix</t>
  </si>
  <si>
    <t>Utili %</t>
  </si>
  <si>
    <t>Eff%</t>
  </si>
  <si>
    <t>No of Winder</t>
  </si>
  <si>
    <t>Production Requirement</t>
  </si>
  <si>
    <t>12 Winder we considered for sample</t>
  </si>
  <si>
    <t>Winder Utilisation</t>
  </si>
  <si>
    <t>Idle Spindles 3%</t>
  </si>
  <si>
    <t>No of Machine</t>
  </si>
  <si>
    <t>Winder Per M/c</t>
  </si>
  <si>
    <t xml:space="preserve">Total Winder </t>
  </si>
  <si>
    <t>Production Requirement/day</t>
  </si>
  <si>
    <t>ST</t>
  </si>
  <si>
    <t>TF</t>
  </si>
  <si>
    <t>Idle Spindle</t>
  </si>
  <si>
    <t>Per Kg/out put</t>
  </si>
  <si>
    <t>Total Production/Hr</t>
  </si>
  <si>
    <t>T- Put</t>
  </si>
  <si>
    <t>Shade Change</t>
  </si>
  <si>
    <t>Chan Over time</t>
  </si>
  <si>
    <t>Eff Loss</t>
  </si>
  <si>
    <t>Net Eff</t>
  </si>
  <si>
    <t>Prod/day/MT</t>
  </si>
  <si>
    <t>Requirment</t>
  </si>
  <si>
    <t>M-1</t>
  </si>
  <si>
    <t>M-2</t>
  </si>
  <si>
    <t>Requirment Per day</t>
  </si>
  <si>
    <t>Sum of Tufting Prod</t>
  </si>
  <si>
    <t>Sum of Req /days</t>
  </si>
  <si>
    <t>Avg SPI</t>
  </si>
  <si>
    <t>Sum of Apr-25</t>
  </si>
  <si>
    <t>Sum of May-25</t>
  </si>
  <si>
    <t>Sum of Jun-25</t>
  </si>
  <si>
    <t>Sum of Jul-25</t>
  </si>
  <si>
    <t>Sum of Aug-25</t>
  </si>
  <si>
    <t>Sum of Sep-25</t>
  </si>
  <si>
    <t>Sum of Oct-25</t>
  </si>
  <si>
    <t>Sum of Nov-25</t>
  </si>
  <si>
    <t>Sum of Dec-25</t>
  </si>
  <si>
    <t>Sum of Jan-26</t>
  </si>
  <si>
    <t>Sum of Feb-26</t>
  </si>
  <si>
    <t>Sum of Mar-26</t>
  </si>
  <si>
    <t>Sum of FY26</t>
  </si>
  <si>
    <t>Avilable Days</t>
  </si>
  <si>
    <t>Sample days</t>
  </si>
  <si>
    <t>Total Days</t>
  </si>
  <si>
    <t>Avg Creel Change Per M/c</t>
  </si>
  <si>
    <t>No Of M/c</t>
  </si>
  <si>
    <t>Req Time</t>
  </si>
  <si>
    <t>Requir Days</t>
  </si>
  <si>
    <t>Daily capacity L.Mtr</t>
  </si>
  <si>
    <t>Month Prodn Sq Mtr</t>
  </si>
  <si>
    <t>PA Prodn M2</t>
  </si>
  <si>
    <t>Load</t>
  </si>
  <si>
    <t>Utli %</t>
  </si>
  <si>
    <t>FY26</t>
  </si>
  <si>
    <t>Product</t>
  </si>
  <si>
    <t>Req Prod</t>
  </si>
  <si>
    <t>Yearly prod M2</t>
  </si>
  <si>
    <t>Sec Coating</t>
  </si>
  <si>
    <t>WTW Pre Coat</t>
  </si>
  <si>
    <t xml:space="preserve">Total </t>
  </si>
  <si>
    <t>yearly Prod M2</t>
  </si>
  <si>
    <t>CT Prod</t>
  </si>
  <si>
    <t>Util</t>
  </si>
  <si>
    <t>Utilisation %</t>
  </si>
  <si>
    <t xml:space="preserve">Chromojet </t>
  </si>
  <si>
    <t>Cap %</t>
  </si>
  <si>
    <t>Production/day</t>
  </si>
  <si>
    <t>Digittal Print</t>
  </si>
  <si>
    <t>Tufting machine TYPE</t>
  </si>
  <si>
    <t>Machine Name</t>
  </si>
  <si>
    <t>Utiliz</t>
  </si>
  <si>
    <t>Effi</t>
  </si>
  <si>
    <t xml:space="preserve">1/8 Cut </t>
  </si>
  <si>
    <t>1/10 cut</t>
  </si>
  <si>
    <t>1/10 loop inf.</t>
  </si>
  <si>
    <t>1/8 cut</t>
  </si>
  <si>
    <t xml:space="preserve">1/10 LOOP PILE </t>
  </si>
  <si>
    <t>3/8 Cut Pile MT</t>
  </si>
  <si>
    <t>1/8 mlcl</t>
  </si>
  <si>
    <t>1/10 Loop Inf.</t>
  </si>
  <si>
    <t>3/8 CUT PILE</t>
  </si>
  <si>
    <t>1/8 CUT 5M</t>
  </si>
  <si>
    <t>1/10 Loop MT</t>
  </si>
  <si>
    <t>1/10 LOOP MC-11</t>
  </si>
  <si>
    <t>1/10 loop pile</t>
  </si>
  <si>
    <t>3/16 cut pile</t>
  </si>
  <si>
    <t>TR</t>
  </si>
  <si>
    <t xml:space="preserve">3/8 cut </t>
  </si>
  <si>
    <t>TUFT2114</t>
  </si>
  <si>
    <t>TUFT2104</t>
  </si>
  <si>
    <t>TUFT2106</t>
  </si>
  <si>
    <t>TUFT2105</t>
  </si>
  <si>
    <t>TUFT2103</t>
  </si>
  <si>
    <t>TUFT2111</t>
  </si>
  <si>
    <t>1/12 loop inf.</t>
  </si>
  <si>
    <t>1/12 LOOP INF</t>
  </si>
  <si>
    <t>1/10 LOOP INF</t>
  </si>
  <si>
    <t>Qty</t>
  </si>
  <si>
    <t>F. Den</t>
  </si>
  <si>
    <t>Available M/C</t>
  </si>
  <si>
    <t>Available Spindles</t>
  </si>
  <si>
    <t>Req.  Spindles</t>
  </si>
  <si>
    <t>HC Deployed/M/C</t>
  </si>
  <si>
    <t>Total HC Req. /Shift</t>
  </si>
  <si>
    <t>Line</t>
  </si>
  <si>
    <t>Ends</t>
  </si>
  <si>
    <t>1 M/C ~ 6 Spindle (Ends) = 1 Opt ~ 7.5 Spindles (Ends)</t>
  </si>
  <si>
    <t>Tri color</t>
  </si>
  <si>
    <t>2 HC/Shift</t>
  </si>
  <si>
    <t>Mono 1</t>
  </si>
  <si>
    <t>1 HC/Shift</t>
  </si>
  <si>
    <t>Mono 2</t>
  </si>
  <si>
    <t>Mono 3</t>
  </si>
  <si>
    <t>Mono 4</t>
  </si>
  <si>
    <t>Mono 5</t>
  </si>
  <si>
    <t>Mono 6</t>
  </si>
  <si>
    <t>BI Component</t>
  </si>
  <si>
    <t>Available Line</t>
  </si>
  <si>
    <t>1 M/C ~ 24 Spindles (Ends) = 1 Opt ~48 Spindles</t>
  </si>
  <si>
    <t>P1</t>
  </si>
  <si>
    <t>P2</t>
  </si>
  <si>
    <t>P3</t>
  </si>
  <si>
    <t>P4</t>
  </si>
  <si>
    <t>P5</t>
  </si>
  <si>
    <t>P6</t>
  </si>
  <si>
    <t>P7</t>
  </si>
  <si>
    <t>P8</t>
  </si>
  <si>
    <t>P9</t>
  </si>
  <si>
    <t>P10</t>
  </si>
  <si>
    <t>P11</t>
  </si>
  <si>
    <t>P12</t>
  </si>
  <si>
    <t>250/144 - 1 Opt - 48 Ends
480 - 1 Opt - 48 Ends</t>
  </si>
  <si>
    <t>P13</t>
  </si>
  <si>
    <t>HC / M.C</t>
  </si>
  <si>
    <t>1 M/C ~ 204 Spindles = 1 Opt ~ 80 Spindles</t>
  </si>
  <si>
    <t>1 M/C ~ 44 Spindle = 1 Opt. ~ 22 Spindle</t>
  </si>
  <si>
    <t>1 M/C ~ 176 Spndl. = 1 Opt. ~ 176 Spindle</t>
  </si>
  <si>
    <t>1 M/C ~ 84 Spindles = 1 Opt ~ 21 Spindle</t>
  </si>
  <si>
    <t>1 M/C ~ 72 Spindles = 1 Opt ~ 18 Spindle</t>
  </si>
  <si>
    <t>1 M/C ~ 126 Spindle = 1 Opt ~84 Spindles</t>
  </si>
  <si>
    <t>1 M/C ~ 144 Spindle = 1 Opt ~144 Spindles</t>
  </si>
  <si>
    <t>1 M/C ~ 44 Spindle = 1 Opt ~9 Spindles</t>
  </si>
  <si>
    <t>1 M/C ~ 104 Spindle = 1 Opt ~ 70 Spindles</t>
  </si>
  <si>
    <t>Capacity/machine</t>
  </si>
  <si>
    <t>Total HC Req. /Day</t>
  </si>
  <si>
    <t>Has considered decimal value equal to or below .3 for ROUNDUP at MP/day</t>
  </si>
  <si>
    <t>Standard formula will be followed from here onwards</t>
  </si>
  <si>
    <t>shift</t>
  </si>
  <si>
    <t>0-0.33</t>
  </si>
  <si>
    <t>0.34-0.66</t>
  </si>
  <si>
    <t>0.67-1.00</t>
  </si>
  <si>
    <t>N_Machines_Reqd</t>
  </si>
  <si>
    <t>MP/Machine</t>
  </si>
  <si>
    <t>Total_MP/Month</t>
  </si>
  <si>
    <t>x&lt;0.35</t>
  </si>
  <si>
    <t>0-1.34</t>
  </si>
  <si>
    <t>Fixed</t>
  </si>
  <si>
    <t>Create a table from the references</t>
  </si>
  <si>
    <t>As it is fixed. No changes required</t>
  </si>
  <si>
    <t>sqmt/month</t>
  </si>
  <si>
    <t>sqmt/day</t>
  </si>
  <si>
    <t>Avail_mc</t>
  </si>
  <si>
    <t>Cap/mc</t>
  </si>
  <si>
    <t>mp/mc</t>
  </si>
  <si>
    <t>reqd mc</t>
  </si>
  <si>
    <t>Apr'26</t>
  </si>
  <si>
    <t>1200/600</t>
  </si>
  <si>
    <t>3400/1800</t>
  </si>
  <si>
    <t>3600/1300</t>
  </si>
  <si>
    <t>reqd mp/day</t>
  </si>
  <si>
    <t>fixed</t>
  </si>
  <si>
    <t>May'26</t>
  </si>
  <si>
    <t>MP/Day</t>
  </si>
  <si>
    <t>Jun'26</t>
  </si>
  <si>
    <t>Jul'26</t>
  </si>
  <si>
    <t>Aug'26</t>
  </si>
  <si>
    <t>Sep'26</t>
  </si>
  <si>
    <t>Oct'26</t>
  </si>
  <si>
    <t>Nov'26</t>
  </si>
  <si>
    <t>Dec'26</t>
  </si>
  <si>
    <t>Jan'27</t>
  </si>
  <si>
    <t>Feb'27</t>
  </si>
  <si>
    <t>Mar'27</t>
  </si>
  <si>
    <t>Packing Line Considered 3 no. instead of 4 no.</t>
  </si>
  <si>
    <t>Location</t>
  </si>
  <si>
    <t>Business</t>
  </si>
  <si>
    <t>Sr_No</t>
  </si>
  <si>
    <t>Dept_Machine_Name</t>
  </si>
  <si>
    <t>Designation</t>
  </si>
  <si>
    <t>Machine_Count</t>
  </si>
  <si>
    <t>Manpower_Base_Qty</t>
  </si>
  <si>
    <t>W</t>
  </si>
  <si>
    <t>Workload</t>
  </si>
  <si>
    <t>Formulas</t>
  </si>
  <si>
    <t>BE_Scientific_Manpower</t>
  </si>
  <si>
    <t>Operator_Type</t>
  </si>
  <si>
    <t>Contractors</t>
  </si>
  <si>
    <t>Company_Associate</t>
  </si>
  <si>
    <t>BE_Final_Manpower</t>
  </si>
  <si>
    <t>General_Shift</t>
  </si>
  <si>
    <t>Shift_A</t>
  </si>
  <si>
    <t>Shift_B</t>
  </si>
  <si>
    <t>Shift_C</t>
  </si>
  <si>
    <t>Reliever</t>
  </si>
  <si>
    <t>Hyderabad</t>
  </si>
  <si>
    <t>Flooring</t>
  </si>
  <si>
    <t>0.8 operators/machine - 2.5 winders/operator (2 winders/machine)</t>
  </si>
  <si>
    <t>0.5 operator/machine</t>
  </si>
  <si>
    <t>2.5625 operator/machine</t>
  </si>
  <si>
    <t>2 operator/machine</t>
  </si>
  <si>
    <t>4 operator/machine</t>
  </si>
  <si>
    <t>1 operator/machine</t>
  </si>
  <si>
    <t>9 operator/machine</t>
  </si>
  <si>
    <t>Printing-Chromojet</t>
  </si>
  <si>
    <t>Printing-Digital</t>
  </si>
  <si>
    <t>6 operator/machine</t>
  </si>
  <si>
    <t>Sample Machine</t>
  </si>
  <si>
    <t>Carpet Tiles</t>
  </si>
  <si>
    <t>21 operator/machine</t>
  </si>
  <si>
    <t>10 operator/machine</t>
  </si>
  <si>
    <t>Reqd_MC</t>
  </si>
  <si>
    <t>Available_MC</t>
  </si>
  <si>
    <t>Capacity/Day</t>
  </si>
  <si>
    <t>BP/Month</t>
  </si>
  <si>
    <t>BP/Day</t>
  </si>
  <si>
    <t>Capacity/MC</t>
  </si>
  <si>
    <t>N_shifts</t>
  </si>
  <si>
    <t>Printing-Digitial</t>
  </si>
  <si>
    <t>Coating - Carpet Tiles</t>
  </si>
  <si>
    <t>Coating - W2W</t>
  </si>
  <si>
    <t>kgs</t>
  </si>
  <si>
    <t>sqm</t>
  </si>
  <si>
    <t>Units</t>
  </si>
  <si>
    <t>Here first logic is only applied</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</si>
</sst>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44" formatCode="_ &quot;₹&quot;\ * #,##0.00_ ;_ &quot;₹&quot;\ * \-#,##0.00_ ;_ &quot;₹&quot;\ * &quot;-&quot;??_ ;_ @_ "/>
    <numFmt numFmtId="43" formatCode="_ * #,##0.00_ ;_ * \-#,##0.00_ ;_ * &quot;-&quot;??_ ;_ @_ "/>
    <numFmt numFmtId="164" formatCode="_ * #,##0_ ;_ * \-#,##0_ ;_ * &quot;-&quot;??_ ;_ @_ "/>
    <numFmt numFmtId="165" formatCode="0.0"/>
    <numFmt numFmtId="166" formatCode="[$-409]mmm\-yy;@"/>
    <numFmt numFmtId="167" formatCode="_(* #,##0_);_(* \(#,##0\);_(* &quot;-&quot;??_);_(@_)"/>
    <numFmt numFmtId="168" formatCode="_-* #,##0.00_-;\-* #,##0.00_-;_-* &quot;-&quot;??_-;_-@_-"/>
    <numFmt numFmtId="169" formatCode="0.0000"/>
    <numFmt numFmtId="170" formatCode="0.000"/>
    <numFmt numFmtId="171" formatCode="0.0%"/>
    <numFmt numFmtId="172" formatCode="_ * #,##0.000_ ;_ * \-#,##0.000_ ;_ * &quot;-&quot;??_ ;_ @_ "/>
    <numFmt numFmtId="173" formatCode="_ * #,##0.0_ ;_ * \-#,##0.0_ ;_ * &quot;-&quot;??_ ;_ @_ "/>
    <numFmt numFmtId="174" formatCode="_(* #,##0.00_);_(* \(#,##0.00\);_(* &quot;-&quot;??_);_(@_)"/>
    <numFmt numFmtId="175" formatCode="_-* #,##0_-;\-* #,##0_-;_-* &quot;-&quot;??_-;_-@_-"/>
    <numFmt numFmtId="176" formatCode="_ * #,##0.0000_ ;_ * \-#,##0.0000_ ;_ * &quot;-&quot;??_ ;_ @_ "/>
    <numFmt numFmtId="177" formatCode="#,##0.0"/>
  </numFmts>
  <fonts count="57">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2"/>
      <color rgb="FF000000"/>
      <name val="Calibri"/>
      <family val="2"/>
      <scheme val="minor"/>
    </font>
    <font>
      <sz val="11"/>
      <name val="Calibri"/>
      <family val="2"/>
      <scheme val="minor"/>
    </font>
    <font>
      <sz val="11"/>
      <color rgb="FF000000"/>
      <name val="Calibri"/>
      <family val="2"/>
      <scheme val="minor"/>
    </font>
    <font>
      <sz val="11"/>
      <color rgb="FFFFFFFF"/>
      <name val="Calibri"/>
      <family val="2"/>
      <scheme val="minor"/>
    </font>
    <font>
      <b/>
      <sz val="9"/>
      <color indexed="81"/>
      <name val="Tahoma"/>
      <family val="2"/>
    </font>
    <font>
      <sz val="9"/>
      <color indexed="81"/>
      <name val="Tahoma"/>
      <family val="2"/>
    </font>
    <font>
      <b/>
      <sz val="14"/>
      <color theme="1"/>
      <name val="Calibri"/>
      <family val="2"/>
      <scheme val="minor"/>
    </font>
    <font>
      <b/>
      <sz val="20"/>
      <color theme="1"/>
      <name val="Calibri"/>
      <family val="2"/>
      <scheme val="minor"/>
    </font>
    <font>
      <sz val="10"/>
      <color theme="1"/>
      <name val="Calibri"/>
      <family val="2"/>
      <scheme val="minor"/>
    </font>
    <font>
      <sz val="11"/>
      <color rgb="FFC00000"/>
      <name val="Calibri"/>
      <family val="2"/>
      <scheme val="minor"/>
    </font>
    <font>
      <b/>
      <sz val="11"/>
      <color rgb="FF000000"/>
      <name val="Calibri"/>
      <family val="2"/>
      <scheme val="minor"/>
    </font>
    <font>
      <sz val="11"/>
      <color theme="4" tint="-0.249977111117893"/>
      <name val="Calibri"/>
      <family val="2"/>
      <scheme val="minor"/>
    </font>
    <font>
      <sz val="12"/>
      <color rgb="FF000000"/>
      <name val="Calibri"/>
      <family val="2"/>
    </font>
    <font>
      <sz val="11"/>
      <color rgb="FF000000"/>
      <name val="Calibri"/>
      <family val="2"/>
    </font>
    <font>
      <sz val="10"/>
      <color rgb="FF000000"/>
      <name val="Calibri"/>
      <family val="2"/>
    </font>
    <font>
      <sz val="10"/>
      <name val="Calibri"/>
      <family val="2"/>
    </font>
    <font>
      <b/>
      <sz val="12"/>
      <color rgb="FF000000"/>
      <name val="Calibri"/>
      <family val="2"/>
      <scheme val="minor"/>
    </font>
    <font>
      <b/>
      <sz val="11"/>
      <name val="Calibri"/>
      <family val="2"/>
      <scheme val="minor"/>
    </font>
    <font>
      <b/>
      <sz val="10"/>
      <color theme="1"/>
      <name val="Calibri"/>
      <family val="2"/>
      <scheme val="minor"/>
    </font>
    <font>
      <b/>
      <sz val="10"/>
      <color theme="0"/>
      <name val="Calibri"/>
      <family val="2"/>
      <scheme val="minor"/>
    </font>
    <font>
      <b/>
      <sz val="8.5"/>
      <color theme="0"/>
      <name val="Calibri"/>
      <family val="2"/>
      <scheme val="minor"/>
    </font>
    <font>
      <b/>
      <sz val="12"/>
      <color theme="1"/>
      <name val="Calibri"/>
      <family val="2"/>
      <scheme val="minor"/>
    </font>
    <font>
      <b/>
      <sz val="8.5"/>
      <color rgb="FFFF0000"/>
      <name val="Calibri"/>
      <family val="2"/>
      <scheme val="minor"/>
    </font>
    <font>
      <b/>
      <sz val="10"/>
      <color rgb="FFFF0000"/>
      <name val="Calibri"/>
      <family val="2"/>
      <scheme val="minor"/>
    </font>
    <font>
      <b/>
      <sz val="8.5"/>
      <color theme="1"/>
      <name val="Calibri"/>
      <family val="2"/>
      <scheme val="minor"/>
    </font>
    <font>
      <b/>
      <sz val="8.5"/>
      <color indexed="8"/>
      <name val="Calibri"/>
      <family val="2"/>
      <scheme val="minor"/>
    </font>
    <font>
      <sz val="10"/>
      <color indexed="8"/>
      <name val="Calibri"/>
      <family val="2"/>
      <scheme val="minor"/>
    </font>
    <font>
      <sz val="8.5"/>
      <color theme="1"/>
      <name val="Calibri"/>
      <family val="2"/>
      <scheme val="minor"/>
    </font>
    <font>
      <sz val="8.5"/>
      <color indexed="8"/>
      <name val="Calibri"/>
      <family val="2"/>
      <scheme val="minor"/>
    </font>
    <font>
      <sz val="8.5"/>
      <name val="Calibri"/>
      <family val="2"/>
      <scheme val="minor"/>
    </font>
    <font>
      <b/>
      <sz val="8.5"/>
      <name val="Calibri"/>
      <family val="2"/>
      <scheme val="minor"/>
    </font>
    <font>
      <b/>
      <sz val="8.5"/>
      <color theme="1" tint="4.9989318521683403E-2"/>
      <name val="Calibri"/>
      <family val="2"/>
      <scheme val="minor"/>
    </font>
    <font>
      <sz val="8.5"/>
      <color rgb="FF000000"/>
      <name val="Calibri"/>
      <family val="2"/>
      <scheme val="minor"/>
    </font>
    <font>
      <b/>
      <sz val="8.5"/>
      <color rgb="FF000000"/>
      <name val="Calibri"/>
      <family val="2"/>
      <scheme val="minor"/>
    </font>
    <font>
      <sz val="10"/>
      <color theme="0"/>
      <name val="Calibri"/>
      <family val="2"/>
      <scheme val="minor"/>
    </font>
    <font>
      <sz val="10"/>
      <color theme="1" tint="4.9989318521683403E-2"/>
      <name val="Calibri"/>
      <family val="2"/>
      <scheme val="minor"/>
    </font>
    <font>
      <sz val="8.5"/>
      <color theme="0"/>
      <name val="Calibri"/>
      <family val="2"/>
      <scheme val="minor"/>
    </font>
    <font>
      <b/>
      <sz val="9"/>
      <color theme="0"/>
      <name val="Calibri"/>
      <family val="2"/>
      <scheme val="minor"/>
    </font>
    <font>
      <b/>
      <sz val="12"/>
      <color rgb="FF000000"/>
      <name val="Inherit"/>
    </font>
    <font>
      <b/>
      <sz val="12"/>
      <color rgb="FFFFFFFF"/>
      <name val="Inherit"/>
    </font>
    <font>
      <sz val="11"/>
      <name val="Times New Roman"/>
      <family val="1"/>
    </font>
    <font>
      <b/>
      <sz val="11"/>
      <name val="Times New Roman"/>
      <family val="1"/>
    </font>
    <font>
      <sz val="10"/>
      <name val="Arial"/>
      <family val="2"/>
    </font>
    <font>
      <sz val="11"/>
      <color theme="0"/>
      <name val="Times New Roman"/>
      <family val="1"/>
    </font>
    <font>
      <b/>
      <sz val="11"/>
      <color theme="0"/>
      <name val="Times New Roman"/>
      <family val="1"/>
    </font>
    <font>
      <sz val="10"/>
      <name val="Calibri"/>
      <family val="2"/>
      <scheme val="minor"/>
    </font>
    <font>
      <sz val="10"/>
      <color indexed="81"/>
      <name val="Tahoma"/>
      <family val="2"/>
    </font>
    <font>
      <b/>
      <sz val="10"/>
      <color indexed="81"/>
      <name val="Tahoma"/>
      <family val="2"/>
    </font>
    <font>
      <sz val="7"/>
      <color theme="1"/>
      <name val="Segoe UI"/>
      <family val="2"/>
    </font>
    <font>
      <b/>
      <sz val="10"/>
      <color indexed="81"/>
      <name val="Tahoma"/>
      <charset val="1"/>
    </font>
    <font>
      <sz val="10"/>
      <color indexed="81"/>
      <name val="Tahoma"/>
      <charset val="1"/>
    </font>
  </fonts>
  <fills count="50">
    <fill>
      <patternFill patternType="none"/>
    </fill>
    <fill>
      <patternFill patternType="gray125"/>
    </fill>
    <fill>
      <patternFill patternType="solid">
        <fgColor rgb="FF002060"/>
        <bgColor indexed="64"/>
      </patternFill>
    </fill>
    <fill>
      <patternFill patternType="solid">
        <fgColor theme="7" tint="0.59999389629810485"/>
        <bgColor indexed="64"/>
      </patternFill>
    </fill>
    <fill>
      <patternFill patternType="solid">
        <fgColor rgb="FFFFFF00"/>
        <bgColor rgb="FF000000"/>
      </patternFill>
    </fill>
    <fill>
      <patternFill patternType="solid">
        <fgColor rgb="FF0033CC"/>
        <bgColor rgb="FF000000"/>
      </patternFill>
    </fill>
    <fill>
      <patternFill patternType="solid">
        <fgColor rgb="FF0033CC"/>
        <bgColor indexed="64"/>
      </patternFill>
    </fill>
    <fill>
      <patternFill patternType="solid">
        <fgColor rgb="FF0000CC"/>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0044CC"/>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4"/>
        <bgColor theme="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CCFF33"/>
        <bgColor indexed="64"/>
      </patternFill>
    </fill>
    <fill>
      <patternFill patternType="solid">
        <fgColor theme="9" tint="0.79998168889431442"/>
        <bgColor indexed="64"/>
      </patternFill>
    </fill>
    <fill>
      <patternFill patternType="solid">
        <fgColor rgb="FF00B0F0"/>
        <bgColor indexed="64"/>
      </patternFill>
    </fill>
    <fill>
      <patternFill patternType="solid">
        <fgColor theme="3"/>
        <bgColor indexed="64"/>
      </patternFill>
    </fill>
    <fill>
      <patternFill patternType="solid">
        <fgColor theme="4"/>
        <bgColor indexed="64"/>
      </patternFill>
    </fill>
    <fill>
      <patternFill patternType="solid">
        <fgColor theme="4" tint="0.79998168889431442"/>
        <bgColor indexed="64"/>
      </patternFill>
    </fill>
    <fill>
      <patternFill patternType="solid">
        <fgColor rgb="FF66FF33"/>
        <bgColor indexed="64"/>
      </patternFill>
    </fill>
    <fill>
      <patternFill patternType="solid">
        <fgColor rgb="FF99FF66"/>
        <bgColor indexed="64"/>
      </patternFill>
    </fill>
    <fill>
      <patternFill patternType="solid">
        <fgColor theme="5" tint="0.59999389629810485"/>
        <bgColor indexed="64"/>
      </patternFill>
    </fill>
    <fill>
      <patternFill patternType="solid">
        <fgColor rgb="FFCCECFF"/>
        <bgColor indexed="64"/>
      </patternFill>
    </fill>
    <fill>
      <patternFill patternType="solid">
        <fgColor rgb="FF6699FF"/>
        <bgColor indexed="64"/>
      </patternFill>
    </fill>
    <fill>
      <patternFill patternType="solid">
        <fgColor theme="6" tint="0.39997558519241921"/>
        <bgColor indexed="64"/>
      </patternFill>
    </fill>
    <fill>
      <patternFill patternType="solid">
        <fgColor theme="8"/>
        <bgColor indexed="64"/>
      </patternFill>
    </fill>
    <fill>
      <patternFill patternType="solid">
        <fgColor theme="6" tint="0.79998168889431442"/>
        <bgColor indexed="64"/>
      </patternFill>
    </fill>
    <fill>
      <patternFill patternType="solid">
        <fgColor theme="2"/>
        <bgColor indexed="64"/>
      </patternFill>
    </fill>
    <fill>
      <patternFill patternType="solid">
        <fgColor theme="7" tint="0.39997558519241921"/>
        <bgColor indexed="64"/>
      </patternFill>
    </fill>
    <fill>
      <patternFill patternType="solid">
        <fgColor theme="4" tint="-0.499984740745262"/>
        <bgColor indexed="64"/>
      </patternFill>
    </fill>
    <fill>
      <patternFill patternType="solid">
        <fgColor rgb="FF0000FF"/>
        <bgColor indexed="64"/>
      </patternFill>
    </fill>
    <fill>
      <patternFill patternType="solid">
        <fgColor rgb="FFFF0000"/>
        <bgColor indexed="64"/>
      </patternFill>
    </fill>
    <fill>
      <patternFill patternType="solid">
        <fgColor theme="8" tint="-0.249977111117893"/>
        <bgColor indexed="64"/>
      </patternFill>
    </fill>
    <fill>
      <patternFill patternType="solid">
        <fgColor rgb="FF4472C4"/>
        <bgColor indexed="64"/>
      </patternFill>
    </fill>
    <fill>
      <patternFill patternType="solid">
        <fgColor rgb="FF305496"/>
        <bgColor indexed="64"/>
      </patternFill>
    </fill>
    <fill>
      <patternFill patternType="solid">
        <fgColor theme="4" tint="-0.249977111117893"/>
        <bgColor indexed="64"/>
      </patternFill>
    </fill>
    <fill>
      <patternFill patternType="solid">
        <fgColor theme="5"/>
        <bgColor indexed="64"/>
      </patternFill>
    </fill>
    <fill>
      <patternFill patternType="solid">
        <fgColor rgb="FF003399"/>
        <bgColor indexed="64"/>
      </patternFill>
    </fill>
    <fill>
      <patternFill patternType="solid">
        <fgColor theme="0" tint="-0.249977111117893"/>
        <bgColor indexed="64"/>
      </patternFill>
    </fill>
    <fill>
      <patternFill patternType="solid">
        <fgColor rgb="FF00B050"/>
        <bgColor indexed="64"/>
      </patternFill>
    </fill>
    <fill>
      <patternFill patternType="solid">
        <fgColor theme="4" tint="0.79998168889431442"/>
        <bgColor theme="4" tint="0.79998168889431442"/>
      </patternFill>
    </fill>
  </fills>
  <borders count="106">
    <border>
      <left/>
      <right/>
      <top/>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thin">
        <color auto="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indexed="64"/>
      </left>
      <right style="thin">
        <color indexed="64"/>
      </right>
      <top style="medium">
        <color indexed="64"/>
      </top>
      <bottom style="medium">
        <color indexed="64"/>
      </bottom>
      <diagonal/>
    </border>
    <border>
      <left style="hair">
        <color indexed="64"/>
      </left>
      <right style="hair">
        <color indexed="64"/>
      </right>
      <top/>
      <bottom/>
      <diagonal/>
    </border>
    <border>
      <left/>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right/>
      <top/>
      <bottom style="thin">
        <color theme="1"/>
      </bottom>
      <diagonal/>
    </border>
    <border>
      <left style="thin">
        <color indexed="64"/>
      </left>
      <right/>
      <top style="thin">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thin">
        <color auto="1"/>
      </left>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top style="thin">
        <color auto="1"/>
      </top>
      <bottom style="medium">
        <color indexed="64"/>
      </bottom>
      <diagonal/>
    </border>
    <border>
      <left/>
      <right style="thin">
        <color indexed="64"/>
      </right>
      <top/>
      <bottom style="thin">
        <color indexed="64"/>
      </bottom>
      <diagonal/>
    </border>
    <border>
      <left style="thin">
        <color auto="1"/>
      </left>
      <right/>
      <top/>
      <bottom style="thin">
        <color auto="1"/>
      </bottom>
      <diagonal/>
    </border>
    <border>
      <left style="medium">
        <color indexed="64"/>
      </left>
      <right style="medium">
        <color indexed="64"/>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theme="1"/>
      </left>
      <right/>
      <top/>
      <bottom/>
      <diagonal/>
    </border>
    <border>
      <left style="thin">
        <color auto="1"/>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bottom/>
      <diagonal/>
    </border>
    <border>
      <left/>
      <right style="thin">
        <color auto="1"/>
      </right>
      <top/>
      <bottom style="medium">
        <color indexed="64"/>
      </bottom>
      <diagonal/>
    </border>
    <border>
      <left style="thin">
        <color indexed="64"/>
      </left>
      <right style="thin">
        <color indexed="64"/>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style="thin">
        <color theme="1"/>
      </right>
      <top style="thin">
        <color theme="1"/>
      </top>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auto="1"/>
      </left>
      <right/>
      <top/>
      <bottom style="medium">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bottom/>
      <diagonal/>
    </border>
    <border>
      <left style="hair">
        <color auto="1"/>
      </left>
      <right/>
      <top/>
      <bottom/>
      <diagonal/>
    </border>
    <border>
      <left style="hair">
        <color indexed="64"/>
      </left>
      <right style="medium">
        <color indexed="64"/>
      </right>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top/>
      <bottom style="medium">
        <color indexed="64"/>
      </bottom>
      <diagonal/>
    </border>
    <border>
      <left style="hair">
        <color indexed="64"/>
      </left>
      <right style="medium">
        <color indexed="64"/>
      </right>
      <top/>
      <bottom style="medium">
        <color indexed="64"/>
      </bottom>
      <diagonal/>
    </border>
    <border>
      <left style="medium">
        <color indexed="64"/>
      </left>
      <right/>
      <top style="medium">
        <color indexed="64"/>
      </top>
      <bottom/>
      <diagonal/>
    </border>
    <border>
      <left style="thin">
        <color indexed="64"/>
      </left>
      <right style="hair">
        <color indexed="64"/>
      </right>
      <top style="medium">
        <color indexed="64"/>
      </top>
      <bottom/>
      <diagonal/>
    </border>
    <border>
      <left style="hair">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style="hair">
        <color auto="1"/>
      </right>
      <top/>
      <bottom/>
      <diagonal/>
    </border>
    <border>
      <left style="hair">
        <color auto="1"/>
      </left>
      <right style="thin">
        <color auto="1"/>
      </right>
      <top/>
      <bottom/>
      <diagonal/>
    </border>
    <border>
      <left/>
      <right style="medium">
        <color indexed="64"/>
      </right>
      <top/>
      <bottom/>
      <diagonal/>
    </border>
    <border>
      <left style="thin">
        <color indexed="64"/>
      </left>
      <right style="hair">
        <color indexed="64"/>
      </right>
      <top/>
      <bottom style="medium">
        <color indexed="64"/>
      </bottom>
      <diagonal/>
    </border>
    <border>
      <left style="hair">
        <color indexed="64"/>
      </left>
      <right style="thin">
        <color indexed="64"/>
      </right>
      <top/>
      <bottom style="medium">
        <color indexed="64"/>
      </bottom>
      <diagonal/>
    </border>
    <border>
      <left/>
      <right style="hair">
        <color indexed="64"/>
      </right>
      <top/>
      <bottom style="medium">
        <color indexed="64"/>
      </bottom>
      <diagonal/>
    </border>
    <border>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indexed="64"/>
      </right>
      <top style="thin">
        <color indexed="64"/>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indexed="64"/>
      </left>
      <right/>
      <top/>
      <bottom style="thin">
        <color indexed="64"/>
      </bottom>
      <diagonal/>
    </border>
    <border>
      <left style="hair">
        <color auto="1"/>
      </left>
      <right style="thin">
        <color auto="1"/>
      </right>
      <top/>
      <bottom style="thin">
        <color auto="1"/>
      </bottom>
      <diagonal/>
    </border>
    <border>
      <left/>
      <right style="hair">
        <color indexed="64"/>
      </right>
      <top style="thin">
        <color indexed="64"/>
      </top>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style="thin">
        <color theme="0"/>
      </left>
      <right/>
      <top style="thin">
        <color theme="4" tint="0.39997558519241921"/>
      </top>
      <bottom/>
      <diagonal/>
    </border>
    <border>
      <left style="thin">
        <color theme="0"/>
      </left>
      <right style="thin">
        <color theme="4" tint="0.39997558519241921"/>
      </right>
      <top style="thin">
        <color theme="4" tint="0.39997558519241921"/>
      </top>
      <bottom/>
      <diagonal/>
    </border>
    <border>
      <left style="thin">
        <color auto="1"/>
      </left>
      <right/>
      <top style="thin">
        <color theme="4" tint="0.39997558519241921"/>
      </top>
      <bottom/>
      <diagonal/>
    </border>
  </borders>
  <cellStyleXfs count="15">
    <xf numFmtId="0" fontId="0" fillId="0" borderId="0"/>
    <xf numFmtId="43" fontId="1" fillId="0" borderId="0" applyFont="0" applyFill="0" applyBorder="0" applyAlignment="0" applyProtection="0"/>
    <xf numFmtId="9"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74" fontId="1" fillId="0" borderId="0" applyFont="0" applyFill="0" applyBorder="0" applyAlignment="0" applyProtection="0"/>
    <xf numFmtId="0" fontId="46" fillId="0" borderId="0"/>
    <xf numFmtId="9" fontId="48" fillId="0" borderId="0" applyFont="0" applyFill="0" applyBorder="0" applyAlignment="0" applyProtection="0"/>
    <xf numFmtId="174" fontId="46" fillId="0" borderId="0" applyFont="0" applyFill="0" applyBorder="0" applyAlignment="0" applyProtection="0"/>
    <xf numFmtId="43" fontId="1" fillId="0" borderId="0" applyFont="0" applyFill="0" applyBorder="0" applyAlignment="0" applyProtection="0"/>
    <xf numFmtId="0" fontId="1" fillId="0" borderId="0"/>
    <xf numFmtId="44" fontId="1" fillId="0" borderId="0" applyFont="0" applyFill="0" applyBorder="0" applyAlignment="0" applyProtection="0"/>
  </cellStyleXfs>
  <cellXfs count="1550">
    <xf numFmtId="0" fontId="0" fillId="0" borderId="0" xfId="0"/>
    <xf numFmtId="0" fontId="2" fillId="2" borderId="1" xfId="0" applyFont="1" applyFill="1" applyBorder="1" applyAlignment="1">
      <alignment horizontal="center" vertical="center" wrapText="1"/>
    </xf>
    <xf numFmtId="0" fontId="0" fillId="0" borderId="0" xfId="0" applyAlignment="1">
      <alignment horizontal="center" vertical="center"/>
    </xf>
    <xf numFmtId="0" fontId="0" fillId="0" borderId="1" xfId="0" applyFill="1" applyBorder="1" applyAlignment="1"/>
    <xf numFmtId="0" fontId="0" fillId="0" borderId="1" xfId="0" applyBorder="1" applyAlignment="1">
      <alignment horizontal="center" vertical="center"/>
    </xf>
    <xf numFmtId="17" fontId="0" fillId="0" borderId="1" xfId="0" applyNumberFormat="1" applyBorder="1" applyAlignment="1">
      <alignment horizontal="center" vertical="center"/>
    </xf>
    <xf numFmtId="2" fontId="0" fillId="0" borderId="1" xfId="0" applyNumberFormat="1" applyBorder="1" applyAlignment="1">
      <alignment horizontal="center" vertical="center"/>
    </xf>
    <xf numFmtId="0" fontId="6" fillId="0" borderId="1" xfId="0" applyFont="1" applyFill="1" applyBorder="1" applyAlignment="1">
      <alignment horizontal="center" vertical="center"/>
    </xf>
    <xf numFmtId="9" fontId="0" fillId="0" borderId="1" xfId="2" applyFont="1" applyBorder="1" applyAlignment="1">
      <alignment horizontal="center" vertical="center"/>
    </xf>
    <xf numFmtId="164" fontId="0" fillId="0" borderId="1" xfId="1" applyNumberFormat="1" applyFont="1" applyBorder="1" applyAlignment="1">
      <alignment horizontal="center" vertical="center"/>
    </xf>
    <xf numFmtId="164" fontId="0" fillId="0" borderId="1" xfId="1" applyNumberFormat="1" applyFont="1" applyBorder="1"/>
    <xf numFmtId="10" fontId="7" fillId="3" borderId="1" xfId="2" applyNumberFormat="1" applyFont="1" applyFill="1" applyBorder="1"/>
    <xf numFmtId="2" fontId="0" fillId="0" borderId="1" xfId="0" applyNumberFormat="1" applyBorder="1"/>
    <xf numFmtId="0" fontId="0" fillId="0" borderId="1" xfId="0" applyBorder="1"/>
    <xf numFmtId="0" fontId="0" fillId="0" borderId="0" xfId="0" applyFill="1" applyBorder="1" applyAlignment="1"/>
    <xf numFmtId="0" fontId="0" fillId="0" borderId="0" xfId="0" applyBorder="1" applyAlignment="1">
      <alignment horizontal="center" vertical="center"/>
    </xf>
    <xf numFmtId="0" fontId="6" fillId="0" borderId="0" xfId="0" applyFont="1" applyFill="1" applyBorder="1" applyAlignment="1">
      <alignment horizontal="center" vertical="center"/>
    </xf>
    <xf numFmtId="9" fontId="0" fillId="0" borderId="0" xfId="2" applyFont="1" applyBorder="1" applyAlignment="1">
      <alignment horizontal="center" vertical="center"/>
    </xf>
    <xf numFmtId="164" fontId="0" fillId="0" borderId="0" xfId="1" applyNumberFormat="1" applyFont="1" applyBorder="1" applyAlignment="1">
      <alignment horizontal="center" vertical="center"/>
    </xf>
    <xf numFmtId="164" fontId="0" fillId="0" borderId="0" xfId="1" applyNumberFormat="1" applyFont="1"/>
    <xf numFmtId="10" fontId="7" fillId="3" borderId="0" xfId="2" applyNumberFormat="1" applyFont="1" applyFill="1" applyBorder="1"/>
    <xf numFmtId="2" fontId="0" fillId="0" borderId="0" xfId="0" applyNumberFormat="1" applyBorder="1"/>
    <xf numFmtId="0" fontId="0" fillId="0" borderId="0" xfId="0" applyBorder="1"/>
    <xf numFmtId="0" fontId="0" fillId="0" borderId="2" xfId="0" applyBorder="1" applyAlignment="1"/>
    <xf numFmtId="0" fontId="0" fillId="0" borderId="2" xfId="0" applyBorder="1" applyAlignment="1">
      <alignment horizontal="center" vertical="center"/>
    </xf>
    <xf numFmtId="0" fontId="0" fillId="0" borderId="2" xfId="0" applyBorder="1" applyAlignment="1">
      <alignment horizontal="center"/>
    </xf>
    <xf numFmtId="9" fontId="0" fillId="0" borderId="2" xfId="2" applyFont="1" applyBorder="1" applyAlignment="1">
      <alignment horizontal="center"/>
    </xf>
    <xf numFmtId="164" fontId="0" fillId="0" borderId="2" xfId="1" applyNumberFormat="1" applyFont="1" applyBorder="1"/>
    <xf numFmtId="10" fontId="7" fillId="3" borderId="2" xfId="2" applyNumberFormat="1" applyFont="1" applyFill="1" applyBorder="1"/>
    <xf numFmtId="2" fontId="0" fillId="0" borderId="2" xfId="0" applyNumberFormat="1" applyBorder="1"/>
    <xf numFmtId="0" fontId="0" fillId="0" borderId="2" xfId="0" applyBorder="1"/>
    <xf numFmtId="164" fontId="4" fillId="0" borderId="2" xfId="1" applyNumberFormat="1" applyFont="1" applyBorder="1"/>
    <xf numFmtId="0" fontId="0" fillId="0" borderId="1" xfId="0" applyBorder="1" applyAlignment="1"/>
    <xf numFmtId="0" fontId="0" fillId="0" borderId="1" xfId="0" applyBorder="1" applyAlignment="1">
      <alignment horizontal="center"/>
    </xf>
    <xf numFmtId="9" fontId="0" fillId="0" borderId="1" xfId="2" applyFont="1" applyBorder="1" applyAlignment="1">
      <alignment horizontal="center"/>
    </xf>
    <xf numFmtId="10" fontId="7" fillId="3" borderId="3" xfId="2" applyNumberFormat="1" applyFont="1" applyFill="1" applyBorder="1"/>
    <xf numFmtId="1" fontId="0" fillId="0" borderId="2" xfId="0" applyNumberFormat="1" applyBorder="1"/>
    <xf numFmtId="0" fontId="0" fillId="0" borderId="4" xfId="0" applyBorder="1"/>
    <xf numFmtId="1" fontId="0" fillId="0" borderId="1" xfId="0" applyNumberFormat="1" applyBorder="1"/>
    <xf numFmtId="164" fontId="0" fillId="0" borderId="0" xfId="0" applyNumberFormat="1"/>
    <xf numFmtId="1" fontId="0" fillId="0" borderId="0" xfId="0" applyNumberFormat="1"/>
    <xf numFmtId="43" fontId="0" fillId="0" borderId="0" xfId="0" applyNumberFormat="1"/>
    <xf numFmtId="9" fontId="0" fillId="0" borderId="1" xfId="0" applyNumberFormat="1" applyBorder="1"/>
    <xf numFmtId="164" fontId="0" fillId="0" borderId="1" xfId="0" applyNumberFormat="1" applyBorder="1"/>
    <xf numFmtId="2" fontId="0" fillId="0" borderId="0" xfId="0" applyNumberFormat="1"/>
    <xf numFmtId="0" fontId="0" fillId="0" borderId="1" xfId="0" applyFill="1" applyBorder="1"/>
    <xf numFmtId="3" fontId="0" fillId="0" borderId="0" xfId="0" applyNumberFormat="1"/>
    <xf numFmtId="3" fontId="0" fillId="0" borderId="1" xfId="0" applyNumberFormat="1" applyBorder="1"/>
    <xf numFmtId="165" fontId="0" fillId="0" borderId="1" xfId="0" applyNumberFormat="1" applyBorder="1"/>
    <xf numFmtId="9" fontId="8" fillId="0" borderId="1" xfId="0" applyNumberFormat="1" applyFont="1" applyBorder="1" applyAlignment="1">
      <alignment horizontal="center"/>
    </xf>
    <xf numFmtId="0" fontId="8" fillId="0" borderId="1" xfId="0" applyFont="1" applyBorder="1" applyAlignment="1">
      <alignment horizontal="center"/>
    </xf>
    <xf numFmtId="0" fontId="7" fillId="0" borderId="1" xfId="0" applyFont="1" applyBorder="1" applyAlignment="1">
      <alignment horizontal="left" vertical="top"/>
    </xf>
    <xf numFmtId="1" fontId="8" fillId="0" borderId="1" xfId="0" applyNumberFormat="1" applyFont="1" applyBorder="1" applyAlignment="1">
      <alignment horizontal="center"/>
    </xf>
    <xf numFmtId="1" fontId="8" fillId="0" borderId="5" xfId="0" applyNumberFormat="1" applyFont="1" applyBorder="1"/>
    <xf numFmtId="2" fontId="8" fillId="0" borderId="1" xfId="0" applyNumberFormat="1" applyFont="1" applyBorder="1" applyAlignment="1">
      <alignment horizontal="center"/>
    </xf>
    <xf numFmtId="0" fontId="8" fillId="0" borderId="0" xfId="0" applyFont="1"/>
    <xf numFmtId="3" fontId="8" fillId="0" borderId="1" xfId="0" applyNumberFormat="1" applyFont="1" applyBorder="1" applyAlignment="1">
      <alignment horizontal="center"/>
    </xf>
    <xf numFmtId="1" fontId="8" fillId="4" borderId="1" xfId="0" applyNumberFormat="1" applyFont="1" applyFill="1" applyBorder="1" applyAlignment="1">
      <alignment horizontal="center"/>
    </xf>
    <xf numFmtId="0" fontId="9" fillId="5" borderId="7" xfId="0" applyFont="1" applyFill="1" applyBorder="1"/>
    <xf numFmtId="0" fontId="8" fillId="0" borderId="6" xfId="0" applyFont="1" applyBorder="1"/>
    <xf numFmtId="9" fontId="8" fillId="0" borderId="6" xfId="0" applyNumberFormat="1" applyFont="1" applyBorder="1"/>
    <xf numFmtId="3" fontId="8" fillId="0" borderId="6" xfId="0" applyNumberFormat="1" applyFont="1" applyBorder="1"/>
    <xf numFmtId="10" fontId="0" fillId="0" borderId="0" xfId="0" applyNumberFormat="1"/>
    <xf numFmtId="0" fontId="5"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0" fillId="0" borderId="0" xfId="0" applyFont="1" applyAlignment="1">
      <alignment horizontal="center" vertical="center"/>
    </xf>
    <xf numFmtId="166" fontId="2" fillId="7" borderId="7" xfId="0" applyNumberFormat="1" applyFont="1" applyFill="1" applyBorder="1" applyAlignment="1">
      <alignment horizontal="center" vertical="center" wrapText="1"/>
    </xf>
    <xf numFmtId="0" fontId="0" fillId="0" borderId="1" xfId="0" applyFont="1" applyFill="1" applyBorder="1" applyAlignment="1">
      <alignment horizontal="center" vertical="center"/>
    </xf>
    <xf numFmtId="0" fontId="0" fillId="0" borderId="1" xfId="0" applyFont="1" applyFill="1" applyBorder="1" applyAlignment="1">
      <alignment horizontal="center"/>
    </xf>
    <xf numFmtId="0" fontId="0" fillId="0" borderId="1" xfId="0" applyFont="1" applyFill="1" applyBorder="1" applyAlignment="1"/>
    <xf numFmtId="9" fontId="0" fillId="0" borderId="1" xfId="2" applyFont="1" applyFill="1" applyBorder="1" applyAlignment="1">
      <alignment horizontal="center"/>
    </xf>
    <xf numFmtId="4" fontId="0" fillId="0" borderId="1" xfId="0" applyNumberFormat="1" applyFont="1" applyFill="1" applyBorder="1" applyAlignment="1">
      <alignment horizontal="center"/>
    </xf>
    <xf numFmtId="167" fontId="0" fillId="0" borderId="1" xfId="1" applyNumberFormat="1" applyFont="1" applyFill="1" applyBorder="1" applyAlignment="1">
      <alignment horizontal="center"/>
    </xf>
    <xf numFmtId="167" fontId="0" fillId="0" borderId="6" xfId="1" applyNumberFormat="1" applyFont="1" applyBorder="1"/>
    <xf numFmtId="1" fontId="0" fillId="0" borderId="0" xfId="0" applyNumberFormat="1" applyAlignment="1">
      <alignment horizontal="right" vertical="center"/>
    </xf>
    <xf numFmtId="0" fontId="0" fillId="0" borderId="1" xfId="0" applyFont="1" applyFill="1" applyBorder="1" applyAlignment="1">
      <alignment horizontal="left"/>
    </xf>
    <xf numFmtId="164" fontId="0" fillId="0" borderId="6" xfId="1" applyNumberFormat="1" applyFont="1" applyBorder="1"/>
    <xf numFmtId="0" fontId="0" fillId="8" borderId="1" xfId="0" applyFont="1" applyFill="1" applyBorder="1" applyAlignment="1">
      <alignment horizontal="left"/>
    </xf>
    <xf numFmtId="0" fontId="0" fillId="8" borderId="1" xfId="0" applyFont="1" applyFill="1" applyBorder="1" applyAlignment="1">
      <alignment horizontal="center"/>
    </xf>
    <xf numFmtId="0" fontId="0" fillId="8" borderId="1" xfId="0" applyFont="1" applyFill="1" applyBorder="1" applyAlignment="1"/>
    <xf numFmtId="9" fontId="0" fillId="8" borderId="1" xfId="2" applyFont="1" applyFill="1" applyBorder="1" applyAlignment="1">
      <alignment horizontal="center"/>
    </xf>
    <xf numFmtId="4" fontId="0" fillId="8" borderId="1" xfId="0" applyNumberFormat="1" applyFont="1" applyFill="1" applyBorder="1" applyAlignment="1">
      <alignment horizontal="center"/>
    </xf>
    <xf numFmtId="167" fontId="0" fillId="8" borderId="1" xfId="1" applyNumberFormat="1" applyFont="1" applyFill="1" applyBorder="1" applyAlignment="1">
      <alignment horizontal="center"/>
    </xf>
    <xf numFmtId="167" fontId="0" fillId="8" borderId="6" xfId="1" applyNumberFormat="1" applyFont="1" applyFill="1" applyBorder="1"/>
    <xf numFmtId="167" fontId="0" fillId="9" borderId="1" xfId="1" applyNumberFormat="1" applyFont="1" applyFill="1" applyBorder="1" applyAlignment="1">
      <alignment horizontal="center"/>
    </xf>
    <xf numFmtId="0" fontId="0" fillId="9" borderId="1" xfId="0" applyFont="1" applyFill="1" applyBorder="1" applyAlignment="1">
      <alignment horizontal="center"/>
    </xf>
    <xf numFmtId="4" fontId="0" fillId="9" borderId="1" xfId="0" applyNumberFormat="1" applyFont="1" applyFill="1" applyBorder="1" applyAlignment="1">
      <alignment horizontal="center"/>
    </xf>
    <xf numFmtId="168" fontId="0" fillId="0" borderId="6" xfId="1" applyNumberFormat="1" applyFont="1" applyBorder="1"/>
    <xf numFmtId="2" fontId="4" fillId="0" borderId="0" xfId="0" applyNumberFormat="1" applyFont="1"/>
    <xf numFmtId="0" fontId="12" fillId="0" borderId="1" xfId="0" applyFont="1" applyBorder="1"/>
    <xf numFmtId="9" fontId="4" fillId="0" borderId="1" xfId="2" applyFont="1" applyBorder="1" applyAlignment="1">
      <alignment horizontal="center" vertical="center"/>
    </xf>
    <xf numFmtId="3" fontId="4" fillId="0" borderId="1" xfId="2" applyNumberFormat="1" applyFont="1" applyBorder="1" applyAlignment="1">
      <alignment horizontal="center" vertical="center"/>
    </xf>
    <xf numFmtId="0" fontId="4" fillId="0" borderId="1" xfId="0" applyFont="1" applyBorder="1" applyAlignment="1">
      <alignment horizontal="center" vertical="center"/>
    </xf>
    <xf numFmtId="1" fontId="4" fillId="0" borderId="1" xfId="0" applyNumberFormat="1" applyFont="1" applyBorder="1" applyAlignment="1">
      <alignment horizontal="center" vertical="center"/>
    </xf>
    <xf numFmtId="167" fontId="4" fillId="0" borderId="1" xfId="1" applyNumberFormat="1" applyFont="1" applyBorder="1" applyAlignment="1">
      <alignment horizontal="center" vertical="center"/>
    </xf>
    <xf numFmtId="167" fontId="4" fillId="0" borderId="1" xfId="3" applyNumberFormat="1" applyFont="1" applyBorder="1" applyAlignment="1">
      <alignment horizontal="center" vertical="center"/>
    </xf>
    <xf numFmtId="164" fontId="4" fillId="0" borderId="0" xfId="0" applyNumberFormat="1" applyFont="1"/>
    <xf numFmtId="167" fontId="0" fillId="0" borderId="0" xfId="0" applyNumberFormat="1"/>
    <xf numFmtId="0" fontId="4" fillId="0" borderId="2" xfId="0" applyFont="1" applyBorder="1" applyAlignment="1">
      <alignment horizontal="left"/>
    </xf>
    <xf numFmtId="0" fontId="0" fillId="0" borderId="0" xfId="0" applyFill="1"/>
    <xf numFmtId="0" fontId="0" fillId="0" borderId="2" xfId="0" applyBorder="1" applyAlignment="1">
      <alignment horizontal="left"/>
    </xf>
    <xf numFmtId="0" fontId="4" fillId="0" borderId="2" xfId="0" applyFont="1" applyBorder="1"/>
    <xf numFmtId="9" fontId="4" fillId="0" borderId="2" xfId="0" applyNumberFormat="1" applyFont="1" applyBorder="1"/>
    <xf numFmtId="0" fontId="0" fillId="0" borderId="9" xfId="0" applyBorder="1"/>
    <xf numFmtId="0" fontId="4" fillId="0" borderId="2" xfId="0" applyFont="1" applyBorder="1" applyAlignment="1">
      <alignment horizontal="center" vertical="center" wrapText="1"/>
    </xf>
    <xf numFmtId="0" fontId="4" fillId="0" borderId="2" xfId="0" applyFont="1" applyFill="1" applyBorder="1" applyAlignment="1">
      <alignment horizontal="center" vertical="center" wrapText="1"/>
    </xf>
    <xf numFmtId="0" fontId="0" fillId="0" borderId="2" xfId="0" applyFont="1" applyFill="1" applyBorder="1" applyAlignment="1">
      <alignment horizontal="left" vertical="center"/>
    </xf>
    <xf numFmtId="1" fontId="0" fillId="0" borderId="2" xfId="0" applyNumberFormat="1" applyFont="1" applyFill="1" applyBorder="1" applyAlignment="1">
      <alignment horizontal="center" vertical="center"/>
    </xf>
    <xf numFmtId="1" fontId="0" fillId="0" borderId="2" xfId="0" applyNumberFormat="1" applyBorder="1" applyAlignment="1">
      <alignment horizontal="center" vertical="center"/>
    </xf>
    <xf numFmtId="2" fontId="0" fillId="0" borderId="2" xfId="0" applyNumberFormat="1" applyBorder="1" applyAlignment="1">
      <alignment horizontal="center" vertical="center"/>
    </xf>
    <xf numFmtId="0" fontId="0" fillId="0" borderId="2" xfId="0" applyFill="1" applyBorder="1" applyAlignment="1">
      <alignment horizontal="center" vertical="center"/>
    </xf>
    <xf numFmtId="0" fontId="0" fillId="0" borderId="2" xfId="0" applyFont="1" applyFill="1" applyBorder="1" applyAlignment="1">
      <alignment horizontal="left" vertical="center" wrapText="1"/>
    </xf>
    <xf numFmtId="1" fontId="4" fillId="0" borderId="2" xfId="0" applyNumberFormat="1" applyFont="1" applyFill="1" applyBorder="1" applyAlignment="1">
      <alignment horizontal="center" vertical="center"/>
    </xf>
    <xf numFmtId="169" fontId="0" fillId="0" borderId="2" xfId="0" applyNumberFormat="1" applyBorder="1" applyAlignment="1">
      <alignment horizontal="center" vertical="center"/>
    </xf>
    <xf numFmtId="0" fontId="0" fillId="10" borderId="2" xfId="0" applyFill="1" applyBorder="1" applyAlignment="1">
      <alignment horizontal="center" vertical="center"/>
    </xf>
    <xf numFmtId="0" fontId="0" fillId="0" borderId="2" xfId="0" applyFont="1" applyFill="1" applyBorder="1" applyAlignment="1">
      <alignment horizontal="left"/>
    </xf>
    <xf numFmtId="0" fontId="0" fillId="0" borderId="2" xfId="0" applyFont="1" applyFill="1" applyBorder="1" applyAlignment="1">
      <alignment horizontal="left" wrapText="1"/>
    </xf>
    <xf numFmtId="0" fontId="0" fillId="0" borderId="11" xfId="0" applyBorder="1"/>
    <xf numFmtId="0" fontId="0" fillId="0" borderId="2" xfId="0" applyFill="1" applyBorder="1"/>
    <xf numFmtId="0" fontId="0" fillId="0" borderId="11" xfId="0" applyFill="1" applyBorder="1"/>
    <xf numFmtId="165" fontId="0" fillId="0" borderId="11" xfId="0" applyNumberFormat="1" applyFill="1" applyBorder="1" applyAlignment="1">
      <alignment horizontal="center" vertical="center"/>
    </xf>
    <xf numFmtId="165" fontId="0" fillId="12" borderId="2" xfId="0" applyNumberFormat="1" applyFill="1" applyBorder="1" applyAlignment="1">
      <alignment horizontal="center" vertical="center"/>
    </xf>
    <xf numFmtId="165" fontId="0" fillId="0" borderId="2" xfId="0" applyNumberFormat="1" applyFill="1" applyBorder="1" applyAlignment="1">
      <alignment horizontal="center" vertical="center"/>
    </xf>
    <xf numFmtId="165" fontId="4" fillId="12" borderId="2" xfId="0" applyNumberFormat="1" applyFont="1" applyFill="1" applyBorder="1" applyAlignment="1">
      <alignment horizontal="center" vertical="center"/>
    </xf>
    <xf numFmtId="0" fontId="13" fillId="0" borderId="0" xfId="0" applyFont="1" applyBorder="1" applyAlignment="1"/>
    <xf numFmtId="165" fontId="0" fillId="0" borderId="0" xfId="0" applyNumberFormat="1" applyFill="1" applyAlignment="1">
      <alignment horizontal="center" vertical="center"/>
    </xf>
    <xf numFmtId="17" fontId="0" fillId="0" borderId="0" xfId="0" applyNumberFormat="1"/>
    <xf numFmtId="165" fontId="0" fillId="0" borderId="0" xfId="0" applyNumberFormat="1"/>
    <xf numFmtId="0" fontId="4" fillId="0" borderId="2" xfId="0" applyFont="1" applyFill="1" applyBorder="1"/>
    <xf numFmtId="0" fontId="0" fillId="0" borderId="0" xfId="0" applyFill="1" applyBorder="1"/>
    <xf numFmtId="0" fontId="4" fillId="0" borderId="1" xfId="0" applyFont="1" applyBorder="1" applyAlignment="1">
      <alignment horizontal="left" vertical="center"/>
    </xf>
    <xf numFmtId="0" fontId="4" fillId="0" borderId="1" xfId="0" applyFont="1" applyBorder="1"/>
    <xf numFmtId="0" fontId="4" fillId="0" borderId="1" xfId="0" applyFont="1" applyFill="1" applyBorder="1"/>
    <xf numFmtId="1" fontId="0" fillId="0" borderId="1" xfId="0" applyNumberFormat="1" applyFill="1" applyBorder="1"/>
    <xf numFmtId="0" fontId="4" fillId="0" borderId="1" xfId="0" applyFont="1" applyBorder="1" applyAlignment="1"/>
    <xf numFmtId="2" fontId="4" fillId="0" borderId="1" xfId="0" applyNumberFormat="1" applyFont="1" applyBorder="1" applyAlignment="1">
      <alignment vertical="center"/>
    </xf>
    <xf numFmtId="1" fontId="0" fillId="0" borderId="1" xfId="0" applyNumberFormat="1" applyBorder="1" applyAlignment="1">
      <alignment vertical="center"/>
    </xf>
    <xf numFmtId="0" fontId="4" fillId="0" borderId="1" xfId="0" applyFont="1" applyFill="1" applyBorder="1" applyAlignment="1">
      <alignment vertical="center"/>
    </xf>
    <xf numFmtId="1" fontId="0" fillId="0" borderId="1" xfId="0" applyNumberFormat="1" applyFill="1" applyBorder="1" applyAlignment="1">
      <alignment vertical="center"/>
    </xf>
    <xf numFmtId="2" fontId="4" fillId="0" borderId="1" xfId="0" applyNumberFormat="1" applyFont="1" applyBorder="1"/>
    <xf numFmtId="1" fontId="0" fillId="0" borderId="12" xfId="0" applyNumberFormat="1" applyBorder="1"/>
    <xf numFmtId="0" fontId="4" fillId="0" borderId="1" xfId="0" applyFont="1" applyBorder="1" applyAlignment="1">
      <alignment wrapText="1"/>
    </xf>
    <xf numFmtId="0" fontId="4" fillId="0" borderId="1" xfId="0" applyFont="1" applyBorder="1" applyAlignment="1">
      <alignment horizontal="left"/>
    </xf>
    <xf numFmtId="0" fontId="4" fillId="0" borderId="0" xfId="0" applyFont="1" applyBorder="1" applyAlignment="1">
      <alignment horizontal="center"/>
    </xf>
    <xf numFmtId="0" fontId="0" fillId="0" borderId="0" xfId="0" applyBorder="1" applyAlignment="1">
      <alignment horizontal="center"/>
    </xf>
    <xf numFmtId="0" fontId="4" fillId="0" borderId="1" xfId="0" applyFont="1" applyBorder="1" applyAlignment="1">
      <alignment vertical="center"/>
    </xf>
    <xf numFmtId="0" fontId="4" fillId="0" borderId="0" xfId="0" applyFont="1" applyBorder="1"/>
    <xf numFmtId="0" fontId="4" fillId="0" borderId="1" xfId="0" applyFont="1" applyFill="1" applyBorder="1" applyAlignment="1">
      <alignment horizontal="left" vertical="center"/>
    </xf>
    <xf numFmtId="0" fontId="0" fillId="0" borderId="0" xfId="0" applyAlignment="1">
      <alignment horizontal="center"/>
    </xf>
    <xf numFmtId="0" fontId="4" fillId="0" borderId="4" xfId="0" applyFont="1" applyBorder="1"/>
    <xf numFmtId="0" fontId="4" fillId="0" borderId="10" xfId="0" applyFont="1" applyFill="1" applyBorder="1"/>
    <xf numFmtId="0" fontId="0" fillId="0" borderId="10" xfId="0" applyFill="1" applyBorder="1"/>
    <xf numFmtId="164" fontId="0" fillId="0" borderId="0" xfId="1" applyNumberFormat="1" applyFont="1" applyAlignment="1">
      <alignment horizontal="center" vertical="center"/>
    </xf>
    <xf numFmtId="0" fontId="4" fillId="0" borderId="0" xfId="0" applyFont="1"/>
    <xf numFmtId="9" fontId="0" fillId="0" borderId="0" xfId="0" applyNumberFormat="1"/>
    <xf numFmtId="9" fontId="0" fillId="0" borderId="0" xfId="2" applyFont="1"/>
    <xf numFmtId="0" fontId="0" fillId="12" borderId="0" xfId="0" applyFill="1"/>
    <xf numFmtId="164" fontId="0" fillId="12" borderId="0" xfId="1" applyNumberFormat="1" applyFont="1" applyFill="1"/>
    <xf numFmtId="0" fontId="2" fillId="2" borderId="2" xfId="0" applyFont="1" applyFill="1" applyBorder="1"/>
    <xf numFmtId="0" fontId="2" fillId="2" borderId="9" xfId="0" applyFont="1" applyFill="1" applyBorder="1"/>
    <xf numFmtId="0" fontId="2" fillId="2" borderId="4" xfId="0" applyFont="1" applyFill="1" applyBorder="1" applyAlignment="1"/>
    <xf numFmtId="0" fontId="2" fillId="2" borderId="16" xfId="0" applyFont="1" applyFill="1" applyBorder="1" applyAlignment="1"/>
    <xf numFmtId="0" fontId="2" fillId="2" borderId="3" xfId="0" applyFont="1" applyFill="1" applyBorder="1" applyAlignment="1"/>
    <xf numFmtId="0" fontId="14" fillId="0" borderId="1" xfId="0" applyFont="1" applyFill="1" applyBorder="1" applyAlignment="1"/>
    <xf numFmtId="0" fontId="4" fillId="0" borderId="1" xfId="0" applyFont="1" applyFill="1" applyBorder="1" applyAlignment="1">
      <alignment horizontal="center" vertical="center" textRotation="90"/>
    </xf>
    <xf numFmtId="0" fontId="0" fillId="14" borderId="1" xfId="0" applyFill="1" applyBorder="1" applyAlignment="1">
      <alignment horizontal="left" vertical="center"/>
    </xf>
    <xf numFmtId="0" fontId="0" fillId="15" borderId="1" xfId="0" applyFill="1" applyBorder="1" applyAlignment="1">
      <alignment horizontal="left" vertical="center"/>
    </xf>
    <xf numFmtId="0" fontId="4" fillId="15" borderId="1" xfId="0" applyFont="1" applyFill="1" applyBorder="1" applyAlignment="1">
      <alignment horizontal="left" vertical="center"/>
    </xf>
    <xf numFmtId="1" fontId="0" fillId="15" borderId="1" xfId="0" applyNumberFormat="1" applyFill="1" applyBorder="1" applyAlignment="1">
      <alignment horizontal="left" vertical="center"/>
    </xf>
    <xf numFmtId="0" fontId="0" fillId="8" borderId="1" xfId="0" applyFill="1" applyBorder="1" applyAlignment="1">
      <alignment horizontal="left" vertical="center"/>
    </xf>
    <xf numFmtId="0" fontId="4" fillId="8" borderId="1" xfId="0" applyFont="1" applyFill="1" applyBorder="1" applyAlignment="1">
      <alignment horizontal="left" vertical="center"/>
    </xf>
    <xf numFmtId="1" fontId="0" fillId="8" borderId="1" xfId="0" applyNumberFormat="1" applyFill="1" applyBorder="1" applyAlignment="1">
      <alignment horizontal="left" vertical="center"/>
    </xf>
    <xf numFmtId="0" fontId="0" fillId="3" borderId="1" xfId="0" applyFill="1" applyBorder="1" applyAlignment="1">
      <alignment horizontal="left" vertical="center"/>
    </xf>
    <xf numFmtId="1" fontId="0" fillId="3" borderId="1" xfId="0" applyNumberFormat="1" applyFill="1" applyBorder="1" applyAlignment="1">
      <alignment horizontal="left" vertical="center"/>
    </xf>
    <xf numFmtId="0" fontId="0" fillId="3" borderId="1" xfId="0" applyFill="1" applyBorder="1" applyAlignment="1">
      <alignment horizontal="left"/>
    </xf>
    <xf numFmtId="0" fontId="0" fillId="16" borderId="1" xfId="0" applyFill="1" applyBorder="1" applyAlignment="1">
      <alignment horizontal="left" vertical="center"/>
    </xf>
    <xf numFmtId="1" fontId="0" fillId="16" borderId="1" xfId="0" applyNumberFormat="1" applyFill="1" applyBorder="1" applyAlignment="1">
      <alignment horizontal="left" vertical="center"/>
    </xf>
    <xf numFmtId="0" fontId="0" fillId="16" borderId="1" xfId="0" applyFill="1" applyBorder="1" applyAlignment="1">
      <alignment horizontal="left"/>
    </xf>
    <xf numFmtId="0" fontId="4" fillId="0" borderId="6" xfId="0" applyFont="1" applyFill="1" applyBorder="1" applyAlignment="1">
      <alignment horizontal="center" vertical="center" textRotation="90"/>
    </xf>
    <xf numFmtId="0" fontId="16" fillId="0" borderId="1" xfId="0" applyFont="1" applyBorder="1" applyAlignment="1">
      <alignment vertical="center" readingOrder="1"/>
    </xf>
    <xf numFmtId="0" fontId="16" fillId="0" borderId="6" xfId="0" applyFont="1" applyFill="1" applyBorder="1" applyAlignment="1">
      <alignment vertical="center" readingOrder="1"/>
    </xf>
    <xf numFmtId="0" fontId="8" fillId="0" borderId="1" xfId="0" applyFont="1" applyFill="1" applyBorder="1" applyAlignment="1">
      <alignment horizontal="right" vertical="center" readingOrder="1"/>
    </xf>
    <xf numFmtId="0" fontId="8" fillId="0" borderId="6" xfId="0" applyFont="1" applyFill="1" applyBorder="1" applyAlignment="1">
      <alignment horizontal="right" vertical="center" readingOrder="1"/>
    </xf>
    <xf numFmtId="0" fontId="16" fillId="0" borderId="0" xfId="0" applyFont="1" applyFill="1" applyBorder="1" applyAlignment="1">
      <alignment vertical="center" readingOrder="1"/>
    </xf>
    <xf numFmtId="0" fontId="8" fillId="0" borderId="0" xfId="0" applyFont="1" applyFill="1" applyBorder="1" applyAlignment="1">
      <alignment horizontal="right" vertical="center" readingOrder="1"/>
    </xf>
    <xf numFmtId="0" fontId="0" fillId="0" borderId="0" xfId="0" applyAlignment="1">
      <alignment horizontal="center" vertical="center" wrapText="1"/>
    </xf>
    <xf numFmtId="0" fontId="0" fillId="0" borderId="0" xfId="0" applyAlignment="1">
      <alignment horizontal="left"/>
    </xf>
    <xf numFmtId="0" fontId="0" fillId="0" borderId="0" xfId="0" applyNumberFormat="1"/>
    <xf numFmtId="0" fontId="2" fillId="2" borderId="2" xfId="0" applyFont="1" applyFill="1" applyBorder="1" applyAlignment="1">
      <alignment horizontal="center" vertical="center"/>
    </xf>
    <xf numFmtId="0" fontId="0" fillId="12" borderId="2" xfId="0" applyFill="1" applyBorder="1" applyAlignment="1">
      <alignment horizontal="center" vertical="center"/>
    </xf>
    <xf numFmtId="0" fontId="6" fillId="0" borderId="2" xfId="0" applyFont="1" applyBorder="1" applyAlignment="1">
      <alignment horizontal="center" vertical="center"/>
    </xf>
    <xf numFmtId="0" fontId="6" fillId="14" borderId="4" xfId="0" applyFont="1" applyFill="1" applyBorder="1" applyAlignment="1">
      <alignment horizontal="center" vertical="center"/>
    </xf>
    <xf numFmtId="0" fontId="6" fillId="14" borderId="2" xfId="0" applyFont="1" applyFill="1" applyBorder="1" applyAlignment="1">
      <alignment horizontal="center" vertical="center"/>
    </xf>
    <xf numFmtId="0" fontId="0" fillId="14" borderId="2" xfId="0" quotePrefix="1" applyFill="1" applyBorder="1" applyAlignment="1">
      <alignment horizontal="center"/>
    </xf>
    <xf numFmtId="0" fontId="0" fillId="14" borderId="2" xfId="0" applyFill="1" applyBorder="1" applyAlignment="1">
      <alignment horizontal="center"/>
    </xf>
    <xf numFmtId="0" fontId="4" fillId="0" borderId="2" xfId="0" applyFont="1" applyBorder="1" applyAlignment="1">
      <alignment horizontal="center" vertical="center"/>
    </xf>
    <xf numFmtId="0" fontId="0" fillId="12" borderId="2" xfId="0" applyFill="1" applyBorder="1"/>
    <xf numFmtId="0" fontId="4" fillId="12" borderId="2" xfId="0" applyFont="1" applyFill="1" applyBorder="1"/>
    <xf numFmtId="0" fontId="18" fillId="0" borderId="1" xfId="0" applyFont="1" applyFill="1" applyBorder="1" applyAlignment="1">
      <alignment horizontal="center" vertical="center" readingOrder="1"/>
    </xf>
    <xf numFmtId="0" fontId="18" fillId="0" borderId="1" xfId="0" applyFont="1" applyFill="1" applyBorder="1" applyAlignment="1">
      <alignment horizontal="left" wrapText="1" readingOrder="1"/>
    </xf>
    <xf numFmtId="0" fontId="19" fillId="0" borderId="1" xfId="0" applyFont="1" applyBorder="1" applyAlignment="1">
      <alignment horizontal="left" vertical="center" wrapText="1" readingOrder="1"/>
    </xf>
    <xf numFmtId="0" fontId="20" fillId="0" borderId="1" xfId="0" applyFont="1" applyBorder="1" applyAlignment="1">
      <alignment horizontal="left" vertical="center" wrapText="1"/>
    </xf>
    <xf numFmtId="0" fontId="14" fillId="0" borderId="1" xfId="0" applyFont="1" applyBorder="1" applyAlignment="1">
      <alignment horizontal="left"/>
    </xf>
    <xf numFmtId="0" fontId="18" fillId="0" borderId="1" xfId="0" applyFont="1" applyFill="1" applyBorder="1" applyAlignment="1">
      <alignment horizontal="left" readingOrder="1"/>
    </xf>
    <xf numFmtId="0" fontId="21" fillId="14" borderId="1" xfId="0" applyFont="1" applyFill="1" applyBorder="1" applyAlignment="1">
      <alignment horizontal="left" vertical="center" readingOrder="1"/>
    </xf>
    <xf numFmtId="0" fontId="21" fillId="14" borderId="0" xfId="0" applyFont="1" applyFill="1" applyBorder="1" applyAlignment="1">
      <alignment horizontal="left" vertical="center" readingOrder="1"/>
    </xf>
    <xf numFmtId="0" fontId="18" fillId="0" borderId="17" xfId="0" applyFont="1" applyFill="1" applyBorder="1" applyAlignment="1">
      <alignment horizontal="left" vertical="center" wrapText="1" readingOrder="1"/>
    </xf>
    <xf numFmtId="0" fontId="18" fillId="0" borderId="0" xfId="0" applyFont="1" applyFill="1" applyBorder="1" applyAlignment="1">
      <alignment horizontal="left" vertical="center" wrapText="1" readingOrder="1"/>
    </xf>
    <xf numFmtId="0" fontId="16" fillId="0" borderId="0" xfId="0" applyFont="1"/>
    <xf numFmtId="0" fontId="0" fillId="0" borderId="1" xfId="0" applyFont="1" applyFill="1" applyBorder="1"/>
    <xf numFmtId="43" fontId="0" fillId="0" borderId="0" xfId="1" applyFont="1"/>
    <xf numFmtId="43" fontId="0" fillId="0" borderId="0" xfId="1" applyNumberFormat="1" applyFont="1"/>
    <xf numFmtId="0" fontId="0" fillId="0" borderId="6" xfId="0" applyFill="1" applyBorder="1"/>
    <xf numFmtId="0" fontId="4" fillId="9" borderId="7" xfId="0" applyFont="1" applyFill="1" applyBorder="1"/>
    <xf numFmtId="17" fontId="4" fillId="9" borderId="7" xfId="0" applyNumberFormat="1" applyFont="1" applyFill="1" applyBorder="1"/>
    <xf numFmtId="43" fontId="0" fillId="0" borderId="1" xfId="1" applyFont="1" applyBorder="1"/>
    <xf numFmtId="0" fontId="2" fillId="17" borderId="1" xfId="0" applyFont="1" applyFill="1" applyBorder="1"/>
    <xf numFmtId="17" fontId="2" fillId="17" borderId="1" xfId="0" applyNumberFormat="1" applyFont="1" applyFill="1" applyBorder="1"/>
    <xf numFmtId="164" fontId="0" fillId="0" borderId="1" xfId="4" applyNumberFormat="1" applyFont="1" applyFill="1" applyBorder="1"/>
    <xf numFmtId="43" fontId="0" fillId="0" borderId="1" xfId="1" applyFont="1" applyFill="1" applyBorder="1"/>
    <xf numFmtId="43" fontId="0" fillId="8" borderId="1" xfId="1" applyFont="1" applyFill="1" applyBorder="1"/>
    <xf numFmtId="164" fontId="0" fillId="8" borderId="1" xfId="4" applyNumberFormat="1" applyFont="1" applyFill="1" applyBorder="1"/>
    <xf numFmtId="0" fontId="24" fillId="19" borderId="1" xfId="0" applyFont="1" applyFill="1" applyBorder="1" applyAlignment="1" applyProtection="1">
      <alignment vertical="center" wrapText="1"/>
      <protection hidden="1"/>
    </xf>
    <xf numFmtId="0" fontId="24" fillId="19" borderId="7" xfId="0" applyFont="1" applyFill="1" applyBorder="1" applyAlignment="1" applyProtection="1">
      <alignment vertical="center" wrapText="1"/>
      <protection hidden="1"/>
    </xf>
    <xf numFmtId="0" fontId="24" fillId="19" borderId="19" xfId="0" applyFont="1" applyFill="1" applyBorder="1" applyAlignment="1" applyProtection="1">
      <alignment vertical="center" wrapText="1"/>
      <protection hidden="1"/>
    </xf>
    <xf numFmtId="0" fontId="25" fillId="0" borderId="0" xfId="0" applyFont="1" applyFill="1" applyBorder="1" applyAlignment="1" applyProtection="1">
      <alignment horizontal="left" vertical="top" wrapText="1"/>
      <protection hidden="1"/>
    </xf>
    <xf numFmtId="0" fontId="24" fillId="19" borderId="5" xfId="0" applyFont="1" applyFill="1" applyBorder="1" applyAlignment="1" applyProtection="1">
      <alignment vertical="center" wrapText="1"/>
      <protection hidden="1"/>
    </xf>
    <xf numFmtId="0" fontId="24" fillId="19" borderId="23" xfId="0" applyFont="1" applyFill="1" applyBorder="1" applyAlignment="1" applyProtection="1">
      <alignment vertical="center" wrapText="1"/>
      <protection hidden="1"/>
    </xf>
    <xf numFmtId="0" fontId="24" fillId="19" borderId="20" xfId="0" applyFont="1" applyFill="1" applyBorder="1" applyAlignment="1" applyProtection="1">
      <alignment vertical="center" wrapText="1"/>
      <protection hidden="1"/>
    </xf>
    <xf numFmtId="0" fontId="24" fillId="19" borderId="24" xfId="0" applyFont="1" applyFill="1" applyBorder="1" applyAlignment="1" applyProtection="1">
      <alignment vertical="center" wrapText="1"/>
      <protection hidden="1"/>
    </xf>
    <xf numFmtId="0" fontId="24" fillId="19" borderId="25" xfId="0" applyFont="1" applyFill="1" applyBorder="1" applyAlignment="1" applyProtection="1">
      <alignment horizontal="center" vertical="center"/>
      <protection hidden="1"/>
    </xf>
    <xf numFmtId="0" fontId="24" fillId="19" borderId="1" xfId="0" applyFont="1" applyFill="1" applyBorder="1" applyAlignment="1" applyProtection="1">
      <alignment horizontal="center" vertical="center"/>
      <protection hidden="1"/>
    </xf>
    <xf numFmtId="0" fontId="24" fillId="19" borderId="26" xfId="0" applyFont="1" applyFill="1" applyBorder="1" applyAlignment="1" applyProtection="1">
      <alignment horizontal="center" vertical="center"/>
      <protection hidden="1"/>
    </xf>
    <xf numFmtId="0" fontId="24" fillId="19" borderId="25" xfId="0" applyFont="1" applyFill="1" applyBorder="1" applyAlignment="1" applyProtection="1">
      <alignment horizontal="center" vertical="center" wrapText="1"/>
      <protection hidden="1"/>
    </xf>
    <xf numFmtId="0" fontId="24" fillId="19" borderId="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left" vertical="center"/>
      <protection hidden="1"/>
    </xf>
    <xf numFmtId="0" fontId="24" fillId="0" borderId="27" xfId="0" applyFont="1" applyBorder="1" applyAlignment="1">
      <alignment horizontal="center"/>
    </xf>
    <xf numFmtId="0" fontId="24" fillId="0" borderId="25" xfId="0" applyFont="1" applyBorder="1" applyAlignment="1">
      <alignment horizontal="center"/>
    </xf>
    <xf numFmtId="1" fontId="14" fillId="0" borderId="5" xfId="0" applyNumberFormat="1" applyFont="1" applyBorder="1" applyAlignment="1">
      <alignment horizontal="center" vertical="center"/>
    </xf>
    <xf numFmtId="1" fontId="14" fillId="0" borderId="25" xfId="0" applyNumberFormat="1" applyFont="1" applyBorder="1" applyAlignment="1">
      <alignment horizontal="center" vertical="center"/>
    </xf>
    <xf numFmtId="1" fontId="14" fillId="0" borderId="1" xfId="0" applyNumberFormat="1" applyFont="1" applyBorder="1" applyAlignment="1">
      <alignment horizontal="center" vertical="center"/>
    </xf>
    <xf numFmtId="1" fontId="0" fillId="0" borderId="26" xfId="0" applyNumberFormat="1" applyBorder="1" applyAlignment="1">
      <alignment horizontal="center" vertical="center"/>
    </xf>
    <xf numFmtId="1" fontId="24" fillId="0" borderId="25" xfId="0" applyNumberFormat="1" applyFont="1" applyBorder="1" applyAlignment="1">
      <alignment horizontal="center"/>
    </xf>
    <xf numFmtId="1" fontId="24" fillId="0" borderId="1" xfId="0" applyNumberFormat="1" applyFont="1" applyBorder="1" applyAlignment="1">
      <alignment horizontal="center"/>
    </xf>
    <xf numFmtId="1" fontId="0" fillId="0" borderId="25" xfId="0" applyNumberFormat="1" applyFill="1" applyBorder="1" applyAlignment="1">
      <alignment horizontal="center" vertical="center"/>
    </xf>
    <xf numFmtId="1" fontId="0" fillId="0" borderId="1" xfId="0" applyNumberFormat="1" applyFill="1" applyBorder="1" applyAlignment="1">
      <alignment horizontal="center" vertical="center"/>
    </xf>
    <xf numFmtId="1" fontId="14" fillId="0" borderId="26" xfId="0" applyNumberFormat="1" applyFont="1" applyFill="1" applyBorder="1" applyAlignment="1">
      <alignment horizontal="center" vertical="center"/>
    </xf>
    <xf numFmtId="1" fontId="0" fillId="0" borderId="25" xfId="0" applyNumberFormat="1" applyBorder="1" applyAlignment="1">
      <alignment horizontal="center" vertical="center"/>
    </xf>
    <xf numFmtId="1" fontId="0" fillId="0" borderId="1" xfId="0" applyNumberFormat="1" applyBorder="1" applyAlignment="1">
      <alignment horizontal="center" vertical="center"/>
    </xf>
    <xf numFmtId="1" fontId="2" fillId="0" borderId="0" xfId="0" applyNumberFormat="1" applyFont="1" applyFill="1" applyBorder="1" applyAlignment="1">
      <alignment horizontal="left" vertical="center"/>
    </xf>
    <xf numFmtId="1" fontId="0" fillId="0" borderId="26" xfId="0" applyNumberFormat="1" applyFill="1" applyBorder="1" applyAlignment="1">
      <alignment horizontal="center" vertical="center"/>
    </xf>
    <xf numFmtId="0" fontId="24" fillId="0" borderId="28" xfId="0" applyFont="1" applyBorder="1" applyAlignment="1">
      <alignment horizontal="center"/>
    </xf>
    <xf numFmtId="1" fontId="14" fillId="0" borderId="29" xfId="0" applyNumberFormat="1" applyFont="1" applyBorder="1" applyAlignment="1">
      <alignment horizontal="center" vertical="center"/>
    </xf>
    <xf numFmtId="0" fontId="24" fillId="8" borderId="27" xfId="0" applyFont="1" applyFill="1" applyBorder="1" applyAlignment="1">
      <alignment horizontal="center"/>
    </xf>
    <xf numFmtId="0" fontId="24" fillId="8" borderId="30" xfId="0" applyFont="1" applyFill="1" applyBorder="1" applyAlignment="1">
      <alignment horizontal="center"/>
    </xf>
    <xf numFmtId="1" fontId="0" fillId="8" borderId="31" xfId="0" applyNumberFormat="1" applyFill="1" applyBorder="1" applyAlignment="1">
      <alignment horizontal="center" vertical="center"/>
    </xf>
    <xf numFmtId="1" fontId="0" fillId="8" borderId="25" xfId="0" applyNumberFormat="1" applyFill="1" applyBorder="1" applyAlignment="1">
      <alignment horizontal="center" vertical="center"/>
    </xf>
    <xf numFmtId="1" fontId="0" fillId="8" borderId="1" xfId="0" applyNumberFormat="1" applyFill="1" applyBorder="1" applyAlignment="1">
      <alignment horizontal="center" vertical="center"/>
    </xf>
    <xf numFmtId="1" fontId="0" fillId="8" borderId="26" xfId="0" applyNumberFormat="1" applyFill="1" applyBorder="1" applyAlignment="1">
      <alignment horizontal="center" vertical="center"/>
    </xf>
    <xf numFmtId="1" fontId="24" fillId="8" borderId="25" xfId="0" applyNumberFormat="1" applyFont="1" applyFill="1" applyBorder="1" applyAlignment="1">
      <alignment horizontal="center"/>
    </xf>
    <xf numFmtId="1" fontId="24" fillId="8" borderId="1" xfId="0" applyNumberFormat="1" applyFont="1" applyFill="1" applyBorder="1" applyAlignment="1">
      <alignment horizontal="center"/>
    </xf>
    <xf numFmtId="1" fontId="5" fillId="0" borderId="0" xfId="0" applyNumberFormat="1" applyFont="1" applyFill="1" applyBorder="1" applyAlignment="1">
      <alignment horizontal="left" vertical="center"/>
    </xf>
    <xf numFmtId="0" fontId="4" fillId="0" borderId="27" xfId="0" applyFont="1" applyFill="1" applyBorder="1" applyAlignment="1">
      <alignment horizontal="center"/>
    </xf>
    <xf numFmtId="0" fontId="24" fillId="0" borderId="13" xfId="0" applyFont="1" applyBorder="1" applyAlignment="1">
      <alignment horizontal="center"/>
    </xf>
    <xf numFmtId="1" fontId="0" fillId="0" borderId="5" xfId="0" applyNumberFormat="1" applyFill="1" applyBorder="1" applyAlignment="1">
      <alignment horizontal="center" vertical="center"/>
    </xf>
    <xf numFmtId="1" fontId="4" fillId="0" borderId="25" xfId="0" applyNumberFormat="1" applyFont="1" applyFill="1" applyBorder="1" applyAlignment="1">
      <alignment horizontal="center"/>
    </xf>
    <xf numFmtId="1" fontId="4" fillId="0" borderId="1" xfId="0" applyNumberFormat="1" applyFont="1" applyFill="1" applyBorder="1" applyAlignment="1">
      <alignment horizontal="center"/>
    </xf>
    <xf numFmtId="0" fontId="4" fillId="0" borderId="27" xfId="0" applyFont="1" applyBorder="1" applyAlignment="1">
      <alignment horizontal="center"/>
    </xf>
    <xf numFmtId="1" fontId="0" fillId="0" borderId="5" xfId="0" applyNumberFormat="1" applyBorder="1" applyAlignment="1">
      <alignment horizontal="center" vertical="center"/>
    </xf>
    <xf numFmtId="1" fontId="4" fillId="0" borderId="25" xfId="0" applyNumberFormat="1" applyFont="1" applyBorder="1" applyAlignment="1">
      <alignment horizontal="center"/>
    </xf>
    <xf numFmtId="1" fontId="4" fillId="0" borderId="1" xfId="0" applyNumberFormat="1" applyFont="1" applyBorder="1" applyAlignment="1">
      <alignment horizontal="center"/>
    </xf>
    <xf numFmtId="1" fontId="2" fillId="0" borderId="0" xfId="0" applyNumberFormat="1" applyFont="1" applyFill="1" applyBorder="1" applyAlignment="1">
      <alignment horizontal="left" vertical="center" wrapText="1"/>
    </xf>
    <xf numFmtId="0" fontId="24" fillId="8" borderId="13" xfId="0" applyFont="1" applyFill="1" applyBorder="1" applyAlignment="1">
      <alignment horizontal="center"/>
    </xf>
    <xf numFmtId="1" fontId="0" fillId="8" borderId="5" xfId="0" applyNumberFormat="1" applyFill="1" applyBorder="1" applyAlignment="1">
      <alignment horizontal="center" vertical="center"/>
    </xf>
    <xf numFmtId="0" fontId="4" fillId="0" borderId="13" xfId="0" applyFont="1" applyBorder="1" applyAlignment="1">
      <alignment horizontal="center"/>
    </xf>
    <xf numFmtId="0" fontId="24" fillId="0" borderId="27" xfId="0" applyFont="1" applyFill="1" applyBorder="1" applyAlignment="1">
      <alignment horizontal="center"/>
    </xf>
    <xf numFmtId="1" fontId="14" fillId="0" borderId="5" xfId="0" applyNumberFormat="1" applyFont="1" applyFill="1" applyBorder="1" applyAlignment="1">
      <alignment horizontal="center" vertical="center"/>
    </xf>
    <xf numFmtId="1" fontId="24" fillId="0" borderId="25" xfId="0" applyNumberFormat="1" applyFont="1" applyFill="1" applyBorder="1" applyAlignment="1">
      <alignment horizontal="center"/>
    </xf>
    <xf numFmtId="1" fontId="24" fillId="0" borderId="1" xfId="0" applyNumberFormat="1" applyFont="1" applyFill="1" applyBorder="1" applyAlignment="1">
      <alignment horizontal="center"/>
    </xf>
    <xf numFmtId="0" fontId="4" fillId="0" borderId="13" xfId="0" applyFont="1" applyFill="1" applyBorder="1" applyAlignment="1">
      <alignment horizontal="center"/>
    </xf>
    <xf numFmtId="0" fontId="4" fillId="12" borderId="27" xfId="0" applyFont="1" applyFill="1" applyBorder="1" applyAlignment="1">
      <alignment horizontal="center"/>
    </xf>
    <xf numFmtId="0" fontId="24" fillId="12" borderId="27" xfId="0" applyFont="1" applyFill="1" applyBorder="1" applyAlignment="1">
      <alignment horizontal="center"/>
    </xf>
    <xf numFmtId="0" fontId="24" fillId="11" borderId="27" xfId="0" applyFont="1" applyFill="1" applyBorder="1" applyAlignment="1">
      <alignment horizontal="center"/>
    </xf>
    <xf numFmtId="1" fontId="24" fillId="11" borderId="25" xfId="0" applyNumberFormat="1" applyFont="1" applyFill="1" applyBorder="1" applyAlignment="1">
      <alignment horizontal="center"/>
    </xf>
    <xf numFmtId="1" fontId="24" fillId="11" borderId="1" xfId="0" applyNumberFormat="1" applyFont="1" applyFill="1" applyBorder="1" applyAlignment="1">
      <alignment horizontal="center"/>
    </xf>
    <xf numFmtId="1" fontId="14" fillId="11" borderId="5" xfId="0" applyNumberFormat="1" applyFont="1" applyFill="1" applyBorder="1" applyAlignment="1">
      <alignment horizontal="center" vertical="center"/>
    </xf>
    <xf numFmtId="0" fontId="24" fillId="0" borderId="13" xfId="0" applyFont="1" applyFill="1" applyBorder="1" applyAlignment="1">
      <alignment horizontal="center"/>
    </xf>
    <xf numFmtId="1" fontId="2" fillId="0" borderId="0" xfId="0" applyNumberFormat="1" applyFont="1" applyFill="1" applyBorder="1" applyAlignment="1">
      <alignment vertical="center"/>
    </xf>
    <xf numFmtId="1" fontId="24" fillId="0" borderId="5" xfId="0" applyNumberFormat="1" applyFont="1" applyFill="1" applyBorder="1" applyAlignment="1">
      <alignment horizontal="center" vertical="center"/>
    </xf>
    <xf numFmtId="1" fontId="2" fillId="0" borderId="0" xfId="0" applyNumberFormat="1" applyFont="1" applyFill="1" applyBorder="1" applyAlignment="1">
      <alignment vertical="center" wrapText="1"/>
    </xf>
    <xf numFmtId="0" fontId="4" fillId="0" borderId="5" xfId="0" applyFont="1" applyBorder="1" applyAlignment="1">
      <alignment wrapText="1"/>
    </xf>
    <xf numFmtId="1" fontId="4" fillId="8" borderId="32" xfId="0" applyNumberFormat="1" applyFont="1" applyFill="1" applyBorder="1" applyAlignment="1">
      <alignment horizontal="center"/>
    </xf>
    <xf numFmtId="1" fontId="4" fillId="8" borderId="13" xfId="0" applyNumberFormat="1" applyFont="1" applyFill="1" applyBorder="1" applyAlignment="1">
      <alignment horizontal="center"/>
    </xf>
    <xf numFmtId="1" fontId="4" fillId="8" borderId="5" xfId="0" applyNumberFormat="1" applyFont="1" applyFill="1" applyBorder="1" applyAlignment="1">
      <alignment horizontal="center" vertical="center"/>
    </xf>
    <xf numFmtId="1" fontId="4" fillId="8" borderId="28" xfId="0" applyNumberFormat="1" applyFont="1" applyFill="1" applyBorder="1" applyAlignment="1">
      <alignment horizontal="center" vertical="center"/>
    </xf>
    <xf numFmtId="1" fontId="4" fillId="8" borderId="33" xfId="0" applyNumberFormat="1" applyFont="1" applyFill="1" applyBorder="1" applyAlignment="1">
      <alignment horizontal="center" vertical="center"/>
    </xf>
    <xf numFmtId="1" fontId="4" fillId="12" borderId="34" xfId="0" applyNumberFormat="1" applyFont="1" applyFill="1" applyBorder="1" applyAlignment="1">
      <alignment horizontal="center" vertical="center"/>
    </xf>
    <xf numFmtId="1" fontId="4" fillId="8" borderId="28" xfId="0" applyNumberFormat="1" applyFont="1" applyFill="1" applyBorder="1" applyAlignment="1">
      <alignment horizontal="center"/>
    </xf>
    <xf numFmtId="1" fontId="4" fillId="8" borderId="33" xfId="0" applyNumberFormat="1" applyFont="1" applyFill="1" applyBorder="1" applyAlignment="1">
      <alignment horizontal="center"/>
    </xf>
    <xf numFmtId="1" fontId="4" fillId="12" borderId="34" xfId="0" applyNumberFormat="1" applyFont="1" applyFill="1" applyBorder="1" applyAlignment="1">
      <alignment horizontal="center"/>
    </xf>
    <xf numFmtId="1" fontId="4" fillId="8" borderId="34" xfId="0" applyNumberFormat="1" applyFont="1" applyFill="1" applyBorder="1" applyAlignment="1">
      <alignment horizontal="center" vertical="center"/>
    </xf>
    <xf numFmtId="0" fontId="0" fillId="0" borderId="12" xfId="0" applyBorder="1"/>
    <xf numFmtId="0" fontId="5" fillId="0" borderId="0" xfId="0" applyFont="1" applyFill="1" applyBorder="1" applyAlignment="1">
      <alignment horizontal="left"/>
    </xf>
    <xf numFmtId="0" fontId="24" fillId="12" borderId="26" xfId="0" applyFont="1" applyFill="1" applyBorder="1" applyAlignment="1" applyProtection="1">
      <alignment horizontal="center" vertical="center"/>
      <protection hidden="1"/>
    </xf>
    <xf numFmtId="1" fontId="24" fillId="12" borderId="26" xfId="0" applyNumberFormat="1" applyFont="1" applyFill="1" applyBorder="1" applyAlignment="1">
      <alignment horizontal="center"/>
    </xf>
    <xf numFmtId="1" fontId="4" fillId="12" borderId="26" xfId="0" applyNumberFormat="1" applyFont="1" applyFill="1" applyBorder="1" applyAlignment="1">
      <alignment horizontal="center"/>
    </xf>
    <xf numFmtId="0" fontId="0" fillId="12" borderId="12" xfId="0" applyFill="1" applyBorder="1"/>
    <xf numFmtId="43" fontId="0" fillId="0" borderId="1" xfId="0" applyNumberFormat="1" applyBorder="1"/>
    <xf numFmtId="0" fontId="0" fillId="0" borderId="2" xfId="0" quotePrefix="1" applyBorder="1"/>
    <xf numFmtId="0" fontId="7" fillId="0" borderId="1" xfId="0" applyFont="1" applyBorder="1"/>
    <xf numFmtId="0" fontId="4" fillId="20" borderId="1" xfId="0" applyFont="1" applyFill="1" applyBorder="1" applyAlignment="1">
      <alignment horizontal="center" vertical="center"/>
    </xf>
    <xf numFmtId="0" fontId="0" fillId="12" borderId="1" xfId="0" applyFill="1" applyBorder="1"/>
    <xf numFmtId="0" fontId="0" fillId="14" borderId="1" xfId="0" applyFill="1" applyBorder="1"/>
    <xf numFmtId="0" fontId="4" fillId="20" borderId="1" xfId="0" applyFont="1" applyFill="1" applyBorder="1"/>
    <xf numFmtId="0" fontId="4" fillId="12" borderId="1" xfId="0" applyFont="1" applyFill="1" applyBorder="1"/>
    <xf numFmtId="1" fontId="0" fillId="0" borderId="0" xfId="0" applyNumberFormat="1" applyAlignment="1">
      <alignment horizontal="center"/>
    </xf>
    <xf numFmtId="1" fontId="4" fillId="0" borderId="0" xfId="0" applyNumberFormat="1" applyFont="1" applyAlignment="1">
      <alignment horizontal="center"/>
    </xf>
    <xf numFmtId="0" fontId="0" fillId="0" borderId="35" xfId="0" applyFill="1" applyBorder="1"/>
    <xf numFmtId="0" fontId="0" fillId="0" borderId="6" xfId="0" applyFill="1" applyBorder="1" applyAlignment="1">
      <alignment horizontal="center" vertical="center"/>
    </xf>
    <xf numFmtId="0" fontId="0" fillId="0" borderId="0" xfId="0" applyAlignment="1">
      <alignment horizontal="right" vertical="center"/>
    </xf>
    <xf numFmtId="165" fontId="0" fillId="0" borderId="2" xfId="0" applyNumberFormat="1" applyBorder="1"/>
    <xf numFmtId="165" fontId="0" fillId="0" borderId="6" xfId="0" applyNumberFormat="1" applyFill="1" applyBorder="1"/>
    <xf numFmtId="1" fontId="0" fillId="0" borderId="6" xfId="0" applyNumberFormat="1" applyFill="1" applyBorder="1"/>
    <xf numFmtId="0" fontId="0" fillId="10" borderId="0" xfId="0" applyFill="1"/>
    <xf numFmtId="0" fontId="0" fillId="0" borderId="1" xfId="0" applyBorder="1" applyAlignment="1">
      <alignment horizontal="center" vertical="center"/>
    </xf>
    <xf numFmtId="0" fontId="4" fillId="0" borderId="1" xfId="0" applyFont="1" applyBorder="1" applyAlignment="1">
      <alignment horizontal="center"/>
    </xf>
    <xf numFmtId="0" fontId="4" fillId="0" borderId="1" xfId="0" applyFont="1" applyBorder="1" applyAlignment="1">
      <alignment horizontal="center" vertical="center"/>
    </xf>
    <xf numFmtId="1" fontId="0" fillId="0" borderId="1" xfId="0" applyNumberFormat="1" applyBorder="1" applyAlignment="1">
      <alignment horizontal="center"/>
    </xf>
    <xf numFmtId="0" fontId="0" fillId="0" borderId="13" xfId="0" applyBorder="1"/>
    <xf numFmtId="164" fontId="0" fillId="0" borderId="12" xfId="1" applyNumberFormat="1" applyFont="1" applyBorder="1"/>
    <xf numFmtId="0" fontId="0" fillId="12" borderId="38" xfId="0" applyFill="1" applyBorder="1" applyAlignment="1">
      <alignment horizontal="center" vertical="center" wrapText="1"/>
    </xf>
    <xf numFmtId="0" fontId="2" fillId="2" borderId="14" xfId="0" applyFont="1" applyFill="1" applyBorder="1" applyAlignment="1">
      <alignment horizontal="center" vertical="center" wrapText="1"/>
    </xf>
    <xf numFmtId="0" fontId="4" fillId="0" borderId="6" xfId="0" applyFont="1" applyBorder="1" applyAlignment="1">
      <alignment horizontal="center" vertical="center"/>
    </xf>
    <xf numFmtId="1" fontId="4" fillId="0" borderId="6" xfId="0" applyNumberFormat="1" applyFont="1" applyBorder="1" applyAlignment="1">
      <alignment horizontal="center" vertical="center"/>
    </xf>
    <xf numFmtId="0" fontId="4" fillId="22" borderId="41" xfId="0" applyFont="1" applyFill="1" applyBorder="1" applyAlignment="1">
      <alignment horizontal="center"/>
    </xf>
    <xf numFmtId="0" fontId="4" fillId="22" borderId="42" xfId="0" applyFont="1" applyFill="1" applyBorder="1" applyAlignment="1">
      <alignment horizontal="center"/>
    </xf>
    <xf numFmtId="1" fontId="4" fillId="22" borderId="42" xfId="0" applyNumberFormat="1" applyFont="1" applyFill="1" applyBorder="1" applyAlignment="1">
      <alignment horizontal="center"/>
    </xf>
    <xf numFmtId="0" fontId="4" fillId="22" borderId="43" xfId="0" applyFont="1" applyFill="1" applyBorder="1" applyAlignment="1">
      <alignment horizontal="center"/>
    </xf>
    <xf numFmtId="0" fontId="0" fillId="0" borderId="44" xfId="0" quotePrefix="1" applyBorder="1"/>
    <xf numFmtId="0" fontId="0" fillId="0" borderId="44" xfId="0" applyBorder="1"/>
    <xf numFmtId="164" fontId="0" fillId="0" borderId="44" xfId="0" quotePrefix="1" applyNumberFormat="1" applyBorder="1"/>
    <xf numFmtId="0" fontId="4" fillId="0" borderId="44" xfId="0" applyFont="1" applyBorder="1"/>
    <xf numFmtId="0" fontId="0" fillId="0" borderId="45" xfId="0" applyBorder="1"/>
    <xf numFmtId="0" fontId="0" fillId="0" borderId="33" xfId="0" applyBorder="1"/>
    <xf numFmtId="1" fontId="4" fillId="0" borderId="36" xfId="0" applyNumberFormat="1" applyFont="1" applyBorder="1" applyAlignment="1">
      <alignment horizontal="center" vertical="center"/>
    </xf>
    <xf numFmtId="0" fontId="0" fillId="9" borderId="1" xfId="0" applyFill="1" applyBorder="1" applyAlignment="1">
      <alignment horizontal="center"/>
    </xf>
    <xf numFmtId="0" fontId="4" fillId="9" borderId="1" xfId="0" applyFont="1" applyFill="1" applyBorder="1" applyAlignment="1">
      <alignment horizontal="center"/>
    </xf>
    <xf numFmtId="0" fontId="0" fillId="23" borderId="1" xfId="0" applyFill="1" applyBorder="1"/>
    <xf numFmtId="0" fontId="0" fillId="23" borderId="1" xfId="0" applyFill="1" applyBorder="1" applyAlignment="1">
      <alignment horizontal="center"/>
    </xf>
    <xf numFmtId="0" fontId="4" fillId="23" borderId="1" xfId="0" applyFont="1" applyFill="1" applyBorder="1" applyAlignment="1">
      <alignment horizontal="center"/>
    </xf>
    <xf numFmtId="0" fontId="2" fillId="2" borderId="3" xfId="0" applyFont="1" applyFill="1" applyBorder="1"/>
    <xf numFmtId="0" fontId="0" fillId="0" borderId="3" xfId="0" applyBorder="1"/>
    <xf numFmtId="0" fontId="0" fillId="0" borderId="46" xfId="0" applyBorder="1"/>
    <xf numFmtId="0" fontId="4" fillId="0" borderId="13" xfId="0" applyFont="1" applyBorder="1"/>
    <xf numFmtId="0" fontId="2" fillId="2" borderId="46" xfId="0" applyFont="1" applyFill="1" applyBorder="1"/>
    <xf numFmtId="0" fontId="4" fillId="9" borderId="0" xfId="0" applyFont="1" applyFill="1" applyAlignment="1">
      <alignment horizontal="center"/>
    </xf>
    <xf numFmtId="0" fontId="0" fillId="9" borderId="5" xfId="0" applyFill="1" applyBorder="1" applyAlignment="1">
      <alignment horizontal="center" vertical="center"/>
    </xf>
    <xf numFmtId="0" fontId="0" fillId="9" borderId="0" xfId="0" applyFill="1" applyAlignment="1">
      <alignment horizontal="center"/>
    </xf>
    <xf numFmtId="0" fontId="0" fillId="9" borderId="0" xfId="0" applyFill="1" applyAlignment="1">
      <alignment horizontal="center" vertical="center"/>
    </xf>
    <xf numFmtId="0" fontId="0" fillId="23" borderId="0" xfId="0" applyFill="1" applyAlignment="1">
      <alignment horizontal="center"/>
    </xf>
    <xf numFmtId="0" fontId="0" fillId="9" borderId="0" xfId="0" applyFill="1" applyBorder="1" applyAlignment="1">
      <alignment horizontal="center" vertical="center"/>
    </xf>
    <xf numFmtId="0" fontId="4" fillId="9" borderId="5" xfId="0" applyFont="1" applyFill="1" applyBorder="1" applyAlignment="1">
      <alignment horizontal="center" vertical="center"/>
    </xf>
    <xf numFmtId="0" fontId="14" fillId="9" borderId="5" xfId="0" applyFont="1" applyFill="1" applyBorder="1" applyAlignment="1">
      <alignment horizontal="center" vertical="center"/>
    </xf>
    <xf numFmtId="0" fontId="21" fillId="9" borderId="5" xfId="0" applyFont="1" applyFill="1" applyBorder="1" applyAlignment="1">
      <alignment horizontal="center" vertical="center"/>
    </xf>
    <xf numFmtId="0" fontId="0" fillId="9" borderId="5" xfId="0" applyFont="1" applyFill="1" applyBorder="1" applyAlignment="1">
      <alignment horizontal="center" vertical="center"/>
    </xf>
    <xf numFmtId="0" fontId="0" fillId="0" borderId="5" xfId="0" applyFont="1" applyFill="1" applyBorder="1"/>
    <xf numFmtId="0" fontId="0" fillId="0" borderId="1" xfId="0" applyFont="1" applyBorder="1"/>
    <xf numFmtId="0" fontId="0" fillId="0" borderId="1" xfId="0" applyBorder="1" applyAlignment="1">
      <alignment horizontal="center" vertical="center"/>
    </xf>
    <xf numFmtId="0" fontId="0" fillId="0" borderId="1" xfId="0" applyFont="1" applyFill="1" applyBorder="1" applyAlignment="1">
      <alignment horizontal="left" vertical="center"/>
    </xf>
    <xf numFmtId="0" fontId="0" fillId="0" borderId="12" xfId="0" applyFont="1" applyBorder="1"/>
    <xf numFmtId="1" fontId="0" fillId="0" borderId="1" xfId="0" applyNumberFormat="1" applyFont="1" applyBorder="1" applyAlignment="1">
      <alignment horizontal="left"/>
    </xf>
    <xf numFmtId="0" fontId="14" fillId="0" borderId="12" xfId="0" applyFont="1" applyFill="1" applyBorder="1" applyAlignment="1"/>
    <xf numFmtId="0" fontId="14" fillId="0" borderId="1" xfId="0" applyFont="1" applyBorder="1"/>
    <xf numFmtId="0" fontId="14" fillId="11" borderId="1" xfId="0" applyFont="1" applyFill="1" applyBorder="1"/>
    <xf numFmtId="1" fontId="0" fillId="11" borderId="1" xfId="0" applyNumberFormat="1" applyFill="1" applyBorder="1" applyAlignment="1">
      <alignment horizontal="center"/>
    </xf>
    <xf numFmtId="0" fontId="0" fillId="11" borderId="1" xfId="0" applyFill="1" applyBorder="1" applyAlignment="1">
      <alignment horizontal="center"/>
    </xf>
    <xf numFmtId="1" fontId="0" fillId="0" borderId="1" xfId="0" applyNumberFormat="1" applyFont="1" applyBorder="1" applyAlignment="1">
      <alignment horizontal="center"/>
    </xf>
    <xf numFmtId="0" fontId="0" fillId="0" borderId="1" xfId="0" applyFont="1" applyBorder="1" applyAlignment="1">
      <alignment horizontal="center"/>
    </xf>
    <xf numFmtId="1" fontId="0" fillId="0" borderId="35" xfId="0" applyNumberFormat="1" applyFill="1" applyBorder="1"/>
    <xf numFmtId="0" fontId="14" fillId="0" borderId="1" xfId="0" applyFont="1" applyFill="1" applyBorder="1" applyAlignment="1">
      <alignment vertical="center"/>
    </xf>
    <xf numFmtId="0" fontId="14" fillId="0" borderId="1" xfId="0" applyFont="1" applyFill="1" applyBorder="1"/>
    <xf numFmtId="0" fontId="14" fillId="0" borderId="1" xfId="0" applyFont="1" applyBorder="1" applyAlignment="1">
      <alignment horizontal="center"/>
    </xf>
    <xf numFmtId="0" fontId="8" fillId="0" borderId="1" xfId="0" applyFont="1" applyFill="1" applyBorder="1" applyAlignment="1">
      <alignment vertical="center" readingOrder="1"/>
    </xf>
    <xf numFmtId="0" fontId="16" fillId="0" borderId="1" xfId="0" applyFont="1" applyFill="1" applyBorder="1" applyAlignment="1">
      <alignment vertical="center" readingOrder="1"/>
    </xf>
    <xf numFmtId="0" fontId="8" fillId="0" borderId="1" xfId="0" applyFont="1" applyBorder="1" applyAlignment="1">
      <alignment vertical="center" readingOrder="1"/>
    </xf>
    <xf numFmtId="0" fontId="8" fillId="0" borderId="6" xfId="0" applyFont="1" applyFill="1" applyBorder="1" applyAlignment="1">
      <alignment vertical="center" readingOrder="1"/>
    </xf>
    <xf numFmtId="0" fontId="0" fillId="0" borderId="1" xfId="0" applyFont="1" applyBorder="1" applyAlignment="1">
      <alignment wrapText="1"/>
    </xf>
    <xf numFmtId="0" fontId="0" fillId="0" borderId="1" xfId="0" applyFont="1" applyBorder="1" applyAlignment="1">
      <alignment horizontal="left" vertical="center"/>
    </xf>
    <xf numFmtId="0" fontId="0" fillId="0" borderId="1" xfId="0" applyFont="1" applyBorder="1" applyAlignment="1">
      <alignment horizontal="left"/>
    </xf>
    <xf numFmtId="0" fontId="0" fillId="0" borderId="0" xfId="0" applyFont="1"/>
    <xf numFmtId="0" fontId="0" fillId="0" borderId="1" xfId="0" applyFont="1" applyBorder="1" applyAlignment="1">
      <alignment vertical="center"/>
    </xf>
    <xf numFmtId="0" fontId="0" fillId="0" borderId="6" xfId="0" applyFont="1" applyFill="1" applyBorder="1" applyAlignment="1">
      <alignment horizontal="left" vertical="center"/>
    </xf>
    <xf numFmtId="165" fontId="0" fillId="0" borderId="0" xfId="0" applyNumberFormat="1" applyBorder="1"/>
    <xf numFmtId="0" fontId="0" fillId="0" borderId="1" xfId="0" applyBorder="1" applyAlignment="1">
      <alignment horizontal="center" vertical="center"/>
    </xf>
    <xf numFmtId="0" fontId="0" fillId="0" borderId="1" xfId="0" applyBorder="1" applyAlignment="1">
      <alignment horizontal="center" vertical="center"/>
    </xf>
    <xf numFmtId="0" fontId="0" fillId="16" borderId="1" xfId="0" applyFill="1" applyBorder="1"/>
    <xf numFmtId="164" fontId="0" fillId="0" borderId="1" xfId="1" applyNumberFormat="1" applyFont="1" applyFill="1" applyBorder="1"/>
    <xf numFmtId="0" fontId="27" fillId="12" borderId="7" xfId="0" applyFont="1" applyFill="1" applyBorder="1" applyAlignment="1">
      <alignment horizontal="center" vertical="center"/>
    </xf>
    <xf numFmtId="0" fontId="27" fillId="12" borderId="12" xfId="0" applyFont="1" applyFill="1" applyBorder="1" applyAlignment="1">
      <alignment horizontal="center" vertical="center"/>
    </xf>
    <xf numFmtId="1" fontId="29" fillId="12" borderId="1" xfId="0" applyNumberFormat="1" applyFont="1" applyFill="1" applyBorder="1" applyAlignment="1">
      <alignment horizontal="center"/>
    </xf>
    <xf numFmtId="17" fontId="24" fillId="12" borderId="12" xfId="0" applyNumberFormat="1" applyFont="1" applyFill="1" applyBorder="1" applyAlignment="1">
      <alignment horizontal="center" vertical="center"/>
    </xf>
    <xf numFmtId="0" fontId="24" fillId="12" borderId="12" xfId="0" applyFont="1" applyFill="1" applyBorder="1" applyAlignment="1">
      <alignment horizontal="center" vertical="center"/>
    </xf>
    <xf numFmtId="0" fontId="26" fillId="26" borderId="1" xfId="5" applyFont="1" applyFill="1" applyBorder="1" applyAlignment="1">
      <alignment horizontal="center" vertical="center"/>
    </xf>
    <xf numFmtId="0" fontId="30" fillId="28" borderId="1" xfId="5" applyFont="1" applyFill="1" applyBorder="1" applyAlignment="1">
      <alignment horizontal="center" vertical="center" wrapText="1"/>
    </xf>
    <xf numFmtId="0" fontId="31" fillId="0" borderId="1" xfId="5" applyFont="1" applyBorder="1"/>
    <xf numFmtId="2" fontId="31" fillId="12" borderId="1" xfId="5" applyNumberFormat="1" applyFont="1" applyFill="1" applyBorder="1" applyAlignment="1">
      <alignment vertical="center"/>
    </xf>
    <xf numFmtId="0" fontId="0" fillId="28" borderId="1" xfId="0" applyFill="1" applyBorder="1" applyAlignment="1">
      <alignment horizontal="center"/>
    </xf>
    <xf numFmtId="0" fontId="14" fillId="28" borderId="1" xfId="0" applyFont="1" applyFill="1" applyBorder="1"/>
    <xf numFmtId="171" fontId="32" fillId="29" borderId="1" xfId="2" applyNumberFormat="1" applyFont="1" applyFill="1" applyBorder="1" applyAlignment="1">
      <alignment horizontal="center" vertical="center"/>
    </xf>
    <xf numFmtId="0" fontId="30" fillId="11" borderId="12" xfId="5" applyFont="1" applyFill="1" applyBorder="1" applyAlignment="1">
      <alignment horizontal="left" vertical="center"/>
    </xf>
    <xf numFmtId="1" fontId="33" fillId="11" borderId="12" xfId="5" applyNumberFormat="1" applyFont="1" applyFill="1" applyBorder="1" applyAlignment="1">
      <alignment horizontal="left" vertical="center"/>
    </xf>
    <xf numFmtId="1" fontId="33" fillId="11" borderId="12" xfId="6" applyNumberFormat="1" applyFont="1" applyFill="1" applyBorder="1" applyAlignment="1">
      <alignment horizontal="center" vertical="center"/>
    </xf>
    <xf numFmtId="0" fontId="34" fillId="0" borderId="1" xfId="5" applyFont="1" applyBorder="1"/>
    <xf numFmtId="1" fontId="34" fillId="11" borderId="1" xfId="5" applyNumberFormat="1" applyFont="1" applyFill="1" applyBorder="1" applyAlignment="1">
      <alignment vertical="center"/>
    </xf>
    <xf numFmtId="0" fontId="14" fillId="0" borderId="0" xfId="0" applyFont="1"/>
    <xf numFmtId="0" fontId="14" fillId="0" borderId="0" xfId="0" applyFont="1" applyAlignment="1">
      <alignment horizontal="center"/>
    </xf>
    <xf numFmtId="0" fontId="30" fillId="11" borderId="1" xfId="5" applyFont="1" applyFill="1" applyBorder="1" applyAlignment="1">
      <alignment horizontal="left" vertical="center"/>
    </xf>
    <xf numFmtId="1" fontId="33" fillId="11" borderId="1" xfId="5" applyNumberFormat="1" applyFont="1" applyFill="1" applyBorder="1" applyAlignment="1">
      <alignment horizontal="left" vertical="center"/>
    </xf>
    <xf numFmtId="1" fontId="33" fillId="11" borderId="1" xfId="5" applyNumberFormat="1" applyFont="1" applyFill="1" applyBorder="1" applyAlignment="1">
      <alignment horizontal="center" vertical="center"/>
    </xf>
    <xf numFmtId="9" fontId="14" fillId="0" borderId="0" xfId="0" applyNumberFormat="1" applyFont="1" applyFill="1"/>
    <xf numFmtId="164" fontId="34" fillId="11" borderId="1" xfId="5" applyNumberFormat="1" applyFont="1" applyFill="1" applyBorder="1" applyAlignment="1">
      <alignment vertical="center"/>
    </xf>
    <xf numFmtId="0" fontId="14" fillId="28" borderId="1" xfId="0" applyFont="1" applyFill="1" applyBorder="1" applyAlignment="1">
      <alignment horizontal="left"/>
    </xf>
    <xf numFmtId="1" fontId="14" fillId="30" borderId="1" xfId="0" applyNumberFormat="1" applyFont="1" applyFill="1" applyBorder="1" applyAlignment="1">
      <alignment horizontal="center"/>
    </xf>
    <xf numFmtId="1" fontId="33" fillId="11" borderId="1" xfId="6" applyNumberFormat="1" applyFont="1" applyFill="1" applyBorder="1" applyAlignment="1">
      <alignment horizontal="center" vertical="center"/>
    </xf>
    <xf numFmtId="164" fontId="31" fillId="11" borderId="1" xfId="5" applyNumberFormat="1" applyFont="1" applyFill="1" applyBorder="1" applyAlignment="1">
      <alignment vertical="center"/>
    </xf>
    <xf numFmtId="171" fontId="34" fillId="11" borderId="1" xfId="2" applyNumberFormat="1" applyFont="1" applyFill="1" applyBorder="1" applyAlignment="1">
      <alignment vertical="center"/>
    </xf>
    <xf numFmtId="1" fontId="14" fillId="28" borderId="1" xfId="0" applyNumberFormat="1" applyFont="1" applyFill="1" applyBorder="1" applyAlignment="1">
      <alignment horizontal="center"/>
    </xf>
    <xf numFmtId="17" fontId="34" fillId="0" borderId="1" xfId="5" applyNumberFormat="1" applyFont="1" applyBorder="1"/>
    <xf numFmtId="2" fontId="14" fillId="28" borderId="1" xfId="0" applyNumberFormat="1" applyFont="1" applyFill="1" applyBorder="1" applyAlignment="1">
      <alignment horizontal="center"/>
    </xf>
    <xf numFmtId="0" fontId="30" fillId="12" borderId="25" xfId="5" applyFont="1" applyFill="1" applyBorder="1" applyAlignment="1">
      <alignment horizontal="left" vertical="center"/>
    </xf>
    <xf numFmtId="0" fontId="30" fillId="12" borderId="1" xfId="5" applyFont="1" applyFill="1" applyBorder="1" applyAlignment="1">
      <alignment horizontal="left" vertical="center"/>
    </xf>
    <xf numFmtId="1" fontId="33" fillId="12" borderId="1" xfId="5" applyNumberFormat="1" applyFont="1" applyFill="1" applyBorder="1" applyAlignment="1">
      <alignment horizontal="left" vertical="center"/>
    </xf>
    <xf numFmtId="1" fontId="33" fillId="12" borderId="1" xfId="5" applyNumberFormat="1" applyFont="1" applyFill="1" applyBorder="1" applyAlignment="1">
      <alignment horizontal="center" vertical="center"/>
    </xf>
    <xf numFmtId="0" fontId="14" fillId="28" borderId="1" xfId="0" applyFont="1" applyFill="1" applyBorder="1" applyAlignment="1">
      <alignment horizontal="center"/>
    </xf>
    <xf numFmtId="165" fontId="14" fillId="28" borderId="1" xfId="0" applyNumberFormat="1" applyFont="1" applyFill="1" applyBorder="1" applyAlignment="1">
      <alignment horizontal="center"/>
    </xf>
    <xf numFmtId="1" fontId="33" fillId="0" borderId="1" xfId="6" applyNumberFormat="1" applyFont="1" applyFill="1" applyBorder="1" applyAlignment="1">
      <alignment horizontal="center" vertical="center"/>
    </xf>
    <xf numFmtId="9" fontId="14" fillId="28" borderId="1" xfId="0" applyNumberFormat="1" applyFont="1" applyFill="1" applyBorder="1" applyAlignment="1">
      <alignment horizontal="center"/>
    </xf>
    <xf numFmtId="170" fontId="14" fillId="28" borderId="1" xfId="0" applyNumberFormat="1" applyFont="1" applyFill="1" applyBorder="1" applyAlignment="1">
      <alignment horizontal="center"/>
    </xf>
    <xf numFmtId="0" fontId="24" fillId="28" borderId="1" xfId="0" applyFont="1" applyFill="1" applyBorder="1"/>
    <xf numFmtId="1" fontId="24" fillId="28" borderId="1" xfId="0" applyNumberFormat="1" applyFont="1" applyFill="1" applyBorder="1" applyAlignment="1">
      <alignment horizontal="center"/>
    </xf>
    <xf numFmtId="2" fontId="24" fillId="28" borderId="1" xfId="0" applyNumberFormat="1" applyFont="1" applyFill="1" applyBorder="1" applyAlignment="1">
      <alignment horizontal="center"/>
    </xf>
    <xf numFmtId="0" fontId="0" fillId="0" borderId="0" xfId="0" applyFill="1" applyAlignment="1">
      <alignment horizontal="center"/>
    </xf>
    <xf numFmtId="0" fontId="14" fillId="0" borderId="0" xfId="0" applyFont="1" applyFill="1"/>
    <xf numFmtId="0" fontId="24" fillId="31" borderId="1" xfId="0" applyFont="1" applyFill="1" applyBorder="1"/>
    <xf numFmtId="2" fontId="24" fillId="31" borderId="1" xfId="0" applyNumberFormat="1" applyFont="1" applyFill="1" applyBorder="1" applyAlignment="1">
      <alignment horizontal="center" vertical="center"/>
    </xf>
    <xf numFmtId="0" fontId="4" fillId="12" borderId="12" xfId="0" applyFont="1" applyFill="1" applyBorder="1" applyAlignment="1">
      <alignment horizontal="center" vertical="center"/>
    </xf>
    <xf numFmtId="0" fontId="24" fillId="12" borderId="12" xfId="0" applyFont="1" applyFill="1" applyBorder="1" applyAlignment="1">
      <alignment horizontal="center"/>
    </xf>
    <xf numFmtId="0" fontId="24" fillId="12" borderId="1" xfId="0" applyFont="1" applyFill="1" applyBorder="1" applyAlignment="1">
      <alignment horizontal="center"/>
    </xf>
    <xf numFmtId="0" fontId="0" fillId="32" borderId="1" xfId="0" applyFill="1" applyBorder="1" applyAlignment="1">
      <alignment horizontal="center"/>
    </xf>
    <xf numFmtId="0" fontId="14" fillId="32" borderId="1" xfId="0" applyFont="1" applyFill="1" applyBorder="1"/>
    <xf numFmtId="2" fontId="14" fillId="32" borderId="1" xfId="0" applyNumberFormat="1" applyFont="1" applyFill="1" applyBorder="1" applyAlignment="1">
      <alignment horizontal="center" vertical="center"/>
    </xf>
    <xf numFmtId="9" fontId="14" fillId="32" borderId="1" xfId="2" applyFont="1" applyFill="1" applyBorder="1" applyAlignment="1">
      <alignment horizontal="center" vertical="center"/>
    </xf>
    <xf numFmtId="165" fontId="14" fillId="32" borderId="1" xfId="0" applyNumberFormat="1" applyFont="1" applyFill="1" applyBorder="1" applyAlignment="1">
      <alignment horizontal="center" vertical="center"/>
    </xf>
    <xf numFmtId="1" fontId="14" fillId="32" borderId="1" xfId="0" applyNumberFormat="1" applyFont="1" applyFill="1" applyBorder="1" applyAlignment="1">
      <alignment horizontal="center" vertical="center"/>
    </xf>
    <xf numFmtId="0" fontId="30" fillId="11" borderId="1" xfId="5" applyFont="1" applyFill="1" applyBorder="1" applyAlignment="1">
      <alignment horizontal="center" vertical="center"/>
    </xf>
    <xf numFmtId="0" fontId="24" fillId="32" borderId="1" xfId="0" applyFont="1" applyFill="1" applyBorder="1"/>
    <xf numFmtId="1" fontId="24" fillId="32" borderId="1" xfId="0" applyNumberFormat="1" applyFont="1" applyFill="1" applyBorder="1" applyAlignment="1">
      <alignment horizontal="center" vertical="center"/>
    </xf>
    <xf numFmtId="0" fontId="14" fillId="0" borderId="0" xfId="0" applyFont="1" applyFill="1" applyAlignment="1">
      <alignment horizontal="center" vertical="center"/>
    </xf>
    <xf numFmtId="165" fontId="14" fillId="0" borderId="0" xfId="0" applyNumberFormat="1" applyFont="1" applyBorder="1"/>
    <xf numFmtId="165" fontId="24" fillId="32" borderId="1" xfId="0" applyNumberFormat="1" applyFont="1" applyFill="1" applyBorder="1" applyAlignment="1">
      <alignment horizontal="center" vertical="center"/>
    </xf>
    <xf numFmtId="0" fontId="14" fillId="32" borderId="1" xfId="0" applyFont="1" applyFill="1" applyBorder="1" applyAlignment="1">
      <alignment horizontal="center" vertical="center"/>
    </xf>
    <xf numFmtId="1" fontId="14" fillId="0" borderId="0" xfId="0" applyNumberFormat="1" applyFont="1" applyFill="1" applyAlignment="1">
      <alignment horizontal="center" vertical="center"/>
    </xf>
    <xf numFmtId="0" fontId="24" fillId="31" borderId="1" xfId="0" applyFont="1" applyFill="1" applyBorder="1" applyAlignment="1">
      <alignment horizontal="center" vertical="center"/>
    </xf>
    <xf numFmtId="165" fontId="24" fillId="31" borderId="1" xfId="0" applyNumberFormat="1" applyFont="1" applyFill="1" applyBorder="1" applyAlignment="1">
      <alignment horizontal="center" vertical="center"/>
    </xf>
    <xf numFmtId="1" fontId="30" fillId="12" borderId="1" xfId="6" applyNumberFormat="1" applyFont="1" applyFill="1" applyBorder="1" applyAlignment="1">
      <alignment horizontal="center" vertical="center"/>
    </xf>
    <xf numFmtId="0" fontId="0" fillId="30" borderId="1" xfId="0" applyFill="1" applyBorder="1" applyAlignment="1">
      <alignment horizontal="center"/>
    </xf>
    <xf numFmtId="0" fontId="14" fillId="30" borderId="1" xfId="0" applyFont="1" applyFill="1" applyBorder="1"/>
    <xf numFmtId="2" fontId="14" fillId="30" borderId="1" xfId="0" applyNumberFormat="1" applyFont="1" applyFill="1" applyBorder="1" applyAlignment="1">
      <alignment horizontal="center" vertical="center"/>
    </xf>
    <xf numFmtId="9" fontId="14" fillId="30" borderId="1" xfId="2" applyFont="1" applyFill="1" applyBorder="1" applyAlignment="1">
      <alignment horizontal="center" vertical="center"/>
    </xf>
    <xf numFmtId="165" fontId="14" fillId="30" borderId="1" xfId="0" applyNumberFormat="1" applyFont="1" applyFill="1" applyBorder="1" applyAlignment="1">
      <alignment horizontal="center" vertical="center"/>
    </xf>
    <xf numFmtId="1" fontId="14" fillId="30" borderId="1" xfId="0" applyNumberFormat="1" applyFont="1" applyFill="1" applyBorder="1" applyAlignment="1">
      <alignment horizontal="center" vertical="center"/>
    </xf>
    <xf numFmtId="0" fontId="24" fillId="30" borderId="1" xfId="0" applyFont="1" applyFill="1" applyBorder="1"/>
    <xf numFmtId="1" fontId="24" fillId="30" borderId="1" xfId="0" applyNumberFormat="1" applyFont="1" applyFill="1" applyBorder="1" applyAlignment="1">
      <alignment horizontal="center" vertical="center"/>
    </xf>
    <xf numFmtId="0" fontId="14" fillId="30" borderId="0" xfId="0" applyFont="1" applyFill="1" applyAlignment="1">
      <alignment horizontal="center" vertical="center"/>
    </xf>
    <xf numFmtId="0" fontId="14" fillId="30" borderId="0" xfId="0" applyFont="1" applyFill="1"/>
    <xf numFmtId="165" fontId="14" fillId="30" borderId="0" xfId="0" applyNumberFormat="1" applyFont="1" applyFill="1" applyBorder="1"/>
    <xf numFmtId="0" fontId="14" fillId="30" borderId="0" xfId="0" applyFont="1" applyFill="1" applyAlignment="1">
      <alignment horizontal="center"/>
    </xf>
    <xf numFmtId="165" fontId="24" fillId="30" borderId="1" xfId="0" applyNumberFormat="1" applyFont="1" applyFill="1" applyBorder="1" applyAlignment="1">
      <alignment horizontal="center" vertical="center"/>
    </xf>
    <xf numFmtId="0" fontId="4" fillId="12" borderId="6" xfId="0" applyFont="1" applyFill="1" applyBorder="1" applyAlignment="1">
      <alignment horizontal="center" vertical="center"/>
    </xf>
    <xf numFmtId="0" fontId="24" fillId="12" borderId="6" xfId="0" applyFont="1" applyFill="1" applyBorder="1" applyAlignment="1">
      <alignment horizontal="center"/>
    </xf>
    <xf numFmtId="17" fontId="24" fillId="12" borderId="6" xfId="0" applyNumberFormat="1" applyFont="1" applyFill="1" applyBorder="1" applyAlignment="1">
      <alignment horizontal="center" vertical="center"/>
    </xf>
    <xf numFmtId="0" fontId="0" fillId="33" borderId="1" xfId="0" applyFill="1" applyBorder="1"/>
    <xf numFmtId="0" fontId="14" fillId="33" borderId="1" xfId="0" applyFont="1" applyFill="1" applyBorder="1"/>
    <xf numFmtId="0" fontId="14" fillId="33" borderId="1" xfId="0" applyFont="1" applyFill="1" applyBorder="1" applyAlignment="1">
      <alignment horizontal="center" vertical="center"/>
    </xf>
    <xf numFmtId="1" fontId="30" fillId="12" borderId="1" xfId="5" applyNumberFormat="1" applyFont="1" applyFill="1" applyBorder="1" applyAlignment="1">
      <alignment horizontal="left" vertical="center"/>
    </xf>
    <xf numFmtId="9" fontId="14" fillId="33" borderId="1" xfId="0" applyNumberFormat="1" applyFont="1" applyFill="1" applyBorder="1" applyAlignment="1">
      <alignment horizontal="center" vertical="center"/>
    </xf>
    <xf numFmtId="1" fontId="14" fillId="33" borderId="1" xfId="0" applyNumberFormat="1" applyFont="1" applyFill="1" applyBorder="1"/>
    <xf numFmtId="0" fontId="36" fillId="11" borderId="1" xfId="5" applyFont="1" applyFill="1" applyBorder="1" applyAlignment="1">
      <alignment horizontal="left" vertical="center"/>
    </xf>
    <xf numFmtId="1" fontId="35" fillId="11" borderId="1" xfId="5" applyNumberFormat="1" applyFont="1" applyFill="1" applyBorder="1" applyAlignment="1">
      <alignment horizontal="left" vertical="center"/>
    </xf>
    <xf numFmtId="2" fontId="14" fillId="33" borderId="1" xfId="0" applyNumberFormat="1" applyFont="1" applyFill="1" applyBorder="1"/>
    <xf numFmtId="0" fontId="25" fillId="2" borderId="0" xfId="0" applyFont="1" applyFill="1" applyAlignment="1">
      <alignment horizontal="center" vertical="center"/>
    </xf>
    <xf numFmtId="2" fontId="25" fillId="2" borderId="0" xfId="0" applyNumberFormat="1" applyFont="1" applyFill="1" applyAlignment="1">
      <alignment horizontal="center" vertical="center"/>
    </xf>
    <xf numFmtId="0" fontId="37" fillId="12" borderId="25" xfId="5" applyFont="1" applyFill="1" applyBorder="1" applyAlignment="1">
      <alignment horizontal="left" vertical="center"/>
    </xf>
    <xf numFmtId="0" fontId="37" fillId="12" borderId="1" xfId="5" applyFont="1" applyFill="1" applyBorder="1" applyAlignment="1">
      <alignment horizontal="left" vertical="center"/>
    </xf>
    <xf numFmtId="1" fontId="37" fillId="12" borderId="1" xfId="5" applyNumberFormat="1" applyFont="1" applyFill="1" applyBorder="1" applyAlignment="1">
      <alignment horizontal="left" vertical="center"/>
    </xf>
    <xf numFmtId="1" fontId="37" fillId="12" borderId="1" xfId="5" applyNumberFormat="1" applyFont="1" applyFill="1" applyBorder="1" applyAlignment="1">
      <alignment horizontal="center" vertical="center"/>
    </xf>
    <xf numFmtId="0" fontId="39" fillId="11" borderId="1" xfId="5" applyFont="1" applyFill="1" applyBorder="1" applyAlignment="1">
      <alignment horizontal="left" vertical="center"/>
    </xf>
    <xf numFmtId="1" fontId="38" fillId="11" borderId="1" xfId="5" applyNumberFormat="1" applyFont="1" applyFill="1" applyBorder="1" applyAlignment="1">
      <alignment horizontal="left" vertical="center"/>
    </xf>
    <xf numFmtId="0" fontId="0" fillId="19" borderId="1" xfId="0" applyFill="1" applyBorder="1" applyAlignment="1">
      <alignment horizontal="center"/>
    </xf>
    <xf numFmtId="0" fontId="14" fillId="19" borderId="1" xfId="0" applyFont="1" applyFill="1" applyBorder="1"/>
    <xf numFmtId="2" fontId="14" fillId="19" borderId="1" xfId="0" applyNumberFormat="1" applyFont="1" applyFill="1" applyBorder="1" applyAlignment="1">
      <alignment horizontal="center" vertical="center"/>
    </xf>
    <xf numFmtId="9" fontId="14" fillId="19" borderId="1" xfId="2" applyFont="1" applyFill="1" applyBorder="1" applyAlignment="1">
      <alignment horizontal="center" vertical="center"/>
    </xf>
    <xf numFmtId="165" fontId="14" fillId="19" borderId="1" xfId="0" applyNumberFormat="1" applyFont="1" applyFill="1" applyBorder="1" applyAlignment="1">
      <alignment horizontal="center" vertical="center"/>
    </xf>
    <xf numFmtId="1" fontId="14" fillId="19" borderId="1" xfId="0" applyNumberFormat="1" applyFont="1" applyFill="1" applyBorder="1" applyAlignment="1">
      <alignment horizontal="center" vertical="center"/>
    </xf>
    <xf numFmtId="0" fontId="24" fillId="19" borderId="1" xfId="0" applyFont="1" applyFill="1" applyBorder="1"/>
    <xf numFmtId="1" fontId="24" fillId="19" borderId="1" xfId="0" applyNumberFormat="1" applyFont="1" applyFill="1" applyBorder="1" applyAlignment="1">
      <alignment horizontal="center" vertical="center"/>
    </xf>
    <xf numFmtId="0" fontId="14" fillId="19" borderId="1" xfId="0" applyFont="1" applyFill="1" applyBorder="1" applyAlignment="1">
      <alignment horizontal="center" vertical="center"/>
    </xf>
    <xf numFmtId="165" fontId="14" fillId="19" borderId="1" xfId="0" applyNumberFormat="1" applyFont="1" applyFill="1" applyBorder="1"/>
    <xf numFmtId="0" fontId="14" fillId="19" borderId="1" xfId="0" applyFont="1" applyFill="1" applyBorder="1" applyAlignment="1">
      <alignment horizontal="center"/>
    </xf>
    <xf numFmtId="165" fontId="24" fillId="19" borderId="1" xfId="0" applyNumberFormat="1" applyFont="1" applyFill="1" applyBorder="1" applyAlignment="1">
      <alignment horizontal="center" vertical="center"/>
    </xf>
    <xf numFmtId="0" fontId="14" fillId="32" borderId="12" xfId="0" applyFont="1" applyFill="1" applyBorder="1" applyAlignment="1">
      <alignment horizontal="center" vertical="center"/>
    </xf>
    <xf numFmtId="1" fontId="14" fillId="32" borderId="12" xfId="0" applyNumberFormat="1" applyFont="1" applyFill="1" applyBorder="1" applyAlignment="1">
      <alignment horizontal="center" vertical="center"/>
    </xf>
    <xf numFmtId="0" fontId="5" fillId="0" borderId="0" xfId="0" applyFont="1" applyAlignment="1">
      <alignment horizontal="center"/>
    </xf>
    <xf numFmtId="0" fontId="40" fillId="0" borderId="0" xfId="0" applyFont="1"/>
    <xf numFmtId="2" fontId="14" fillId="0" borderId="0" xfId="0" applyNumberFormat="1" applyFont="1"/>
    <xf numFmtId="165" fontId="4" fillId="12" borderId="1" xfId="0" applyNumberFormat="1" applyFont="1" applyFill="1" applyBorder="1" applyAlignment="1">
      <alignment horizontal="center" vertical="center"/>
    </xf>
    <xf numFmtId="0" fontId="4" fillId="12" borderId="12" xfId="0" applyFont="1" applyFill="1" applyBorder="1" applyAlignment="1">
      <alignment horizontal="center"/>
    </xf>
    <xf numFmtId="0" fontId="14" fillId="19" borderId="1" xfId="0" applyFont="1" applyFill="1" applyBorder="1" applyAlignment="1">
      <alignment horizontal="left"/>
    </xf>
    <xf numFmtId="1" fontId="41" fillId="19" borderId="1" xfId="0" applyNumberFormat="1" applyFont="1" applyFill="1" applyBorder="1" applyAlignment="1">
      <alignment horizontal="center" vertical="center"/>
    </xf>
    <xf numFmtId="0" fontId="14" fillId="19" borderId="6" xfId="0" applyFont="1" applyFill="1" applyBorder="1" applyAlignment="1">
      <alignment horizontal="left"/>
    </xf>
    <xf numFmtId="0" fontId="14" fillId="19" borderId="1" xfId="0" applyFont="1" applyFill="1" applyBorder="1" applyAlignment="1">
      <alignment vertical="center"/>
    </xf>
    <xf numFmtId="1" fontId="14" fillId="19" borderId="1" xfId="0" applyNumberFormat="1" applyFont="1" applyFill="1" applyBorder="1" applyAlignment="1">
      <alignment horizontal="center"/>
    </xf>
    <xf numFmtId="9" fontId="14" fillId="19" borderId="1" xfId="0" applyNumberFormat="1" applyFont="1" applyFill="1" applyBorder="1" applyAlignment="1">
      <alignment horizontal="center"/>
    </xf>
    <xf numFmtId="21" fontId="0" fillId="0" borderId="0" xfId="0" applyNumberFormat="1"/>
    <xf numFmtId="0" fontId="26" fillId="26" borderId="25" xfId="5" applyFont="1" applyFill="1" applyBorder="1" applyAlignment="1">
      <alignment horizontal="left" vertical="center"/>
    </xf>
    <xf numFmtId="0" fontId="26" fillId="26" borderId="1" xfId="5" applyFont="1" applyFill="1" applyBorder="1" applyAlignment="1">
      <alignment horizontal="left" vertical="center"/>
    </xf>
    <xf numFmtId="1" fontId="42" fillId="26" borderId="1" xfId="5" applyNumberFormat="1" applyFont="1" applyFill="1" applyBorder="1" applyAlignment="1">
      <alignment horizontal="left" vertical="center"/>
    </xf>
    <xf numFmtId="1" fontId="26" fillId="26" borderId="1" xfId="6" applyNumberFormat="1" applyFont="1" applyFill="1" applyBorder="1" applyAlignment="1">
      <alignment horizontal="center" vertical="center"/>
    </xf>
    <xf numFmtId="1" fontId="42" fillId="26" borderId="1" xfId="5" applyNumberFormat="1" applyFont="1" applyFill="1" applyBorder="1" applyAlignment="1">
      <alignment horizontal="center" vertical="center"/>
    </xf>
    <xf numFmtId="0" fontId="4" fillId="19" borderId="1" xfId="0" applyFont="1" applyFill="1" applyBorder="1" applyAlignment="1">
      <alignment horizontal="center" vertical="center"/>
    </xf>
    <xf numFmtId="0" fontId="24" fillId="19" borderId="1" xfId="0" applyFont="1" applyFill="1" applyBorder="1" applyAlignment="1">
      <alignment horizontal="left" vertical="center"/>
    </xf>
    <xf numFmtId="0" fontId="26" fillId="26" borderId="50" xfId="5" applyFont="1" applyFill="1" applyBorder="1" applyAlignment="1">
      <alignment horizontal="left" vertical="center"/>
    </xf>
    <xf numFmtId="0" fontId="26" fillId="26" borderId="7" xfId="5" applyFont="1" applyFill="1" applyBorder="1" applyAlignment="1">
      <alignment horizontal="left" vertical="center"/>
    </xf>
    <xf numFmtId="1" fontId="42" fillId="26" borderId="7" xfId="5" applyNumberFormat="1" applyFont="1" applyFill="1" applyBorder="1" applyAlignment="1">
      <alignment horizontal="left" vertical="center"/>
    </xf>
    <xf numFmtId="1" fontId="26" fillId="26" borderId="7" xfId="6" applyNumberFormat="1" applyFont="1" applyFill="1" applyBorder="1" applyAlignment="1">
      <alignment horizontal="center" vertical="center"/>
    </xf>
    <xf numFmtId="0" fontId="0" fillId="0" borderId="0" xfId="0" applyFill="1" applyBorder="1" applyAlignment="1">
      <alignment horizontal="center"/>
    </xf>
    <xf numFmtId="0" fontId="14" fillId="0" borderId="0" xfId="0" applyFont="1" applyFill="1" applyBorder="1" applyAlignment="1">
      <alignment horizontal="center" vertical="center"/>
    </xf>
    <xf numFmtId="0" fontId="14" fillId="0" borderId="0" xfId="0" applyFont="1" applyFill="1" applyBorder="1" applyAlignment="1">
      <alignment horizontal="center"/>
    </xf>
    <xf numFmtId="0" fontId="14" fillId="0" borderId="40" xfId="0" applyFont="1" applyFill="1" applyBorder="1" applyAlignment="1">
      <alignment horizontal="center"/>
    </xf>
    <xf numFmtId="0" fontId="24" fillId="31" borderId="1" xfId="0" applyFont="1" applyFill="1" applyBorder="1" applyAlignment="1">
      <alignment horizontal="center" wrapText="1"/>
    </xf>
    <xf numFmtId="1" fontId="24" fillId="31" borderId="1" xfId="0" applyNumberFormat="1" applyFont="1" applyFill="1" applyBorder="1" applyAlignment="1">
      <alignment horizontal="center" vertical="center"/>
    </xf>
    <xf numFmtId="0" fontId="14" fillId="0" borderId="0" xfId="0" applyFont="1" applyAlignment="1">
      <alignment horizontal="center" vertical="center"/>
    </xf>
    <xf numFmtId="1" fontId="14" fillId="0" borderId="0" xfId="0" applyNumberFormat="1" applyFont="1"/>
    <xf numFmtId="165" fontId="14" fillId="0" borderId="0" xfId="0" applyNumberFormat="1" applyFont="1"/>
    <xf numFmtId="1" fontId="14" fillId="0" borderId="0" xfId="0" applyNumberFormat="1" applyFont="1" applyAlignment="1">
      <alignment horizontal="center" vertical="center"/>
    </xf>
    <xf numFmtId="43" fontId="31" fillId="0" borderId="24" xfId="5" applyNumberFormat="1" applyFont="1" applyBorder="1" applyAlignment="1">
      <alignment horizontal="left"/>
    </xf>
    <xf numFmtId="1" fontId="30" fillId="0" borderId="22" xfId="0" applyNumberFormat="1" applyFont="1" applyBorder="1" applyAlignment="1">
      <alignment horizontal="center" vertical="center"/>
    </xf>
    <xf numFmtId="43" fontId="26" fillId="25" borderId="29" xfId="5" applyNumberFormat="1" applyFont="1" applyFill="1" applyBorder="1" applyAlignment="1">
      <alignment horizontal="left"/>
    </xf>
    <xf numFmtId="165" fontId="30" fillId="28" borderId="34" xfId="0" applyNumberFormat="1" applyFont="1" applyFill="1" applyBorder="1" applyAlignment="1">
      <alignment horizontal="center" vertical="center"/>
    </xf>
    <xf numFmtId="0" fontId="4" fillId="12" borderId="1" xfId="0" applyFont="1" applyFill="1" applyBorder="1" applyAlignment="1">
      <alignment horizontal="center" vertical="center"/>
    </xf>
    <xf numFmtId="17" fontId="24" fillId="12" borderId="1" xfId="0" applyNumberFormat="1" applyFont="1" applyFill="1" applyBorder="1" applyAlignment="1">
      <alignment horizontal="center" vertical="center"/>
    </xf>
    <xf numFmtId="0" fontId="14" fillId="16" borderId="1" xfId="0" applyFont="1" applyFill="1" applyBorder="1"/>
    <xf numFmtId="9" fontId="14" fillId="16" borderId="1" xfId="0" applyNumberFormat="1" applyFont="1" applyFill="1" applyBorder="1"/>
    <xf numFmtId="1" fontId="14" fillId="16" borderId="1" xfId="0" applyNumberFormat="1" applyFont="1" applyFill="1" applyBorder="1"/>
    <xf numFmtId="169" fontId="14" fillId="16" borderId="1" xfId="0" applyNumberFormat="1" applyFont="1" applyFill="1" applyBorder="1"/>
    <xf numFmtId="2" fontId="14" fillId="16" borderId="1" xfId="0" applyNumberFormat="1" applyFont="1" applyFill="1" applyBorder="1"/>
    <xf numFmtId="170" fontId="14" fillId="16" borderId="1" xfId="0" applyNumberFormat="1" applyFont="1" applyFill="1" applyBorder="1"/>
    <xf numFmtId="170" fontId="0" fillId="0" borderId="0" xfId="0" applyNumberFormat="1"/>
    <xf numFmtId="9" fontId="25" fillId="2" borderId="0" xfId="2" applyFont="1" applyFill="1" applyBorder="1" applyAlignment="1">
      <alignment horizontal="center" vertical="center"/>
    </xf>
    <xf numFmtId="2" fontId="25" fillId="2" borderId="0" xfId="2" applyNumberFormat="1" applyFont="1" applyFill="1" applyBorder="1" applyAlignment="1">
      <alignment horizontal="center" vertical="center"/>
    </xf>
    <xf numFmtId="170" fontId="14" fillId="0" borderId="0" xfId="0" applyNumberFormat="1" applyFont="1"/>
    <xf numFmtId="0" fontId="4" fillId="12" borderId="1" xfId="0" applyFont="1" applyFill="1" applyBorder="1" applyAlignment="1">
      <alignment horizontal="center"/>
    </xf>
    <xf numFmtId="0" fontId="0" fillId="20" borderId="1" xfId="0" applyFill="1" applyBorder="1" applyAlignment="1">
      <alignment horizontal="center"/>
    </xf>
    <xf numFmtId="0" fontId="14" fillId="20" borderId="1" xfId="0" applyFont="1" applyFill="1" applyBorder="1" applyAlignment="1">
      <alignment horizontal="left"/>
    </xf>
    <xf numFmtId="1" fontId="41" fillId="20" borderId="1" xfId="0" applyNumberFormat="1" applyFont="1" applyFill="1" applyBorder="1" applyAlignment="1">
      <alignment horizontal="center" vertical="center"/>
    </xf>
    <xf numFmtId="165" fontId="41" fillId="20" borderId="1" xfId="0" applyNumberFormat="1" applyFont="1" applyFill="1" applyBorder="1" applyAlignment="1">
      <alignment horizontal="center" vertical="center"/>
    </xf>
    <xf numFmtId="165" fontId="41" fillId="20" borderId="1" xfId="0" applyNumberFormat="1" applyFont="1" applyFill="1" applyBorder="1" applyAlignment="1">
      <alignment horizontal="center"/>
    </xf>
    <xf numFmtId="170" fontId="14" fillId="20" borderId="1" xfId="0" applyNumberFormat="1" applyFont="1" applyFill="1" applyBorder="1" applyAlignment="1">
      <alignment horizontal="center" vertical="center"/>
    </xf>
    <xf numFmtId="165" fontId="14" fillId="20" borderId="1" xfId="0" applyNumberFormat="1" applyFont="1" applyFill="1" applyBorder="1" applyAlignment="1">
      <alignment horizontal="center" vertical="center"/>
    </xf>
    <xf numFmtId="0" fontId="14" fillId="0" borderId="0" xfId="0" applyFont="1" applyFill="1" applyBorder="1" applyAlignment="1">
      <alignment horizontal="left"/>
    </xf>
    <xf numFmtId="9" fontId="14" fillId="0" borderId="0" xfId="2" applyFont="1" applyFill="1" applyBorder="1" applyAlignment="1">
      <alignment horizontal="center" vertical="center"/>
    </xf>
    <xf numFmtId="2" fontId="14" fillId="0" borderId="0" xfId="2" applyNumberFormat="1" applyFont="1" applyFill="1" applyBorder="1" applyAlignment="1">
      <alignment horizontal="center" vertical="center"/>
    </xf>
    <xf numFmtId="0" fontId="32" fillId="0" borderId="1" xfId="5" applyFont="1" applyFill="1" applyBorder="1" applyAlignment="1">
      <alignment horizontal="right"/>
    </xf>
    <xf numFmtId="165" fontId="34" fillId="11" borderId="1" xfId="5" applyNumberFormat="1" applyFont="1" applyFill="1" applyBorder="1" applyAlignment="1">
      <alignment horizontal="center" vertical="center"/>
    </xf>
    <xf numFmtId="0" fontId="34" fillId="0" borderId="1" xfId="5" applyFont="1" applyFill="1" applyBorder="1" applyAlignment="1">
      <alignment horizontal="center" vertical="center"/>
    </xf>
    <xf numFmtId="0" fontId="31" fillId="0" borderId="1" xfId="5" applyFont="1" applyFill="1" applyBorder="1" applyAlignment="1">
      <alignment horizontal="center" vertical="center"/>
    </xf>
    <xf numFmtId="165" fontId="34" fillId="11" borderId="47" xfId="5" applyNumberFormat="1" applyFont="1" applyFill="1" applyBorder="1" applyAlignment="1">
      <alignment horizontal="center" vertical="center"/>
    </xf>
    <xf numFmtId="2" fontId="34" fillId="11" borderId="1" xfId="5" applyNumberFormat="1" applyFont="1" applyFill="1" applyBorder="1" applyAlignment="1">
      <alignment horizontal="center" vertical="center"/>
    </xf>
    <xf numFmtId="0" fontId="0" fillId="0" borderId="1" xfId="0" applyBorder="1" applyAlignment="1">
      <alignment vertical="center"/>
    </xf>
    <xf numFmtId="0" fontId="0" fillId="20" borderId="1" xfId="0" applyFill="1" applyBorder="1" applyAlignment="1">
      <alignment horizontal="center" vertical="center" wrapText="1"/>
    </xf>
    <xf numFmtId="0" fontId="0" fillId="30" borderId="1" xfId="0" applyFill="1" applyBorder="1" applyAlignment="1">
      <alignment horizontal="center" vertical="center" wrapText="1"/>
    </xf>
    <xf numFmtId="0" fontId="0" fillId="3" borderId="1" xfId="0" applyFill="1" applyBorder="1" applyAlignment="1">
      <alignment horizontal="center" vertical="center" wrapText="1"/>
    </xf>
    <xf numFmtId="0" fontId="0" fillId="16" borderId="1" xfId="0" applyFill="1" applyBorder="1" applyAlignment="1">
      <alignment horizontal="center" vertical="center" wrapText="1"/>
    </xf>
    <xf numFmtId="0" fontId="0" fillId="21" borderId="1" xfId="0" applyFill="1" applyBorder="1" applyAlignment="1">
      <alignment horizontal="center" vertical="center" wrapText="1"/>
    </xf>
    <xf numFmtId="0" fontId="0" fillId="21" borderId="5" xfId="0" applyFill="1" applyBorder="1" applyAlignment="1">
      <alignment horizontal="center" vertical="center" wrapText="1"/>
    </xf>
    <xf numFmtId="0" fontId="0" fillId="20" borderId="1" xfId="0" applyFill="1" applyBorder="1" applyAlignment="1">
      <alignment horizontal="center" vertical="center"/>
    </xf>
    <xf numFmtId="0" fontId="0" fillId="30" borderId="1" xfId="0" applyFill="1" applyBorder="1" applyAlignment="1">
      <alignment horizontal="center" vertical="center"/>
    </xf>
    <xf numFmtId="0" fontId="0" fillId="3" borderId="1" xfId="0" applyFill="1" applyBorder="1" applyAlignment="1">
      <alignment horizontal="center" vertical="center"/>
    </xf>
    <xf numFmtId="0" fontId="0" fillId="16" borderId="1" xfId="0" applyFill="1" applyBorder="1" applyAlignment="1">
      <alignment horizontal="center" vertical="center"/>
    </xf>
    <xf numFmtId="0" fontId="0" fillId="21" borderId="1" xfId="0" applyFill="1" applyBorder="1" applyAlignment="1">
      <alignment horizontal="center" vertical="center"/>
    </xf>
    <xf numFmtId="0" fontId="0" fillId="21" borderId="5" xfId="0" applyFill="1" applyBorder="1" applyAlignment="1">
      <alignment horizontal="center" vertical="center"/>
    </xf>
    <xf numFmtId="0" fontId="14" fillId="0" borderId="1" xfId="0" applyFont="1" applyFill="1" applyBorder="1" applyAlignment="1">
      <alignment wrapText="1"/>
    </xf>
    <xf numFmtId="0" fontId="0" fillId="0" borderId="1" xfId="0" applyBorder="1" applyAlignment="1">
      <alignment wrapText="1"/>
    </xf>
    <xf numFmtId="0" fontId="0" fillId="3" borderId="1" xfId="0" applyFill="1" applyBorder="1" applyAlignment="1">
      <alignment horizontal="center"/>
    </xf>
    <xf numFmtId="0" fontId="0" fillId="16" borderId="1" xfId="0" applyFill="1" applyBorder="1" applyAlignment="1">
      <alignment horizontal="center"/>
    </xf>
    <xf numFmtId="0" fontId="0" fillId="21" borderId="1" xfId="0" applyFill="1" applyBorder="1" applyAlignment="1">
      <alignment horizontal="center"/>
    </xf>
    <xf numFmtId="0" fontId="0" fillId="21" borderId="5" xfId="0" applyFill="1" applyBorder="1" applyAlignment="1">
      <alignment horizontal="center"/>
    </xf>
    <xf numFmtId="0" fontId="0" fillId="0" borderId="1" xfId="0" applyFill="1" applyBorder="1" applyAlignment="1">
      <alignment vertical="center"/>
    </xf>
    <xf numFmtId="0" fontId="4" fillId="0" borderId="1" xfId="0" applyFont="1" applyBorder="1" applyAlignment="1">
      <alignment horizontal="center" vertical="center"/>
    </xf>
    <xf numFmtId="0" fontId="0" fillId="0" borderId="1" xfId="0" applyFont="1" applyFill="1" applyBorder="1" applyAlignment="1">
      <alignment horizontal="left" vertical="center"/>
    </xf>
    <xf numFmtId="1" fontId="0" fillId="0" borderId="1" xfId="0" quotePrefix="1" applyNumberFormat="1" applyBorder="1" applyAlignment="1">
      <alignment horizontal="center" vertical="center"/>
    </xf>
    <xf numFmtId="1" fontId="0" fillId="0" borderId="0" xfId="0" applyNumberFormat="1" applyAlignment="1">
      <alignment horizontal="center" vertical="center"/>
    </xf>
    <xf numFmtId="1" fontId="0" fillId="14" borderId="0" xfId="0" applyNumberFormat="1" applyFill="1"/>
    <xf numFmtId="1" fontId="4" fillId="0" borderId="37" xfId="0" applyNumberFormat="1" applyFont="1" applyBorder="1"/>
    <xf numFmtId="0" fontId="0" fillId="0" borderId="12" xfId="0" applyFill="1" applyBorder="1"/>
    <xf numFmtId="0" fontId="0" fillId="0" borderId="0" xfId="0" applyAlignment="1">
      <alignment wrapText="1"/>
    </xf>
    <xf numFmtId="0" fontId="0" fillId="0" borderId="0" xfId="0" applyAlignment="1">
      <alignment vertical="center"/>
    </xf>
    <xf numFmtId="1" fontId="0" fillId="0" borderId="0" xfId="0" applyNumberFormat="1" applyAlignment="1">
      <alignment wrapText="1"/>
    </xf>
    <xf numFmtId="1" fontId="0" fillId="0" borderId="12" xfId="0" applyNumberFormat="1" applyBorder="1" applyAlignment="1">
      <alignment horizontal="center" vertical="center"/>
    </xf>
    <xf numFmtId="1" fontId="0" fillId="0" borderId="0" xfId="0" applyNumberFormat="1" applyAlignment="1">
      <alignment vertical="center"/>
    </xf>
    <xf numFmtId="17" fontId="0" fillId="0" borderId="0" xfId="0" applyNumberFormat="1" applyBorder="1" applyAlignment="1">
      <alignment horizontal="center" vertical="center"/>
    </xf>
    <xf numFmtId="164" fontId="0" fillId="0" borderId="0" xfId="1" applyNumberFormat="1" applyFont="1" applyBorder="1"/>
    <xf numFmtId="3" fontId="0" fillId="0" borderId="0" xfId="0" applyNumberFormat="1" applyBorder="1"/>
    <xf numFmtId="1" fontId="0" fillId="0" borderId="0" xfId="0" applyNumberFormat="1" applyBorder="1"/>
    <xf numFmtId="0" fontId="4" fillId="0" borderId="0" xfId="0" applyFont="1" applyFill="1" applyBorder="1"/>
    <xf numFmtId="1" fontId="0" fillId="0" borderId="0" xfId="0" applyNumberFormat="1" applyBorder="1" applyAlignment="1">
      <alignment horizontal="center"/>
    </xf>
    <xf numFmtId="0" fontId="0" fillId="0" borderId="0" xfId="0" applyBorder="1" applyAlignment="1"/>
    <xf numFmtId="9" fontId="0" fillId="0" borderId="0" xfId="2" applyFont="1" applyBorder="1" applyAlignment="1">
      <alignment horizontal="center"/>
    </xf>
    <xf numFmtId="17" fontId="2" fillId="13" borderId="14" xfId="1" applyNumberFormat="1" applyFont="1" applyFill="1" applyBorder="1" applyAlignment="1">
      <alignment horizontal="center"/>
    </xf>
    <xf numFmtId="1" fontId="4" fillId="0" borderId="0" xfId="0" applyNumberFormat="1" applyFont="1"/>
    <xf numFmtId="0" fontId="0" fillId="8" borderId="1" xfId="0" applyFont="1" applyFill="1" applyBorder="1"/>
    <xf numFmtId="167" fontId="4" fillId="0" borderId="1" xfId="1" applyNumberFormat="1" applyFont="1" applyFill="1" applyBorder="1" applyAlignment="1">
      <alignment horizontal="center"/>
    </xf>
    <xf numFmtId="0" fontId="43" fillId="2" borderId="1" xfId="0" applyFont="1" applyFill="1" applyBorder="1" applyAlignment="1">
      <alignment vertical="center" wrapText="1"/>
    </xf>
    <xf numFmtId="164" fontId="0" fillId="0" borderId="1" xfId="0" applyNumberFormat="1" applyFill="1" applyBorder="1"/>
    <xf numFmtId="0" fontId="0" fillId="0" borderId="1" xfId="0" applyFill="1" applyBorder="1" applyAlignment="1">
      <alignment horizontal="center"/>
    </xf>
    <xf numFmtId="1" fontId="0" fillId="0" borderId="1" xfId="0" applyNumberFormat="1" applyFill="1" applyBorder="1" applyAlignment="1">
      <alignment horizontal="center"/>
    </xf>
    <xf numFmtId="0" fontId="0" fillId="0" borderId="1" xfId="0" applyFill="1" applyBorder="1" applyAlignment="1">
      <alignment wrapText="1"/>
    </xf>
    <xf numFmtId="0" fontId="0" fillId="0" borderId="1" xfId="0" applyFill="1" applyBorder="1" applyAlignment="1">
      <alignment horizontal="center" vertical="center"/>
    </xf>
    <xf numFmtId="0" fontId="3" fillId="0" borderId="1" xfId="0" applyFont="1" applyFill="1" applyBorder="1" applyAlignment="1">
      <alignment wrapText="1"/>
    </xf>
    <xf numFmtId="164" fontId="0" fillId="0" borderId="1" xfId="0" applyNumberFormat="1" applyFill="1" applyBorder="1" applyAlignment="1">
      <alignment vertical="center"/>
    </xf>
    <xf numFmtId="164" fontId="0" fillId="0" borderId="1" xfId="1" applyNumberFormat="1" applyFont="1" applyFill="1" applyBorder="1" applyAlignment="1"/>
    <xf numFmtId="164" fontId="0" fillId="0" borderId="1" xfId="1" applyNumberFormat="1" applyFont="1" applyFill="1" applyBorder="1" applyAlignment="1">
      <alignment vertical="center"/>
    </xf>
    <xf numFmtId="1" fontId="7" fillId="0" borderId="1" xfId="0" applyNumberFormat="1" applyFont="1" applyFill="1" applyBorder="1" applyAlignment="1">
      <alignment horizontal="center" vertical="center"/>
    </xf>
    <xf numFmtId="0" fontId="7" fillId="0" borderId="1" xfId="0" applyFont="1" applyFill="1" applyBorder="1"/>
    <xf numFmtId="1" fontId="7" fillId="0" borderId="1" xfId="0" applyNumberFormat="1" applyFont="1" applyFill="1" applyBorder="1"/>
    <xf numFmtId="0" fontId="0" fillId="0" borderId="42" xfId="0" applyBorder="1"/>
    <xf numFmtId="0" fontId="0" fillId="0" borderId="52" xfId="0" applyBorder="1"/>
    <xf numFmtId="0" fontId="0" fillId="0" borderId="39" xfId="0" applyBorder="1"/>
    <xf numFmtId="1" fontId="0" fillId="0" borderId="42" xfId="0" applyNumberFormat="1" applyBorder="1"/>
    <xf numFmtId="1" fontId="0" fillId="0" borderId="52" xfId="0" applyNumberFormat="1" applyBorder="1"/>
    <xf numFmtId="0" fontId="0" fillId="0" borderId="41" xfId="0" applyBorder="1" applyAlignment="1">
      <alignment horizontal="center"/>
    </xf>
    <xf numFmtId="0" fontId="0" fillId="0" borderId="42" xfId="0" applyBorder="1" applyAlignment="1">
      <alignment horizontal="center"/>
    </xf>
    <xf numFmtId="0" fontId="0" fillId="0" borderId="12" xfId="0" applyBorder="1" applyAlignment="1">
      <alignment wrapText="1"/>
    </xf>
    <xf numFmtId="1" fontId="0" fillId="0" borderId="0" xfId="0" applyNumberFormat="1" applyAlignment="1">
      <alignment horizontal="center" vertical="center"/>
    </xf>
    <xf numFmtId="164" fontId="0" fillId="0" borderId="0" xfId="1" applyNumberFormat="1" applyFont="1" applyAlignment="1">
      <alignment horizontal="center" vertical="center"/>
    </xf>
    <xf numFmtId="17" fontId="0" fillId="0" borderId="0" xfId="0" applyNumberFormat="1" applyAlignment="1">
      <alignment horizontal="center" vertical="center"/>
    </xf>
    <xf numFmtId="164" fontId="0" fillId="0" borderId="0" xfId="0" applyNumberFormat="1" applyAlignment="1">
      <alignment horizontal="center" vertical="center"/>
    </xf>
    <xf numFmtId="0" fontId="0" fillId="0" borderId="1" xfId="0" applyBorder="1" applyAlignment="1">
      <alignment horizontal="center" vertical="center"/>
    </xf>
    <xf numFmtId="17" fontId="4" fillId="0" borderId="1" xfId="0" applyNumberFormat="1" applyFont="1" applyBorder="1" applyAlignment="1">
      <alignment horizontal="center" vertical="center"/>
    </xf>
    <xf numFmtId="0" fontId="0" fillId="0" borderId="1" xfId="0" applyBorder="1" applyAlignment="1">
      <alignment horizontal="center" vertical="center"/>
    </xf>
    <xf numFmtId="0" fontId="0" fillId="0" borderId="42" xfId="0" applyBorder="1" applyAlignment="1">
      <alignment horizontal="center" vertical="center"/>
    </xf>
    <xf numFmtId="0" fontId="4" fillId="0" borderId="1" xfId="0" applyFont="1" applyBorder="1" applyAlignment="1">
      <alignment horizontal="center" vertical="center"/>
    </xf>
    <xf numFmtId="0" fontId="0" fillId="0" borderId="1" xfId="0" applyFont="1" applyFill="1" applyBorder="1" applyAlignment="1">
      <alignment horizontal="left" vertical="center"/>
    </xf>
    <xf numFmtId="0" fontId="12" fillId="0" borderId="8" xfId="0" applyFont="1" applyBorder="1" applyAlignment="1"/>
    <xf numFmtId="0" fontId="1" fillId="0" borderId="0" xfId="6"/>
    <xf numFmtId="43" fontId="1" fillId="0" borderId="0" xfId="6" applyNumberFormat="1"/>
    <xf numFmtId="172" fontId="1" fillId="0" borderId="0" xfId="6" applyNumberFormat="1"/>
    <xf numFmtId="0" fontId="4" fillId="0" borderId="0" xfId="6" applyFont="1"/>
    <xf numFmtId="173" fontId="1" fillId="0" borderId="0" xfId="6" applyNumberFormat="1"/>
    <xf numFmtId="0" fontId="2" fillId="34" borderId="53" xfId="6" applyFont="1" applyFill="1" applyBorder="1" applyAlignment="1">
      <alignment horizontal="center"/>
    </xf>
    <xf numFmtId="17" fontId="2" fillId="34" borderId="54" xfId="6" applyNumberFormat="1" applyFont="1" applyFill="1" applyBorder="1" applyAlignment="1">
      <alignment horizontal="center"/>
    </xf>
    <xf numFmtId="17" fontId="2" fillId="34" borderId="55" xfId="6" applyNumberFormat="1" applyFont="1" applyFill="1" applyBorder="1" applyAlignment="1">
      <alignment horizontal="center"/>
    </xf>
    <xf numFmtId="0" fontId="2" fillId="34" borderId="56" xfId="6" applyFont="1" applyFill="1" applyBorder="1" applyAlignment="1">
      <alignment horizontal="center"/>
    </xf>
    <xf numFmtId="17" fontId="2" fillId="34" borderId="53" xfId="6" applyNumberFormat="1" applyFont="1" applyFill="1" applyBorder="1" applyAlignment="1">
      <alignment horizontal="center"/>
    </xf>
    <xf numFmtId="17" fontId="2" fillId="34" borderId="56" xfId="6" applyNumberFormat="1" applyFont="1" applyFill="1" applyBorder="1" applyAlignment="1">
      <alignment horizontal="center"/>
    </xf>
    <xf numFmtId="0" fontId="1" fillId="0" borderId="57" xfId="6" applyBorder="1"/>
    <xf numFmtId="167" fontId="0" fillId="0" borderId="15" xfId="8" applyNumberFormat="1" applyFont="1" applyBorder="1" applyAlignment="1"/>
    <xf numFmtId="167" fontId="0" fillId="0" borderId="58" xfId="8" applyNumberFormat="1" applyFont="1" applyBorder="1" applyAlignment="1"/>
    <xf numFmtId="167" fontId="4" fillId="0" borderId="59" xfId="6" applyNumberFormat="1" applyFont="1" applyBorder="1"/>
    <xf numFmtId="167" fontId="1" fillId="0" borderId="0" xfId="6" applyNumberFormat="1"/>
    <xf numFmtId="167" fontId="0" fillId="0" borderId="57" xfId="8" applyNumberFormat="1" applyFont="1" applyBorder="1" applyAlignment="1"/>
    <xf numFmtId="167" fontId="0" fillId="0" borderId="59" xfId="8" applyNumberFormat="1" applyFont="1" applyBorder="1" applyAlignment="1"/>
    <xf numFmtId="167" fontId="4" fillId="0" borderId="59" xfId="8" applyNumberFormat="1" applyFont="1" applyBorder="1" applyAlignment="1"/>
    <xf numFmtId="0" fontId="4" fillId="0" borderId="60" xfId="6" applyFont="1" applyBorder="1"/>
    <xf numFmtId="167" fontId="4" fillId="0" borderId="61" xfId="8" applyNumberFormat="1" applyFont="1" applyBorder="1" applyAlignment="1"/>
    <xf numFmtId="167" fontId="4" fillId="0" borderId="62" xfId="8" applyNumberFormat="1" applyFont="1" applyBorder="1" applyAlignment="1"/>
    <xf numFmtId="167" fontId="4" fillId="0" borderId="63" xfId="6" applyNumberFormat="1" applyFont="1" applyBorder="1"/>
    <xf numFmtId="167" fontId="4" fillId="0" borderId="60" xfId="8" applyNumberFormat="1" applyFont="1" applyBorder="1" applyAlignment="1"/>
    <xf numFmtId="167" fontId="4" fillId="0" borderId="63" xfId="8" applyNumberFormat="1" applyFont="1" applyBorder="1" applyAlignment="1"/>
    <xf numFmtId="167" fontId="0" fillId="0" borderId="0" xfId="8" applyNumberFormat="1" applyFont="1" applyAlignment="1"/>
    <xf numFmtId="167" fontId="4" fillId="0" borderId="0" xfId="6" applyNumberFormat="1" applyFont="1"/>
    <xf numFmtId="167" fontId="0" fillId="0" borderId="57" xfId="8" applyNumberFormat="1" applyFont="1" applyBorder="1"/>
    <xf numFmtId="167" fontId="4" fillId="0" borderId="59" xfId="8" applyNumberFormat="1" applyFont="1" applyBorder="1"/>
    <xf numFmtId="167" fontId="4" fillId="0" borderId="57" xfId="8" applyNumberFormat="1" applyFont="1" applyBorder="1"/>
    <xf numFmtId="167" fontId="4" fillId="0" borderId="15" xfId="8" applyNumberFormat="1" applyFont="1" applyBorder="1" applyAlignment="1"/>
    <xf numFmtId="167" fontId="4" fillId="0" borderId="57" xfId="8" applyNumberFormat="1" applyFont="1" applyBorder="1" applyAlignment="1"/>
    <xf numFmtId="167" fontId="0" fillId="0" borderId="15" xfId="8" applyNumberFormat="1" applyFont="1" applyBorder="1"/>
    <xf numFmtId="167" fontId="0" fillId="0" borderId="58" xfId="8" applyNumberFormat="1" applyFont="1" applyBorder="1"/>
    <xf numFmtId="167" fontId="0" fillId="0" borderId="59" xfId="8" applyNumberFormat="1" applyFont="1" applyBorder="1"/>
    <xf numFmtId="167" fontId="4" fillId="0" borderId="15" xfId="8" applyNumberFormat="1" applyFont="1" applyBorder="1"/>
    <xf numFmtId="0" fontId="1" fillId="0" borderId="15" xfId="6" applyBorder="1"/>
    <xf numFmtId="0" fontId="1" fillId="0" borderId="58" xfId="6" applyBorder="1"/>
    <xf numFmtId="0" fontId="4" fillId="0" borderId="59" xfId="6" applyFont="1" applyBorder="1"/>
    <xf numFmtId="0" fontId="1" fillId="0" borderId="59" xfId="6" applyBorder="1"/>
    <xf numFmtId="167" fontId="4" fillId="0" borderId="61" xfId="6" applyNumberFormat="1" applyFont="1" applyBorder="1"/>
    <xf numFmtId="167" fontId="4" fillId="0" borderId="62" xfId="6" applyNumberFormat="1" applyFont="1" applyBorder="1"/>
    <xf numFmtId="167" fontId="4" fillId="0" borderId="60" xfId="6" applyNumberFormat="1" applyFont="1" applyBorder="1"/>
    <xf numFmtId="167" fontId="4" fillId="0" borderId="60" xfId="8" applyNumberFormat="1" applyFont="1" applyBorder="1"/>
    <xf numFmtId="167" fontId="4" fillId="0" borderId="63" xfId="8" applyNumberFormat="1" applyFont="1" applyFill="1" applyBorder="1" applyAlignment="1"/>
    <xf numFmtId="174" fontId="0" fillId="0" borderId="0" xfId="8" applyFont="1"/>
    <xf numFmtId="0" fontId="2" fillId="34" borderId="64" xfId="6" applyFont="1" applyFill="1" applyBorder="1" applyAlignment="1">
      <alignment horizontal="center"/>
    </xf>
    <xf numFmtId="17" fontId="2" fillId="34" borderId="65" xfId="6" applyNumberFormat="1" applyFont="1" applyFill="1" applyBorder="1" applyAlignment="1">
      <alignment horizontal="center"/>
    </xf>
    <xf numFmtId="17" fontId="2" fillId="34" borderId="66" xfId="6" applyNumberFormat="1" applyFont="1" applyFill="1" applyBorder="1" applyAlignment="1">
      <alignment horizontal="center"/>
    </xf>
    <xf numFmtId="17" fontId="2" fillId="34" borderId="67" xfId="6" applyNumberFormat="1" applyFont="1" applyFill="1" applyBorder="1" applyAlignment="1">
      <alignment horizontal="center"/>
    </xf>
    <xf numFmtId="17" fontId="2" fillId="34" borderId="68" xfId="6" applyNumberFormat="1" applyFont="1" applyFill="1" applyBorder="1" applyAlignment="1">
      <alignment horizontal="center"/>
    </xf>
    <xf numFmtId="0" fontId="1" fillId="0" borderId="44" xfId="6" applyBorder="1"/>
    <xf numFmtId="167" fontId="0" fillId="0" borderId="69" xfId="8" applyNumberFormat="1" applyFont="1" applyBorder="1"/>
    <xf numFmtId="167" fontId="0" fillId="0" borderId="70" xfId="8" applyNumberFormat="1" applyFont="1" applyBorder="1"/>
    <xf numFmtId="167" fontId="0" fillId="0" borderId="0" xfId="8" applyNumberFormat="1" applyFont="1" applyBorder="1" applyAlignment="1"/>
    <xf numFmtId="167" fontId="0" fillId="0" borderId="71" xfId="8" applyNumberFormat="1" applyFont="1" applyBorder="1" applyAlignment="1"/>
    <xf numFmtId="167" fontId="0" fillId="0" borderId="69" xfId="8" applyNumberFormat="1" applyFont="1" applyBorder="1" applyAlignment="1"/>
    <xf numFmtId="167" fontId="0" fillId="0" borderId="70" xfId="8" applyNumberFormat="1" applyFont="1" applyBorder="1" applyAlignment="1"/>
    <xf numFmtId="0" fontId="4" fillId="0" borderId="45" xfId="6" applyFont="1" applyBorder="1"/>
    <xf numFmtId="167" fontId="4" fillId="0" borderId="72" xfId="8" applyNumberFormat="1" applyFont="1" applyBorder="1" applyAlignment="1"/>
    <xf numFmtId="167" fontId="4" fillId="0" borderId="73" xfId="8" applyNumberFormat="1" applyFont="1" applyBorder="1" applyAlignment="1"/>
    <xf numFmtId="167" fontId="4" fillId="0" borderId="74" xfId="8" applyNumberFormat="1" applyFont="1" applyBorder="1" applyAlignment="1"/>
    <xf numFmtId="167" fontId="4" fillId="0" borderId="75" xfId="8" applyNumberFormat="1" applyFont="1" applyBorder="1" applyAlignment="1"/>
    <xf numFmtId="174" fontId="0" fillId="0" borderId="15" xfId="8" applyFont="1" applyBorder="1" applyAlignment="1"/>
    <xf numFmtId="174" fontId="0" fillId="0" borderId="58" xfId="8" applyFont="1" applyBorder="1" applyAlignment="1"/>
    <xf numFmtId="174" fontId="4" fillId="0" borderId="59" xfId="8" applyFont="1" applyBorder="1"/>
    <xf numFmtId="174" fontId="4" fillId="0" borderId="61" xfId="8" applyFont="1" applyBorder="1" applyAlignment="1"/>
    <xf numFmtId="174" fontId="4" fillId="0" borderId="63" xfId="8" applyFont="1" applyFill="1" applyBorder="1" applyAlignment="1"/>
    <xf numFmtId="0" fontId="0" fillId="0" borderId="8" xfId="0" applyBorder="1" applyAlignment="1"/>
    <xf numFmtId="175" fontId="0" fillId="0" borderId="6" xfId="1" applyNumberFormat="1" applyFont="1" applyBorder="1"/>
    <xf numFmtId="1" fontId="0" fillId="0" borderId="1" xfId="0" applyNumberForma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xf>
    <xf numFmtId="171" fontId="0" fillId="0" borderId="0" xfId="2" applyNumberFormat="1" applyFont="1"/>
    <xf numFmtId="3" fontId="0" fillId="0" borderId="0" xfId="0" applyNumberFormat="1" applyFill="1" applyBorder="1"/>
    <xf numFmtId="164" fontId="8" fillId="0" borderId="1" xfId="1" applyNumberFormat="1" applyFont="1"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35" borderId="1" xfId="0" applyFont="1" applyFill="1" applyBorder="1" applyAlignment="1">
      <alignment horizontal="left" vertical="center"/>
    </xf>
    <xf numFmtId="1" fontId="0" fillId="35" borderId="1" xfId="0" applyNumberFormat="1" applyFont="1" applyFill="1" applyBorder="1" applyAlignment="1">
      <alignment horizontal="center" vertical="center"/>
    </xf>
    <xf numFmtId="0" fontId="0" fillId="35" borderId="1" xfId="0" applyFill="1" applyBorder="1" applyAlignment="1">
      <alignment horizontal="center" vertical="center"/>
    </xf>
    <xf numFmtId="0" fontId="0" fillId="35" borderId="1" xfId="0" applyFill="1" applyBorder="1"/>
    <xf numFmtId="0" fontId="0" fillId="16" borderId="1" xfId="0" applyFont="1" applyFill="1" applyBorder="1" applyAlignment="1">
      <alignment horizontal="left" vertical="center"/>
    </xf>
    <xf numFmtId="1" fontId="0" fillId="16" borderId="1" xfId="0" applyNumberFormat="1" applyFont="1" applyFill="1" applyBorder="1" applyAlignment="1">
      <alignment horizontal="center" vertical="center"/>
    </xf>
    <xf numFmtId="0" fontId="0" fillId="35" borderId="1" xfId="0" applyFont="1" applyFill="1" applyBorder="1" applyAlignment="1">
      <alignment vertical="center" wrapText="1"/>
    </xf>
    <xf numFmtId="1" fontId="4" fillId="35" borderId="1" xfId="0" applyNumberFormat="1" applyFont="1" applyFill="1" applyBorder="1" applyAlignment="1">
      <alignment horizontal="center" vertical="center"/>
    </xf>
    <xf numFmtId="1" fontId="0" fillId="16" borderId="1" xfId="0" applyNumberFormat="1" applyFill="1" applyBorder="1" applyAlignment="1">
      <alignment horizontal="center" vertical="center"/>
    </xf>
    <xf numFmtId="0" fontId="0" fillId="35" borderId="1" xfId="0" applyFont="1" applyFill="1" applyBorder="1" applyAlignment="1">
      <alignment horizontal="left" vertical="center" wrapText="1"/>
    </xf>
    <xf numFmtId="0" fontId="0" fillId="16" borderId="1" xfId="0" applyFont="1" applyFill="1" applyBorder="1" applyAlignment="1">
      <alignment horizontal="left" vertical="center" wrapText="1"/>
    </xf>
    <xf numFmtId="0" fontId="0" fillId="36" borderId="1" xfId="0" applyFont="1" applyFill="1" applyBorder="1" applyAlignment="1">
      <alignment vertical="center"/>
    </xf>
    <xf numFmtId="1" fontId="0" fillId="36" borderId="1" xfId="0" applyNumberFormat="1" applyFill="1" applyBorder="1" applyAlignment="1">
      <alignment horizontal="center" vertical="center"/>
    </xf>
    <xf numFmtId="0" fontId="0" fillId="36" borderId="1" xfId="0" applyFill="1" applyBorder="1" applyAlignment="1">
      <alignment horizontal="center" vertical="center"/>
    </xf>
    <xf numFmtId="0" fontId="0" fillId="36" borderId="1" xfId="0" applyFill="1" applyBorder="1"/>
    <xf numFmtId="0" fontId="0" fillId="36" borderId="1" xfId="0" applyFill="1" applyBorder="1" applyAlignment="1">
      <alignment horizontal="center"/>
    </xf>
    <xf numFmtId="0" fontId="0" fillId="36" borderId="1" xfId="0" applyFont="1" applyFill="1" applyBorder="1" applyAlignment="1">
      <alignment horizontal="left" vertical="center"/>
    </xf>
    <xf numFmtId="0" fontId="0" fillId="16" borderId="1" xfId="0" applyFont="1" applyFill="1" applyBorder="1" applyAlignment="1">
      <alignment vertical="center"/>
    </xf>
    <xf numFmtId="1" fontId="0" fillId="16" borderId="1" xfId="0" applyNumberFormat="1" applyFill="1" applyBorder="1" applyAlignment="1">
      <alignment horizontal="center"/>
    </xf>
    <xf numFmtId="164" fontId="0" fillId="0" borderId="0" xfId="1" applyNumberFormat="1" applyFont="1" applyFill="1"/>
    <xf numFmtId="43" fontId="0" fillId="0" borderId="0" xfId="1" applyNumberFormat="1" applyFont="1" applyFill="1"/>
    <xf numFmtId="43" fontId="0" fillId="0" borderId="0" xfId="0" applyNumberFormat="1" applyFill="1"/>
    <xf numFmtId="164" fontId="0" fillId="0" borderId="0" xfId="0" applyNumberFormat="1" applyFill="1"/>
    <xf numFmtId="3" fontId="0" fillId="0" borderId="0" xfId="0" applyNumberFormat="1" applyFill="1"/>
    <xf numFmtId="1" fontId="4" fillId="37" borderId="1" xfId="0" applyNumberFormat="1" applyFont="1" applyFill="1" applyBorder="1" applyAlignment="1">
      <alignment horizontal="center" vertical="center"/>
    </xf>
    <xf numFmtId="164" fontId="0" fillId="10" borderId="0" xfId="1" applyNumberFormat="1" applyFont="1" applyFill="1"/>
    <xf numFmtId="167" fontId="4" fillId="10" borderId="6" xfId="1" applyNumberFormat="1" applyFont="1" applyFill="1" applyBorder="1"/>
    <xf numFmtId="164" fontId="4" fillId="10" borderId="6" xfId="1" applyNumberFormat="1" applyFont="1" applyFill="1" applyBorder="1"/>
    <xf numFmtId="175" fontId="0" fillId="10" borderId="6" xfId="1" applyNumberFormat="1" applyFont="1" applyFill="1" applyBorder="1"/>
    <xf numFmtId="167" fontId="0" fillId="10" borderId="6" xfId="1" applyNumberFormat="1" applyFont="1" applyFill="1" applyBorder="1"/>
    <xf numFmtId="0" fontId="16" fillId="0" borderId="1" xfId="0" applyFont="1" applyBorder="1"/>
    <xf numFmtId="9" fontId="16" fillId="0" borderId="1" xfId="0" applyNumberFormat="1" applyFont="1" applyBorder="1" applyAlignment="1">
      <alignment horizontal="center"/>
    </xf>
    <xf numFmtId="0" fontId="16" fillId="0" borderId="1" xfId="0" applyFont="1" applyBorder="1" applyAlignment="1">
      <alignment horizontal="center"/>
    </xf>
    <xf numFmtId="0" fontId="16" fillId="0" borderId="5" xfId="0" applyFont="1" applyBorder="1"/>
    <xf numFmtId="17" fontId="0" fillId="0" borderId="1" xfId="0" applyNumberFormat="1" applyBorder="1"/>
    <xf numFmtId="43" fontId="0" fillId="0" borderId="1" xfId="1" applyNumberFormat="1" applyFont="1" applyBorder="1"/>
    <xf numFmtId="1" fontId="0" fillId="0" borderId="1" xfId="0" applyNumberFormat="1" applyBorder="1" applyAlignment="1">
      <alignment horizontal="center" vertical="center"/>
    </xf>
    <xf numFmtId="17"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1" xfId="0" applyFont="1" applyFill="1" applyBorder="1" applyAlignment="1">
      <alignment horizontal="left" vertical="center"/>
    </xf>
    <xf numFmtId="1"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xf>
    <xf numFmtId="1" fontId="0" fillId="9" borderId="0" xfId="0" applyNumberFormat="1" applyFill="1"/>
    <xf numFmtId="1" fontId="4" fillId="9" borderId="0" xfId="0" applyNumberFormat="1" applyFont="1" applyFill="1"/>
    <xf numFmtId="3" fontId="0" fillId="9" borderId="0" xfId="0" applyNumberFormat="1" applyFill="1"/>
    <xf numFmtId="0" fontId="4" fillId="0" borderId="1" xfId="0" applyFont="1" applyFill="1" applyBorder="1" applyAlignment="1">
      <alignment horizontal="left"/>
    </xf>
    <xf numFmtId="164" fontId="1" fillId="9" borderId="6" xfId="1" applyNumberFormat="1" applyFont="1" applyFill="1" applyBorder="1"/>
    <xf numFmtId="167" fontId="1" fillId="9" borderId="6" xfId="1" applyNumberFormat="1" applyFont="1" applyFill="1" applyBorder="1"/>
    <xf numFmtId="164" fontId="1" fillId="27" borderId="6" xfId="1" applyNumberFormat="1" applyFont="1" applyFill="1" applyBorder="1"/>
    <xf numFmtId="167" fontId="1" fillId="27" borderId="6" xfId="1" applyNumberFormat="1" applyFont="1" applyFill="1" applyBorder="1"/>
    <xf numFmtId="175" fontId="1" fillId="9" borderId="6" xfId="1" applyNumberFormat="1" applyFont="1" applyFill="1" applyBorder="1"/>
    <xf numFmtId="17" fontId="2" fillId="13" borderId="14" xfId="1" applyNumberFormat="1" applyFont="1" applyFill="1" applyBorder="1" applyAlignment="1">
      <alignment horizontal="center" vertical="center"/>
    </xf>
    <xf numFmtId="17" fontId="5" fillId="13" borderId="14" xfId="1" applyNumberFormat="1" applyFont="1" applyFill="1" applyBorder="1" applyAlignment="1">
      <alignment horizontal="center" vertical="center"/>
    </xf>
    <xf numFmtId="2" fontId="0" fillId="0" borderId="0" xfId="0" applyNumberFormat="1" applyFont="1"/>
    <xf numFmtId="1" fontId="0" fillId="0" borderId="1" xfId="0" applyNumberFormat="1" applyFont="1" applyFill="1" applyBorder="1" applyAlignment="1">
      <alignment horizontal="center" vertical="center"/>
    </xf>
    <xf numFmtId="43" fontId="0" fillId="0" borderId="1" xfId="0" applyNumberFormat="1" applyFill="1" applyBorder="1"/>
    <xf numFmtId="43" fontId="0" fillId="0" borderId="1" xfId="1" applyNumberFormat="1" applyFont="1" applyFill="1" applyBorder="1"/>
    <xf numFmtId="0" fontId="0" fillId="0" borderId="1" xfId="0" applyFont="1" applyFill="1" applyBorder="1" applyAlignment="1">
      <alignment vertical="center" wrapText="1"/>
    </xf>
    <xf numFmtId="1" fontId="4" fillId="0" borderId="1" xfId="0" applyNumberFormat="1" applyFont="1" applyFill="1" applyBorder="1" applyAlignment="1">
      <alignment horizontal="center" vertical="center"/>
    </xf>
    <xf numFmtId="0" fontId="0" fillId="0" borderId="1" xfId="0" applyFont="1" applyFill="1" applyBorder="1" applyAlignment="1">
      <alignment horizontal="left" vertical="center" wrapText="1"/>
    </xf>
    <xf numFmtId="0" fontId="0" fillId="0" borderId="1" xfId="0" applyFont="1" applyFill="1" applyBorder="1" applyAlignment="1">
      <alignment vertical="center"/>
    </xf>
    <xf numFmtId="164" fontId="0" fillId="0" borderId="76" xfId="1" applyNumberFormat="1" applyFont="1" applyBorder="1" applyAlignment="1">
      <alignment vertical="top"/>
    </xf>
    <xf numFmtId="10" fontId="0" fillId="0" borderId="0" xfId="2" applyNumberFormat="1" applyFont="1"/>
    <xf numFmtId="1" fontId="2" fillId="2" borderId="1" xfId="0" applyNumberFormat="1" applyFont="1" applyFill="1" applyBorder="1" applyAlignment="1">
      <alignment horizontal="center" vertical="center" wrapText="1"/>
    </xf>
    <xf numFmtId="1" fontId="0" fillId="0" borderId="0" xfId="0" applyNumberFormat="1" applyBorder="1" applyAlignment="1">
      <alignment horizontal="center" vertical="center"/>
    </xf>
    <xf numFmtId="0" fontId="4" fillId="0" borderId="0" xfId="0" applyFont="1" applyAlignment="1">
      <alignment horizontal="center" vertical="center"/>
    </xf>
    <xf numFmtId="164" fontId="0" fillId="18" borderId="1" xfId="1" applyNumberFormat="1" applyFont="1" applyFill="1" applyBorder="1" applyAlignment="1">
      <alignment horizontal="center" vertical="center"/>
    </xf>
    <xf numFmtId="164" fontId="0" fillId="3" borderId="1" xfId="1" applyNumberFormat="1" applyFont="1" applyFill="1" applyBorder="1" applyAlignment="1">
      <alignment horizontal="center" vertical="center"/>
    </xf>
    <xf numFmtId="164" fontId="0" fillId="15" borderId="1" xfId="1" applyNumberFormat="1" applyFont="1" applyFill="1" applyBorder="1" applyAlignment="1">
      <alignment horizontal="center" vertical="center"/>
    </xf>
    <xf numFmtId="164" fontId="0" fillId="21" borderId="1" xfId="1" applyNumberFormat="1" applyFont="1" applyFill="1" applyBorder="1" applyAlignment="1">
      <alignment horizontal="center" vertical="center"/>
    </xf>
    <xf numFmtId="0" fontId="0" fillId="18" borderId="1" xfId="0" applyFill="1" applyBorder="1" applyAlignment="1">
      <alignment horizontal="center" vertical="center"/>
    </xf>
    <xf numFmtId="0" fontId="0" fillId="15" borderId="1" xfId="0" applyFill="1" applyBorder="1" applyAlignment="1">
      <alignment horizontal="center" vertical="center"/>
    </xf>
    <xf numFmtId="10" fontId="0" fillId="0" borderId="1" xfId="2" applyNumberFormat="1" applyFont="1" applyBorder="1" applyAlignment="1">
      <alignment horizontal="center" vertical="center"/>
    </xf>
    <xf numFmtId="10" fontId="0" fillId="0" borderId="1" xfId="2" applyNumberFormat="1" applyFont="1" applyBorder="1"/>
    <xf numFmtId="0" fontId="2" fillId="38" borderId="1" xfId="0" applyFont="1" applyFill="1" applyBorder="1"/>
    <xf numFmtId="0" fontId="23" fillId="0" borderId="1" xfId="0" applyFont="1" applyBorder="1"/>
    <xf numFmtId="164" fontId="7" fillId="0" borderId="1" xfId="8" applyNumberFormat="1" applyFont="1" applyBorder="1"/>
    <xf numFmtId="164" fontId="2" fillId="38" borderId="1" xfId="8" applyNumberFormat="1" applyFont="1" applyFill="1" applyBorder="1"/>
    <xf numFmtId="171" fontId="7" fillId="0" borderId="1" xfId="2" applyNumberFormat="1" applyFont="1" applyBorder="1"/>
    <xf numFmtId="171" fontId="2" fillId="38" borderId="1" xfId="2" applyNumberFormat="1" applyFont="1" applyFill="1" applyBorder="1"/>
    <xf numFmtId="0" fontId="7" fillId="0" borderId="1" xfId="0" applyFont="1" applyBorder="1" applyAlignment="1">
      <alignment shrinkToFit="1"/>
    </xf>
    <xf numFmtId="174" fontId="7" fillId="0" borderId="1" xfId="8" applyFont="1" applyBorder="1"/>
    <xf numFmtId="0" fontId="2" fillId="38" borderId="1" xfId="0" applyFont="1" applyFill="1" applyBorder="1" applyAlignment="1">
      <alignment shrinkToFit="1"/>
    </xf>
    <xf numFmtId="174" fontId="2" fillId="38" borderId="1" xfId="8" applyFont="1" applyFill="1" applyBorder="1"/>
    <xf numFmtId="0" fontId="7" fillId="0" borderId="0" xfId="0" applyFont="1"/>
    <xf numFmtId="43" fontId="7" fillId="0" borderId="0" xfId="0" applyNumberFormat="1" applyFont="1"/>
    <xf numFmtId="173" fontId="7" fillId="0" borderId="0" xfId="8" applyNumberFormat="1" applyFont="1"/>
    <xf numFmtId="167" fontId="7" fillId="0" borderId="1" xfId="8" applyNumberFormat="1" applyFont="1" applyBorder="1"/>
    <xf numFmtId="10" fontId="7" fillId="0" borderId="0" xfId="2" applyNumberFormat="1" applyFont="1"/>
    <xf numFmtId="0" fontId="2" fillId="38" borderId="1" xfId="0" applyFont="1" applyFill="1" applyBorder="1" applyAlignment="1">
      <alignment horizontal="center" vertical="center" wrapText="1"/>
    </xf>
    <xf numFmtId="0" fontId="2" fillId="38" borderId="6" xfId="0" applyFont="1" applyFill="1" applyBorder="1" applyAlignment="1">
      <alignment horizontal="center" vertical="center" wrapText="1"/>
    </xf>
    <xf numFmtId="17" fontId="4" fillId="0" borderId="1" xfId="0" applyNumberFormat="1" applyFont="1" applyBorder="1" applyAlignment="1">
      <alignment horizontal="center" vertical="center" wrapText="1"/>
    </xf>
    <xf numFmtId="17" fontId="4" fillId="18" borderId="1" xfId="0" applyNumberFormat="1" applyFont="1" applyFill="1" applyBorder="1" applyAlignment="1">
      <alignment horizontal="center" vertical="center" wrapText="1"/>
    </xf>
    <xf numFmtId="17" fontId="4" fillId="3" borderId="1" xfId="0" applyNumberFormat="1" applyFont="1" applyFill="1" applyBorder="1" applyAlignment="1">
      <alignment horizontal="center" vertical="center" wrapText="1"/>
    </xf>
    <xf numFmtId="17" fontId="4" fillId="15" borderId="1" xfId="0" applyNumberFormat="1" applyFont="1" applyFill="1" applyBorder="1" applyAlignment="1">
      <alignment horizontal="center" vertical="center" wrapText="1"/>
    </xf>
    <xf numFmtId="17" fontId="4" fillId="21" borderId="1" xfId="0" applyNumberFormat="1" applyFont="1" applyFill="1" applyBorder="1" applyAlignment="1">
      <alignment horizontal="center" vertical="center" wrapText="1"/>
    </xf>
    <xf numFmtId="0" fontId="4" fillId="0" borderId="0" xfId="0" applyFont="1" applyAlignment="1">
      <alignment horizontal="center" vertical="center" wrapText="1"/>
    </xf>
    <xf numFmtId="0" fontId="23" fillId="12" borderId="1" xfId="0" applyFont="1" applyFill="1" applyBorder="1"/>
    <xf numFmtId="164" fontId="7" fillId="12" borderId="1" xfId="8" applyNumberFormat="1" applyFont="1" applyFill="1" applyBorder="1"/>
    <xf numFmtId="171" fontId="7" fillId="12" borderId="1" xfId="2" applyNumberFormat="1" applyFont="1" applyFill="1" applyBorder="1"/>
    <xf numFmtId="174" fontId="7" fillId="12" borderId="1" xfId="8" applyFont="1" applyFill="1" applyBorder="1"/>
    <xf numFmtId="167" fontId="7" fillId="12" borderId="1" xfId="8" applyNumberFormat="1" applyFont="1" applyFill="1" applyBorder="1"/>
    <xf numFmtId="2" fontId="0" fillId="0" borderId="0" xfId="2" applyNumberFormat="1" applyFont="1"/>
    <xf numFmtId="164" fontId="0" fillId="9" borderId="1" xfId="1" applyNumberFormat="1" applyFont="1" applyFill="1" applyBorder="1"/>
    <xf numFmtId="164" fontId="4" fillId="0" borderId="1" xfId="1" applyNumberFormat="1" applyFont="1" applyBorder="1" applyAlignment="1">
      <alignment horizontal="center" vertical="center"/>
    </xf>
    <xf numFmtId="164" fontId="0" fillId="12" borderId="2" xfId="1" applyNumberFormat="1" applyFont="1" applyFill="1" applyBorder="1" applyAlignment="1">
      <alignment horizontal="center" vertical="center"/>
    </xf>
    <xf numFmtId="164" fontId="0" fillId="12" borderId="1" xfId="1" applyNumberFormat="1" applyFont="1" applyFill="1" applyBorder="1" applyAlignment="1">
      <alignment horizontal="center" vertical="center"/>
    </xf>
    <xf numFmtId="164" fontId="4" fillId="0" borderId="1" xfId="0" applyNumberFormat="1" applyFont="1" applyBorder="1" applyAlignment="1">
      <alignment horizontal="center" vertical="center" wrapText="1"/>
    </xf>
    <xf numFmtId="164" fontId="4" fillId="0" borderId="1" xfId="0" applyNumberFormat="1" applyFont="1" applyBorder="1"/>
    <xf numFmtId="0" fontId="4" fillId="23" borderId="0" xfId="0" applyFont="1" applyFill="1" applyBorder="1" applyAlignment="1">
      <alignment horizontal="center"/>
    </xf>
    <xf numFmtId="0" fontId="0" fillId="23" borderId="0" xfId="0" applyFill="1" applyBorder="1" applyAlignment="1">
      <alignment horizontal="center"/>
    </xf>
    <xf numFmtId="0" fontId="0" fillId="23" borderId="0" xfId="0" applyFill="1" applyBorder="1" applyAlignment="1">
      <alignment horizontal="center" vertical="center"/>
    </xf>
    <xf numFmtId="0" fontId="4" fillId="23" borderId="13" xfId="0" applyFont="1" applyFill="1" applyBorder="1" applyAlignment="1">
      <alignment horizontal="center"/>
    </xf>
    <xf numFmtId="0" fontId="0" fillId="23" borderId="13" xfId="0" applyFill="1" applyBorder="1" applyAlignment="1">
      <alignment horizontal="center"/>
    </xf>
    <xf numFmtId="164" fontId="0" fillId="0" borderId="0" xfId="2" applyNumberFormat="1" applyFont="1"/>
    <xf numFmtId="0" fontId="2" fillId="2" borderId="0" xfId="0" applyFont="1" applyFill="1" applyBorder="1" applyAlignment="1">
      <alignment horizontal="center" vertical="center" wrapText="1"/>
    </xf>
    <xf numFmtId="1" fontId="4" fillId="0" borderId="0" xfId="0" applyNumberFormat="1" applyFont="1" applyBorder="1"/>
    <xf numFmtId="10" fontId="0" fillId="0" borderId="0" xfId="2" applyNumberFormat="1" applyFont="1" applyBorder="1"/>
    <xf numFmtId="2" fontId="0" fillId="12" borderId="1" xfId="0" applyNumberFormat="1" applyFill="1" applyBorder="1"/>
    <xf numFmtId="0" fontId="0" fillId="24" borderId="0" xfId="0" applyFill="1"/>
    <xf numFmtId="0" fontId="0" fillId="24" borderId="0" xfId="0" applyFill="1" applyAlignment="1">
      <alignment horizontal="center"/>
    </xf>
    <xf numFmtId="0" fontId="4" fillId="23" borderId="0" xfId="0" applyFont="1" applyFill="1" applyAlignment="1">
      <alignment horizontal="center"/>
    </xf>
    <xf numFmtId="1" fontId="4" fillId="0" borderId="0" xfId="0" applyNumberFormat="1" applyFont="1" applyAlignment="1">
      <alignment horizontal="center" vertical="center"/>
    </xf>
    <xf numFmtId="176" fontId="0" fillId="0" borderId="0" xfId="0" applyNumberFormat="1"/>
    <xf numFmtId="0" fontId="4" fillId="0" borderId="1" xfId="0" applyFont="1" applyBorder="1" applyAlignment="1">
      <alignment horizontal="center" vertical="center"/>
    </xf>
    <xf numFmtId="0" fontId="0" fillId="0" borderId="1" xfId="0" applyBorder="1" applyAlignment="1">
      <alignment horizontal="center" vertical="center"/>
    </xf>
    <xf numFmtId="0" fontId="44" fillId="0" borderId="17" xfId="0" applyFont="1" applyBorder="1" applyAlignment="1">
      <alignment horizontal="center" vertical="center"/>
    </xf>
    <xf numFmtId="0" fontId="44" fillId="0" borderId="77" xfId="0" applyFont="1" applyBorder="1" applyAlignment="1">
      <alignment horizontal="center" vertical="center"/>
    </xf>
    <xf numFmtId="0" fontId="18" fillId="0" borderId="78" xfId="0" applyFont="1" applyBorder="1" applyAlignment="1">
      <alignment horizontal="center" vertical="center"/>
    </xf>
    <xf numFmtId="16" fontId="18" fillId="0" borderId="79" xfId="0" applyNumberFormat="1" applyFont="1" applyBorder="1" applyAlignment="1">
      <alignment horizontal="center" vertical="center"/>
    </xf>
    <xf numFmtId="0" fontId="18" fillId="0" borderId="79" xfId="0" applyFont="1" applyBorder="1" applyAlignment="1">
      <alignment horizontal="center" vertical="center"/>
    </xf>
    <xf numFmtId="0" fontId="18" fillId="12" borderId="79" xfId="0" applyFont="1" applyFill="1" applyBorder="1" applyAlignment="1">
      <alignment horizontal="center" vertical="center"/>
    </xf>
    <xf numFmtId="0" fontId="18" fillId="0" borderId="1" xfId="0" applyFont="1" applyBorder="1" applyAlignment="1">
      <alignment horizontal="center" vertical="center"/>
    </xf>
    <xf numFmtId="16" fontId="18" fillId="0" borderId="1" xfId="0" applyNumberFormat="1" applyFont="1" applyBorder="1" applyAlignment="1">
      <alignment horizontal="center" vertical="center"/>
    </xf>
    <xf numFmtId="0" fontId="4" fillId="0" borderId="1" xfId="0" applyFont="1" applyFill="1" applyBorder="1" applyAlignment="1">
      <alignment horizontal="center"/>
    </xf>
    <xf numFmtId="17" fontId="4" fillId="0" borderId="1" xfId="0" applyNumberFormat="1" applyFont="1" applyFill="1" applyBorder="1"/>
    <xf numFmtId="164" fontId="0" fillId="0" borderId="1" xfId="8" applyNumberFormat="1" applyFont="1" applyFill="1" applyBorder="1"/>
    <xf numFmtId="0" fontId="2" fillId="39" borderId="1" xfId="0" applyFont="1" applyFill="1" applyBorder="1" applyAlignment="1">
      <alignment horizontal="center" vertical="center"/>
    </xf>
    <xf numFmtId="164" fontId="2" fillId="39" borderId="1" xfId="8" applyNumberFormat="1" applyFont="1" applyFill="1" applyBorder="1" applyAlignment="1">
      <alignment vertical="center" wrapText="1"/>
    </xf>
    <xf numFmtId="0" fontId="2" fillId="39" borderId="1" xfId="0" applyFont="1" applyFill="1" applyBorder="1" applyAlignment="1">
      <alignment horizontal="center" vertical="center" wrapText="1"/>
    </xf>
    <xf numFmtId="17" fontId="2" fillId="39" borderId="1" xfId="0" applyNumberFormat="1" applyFont="1" applyFill="1" applyBorder="1" applyAlignment="1">
      <alignment vertical="center" wrapText="1"/>
    </xf>
    <xf numFmtId="17" fontId="2" fillId="39" borderId="1" xfId="0" applyNumberFormat="1" applyFont="1" applyFill="1" applyBorder="1" applyAlignment="1">
      <alignment horizontal="center" vertical="center" wrapText="1"/>
    </xf>
    <xf numFmtId="0" fontId="4" fillId="0" borderId="1" xfId="0" applyFont="1" applyBorder="1" applyAlignment="1">
      <alignment vertical="center" wrapText="1"/>
    </xf>
    <xf numFmtId="164" fontId="0" fillId="0" borderId="1" xfId="8" applyNumberFormat="1" applyFont="1" applyFill="1" applyBorder="1" applyAlignment="1">
      <alignment horizontal="center"/>
    </xf>
    <xf numFmtId="164" fontId="4" fillId="0" borderId="1" xfId="8" applyNumberFormat="1" applyFont="1" applyFill="1" applyBorder="1" applyAlignment="1">
      <alignment horizontal="center"/>
    </xf>
    <xf numFmtId="1" fontId="0" fillId="0" borderId="1" xfId="0" applyNumberFormat="1" applyFont="1" applyFill="1" applyBorder="1" applyAlignment="1">
      <alignment horizontal="center"/>
    </xf>
    <xf numFmtId="164" fontId="16" fillId="0" borderId="1" xfId="8" applyNumberFormat="1" applyFont="1" applyFill="1" applyBorder="1" applyAlignment="1">
      <alignment horizontal="center" vertical="center"/>
    </xf>
    <xf numFmtId="164" fontId="23" fillId="0" borderId="1" xfId="8" applyNumberFormat="1" applyFont="1" applyFill="1" applyBorder="1" applyAlignment="1">
      <alignment vertical="center"/>
    </xf>
    <xf numFmtId="164" fontId="8" fillId="0" borderId="1" xfId="8" applyNumberFormat="1" applyFont="1" applyFill="1" applyBorder="1" applyAlignment="1">
      <alignment horizontal="center" vertical="center"/>
    </xf>
    <xf numFmtId="164" fontId="2" fillId="0" borderId="1" xfId="8" applyNumberFormat="1" applyFont="1" applyFill="1" applyBorder="1" applyAlignment="1">
      <alignment horizontal="center" vertical="center"/>
    </xf>
    <xf numFmtId="1" fontId="2" fillId="0" borderId="1" xfId="8" applyNumberFormat="1" applyFont="1" applyFill="1" applyBorder="1" applyAlignment="1">
      <alignment vertical="center"/>
    </xf>
    <xf numFmtId="0" fontId="4" fillId="27" borderId="1" xfId="0" applyFont="1" applyFill="1" applyBorder="1" applyAlignment="1">
      <alignment vertical="center" wrapText="1"/>
    </xf>
    <xf numFmtId="0" fontId="4" fillId="27" borderId="1" xfId="0" applyFont="1" applyFill="1" applyBorder="1" applyAlignment="1">
      <alignment horizontal="left"/>
    </xf>
    <xf numFmtId="0" fontId="4" fillId="27" borderId="1" xfId="0" applyFont="1" applyFill="1" applyBorder="1" applyAlignment="1">
      <alignment horizontal="center"/>
    </xf>
    <xf numFmtId="164" fontId="4" fillId="27" borderId="1" xfId="8" applyNumberFormat="1" applyFont="1" applyFill="1" applyBorder="1" applyAlignment="1">
      <alignment horizontal="center"/>
    </xf>
    <xf numFmtId="164" fontId="16" fillId="27" borderId="1" xfId="8" applyNumberFormat="1" applyFont="1" applyFill="1" applyBorder="1" applyAlignment="1">
      <alignment horizontal="center" vertical="center"/>
    </xf>
    <xf numFmtId="1" fontId="4" fillId="27" borderId="1" xfId="0" applyNumberFormat="1" applyFont="1" applyFill="1" applyBorder="1" applyAlignment="1">
      <alignment horizontal="center"/>
    </xf>
    <xf numFmtId="1" fontId="23" fillId="27" borderId="1" xfId="8" applyNumberFormat="1" applyFont="1" applyFill="1" applyBorder="1" applyAlignment="1">
      <alignment vertical="center"/>
    </xf>
    <xf numFmtId="167" fontId="16" fillId="0" borderId="1" xfId="8" applyNumberFormat="1" applyFont="1" applyFill="1" applyBorder="1" applyAlignment="1">
      <alignment horizontal="center" vertical="center"/>
    </xf>
    <xf numFmtId="167" fontId="23" fillId="0" borderId="1" xfId="8" applyNumberFormat="1" applyFont="1" applyFill="1" applyBorder="1" applyAlignment="1">
      <alignment vertical="center"/>
    </xf>
    <xf numFmtId="167" fontId="2" fillId="0" borderId="1" xfId="8" applyNumberFormat="1" applyFont="1" applyFill="1" applyBorder="1" applyAlignment="1">
      <alignment horizontal="center" vertical="center"/>
    </xf>
    <xf numFmtId="167" fontId="2" fillId="0" borderId="1" xfId="8" applyNumberFormat="1" applyFont="1" applyFill="1" applyBorder="1" applyAlignment="1">
      <alignment vertical="center"/>
    </xf>
    <xf numFmtId="167" fontId="16" fillId="27" borderId="1" xfId="8" applyNumberFormat="1" applyFont="1" applyFill="1" applyBorder="1" applyAlignment="1">
      <alignment horizontal="center" vertical="center"/>
    </xf>
    <xf numFmtId="167" fontId="23" fillId="27" borderId="1" xfId="8" applyNumberFormat="1" applyFont="1" applyFill="1" applyBorder="1" applyAlignment="1">
      <alignment vertical="center"/>
    </xf>
    <xf numFmtId="167" fontId="4" fillId="27" borderId="1" xfId="8" applyNumberFormat="1" applyFont="1" applyFill="1" applyBorder="1" applyAlignment="1">
      <alignment horizontal="center"/>
    </xf>
    <xf numFmtId="174" fontId="0" fillId="0" borderId="1" xfId="8" applyFont="1" applyBorder="1"/>
    <xf numFmtId="0" fontId="2" fillId="2" borderId="1" xfId="0" applyFont="1" applyFill="1" applyBorder="1" applyAlignment="1">
      <alignment horizontal="center" vertical="center"/>
    </xf>
    <xf numFmtId="1" fontId="0" fillId="0" borderId="1" xfId="0" applyNumberFormat="1" applyBorder="1" applyAlignment="1">
      <alignment horizontal="center" vertical="center"/>
    </xf>
    <xf numFmtId="0" fontId="4" fillId="0" borderId="1" xfId="0" applyFont="1" applyBorder="1" applyAlignment="1">
      <alignment horizontal="center"/>
    </xf>
    <xf numFmtId="0" fontId="4" fillId="0" borderId="1" xfId="0" applyFont="1" applyBorder="1" applyAlignment="1">
      <alignment horizontal="center" vertical="center"/>
    </xf>
    <xf numFmtId="0" fontId="4" fillId="0" borderId="5" xfId="0" applyFont="1" applyBorder="1" applyAlignment="1">
      <alignment horizontal="center"/>
    </xf>
    <xf numFmtId="1" fontId="0" fillId="0" borderId="0" xfId="0" applyNumberFormat="1" applyFill="1" applyBorder="1"/>
    <xf numFmtId="0" fontId="2" fillId="2" borderId="5" xfId="0" applyFont="1" applyFill="1" applyBorder="1" applyAlignment="1">
      <alignment horizontal="center" vertical="center" wrapText="1"/>
    </xf>
    <xf numFmtId="0" fontId="2" fillId="2" borderId="13" xfId="0" applyFont="1" applyFill="1" applyBorder="1" applyAlignment="1">
      <alignment horizontal="center" vertical="center" wrapText="1"/>
    </xf>
    <xf numFmtId="167" fontId="0" fillId="0" borderId="0" xfId="8" applyNumberFormat="1" applyFont="1"/>
    <xf numFmtId="167" fontId="4" fillId="0" borderId="1" xfId="8" applyNumberFormat="1" applyFont="1" applyBorder="1" applyAlignment="1">
      <alignment horizontal="center" vertical="center"/>
    </xf>
    <xf numFmtId="173" fontId="4" fillId="0" borderId="1" xfId="0" applyNumberFormat="1" applyFont="1" applyBorder="1" applyAlignment="1">
      <alignment horizontal="center" vertical="center"/>
    </xf>
    <xf numFmtId="0" fontId="0" fillId="0" borderId="0" xfId="0" quotePrefix="1" applyFill="1"/>
    <xf numFmtId="165" fontId="0" fillId="0" borderId="0" xfId="0" applyNumberFormat="1" applyFill="1"/>
    <xf numFmtId="0" fontId="0" fillId="0" borderId="0" xfId="0" applyFill="1" applyAlignment="1">
      <alignment horizontal="center" vertical="center"/>
    </xf>
    <xf numFmtId="1" fontId="0" fillId="0" borderId="0" xfId="0" applyNumberFormat="1" applyFill="1" applyBorder="1" applyAlignment="1">
      <alignment horizontal="center"/>
    </xf>
    <xf numFmtId="0" fontId="4" fillId="0" borderId="0" xfId="0" applyFont="1" applyFill="1"/>
    <xf numFmtId="0" fontId="0" fillId="0" borderId="1" xfId="0" quotePrefix="1" applyFill="1" applyBorder="1"/>
    <xf numFmtId="0" fontId="0" fillId="0" borderId="0" xfId="0" quotePrefix="1" applyFill="1" applyBorder="1"/>
    <xf numFmtId="0" fontId="15" fillId="0" borderId="1" xfId="0" applyFont="1" applyFill="1" applyBorder="1"/>
    <xf numFmtId="0" fontId="15" fillId="0" borderId="0" xfId="0" applyFont="1" applyFill="1" applyBorder="1"/>
    <xf numFmtId="1" fontId="0" fillId="0" borderId="0" xfId="0" applyNumberFormat="1" applyFill="1"/>
    <xf numFmtId="0" fontId="0" fillId="0" borderId="0" xfId="0" applyFill="1" applyAlignment="1"/>
    <xf numFmtId="0" fontId="4" fillId="0" borderId="0" xfId="0" applyFont="1" applyFill="1" applyAlignment="1">
      <alignment horizontal="center" vertical="center"/>
    </xf>
    <xf numFmtId="0" fontId="4" fillId="0" borderId="1" xfId="0" applyFont="1" applyFill="1" applyBorder="1" applyAlignment="1">
      <alignment horizontal="center" vertical="center"/>
    </xf>
    <xf numFmtId="16" fontId="0" fillId="0" borderId="1" xfId="0" applyNumberFormat="1" applyFill="1" applyBorder="1" applyAlignment="1">
      <alignment horizontal="left" vertical="center"/>
    </xf>
    <xf numFmtId="0" fontId="6" fillId="0" borderId="2" xfId="0" applyFont="1" applyFill="1" applyBorder="1" applyAlignment="1">
      <alignment horizontal="left" vertical="center"/>
    </xf>
    <xf numFmtId="0" fontId="6" fillId="0" borderId="2" xfId="0" applyFont="1" applyFill="1" applyBorder="1" applyAlignment="1">
      <alignment horizontal="left" vertical="center" wrapText="1"/>
    </xf>
    <xf numFmtId="0" fontId="0" fillId="0" borderId="6" xfId="0" applyBorder="1"/>
    <xf numFmtId="171" fontId="0" fillId="0" borderId="1" xfId="2" applyNumberFormat="1" applyFont="1" applyBorder="1" applyAlignment="1">
      <alignment vertical="center"/>
    </xf>
    <xf numFmtId="1" fontId="4" fillId="14" borderId="1" xfId="0" applyNumberFormat="1" applyFont="1" applyFill="1" applyBorder="1" applyAlignment="1">
      <alignment vertical="center"/>
    </xf>
    <xf numFmtId="0" fontId="4" fillId="14" borderId="0" xfId="0" applyFont="1" applyFill="1" applyAlignment="1">
      <alignment vertical="center"/>
    </xf>
    <xf numFmtId="2" fontId="0" fillId="0" borderId="1" xfId="0" applyNumberFormat="1" applyBorder="1" applyAlignment="1">
      <alignment vertical="center"/>
    </xf>
    <xf numFmtId="2" fontId="4" fillId="14" borderId="1" xfId="0" applyNumberFormat="1" applyFont="1" applyFill="1" applyBorder="1" applyAlignment="1">
      <alignment vertical="center"/>
    </xf>
    <xf numFmtId="0" fontId="2" fillId="0" borderId="0" xfId="0" applyFont="1" applyFill="1" applyBorder="1" applyAlignment="1">
      <alignment horizontal="center" vertical="center" wrapText="1"/>
    </xf>
    <xf numFmtId="1" fontId="4" fillId="0" borderId="0" xfId="0" applyNumberFormat="1" applyFont="1" applyFill="1" applyBorder="1"/>
    <xf numFmtId="164" fontId="0" fillId="0" borderId="1" xfId="1" applyNumberFormat="1" applyFont="1" applyBorder="1" applyAlignment="1">
      <alignment vertical="center"/>
    </xf>
    <xf numFmtId="43" fontId="0" fillId="0" borderId="0" xfId="1" applyNumberFormat="1" applyFont="1" applyAlignment="1">
      <alignment vertical="center"/>
    </xf>
    <xf numFmtId="0" fontId="0" fillId="0" borderId="1" xfId="0" applyBorder="1" applyAlignment="1">
      <alignment vertical="center" wrapText="1"/>
    </xf>
    <xf numFmtId="164" fontId="0" fillId="0" borderId="0" xfId="1" applyNumberFormat="1" applyFont="1" applyAlignment="1">
      <alignment vertical="center"/>
    </xf>
    <xf numFmtId="164" fontId="0" fillId="0" borderId="0" xfId="1" applyNumberFormat="1" applyFont="1" applyFill="1" applyAlignment="1">
      <alignment vertical="center"/>
    </xf>
    <xf numFmtId="164" fontId="4" fillId="0" borderId="1" xfId="0" applyNumberFormat="1" applyFont="1" applyBorder="1" applyAlignment="1">
      <alignment vertical="center"/>
    </xf>
    <xf numFmtId="164" fontId="0" fillId="0" borderId="1" xfId="0" applyNumberFormat="1" applyBorder="1" applyAlignment="1">
      <alignment vertical="center"/>
    </xf>
    <xf numFmtId="9" fontId="0" fillId="0" borderId="0" xfId="0" applyNumberFormat="1" applyAlignment="1">
      <alignment vertical="center"/>
    </xf>
    <xf numFmtId="0" fontId="0" fillId="0" borderId="0" xfId="0" applyFill="1" applyAlignment="1">
      <alignment vertical="center"/>
    </xf>
    <xf numFmtId="0" fontId="4" fillId="0" borderId="0" xfId="0" applyFont="1" applyAlignment="1">
      <alignment vertical="center"/>
    </xf>
    <xf numFmtId="2" fontId="0" fillId="0" borderId="0" xfId="0" applyNumberFormat="1" applyAlignment="1">
      <alignment vertical="center"/>
    </xf>
    <xf numFmtId="10" fontId="0" fillId="0" borderId="0" xfId="2" applyNumberFormat="1" applyFont="1" applyAlignment="1">
      <alignment vertical="center"/>
    </xf>
    <xf numFmtId="0" fontId="0" fillId="0" borderId="7" xfId="0" applyBorder="1" applyAlignment="1">
      <alignment vertical="center"/>
    </xf>
    <xf numFmtId="2" fontId="0" fillId="0" borderId="7" xfId="0" applyNumberFormat="1" applyBorder="1" applyAlignment="1">
      <alignment vertical="center"/>
    </xf>
    <xf numFmtId="9" fontId="0" fillId="0" borderId="1" xfId="2" applyFont="1" applyBorder="1" applyAlignment="1">
      <alignment vertical="center"/>
    </xf>
    <xf numFmtId="9" fontId="0" fillId="0" borderId="1" xfId="0" applyNumberFormat="1" applyBorder="1" applyAlignment="1">
      <alignment vertical="center"/>
    </xf>
    <xf numFmtId="164" fontId="4" fillId="0" borderId="1" xfId="1" applyNumberFormat="1" applyFont="1" applyBorder="1" applyAlignment="1">
      <alignment vertical="center"/>
    </xf>
    <xf numFmtId="43" fontId="0" fillId="0" borderId="1" xfId="0" applyNumberFormat="1" applyBorder="1" applyAlignment="1">
      <alignment vertical="center"/>
    </xf>
    <xf numFmtId="1" fontId="0" fillId="0" borderId="7" xfId="0" applyNumberFormat="1" applyBorder="1" applyAlignment="1">
      <alignment horizontal="center" vertical="center"/>
    </xf>
    <xf numFmtId="164" fontId="0" fillId="0" borderId="7" xfId="1" applyNumberFormat="1" applyFont="1" applyBorder="1" applyAlignment="1">
      <alignment vertical="center"/>
    </xf>
    <xf numFmtId="1" fontId="0" fillId="0" borderId="7" xfId="0" applyNumberFormat="1" applyBorder="1" applyAlignment="1">
      <alignment vertical="center"/>
    </xf>
    <xf numFmtId="164" fontId="0" fillId="0" borderId="12" xfId="1" applyNumberFormat="1" applyFont="1" applyBorder="1" applyAlignment="1">
      <alignment vertical="center"/>
    </xf>
    <xf numFmtId="1" fontId="0" fillId="19" borderId="1" xfId="0" applyNumberFormat="1" applyFill="1" applyBorder="1" applyAlignment="1">
      <alignment vertical="center"/>
    </xf>
    <xf numFmtId="0" fontId="0" fillId="19" borderId="0" xfId="0" applyFill="1" applyAlignment="1">
      <alignment vertical="center"/>
    </xf>
    <xf numFmtId="2" fontId="0" fillId="19" borderId="1" xfId="0" applyNumberFormat="1" applyFill="1" applyBorder="1" applyAlignment="1">
      <alignment vertical="center"/>
    </xf>
    <xf numFmtId="164" fontId="4" fillId="0" borderId="5" xfId="1" applyNumberFormat="1" applyFont="1" applyBorder="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5" xfId="0" applyFont="1" applyBorder="1" applyAlignment="1">
      <alignment horizontal="center" vertical="center" wrapText="1"/>
    </xf>
    <xf numFmtId="1" fontId="0" fillId="36" borderId="2" xfId="0" applyNumberFormat="1" applyFill="1" applyBorder="1" applyAlignment="1">
      <alignment horizontal="center"/>
    </xf>
    <xf numFmtId="1" fontId="0" fillId="36" borderId="1" xfId="0" applyNumberFormat="1" applyFill="1" applyBorder="1" applyAlignment="1">
      <alignment horizontal="center"/>
    </xf>
    <xf numFmtId="0" fontId="0" fillId="0" borderId="0" xfId="0" applyFill="1" applyAlignment="1">
      <alignment wrapText="1"/>
    </xf>
    <xf numFmtId="0" fontId="4" fillId="0" borderId="0" xfId="0" applyFont="1" applyFill="1" applyBorder="1" applyAlignment="1">
      <alignment horizontal="center" vertical="center" wrapText="1"/>
    </xf>
    <xf numFmtId="1" fontId="0" fillId="0" borderId="0" xfId="0" applyNumberFormat="1" applyFont="1" applyFill="1" applyBorder="1"/>
    <xf numFmtId="0" fontId="0" fillId="0" borderId="0" xfId="0" applyFont="1" applyFill="1" applyBorder="1"/>
    <xf numFmtId="9" fontId="0" fillId="0" borderId="0" xfId="2" applyFont="1" applyFill="1" applyBorder="1"/>
    <xf numFmtId="171" fontId="0" fillId="0" borderId="0" xfId="2" applyNumberFormat="1" applyFont="1" applyFill="1"/>
    <xf numFmtId="43" fontId="0" fillId="18" borderId="1" xfId="1" applyNumberFormat="1" applyFont="1" applyFill="1" applyBorder="1" applyAlignment="1">
      <alignment horizontal="center" vertical="center"/>
    </xf>
    <xf numFmtId="43" fontId="0" fillId="3" borderId="1" xfId="1" applyNumberFormat="1" applyFont="1" applyFill="1" applyBorder="1" applyAlignment="1">
      <alignment horizontal="center" vertical="center"/>
    </xf>
    <xf numFmtId="43" fontId="0" fillId="15" borderId="1" xfId="1" applyNumberFormat="1" applyFont="1" applyFill="1" applyBorder="1" applyAlignment="1">
      <alignment horizontal="center" vertical="center"/>
    </xf>
    <xf numFmtId="165" fontId="4" fillId="0" borderId="0" xfId="0" applyNumberFormat="1" applyFont="1" applyFill="1" applyBorder="1"/>
    <xf numFmtId="165" fontId="0" fillId="0" borderId="0" xfId="0" applyNumberFormat="1" applyFill="1" applyBorder="1"/>
    <xf numFmtId="164" fontId="0" fillId="0" borderId="5" xfId="0" applyNumberFormat="1" applyFill="1" applyBorder="1"/>
    <xf numFmtId="0" fontId="0" fillId="0" borderId="5" xfId="0" applyBorder="1"/>
    <xf numFmtId="0" fontId="4" fillId="0" borderId="5" xfId="0" applyFont="1" applyBorder="1"/>
    <xf numFmtId="164" fontId="0" fillId="0" borderId="5" xfId="1" applyNumberFormat="1" applyFont="1" applyBorder="1"/>
    <xf numFmtId="0" fontId="0" fillId="40" borderId="0" xfId="0" applyFill="1"/>
    <xf numFmtId="9" fontId="0" fillId="0" borderId="0" xfId="2" applyFont="1" applyAlignment="1">
      <alignment vertical="center"/>
    </xf>
    <xf numFmtId="0" fontId="4"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2" fillId="2" borderId="5" xfId="0" applyFont="1" applyFill="1" applyBorder="1" applyAlignment="1">
      <alignment horizontal="center" vertical="center"/>
    </xf>
    <xf numFmtId="164" fontId="4" fillId="12" borderId="0" xfId="1" applyNumberFormat="1" applyFont="1" applyFill="1"/>
    <xf numFmtId="164" fontId="0" fillId="0" borderId="1" xfId="1" applyNumberFormat="1" applyFont="1" applyFill="1" applyBorder="1" applyAlignment="1">
      <alignment horizontal="center" vertical="center"/>
    </xf>
    <xf numFmtId="17" fontId="4" fillId="0" borderId="1" xfId="0" applyNumberFormat="1" applyFont="1" applyBorder="1" applyAlignment="1">
      <alignment vertical="center" wrapText="1"/>
    </xf>
    <xf numFmtId="43" fontId="4" fillId="0" borderId="0" xfId="0" applyNumberFormat="1" applyFont="1"/>
    <xf numFmtId="17" fontId="4" fillId="0" borderId="1" xfId="0" applyNumberFormat="1" applyFont="1" applyBorder="1"/>
    <xf numFmtId="164" fontId="4" fillId="12" borderId="1" xfId="1" applyNumberFormat="1" applyFont="1" applyFill="1" applyBorder="1"/>
    <xf numFmtId="17" fontId="2" fillId="13" borderId="1" xfId="1" applyNumberFormat="1" applyFont="1" applyFill="1" applyBorder="1" applyAlignment="1">
      <alignment horizontal="center"/>
    </xf>
    <xf numFmtId="0" fontId="2" fillId="41" borderId="1" xfId="0" applyFont="1" applyFill="1" applyBorder="1" applyAlignment="1">
      <alignment horizontal="center" vertical="center"/>
    </xf>
    <xf numFmtId="164" fontId="4" fillId="0" borderId="5" xfId="1" applyNumberFormat="1" applyFont="1" applyFill="1" applyBorder="1" applyAlignment="1">
      <alignment vertical="center"/>
    </xf>
    <xf numFmtId="164" fontId="0" fillId="0" borderId="5" xfId="1" applyNumberFormat="1" applyFont="1" applyFill="1" applyBorder="1" applyAlignment="1">
      <alignment vertical="center"/>
    </xf>
    <xf numFmtId="164" fontId="4" fillId="0" borderId="5" xfId="0" applyNumberFormat="1" applyFont="1" applyFill="1" applyBorder="1" applyAlignment="1">
      <alignment vertical="center"/>
    </xf>
    <xf numFmtId="0" fontId="0" fillId="0" borderId="5" xfId="0" applyFill="1" applyBorder="1" applyAlignment="1">
      <alignment vertical="center"/>
    </xf>
    <xf numFmtId="164" fontId="0" fillId="0" borderId="19" xfId="1" applyNumberFormat="1" applyFont="1" applyFill="1" applyBorder="1" applyAlignment="1">
      <alignment vertical="center"/>
    </xf>
    <xf numFmtId="164" fontId="0" fillId="0" borderId="5" xfId="0" applyNumberFormat="1" applyFill="1" applyBorder="1" applyAlignment="1">
      <alignment vertical="center"/>
    </xf>
    <xf numFmtId="164" fontId="4" fillId="0" borderId="5" xfId="0" applyNumberFormat="1" applyFont="1" applyBorder="1" applyAlignment="1">
      <alignment vertical="center"/>
    </xf>
    <xf numFmtId="0" fontId="2" fillId="2" borderId="13" xfId="0" applyFont="1" applyFill="1" applyBorder="1" applyAlignment="1">
      <alignment horizontal="center" vertical="center"/>
    </xf>
    <xf numFmtId="1" fontId="0" fillId="0" borderId="13" xfId="0" applyNumberFormat="1" applyBorder="1" applyAlignment="1">
      <alignment vertical="center"/>
    </xf>
    <xf numFmtId="0" fontId="0" fillId="0" borderId="80" xfId="0" applyBorder="1" applyAlignment="1">
      <alignment vertical="center"/>
    </xf>
    <xf numFmtId="164" fontId="4" fillId="0" borderId="13" xfId="0" applyNumberFormat="1" applyFont="1" applyBorder="1" applyAlignment="1">
      <alignment vertical="center"/>
    </xf>
    <xf numFmtId="1" fontId="0" fillId="0" borderId="80" xfId="0" applyNumberFormat="1" applyBorder="1" applyAlignment="1">
      <alignment vertical="center"/>
    </xf>
    <xf numFmtId="0" fontId="0" fillId="0" borderId="13" xfId="0" applyBorder="1" applyAlignment="1">
      <alignment vertical="center"/>
    </xf>
    <xf numFmtId="0" fontId="2" fillId="2" borderId="1" xfId="0" applyFont="1" applyFill="1" applyBorder="1" applyAlignment="1">
      <alignment horizontal="center" vertical="center"/>
    </xf>
    <xf numFmtId="164" fontId="0" fillId="3" borderId="0" xfId="1" applyNumberFormat="1" applyFont="1" applyFill="1"/>
    <xf numFmtId="3" fontId="0" fillId="3" borderId="0" xfId="0" applyNumberFormat="1" applyFill="1"/>
    <xf numFmtId="3" fontId="7" fillId="3" borderId="0" xfId="0" applyNumberFormat="1" applyFont="1" applyFill="1"/>
    <xf numFmtId="164" fontId="7" fillId="3" borderId="0" xfId="1" applyNumberFormat="1" applyFont="1" applyFill="1"/>
    <xf numFmtId="3" fontId="4" fillId="3" borderId="0" xfId="0" applyNumberFormat="1" applyFont="1" applyFill="1"/>
    <xf numFmtId="3" fontId="23" fillId="3" borderId="0" xfId="0" applyNumberFormat="1" applyFont="1" applyFill="1"/>
    <xf numFmtId="2" fontId="0" fillId="0" borderId="0" xfId="0" applyNumberFormat="1" applyFill="1" applyBorder="1"/>
    <xf numFmtId="0" fontId="0" fillId="0" borderId="1" xfId="0" applyBorder="1" applyAlignment="1">
      <alignment horizontal="center" vertical="center" wrapText="1"/>
    </xf>
    <xf numFmtId="1" fontId="0" fillId="0" borderId="1" xfId="0" applyNumberFormat="1" applyBorder="1" applyAlignment="1">
      <alignment horizontal="center" vertical="center"/>
    </xf>
    <xf numFmtId="43" fontId="0" fillId="0" borderId="1" xfId="1" applyNumberFormat="1" applyFont="1" applyBorder="1" applyAlignment="1">
      <alignment horizontal="center" vertical="center"/>
    </xf>
    <xf numFmtId="9" fontId="0" fillId="0" borderId="1" xfId="2" applyFont="1" applyBorder="1"/>
    <xf numFmtId="173" fontId="0" fillId="0" borderId="1" xfId="1" applyNumberFormat="1" applyFont="1" applyBorder="1" applyAlignment="1">
      <alignment vertical="center"/>
    </xf>
    <xf numFmtId="43" fontId="0" fillId="0" borderId="1" xfId="1" applyNumberFormat="1" applyFont="1" applyBorder="1" applyAlignment="1">
      <alignment vertical="center"/>
    </xf>
    <xf numFmtId="1" fontId="0" fillId="0" borderId="0" xfId="1" applyNumberFormat="1" applyFont="1" applyAlignment="1">
      <alignment horizontal="center" vertical="center"/>
    </xf>
    <xf numFmtId="1" fontId="0" fillId="0" borderId="1" xfId="1" applyNumberFormat="1" applyFont="1" applyBorder="1" applyAlignment="1">
      <alignment horizontal="center" vertical="center"/>
    </xf>
    <xf numFmtId="1" fontId="0" fillId="19" borderId="1" xfId="0" applyNumberFormat="1" applyFill="1" applyBorder="1" applyAlignment="1">
      <alignment horizontal="center" vertical="center"/>
    </xf>
    <xf numFmtId="2" fontId="0" fillId="19" borderId="1" xfId="0" applyNumberFormat="1" applyFill="1" applyBorder="1" applyAlignment="1">
      <alignment horizontal="center" vertical="center"/>
    </xf>
    <xf numFmtId="2" fontId="0" fillId="0" borderId="0" xfId="0" applyNumberFormat="1" applyBorder="1" applyAlignment="1">
      <alignment vertical="center"/>
    </xf>
    <xf numFmtId="2" fontId="4" fillId="14" borderId="0" xfId="0" applyNumberFormat="1" applyFont="1" applyFill="1" applyBorder="1" applyAlignment="1">
      <alignment vertical="center"/>
    </xf>
    <xf numFmtId="2" fontId="0" fillId="19" borderId="0" xfId="0" applyNumberFormat="1" applyFill="1" applyBorder="1" applyAlignment="1">
      <alignment vertical="center"/>
    </xf>
    <xf numFmtId="0" fontId="0" fillId="0" borderId="0" xfId="0" applyBorder="1" applyAlignment="1">
      <alignment vertical="center"/>
    </xf>
    <xf numFmtId="171" fontId="0" fillId="0" borderId="0" xfId="2" applyNumberFormat="1" applyFont="1" applyBorder="1" applyAlignment="1">
      <alignment vertical="center"/>
    </xf>
    <xf numFmtId="164" fontId="0" fillId="0" borderId="0" xfId="0" applyNumberFormat="1" applyAlignment="1">
      <alignment vertical="center"/>
    </xf>
    <xf numFmtId="0" fontId="0" fillId="0" borderId="1" xfId="0" applyBorder="1" applyAlignment="1">
      <alignment horizontal="right"/>
    </xf>
    <xf numFmtId="164" fontId="4" fillId="14" borderId="1" xfId="1" applyNumberFormat="1" applyFont="1" applyFill="1" applyBorder="1" applyAlignment="1">
      <alignment vertical="center"/>
    </xf>
    <xf numFmtId="164" fontId="0" fillId="19" borderId="1" xfId="1" applyNumberFormat="1" applyFont="1" applyFill="1" applyBorder="1" applyAlignment="1">
      <alignment vertical="center"/>
    </xf>
    <xf numFmtId="0" fontId="4" fillId="0" borderId="0" xfId="0" applyFont="1" applyBorder="1" applyAlignment="1">
      <alignment horizontal="center" vertical="center" wrapText="1"/>
    </xf>
    <xf numFmtId="0" fontId="45" fillId="42" borderId="79" xfId="0" applyFont="1" applyFill="1" applyBorder="1" applyAlignment="1">
      <alignment horizontal="center" vertical="center"/>
    </xf>
    <xf numFmtId="0" fontId="45" fillId="43" borderId="79" xfId="0" applyFont="1" applyFill="1" applyBorder="1" applyAlignment="1">
      <alignment horizontal="center" vertical="center"/>
    </xf>
    <xf numFmtId="0" fontId="6" fillId="0" borderId="79" xfId="0" applyFont="1" applyBorder="1" applyAlignment="1">
      <alignment vertical="center"/>
    </xf>
    <xf numFmtId="0" fontId="6" fillId="0" borderId="79" xfId="0" applyFont="1" applyBorder="1" applyAlignment="1">
      <alignment horizontal="right" vertical="center"/>
    </xf>
    <xf numFmtId="1" fontId="6" fillId="0" borderId="79" xfId="0" applyNumberFormat="1" applyFont="1" applyBorder="1" applyAlignment="1">
      <alignment horizontal="right" vertical="center"/>
    </xf>
    <xf numFmtId="0" fontId="2" fillId="44" borderId="1" xfId="0" applyFont="1" applyFill="1" applyBorder="1" applyAlignment="1">
      <alignment horizontal="center" vertical="center" wrapText="1"/>
    </xf>
    <xf numFmtId="0" fontId="2" fillId="44" borderId="1" xfId="0" applyFont="1" applyFill="1" applyBorder="1" applyAlignment="1">
      <alignment horizontal="center" vertical="center"/>
    </xf>
    <xf numFmtId="17" fontId="0" fillId="0" borderId="1" xfId="0" applyNumberFormat="1" applyBorder="1" applyAlignment="1">
      <alignment horizontal="right"/>
    </xf>
    <xf numFmtId="1" fontId="0" fillId="0" borderId="7" xfId="0" applyNumberFormat="1" applyBorder="1"/>
    <xf numFmtId="164" fontId="0" fillId="0" borderId="7" xfId="1" applyNumberFormat="1" applyFont="1" applyBorder="1"/>
    <xf numFmtId="0" fontId="0" fillId="0" borderId="7" xfId="0" applyBorder="1"/>
    <xf numFmtId="1" fontId="0" fillId="0" borderId="1" xfId="1" applyNumberFormat="1" applyFont="1" applyFill="1" applyBorder="1"/>
    <xf numFmtId="17" fontId="0" fillId="12" borderId="1" xfId="0" applyNumberFormat="1" applyFill="1" applyBorder="1"/>
    <xf numFmtId="164" fontId="0" fillId="12" borderId="1" xfId="1" applyNumberFormat="1" applyFont="1" applyFill="1" applyBorder="1"/>
    <xf numFmtId="1" fontId="0" fillId="12" borderId="1" xfId="0" applyNumberFormat="1" applyFill="1" applyBorder="1"/>
    <xf numFmtId="164" fontId="0" fillId="12" borderId="1" xfId="0" applyNumberFormat="1" applyFill="1" applyBorder="1"/>
    <xf numFmtId="17" fontId="0" fillId="10" borderId="1" xfId="0" applyNumberFormat="1" applyFill="1" applyBorder="1"/>
    <xf numFmtId="164" fontId="0" fillId="10" borderId="1" xfId="1" applyNumberFormat="1" applyFont="1" applyFill="1" applyBorder="1"/>
    <xf numFmtId="2" fontId="0" fillId="10" borderId="1" xfId="0" applyNumberFormat="1" applyFill="1" applyBorder="1"/>
    <xf numFmtId="1" fontId="0" fillId="10" borderId="1" xfId="0" applyNumberFormat="1" applyFill="1" applyBorder="1"/>
    <xf numFmtId="164" fontId="0" fillId="10" borderId="1" xfId="0" applyNumberFormat="1" applyFill="1" applyBorder="1"/>
    <xf numFmtId="164" fontId="4" fillId="0" borderId="1" xfId="1" applyNumberFormat="1" applyFont="1" applyBorder="1"/>
    <xf numFmtId="43" fontId="4" fillId="0" borderId="1" xfId="1" applyNumberFormat="1" applyFont="1" applyBorder="1"/>
    <xf numFmtId="1" fontId="4" fillId="0" borderId="1" xfId="0" applyNumberFormat="1" applyFont="1" applyBorder="1"/>
    <xf numFmtId="176" fontId="0" fillId="0" borderId="1" xfId="1" applyNumberFormat="1" applyFont="1" applyBorder="1"/>
    <xf numFmtId="0" fontId="2" fillId="2" borderId="1" xfId="0" applyFont="1" applyFill="1" applyBorder="1" applyAlignment="1">
      <alignment horizontal="center" vertical="center"/>
    </xf>
    <xf numFmtId="164" fontId="0" fillId="9" borderId="0" xfId="1" applyNumberFormat="1" applyFont="1" applyFill="1"/>
    <xf numFmtId="164" fontId="4" fillId="9" borderId="0" xfId="1" applyNumberFormat="1" applyFont="1" applyFill="1"/>
    <xf numFmtId="3" fontId="4" fillId="45" borderId="0" xfId="0" applyNumberFormat="1" applyFont="1" applyFill="1"/>
    <xf numFmtId="3" fontId="0" fillId="45" borderId="0" xfId="0" applyNumberFormat="1" applyFill="1"/>
    <xf numFmtId="169" fontId="0" fillId="0" borderId="0" xfId="0" applyNumberFormat="1" applyFill="1"/>
    <xf numFmtId="0" fontId="2" fillId="2" borderId="1" xfId="0" applyFont="1" applyFill="1" applyBorder="1" applyAlignment="1">
      <alignment horizontal="center" vertical="center" wrapText="1"/>
    </xf>
    <xf numFmtId="0" fontId="0" fillId="0" borderId="1" xfId="0" applyBorder="1" applyAlignment="1">
      <alignment horizontal="center"/>
    </xf>
    <xf numFmtId="1" fontId="0" fillId="0" borderId="1" xfId="0" applyNumberFormat="1" applyBorder="1" applyAlignment="1">
      <alignment horizontal="center" vertical="center"/>
    </xf>
    <xf numFmtId="0" fontId="0" fillId="0" borderId="1" xfId="0" applyBorder="1" applyAlignment="1">
      <alignment horizontal="center" vertical="center"/>
    </xf>
    <xf numFmtId="0" fontId="46" fillId="0" borderId="0" xfId="9"/>
    <xf numFmtId="0" fontId="47" fillId="0" borderId="0" xfId="9" applyFont="1"/>
    <xf numFmtId="171" fontId="47" fillId="0" borderId="0" xfId="10" applyNumberFormat="1" applyFont="1"/>
    <xf numFmtId="0" fontId="49" fillId="46" borderId="87" xfId="9" applyFont="1" applyFill="1" applyBorder="1"/>
    <xf numFmtId="0" fontId="49" fillId="46" borderId="88" xfId="9" applyFont="1" applyFill="1" applyBorder="1"/>
    <xf numFmtId="0" fontId="49" fillId="46" borderId="88" xfId="9" applyFont="1" applyFill="1" applyBorder="1" applyAlignment="1">
      <alignment horizontal="right"/>
    </xf>
    <xf numFmtId="0" fontId="49" fillId="46" borderId="89" xfId="9" applyFont="1" applyFill="1" applyBorder="1"/>
    <xf numFmtId="0" fontId="50" fillId="46" borderId="90" xfId="9" applyFont="1" applyFill="1" applyBorder="1"/>
    <xf numFmtId="0" fontId="46" fillId="0" borderId="69" xfId="9" applyBorder="1"/>
    <xf numFmtId="0" fontId="46" fillId="0" borderId="15" xfId="9" applyBorder="1"/>
    <xf numFmtId="3" fontId="46" fillId="0" borderId="15" xfId="9" applyNumberFormat="1" applyBorder="1"/>
    <xf numFmtId="10" fontId="0" fillId="0" borderId="15" xfId="10" applyNumberFormat="1" applyFont="1" applyBorder="1"/>
    <xf numFmtId="9" fontId="46" fillId="12" borderId="15" xfId="9" applyNumberFormat="1" applyFill="1" applyBorder="1"/>
    <xf numFmtId="0" fontId="46" fillId="0" borderId="15" xfId="9" applyFill="1" applyBorder="1"/>
    <xf numFmtId="0" fontId="46" fillId="0" borderId="58" xfId="9" applyBorder="1"/>
    <xf numFmtId="4" fontId="46" fillId="0" borderId="70" xfId="9" applyNumberFormat="1" applyBorder="1"/>
    <xf numFmtId="9" fontId="46" fillId="0" borderId="15" xfId="9" applyNumberFormat="1" applyBorder="1"/>
    <xf numFmtId="0" fontId="47" fillId="0" borderId="91" xfId="9" applyFont="1" applyBorder="1"/>
    <xf numFmtId="1" fontId="47" fillId="0" borderId="92" xfId="9" applyNumberFormat="1" applyFont="1" applyBorder="1"/>
    <xf numFmtId="0" fontId="46" fillId="0" borderId="92" xfId="9" applyBorder="1"/>
    <xf numFmtId="3" fontId="47" fillId="0" borderId="92" xfId="9" applyNumberFormat="1" applyFont="1" applyBorder="1"/>
    <xf numFmtId="10" fontId="47" fillId="0" borderId="92" xfId="10" applyNumberFormat="1" applyFont="1" applyBorder="1"/>
    <xf numFmtId="9" fontId="47" fillId="0" borderId="92" xfId="9" applyNumberFormat="1" applyFont="1" applyBorder="1"/>
    <xf numFmtId="0" fontId="47" fillId="0" borderId="92" xfId="9" applyFont="1" applyBorder="1"/>
    <xf numFmtId="0" fontId="47" fillId="0" borderId="93" xfId="9" applyFont="1" applyBorder="1"/>
    <xf numFmtId="4" fontId="46" fillId="0" borderId="0" xfId="9" applyNumberFormat="1"/>
    <xf numFmtId="4" fontId="47" fillId="0" borderId="92" xfId="9" applyNumberFormat="1" applyFont="1" applyBorder="1"/>
    <xf numFmtId="9" fontId="47" fillId="0" borderId="94" xfId="10" applyFont="1" applyBorder="1"/>
    <xf numFmtId="3" fontId="47" fillId="12" borderId="0" xfId="9" applyNumberFormat="1" applyFont="1" applyFill="1"/>
    <xf numFmtId="4" fontId="47" fillId="0" borderId="0" xfId="9" applyNumberFormat="1" applyFont="1"/>
    <xf numFmtId="9" fontId="0" fillId="0" borderId="15" xfId="10" applyFont="1" applyBorder="1"/>
    <xf numFmtId="171" fontId="46" fillId="0" borderId="15" xfId="9" applyNumberFormat="1" applyBorder="1"/>
    <xf numFmtId="3" fontId="47" fillId="0" borderId="15" xfId="9" applyNumberFormat="1" applyFont="1" applyBorder="1"/>
    <xf numFmtId="1" fontId="47" fillId="0" borderId="15" xfId="9" applyNumberFormat="1" applyFont="1" applyBorder="1"/>
    <xf numFmtId="4" fontId="47" fillId="0" borderId="70" xfId="9" applyNumberFormat="1" applyFont="1" applyBorder="1"/>
    <xf numFmtId="167" fontId="0" fillId="0" borderId="0" xfId="11" applyNumberFormat="1" applyFont="1"/>
    <xf numFmtId="0" fontId="47" fillId="0" borderId="95" xfId="9" applyFont="1" applyBorder="1"/>
    <xf numFmtId="0" fontId="46" fillId="0" borderId="96" xfId="9" applyBorder="1"/>
    <xf numFmtId="4" fontId="47" fillId="0" borderId="96" xfId="9" applyNumberFormat="1" applyFont="1" applyBorder="1"/>
    <xf numFmtId="3" fontId="46" fillId="0" borderId="96" xfId="9" applyNumberFormat="1" applyBorder="1"/>
    <xf numFmtId="0" fontId="46" fillId="0" borderId="97" xfId="9" applyBorder="1"/>
    <xf numFmtId="171" fontId="47" fillId="0" borderId="98" xfId="10" applyNumberFormat="1" applyFont="1" applyBorder="1"/>
    <xf numFmtId="0" fontId="46" fillId="0" borderId="69" xfId="9" applyFill="1" applyBorder="1"/>
    <xf numFmtId="3" fontId="46" fillId="0" borderId="0" xfId="9" applyNumberFormat="1"/>
    <xf numFmtId="0" fontId="49" fillId="46" borderId="87" xfId="9" applyFont="1" applyFill="1" applyBorder="1" applyAlignment="1">
      <alignment vertical="center"/>
    </xf>
    <xf numFmtId="0" fontId="49" fillId="46" borderId="88" xfId="9" applyFont="1" applyFill="1" applyBorder="1" applyAlignment="1">
      <alignment vertical="center"/>
    </xf>
    <xf numFmtId="0" fontId="49" fillId="46" borderId="89" xfId="9" applyFont="1" applyFill="1" applyBorder="1" applyAlignment="1">
      <alignment vertical="center" wrapText="1"/>
    </xf>
    <xf numFmtId="0" fontId="50" fillId="46" borderId="90" xfId="9" applyFont="1" applyFill="1" applyBorder="1" applyAlignment="1">
      <alignment vertical="center"/>
    </xf>
    <xf numFmtId="4" fontId="46" fillId="0" borderId="58" xfId="9" applyNumberFormat="1" applyBorder="1"/>
    <xf numFmtId="10" fontId="47" fillId="0" borderId="98" xfId="10" applyNumberFormat="1" applyFont="1" applyBorder="1"/>
    <xf numFmtId="174" fontId="47" fillId="12" borderId="0" xfId="11" applyFont="1" applyFill="1"/>
    <xf numFmtId="3" fontId="47" fillId="0" borderId="0" xfId="9" applyNumberFormat="1" applyFont="1" applyFill="1"/>
    <xf numFmtId="0" fontId="47" fillId="0" borderId="15" xfId="9" applyFont="1" applyBorder="1"/>
    <xf numFmtId="9" fontId="47" fillId="0" borderId="98" xfId="10" applyFont="1" applyBorder="1"/>
    <xf numFmtId="1" fontId="46" fillId="0" borderId="0" xfId="9" applyNumberFormat="1"/>
    <xf numFmtId="3" fontId="47" fillId="0" borderId="0" xfId="9" applyNumberFormat="1" applyFont="1"/>
    <xf numFmtId="0" fontId="49" fillId="46" borderId="0" xfId="9" applyFont="1" applyFill="1" applyBorder="1"/>
    <xf numFmtId="171" fontId="0" fillId="0" borderId="15" xfId="10" applyNumberFormat="1" applyFont="1" applyBorder="1"/>
    <xf numFmtId="10" fontId="46" fillId="12" borderId="15" xfId="9" applyNumberFormat="1" applyFill="1" applyBorder="1"/>
    <xf numFmtId="4" fontId="46" fillId="0" borderId="15" xfId="9" applyNumberFormat="1" applyBorder="1"/>
    <xf numFmtId="3" fontId="46" fillId="12" borderId="15" xfId="9" applyNumberFormat="1" applyFill="1" applyBorder="1"/>
    <xf numFmtId="3" fontId="46" fillId="0" borderId="58" xfId="9" applyNumberFormat="1" applyFill="1" applyBorder="1"/>
    <xf numFmtId="10" fontId="46" fillId="0" borderId="15" xfId="9" applyNumberFormat="1" applyBorder="1"/>
    <xf numFmtId="4" fontId="46" fillId="47" borderId="15" xfId="9" applyNumberFormat="1" applyFill="1" applyBorder="1"/>
    <xf numFmtId="0" fontId="46" fillId="12" borderId="69" xfId="9" applyFill="1" applyBorder="1"/>
    <xf numFmtId="0" fontId="46" fillId="12" borderId="15" xfId="9" applyFill="1" applyBorder="1"/>
    <xf numFmtId="171" fontId="0" fillId="12" borderId="15" xfId="10" applyNumberFormat="1" applyFont="1" applyFill="1" applyBorder="1"/>
    <xf numFmtId="4" fontId="46" fillId="12" borderId="15" xfId="9" applyNumberFormat="1" applyFill="1" applyBorder="1"/>
    <xf numFmtId="3" fontId="46" fillId="12" borderId="58" xfId="9" applyNumberFormat="1" applyFill="1" applyBorder="1"/>
    <xf numFmtId="4" fontId="46" fillId="12" borderId="70" xfId="9" applyNumberFormat="1" applyFill="1" applyBorder="1"/>
    <xf numFmtId="0" fontId="46" fillId="10" borderId="15" xfId="9" applyFill="1" applyBorder="1"/>
    <xf numFmtId="4" fontId="46" fillId="10" borderId="15" xfId="9" applyNumberFormat="1" applyFill="1" applyBorder="1"/>
    <xf numFmtId="4" fontId="46" fillId="48" borderId="15" xfId="9" applyNumberFormat="1" applyFill="1" applyBorder="1"/>
    <xf numFmtId="10" fontId="47" fillId="0" borderId="15" xfId="10" applyNumberFormat="1" applyFont="1" applyBorder="1"/>
    <xf numFmtId="4" fontId="47" fillId="0" borderId="15" xfId="9" applyNumberFormat="1" applyFont="1" applyBorder="1"/>
    <xf numFmtId="0" fontId="46" fillId="0" borderId="58" xfId="9" applyFill="1" applyBorder="1"/>
    <xf numFmtId="1" fontId="46" fillId="0" borderId="15" xfId="9" applyNumberFormat="1" applyBorder="1" applyAlignment="1">
      <alignment horizontal="right"/>
    </xf>
    <xf numFmtId="1" fontId="47" fillId="0" borderId="15" xfId="9" applyNumberFormat="1" applyFont="1" applyBorder="1" applyAlignment="1">
      <alignment horizontal="right"/>
    </xf>
    <xf numFmtId="167" fontId="0" fillId="0" borderId="96" xfId="11" applyNumberFormat="1" applyFont="1" applyBorder="1"/>
    <xf numFmtId="0" fontId="47" fillId="0" borderId="0" xfId="9" applyFont="1" applyBorder="1"/>
    <xf numFmtId="0" fontId="46" fillId="0" borderId="0" xfId="9" applyBorder="1"/>
    <xf numFmtId="9" fontId="47" fillId="0" borderId="0" xfId="10" applyFont="1" applyBorder="1"/>
    <xf numFmtId="9" fontId="0" fillId="0" borderId="0" xfId="10" applyFont="1"/>
    <xf numFmtId="1" fontId="46" fillId="0" borderId="15" xfId="9" applyNumberFormat="1" applyBorder="1"/>
    <xf numFmtId="1" fontId="47" fillId="0" borderId="96" xfId="9" applyNumberFormat="1" applyFont="1" applyBorder="1"/>
    <xf numFmtId="0" fontId="49" fillId="46" borderId="99" xfId="9" applyFont="1" applyFill="1" applyBorder="1"/>
    <xf numFmtId="174" fontId="0" fillId="0" borderId="58" xfId="11" applyFont="1" applyBorder="1"/>
    <xf numFmtId="0" fontId="46" fillId="12" borderId="0" xfId="9" applyFill="1" applyBorder="1"/>
    <xf numFmtId="1" fontId="46" fillId="12" borderId="15" xfId="9" applyNumberFormat="1" applyFill="1" applyBorder="1"/>
    <xf numFmtId="9" fontId="0" fillId="12" borderId="15" xfId="10" applyFont="1" applyFill="1" applyBorder="1"/>
    <xf numFmtId="174" fontId="0" fillId="12" borderId="58" xfId="11" applyFont="1" applyFill="1" applyBorder="1"/>
    <xf numFmtId="0" fontId="46" fillId="12" borderId="58" xfId="9" applyFill="1" applyBorder="1"/>
    <xf numFmtId="0" fontId="46" fillId="10" borderId="0" xfId="9" applyFill="1" applyBorder="1"/>
    <xf numFmtId="0" fontId="46" fillId="0" borderId="5" xfId="9" applyBorder="1"/>
    <xf numFmtId="0" fontId="46" fillId="0" borderId="47" xfId="9" applyBorder="1"/>
    <xf numFmtId="1" fontId="47" fillId="0" borderId="47" xfId="9" applyNumberFormat="1" applyFont="1" applyBorder="1"/>
    <xf numFmtId="4" fontId="47" fillId="0" borderId="94" xfId="9" applyNumberFormat="1" applyFont="1" applyFill="1" applyBorder="1"/>
    <xf numFmtId="9" fontId="0" fillId="0" borderId="0" xfId="10" applyFont="1" applyFill="1" applyBorder="1"/>
    <xf numFmtId="4" fontId="46" fillId="0" borderId="0" xfId="9" applyNumberFormat="1" applyFont="1"/>
    <xf numFmtId="0" fontId="50" fillId="46" borderId="90" xfId="9" applyFont="1" applyFill="1" applyBorder="1" applyAlignment="1">
      <alignment horizontal="right"/>
    </xf>
    <xf numFmtId="174" fontId="0" fillId="0" borderId="15" xfId="11" applyFont="1" applyBorder="1"/>
    <xf numFmtId="0" fontId="49" fillId="46" borderId="70" xfId="9" applyFont="1" applyFill="1" applyBorder="1"/>
    <xf numFmtId="2" fontId="46" fillId="0" borderId="15" xfId="9" applyNumberFormat="1" applyBorder="1"/>
    <xf numFmtId="171" fontId="0" fillId="0" borderId="70" xfId="10" applyNumberFormat="1" applyFont="1" applyBorder="1"/>
    <xf numFmtId="4" fontId="0" fillId="0" borderId="0" xfId="10" applyNumberFormat="1" applyFont="1"/>
    <xf numFmtId="2" fontId="47" fillId="0" borderId="15" xfId="9" applyNumberFormat="1" applyFont="1" applyBorder="1"/>
    <xf numFmtId="0" fontId="46" fillId="0" borderId="70" xfId="9" applyBorder="1"/>
    <xf numFmtId="2" fontId="46" fillId="0" borderId="96" xfId="9" applyNumberFormat="1" applyBorder="1"/>
    <xf numFmtId="4" fontId="46" fillId="0" borderId="96" xfId="9" applyNumberFormat="1" applyBorder="1"/>
    <xf numFmtId="171" fontId="46" fillId="0" borderId="98" xfId="9" applyNumberFormat="1" applyBorder="1"/>
    <xf numFmtId="2" fontId="46" fillId="0" borderId="0" xfId="9" applyNumberFormat="1"/>
    <xf numFmtId="0" fontId="1" fillId="0" borderId="0" xfId="6" applyFont="1"/>
    <xf numFmtId="0" fontId="4" fillId="49" borderId="100" xfId="6" applyFont="1" applyFill="1" applyBorder="1"/>
    <xf numFmtId="0" fontId="1" fillId="0" borderId="0" xfId="6" applyFill="1" applyAlignment="1">
      <alignment horizontal="left"/>
    </xf>
    <xf numFmtId="1" fontId="1" fillId="12" borderId="0" xfId="6" applyNumberFormat="1" applyFill="1"/>
    <xf numFmtId="1" fontId="1" fillId="0" borderId="0" xfId="6" applyNumberFormat="1" applyFill="1"/>
    <xf numFmtId="4" fontId="1" fillId="0" borderId="0" xfId="6" applyNumberFormat="1" applyFill="1"/>
    <xf numFmtId="1" fontId="1" fillId="0" borderId="0" xfId="6" applyNumberFormat="1" applyFont="1"/>
    <xf numFmtId="0" fontId="1" fillId="0" borderId="0" xfId="6" applyAlignment="1">
      <alignment horizontal="left"/>
    </xf>
    <xf numFmtId="1" fontId="1" fillId="0" borderId="0" xfId="6" applyNumberFormat="1"/>
    <xf numFmtId="4" fontId="1" fillId="0" borderId="0" xfId="6" applyNumberFormat="1"/>
    <xf numFmtId="4" fontId="4" fillId="49" borderId="101" xfId="6" applyNumberFormat="1" applyFont="1" applyFill="1" applyBorder="1"/>
    <xf numFmtId="4" fontId="1" fillId="0" borderId="0" xfId="6" applyNumberFormat="1" applyFont="1"/>
    <xf numFmtId="9" fontId="4" fillId="0" borderId="0" xfId="7" applyFont="1"/>
    <xf numFmtId="0" fontId="4" fillId="30" borderId="0" xfId="6" applyFont="1" applyFill="1"/>
    <xf numFmtId="174" fontId="4" fillId="0" borderId="0" xfId="8" applyFont="1"/>
    <xf numFmtId="9" fontId="1" fillId="0" borderId="0" xfId="6" applyNumberFormat="1" applyFont="1"/>
    <xf numFmtId="4" fontId="4" fillId="0" borderId="0" xfId="6" applyNumberFormat="1" applyFont="1"/>
    <xf numFmtId="0" fontId="5" fillId="6" borderId="1" xfId="6" applyFont="1" applyFill="1" applyBorder="1" applyAlignment="1">
      <alignment vertical="center"/>
    </xf>
    <xf numFmtId="0" fontId="2" fillId="6" borderId="1" xfId="6" applyFont="1" applyFill="1" applyBorder="1" applyAlignment="1">
      <alignment horizontal="center" vertical="center" wrapText="1"/>
    </xf>
    <xf numFmtId="0" fontId="2" fillId="6" borderId="1" xfId="6" applyFont="1" applyFill="1" applyBorder="1" applyAlignment="1">
      <alignment horizontal="center" vertical="center"/>
    </xf>
    <xf numFmtId="166" fontId="25" fillId="7" borderId="7" xfId="6" applyNumberFormat="1" applyFont="1" applyFill="1" applyBorder="1" applyAlignment="1">
      <alignment vertical="center" wrapText="1"/>
    </xf>
    <xf numFmtId="0" fontId="25" fillId="7" borderId="7" xfId="6" applyFont="1" applyFill="1" applyBorder="1" applyAlignment="1">
      <alignment horizontal="right" vertical="center" wrapText="1"/>
    </xf>
    <xf numFmtId="0" fontId="1" fillId="0" borderId="1" xfId="6" applyFont="1" applyFill="1" applyBorder="1"/>
    <xf numFmtId="0" fontId="1" fillId="0" borderId="1" xfId="6" applyFont="1" applyFill="1" applyBorder="1" applyAlignment="1">
      <alignment horizontal="center"/>
    </xf>
    <xf numFmtId="0" fontId="1" fillId="0" borderId="1" xfId="6" applyFont="1" applyFill="1" applyBorder="1" applyAlignment="1"/>
    <xf numFmtId="9" fontId="0" fillId="0" borderId="1" xfId="7" applyFont="1" applyFill="1" applyBorder="1" applyAlignment="1">
      <alignment horizontal="center"/>
    </xf>
    <xf numFmtId="4" fontId="1" fillId="0" borderId="1" xfId="6" applyNumberFormat="1" applyFont="1" applyFill="1" applyBorder="1" applyAlignment="1">
      <alignment horizontal="center"/>
    </xf>
    <xf numFmtId="167" fontId="0" fillId="0" borderId="1" xfId="8" applyNumberFormat="1" applyFont="1" applyFill="1" applyBorder="1" applyAlignment="1">
      <alignment horizontal="center"/>
    </xf>
    <xf numFmtId="167" fontId="0" fillId="0" borderId="1" xfId="12" applyNumberFormat="1" applyFont="1" applyFill="1" applyBorder="1" applyAlignment="1">
      <alignment horizontal="center"/>
    </xf>
    <xf numFmtId="167" fontId="0" fillId="0" borderId="1" xfId="8" applyNumberFormat="1" applyFont="1" applyFill="1" applyBorder="1"/>
    <xf numFmtId="9" fontId="4" fillId="0" borderId="1" xfId="7" applyFont="1" applyFill="1" applyBorder="1"/>
    <xf numFmtId="9" fontId="0" fillId="0" borderId="0" xfId="7" applyFont="1"/>
    <xf numFmtId="167" fontId="1" fillId="0" borderId="0" xfId="6" applyNumberFormat="1" applyFont="1"/>
    <xf numFmtId="167" fontId="0" fillId="12" borderId="6" xfId="8" applyNumberFormat="1" applyFont="1" applyFill="1" applyBorder="1"/>
    <xf numFmtId="167" fontId="0" fillId="0" borderId="6" xfId="8" applyNumberFormat="1" applyFont="1" applyBorder="1"/>
    <xf numFmtId="2" fontId="1" fillId="0" borderId="0" xfId="6" applyNumberFormat="1" applyFont="1"/>
    <xf numFmtId="0" fontId="4" fillId="0" borderId="1" xfId="6" applyFont="1" applyFill="1" applyBorder="1"/>
    <xf numFmtId="0" fontId="1" fillId="0" borderId="1" xfId="6" applyFont="1" applyBorder="1"/>
    <xf numFmtId="0" fontId="1" fillId="0" borderId="1" xfId="6" applyFont="1" applyFill="1" applyBorder="1" applyAlignment="1">
      <alignment horizontal="left"/>
    </xf>
    <xf numFmtId="4" fontId="1" fillId="12" borderId="1" xfId="6" applyNumberFormat="1" applyFont="1" applyFill="1" applyBorder="1" applyAlignment="1">
      <alignment horizontal="center"/>
    </xf>
    <xf numFmtId="9" fontId="1" fillId="0" borderId="1" xfId="7" applyFont="1" applyFill="1" applyBorder="1"/>
    <xf numFmtId="0" fontId="1" fillId="0" borderId="1" xfId="6" applyFont="1" applyFill="1" applyBorder="1" applyAlignment="1">
      <alignment horizontal="left" vertical="center"/>
    </xf>
    <xf numFmtId="0" fontId="1" fillId="0" borderId="0" xfId="6" applyFont="1" applyFill="1"/>
    <xf numFmtId="0" fontId="1" fillId="8" borderId="1" xfId="6" applyFont="1" applyFill="1" applyBorder="1"/>
    <xf numFmtId="0" fontId="1" fillId="8" borderId="1" xfId="6" applyFont="1" applyFill="1" applyBorder="1" applyAlignment="1">
      <alignment horizontal="left"/>
    </xf>
    <xf numFmtId="0" fontId="1" fillId="8" borderId="1" xfId="6" applyFont="1" applyFill="1" applyBorder="1" applyAlignment="1">
      <alignment horizontal="center"/>
    </xf>
    <xf numFmtId="0" fontId="1" fillId="8" borderId="1" xfId="6" applyFont="1" applyFill="1" applyBorder="1" applyAlignment="1"/>
    <xf numFmtId="9" fontId="0" fillId="8" borderId="1" xfId="7" applyFont="1" applyFill="1" applyBorder="1" applyAlignment="1">
      <alignment horizontal="center"/>
    </xf>
    <xf numFmtId="4" fontId="1" fillId="8" borderId="1" xfId="6" applyNumberFormat="1" applyFont="1" applyFill="1" applyBorder="1" applyAlignment="1">
      <alignment horizontal="center"/>
    </xf>
    <xf numFmtId="167" fontId="0" fillId="8" borderId="1" xfId="8" applyNumberFormat="1" applyFont="1" applyFill="1" applyBorder="1" applyAlignment="1">
      <alignment horizontal="center"/>
    </xf>
    <xf numFmtId="167" fontId="0" fillId="8" borderId="1" xfId="12" applyNumberFormat="1" applyFont="1" applyFill="1" applyBorder="1" applyAlignment="1">
      <alignment horizontal="center"/>
    </xf>
    <xf numFmtId="167" fontId="0" fillId="8" borderId="1" xfId="8" applyNumberFormat="1" applyFont="1" applyFill="1" applyBorder="1"/>
    <xf numFmtId="9" fontId="4" fillId="8" borderId="1" xfId="7" applyFont="1" applyFill="1" applyBorder="1"/>
    <xf numFmtId="9" fontId="0" fillId="8" borderId="0" xfId="7" applyFont="1" applyFill="1"/>
    <xf numFmtId="0" fontId="1" fillId="8" borderId="0" xfId="6" applyFont="1" applyFill="1"/>
    <xf numFmtId="167" fontId="0" fillId="8" borderId="69" xfId="8" applyNumberFormat="1" applyFont="1" applyFill="1" applyBorder="1"/>
    <xf numFmtId="167" fontId="0" fillId="8" borderId="70" xfId="8" applyNumberFormat="1" applyFont="1" applyFill="1" applyBorder="1"/>
    <xf numFmtId="4" fontId="1" fillId="8" borderId="0" xfId="6" applyNumberFormat="1" applyFont="1" applyFill="1"/>
    <xf numFmtId="167" fontId="0" fillId="9" borderId="1" xfId="8" applyNumberFormat="1" applyFont="1" applyFill="1" applyBorder="1" applyAlignment="1">
      <alignment horizontal="center"/>
    </xf>
    <xf numFmtId="2" fontId="1" fillId="0" borderId="0" xfId="6" applyNumberFormat="1" applyFont="1" applyFill="1"/>
    <xf numFmtId="0" fontId="12" fillId="0" borderId="1" xfId="6" applyFont="1" applyBorder="1"/>
    <xf numFmtId="9" fontId="27" fillId="0" borderId="1" xfId="7" applyFont="1" applyBorder="1" applyAlignment="1">
      <alignment horizontal="center"/>
    </xf>
    <xf numFmtId="3" fontId="27" fillId="0" borderId="1" xfId="7" applyNumberFormat="1" applyFont="1" applyBorder="1" applyAlignment="1">
      <alignment horizontal="center"/>
    </xf>
    <xf numFmtId="0" fontId="27" fillId="0" borderId="1" xfId="6" applyFont="1" applyBorder="1"/>
    <xf numFmtId="1" fontId="27" fillId="0" borderId="1" xfId="6" applyNumberFormat="1" applyFont="1" applyBorder="1" applyAlignment="1">
      <alignment horizontal="center"/>
    </xf>
    <xf numFmtId="167" fontId="27" fillId="0" borderId="1" xfId="8" applyNumberFormat="1" applyFont="1" applyBorder="1" applyAlignment="1"/>
    <xf numFmtId="167" fontId="27" fillId="0" borderId="1" xfId="8" applyNumberFormat="1" applyFont="1" applyBorder="1" applyAlignment="1">
      <alignment horizontal="left" vertical="top"/>
    </xf>
    <xf numFmtId="167" fontId="27" fillId="0" borderId="1" xfId="12" applyNumberFormat="1" applyFont="1" applyBorder="1" applyAlignment="1"/>
    <xf numFmtId="167" fontId="27" fillId="12" borderId="1" xfId="12" applyNumberFormat="1" applyFont="1" applyFill="1" applyBorder="1" applyAlignment="1"/>
    <xf numFmtId="10" fontId="4" fillId="0" borderId="1" xfId="7" applyNumberFormat="1" applyFont="1" applyBorder="1"/>
    <xf numFmtId="1" fontId="2" fillId="7" borderId="95" xfId="6" applyNumberFormat="1" applyFont="1" applyFill="1" applyBorder="1"/>
    <xf numFmtId="1" fontId="2" fillId="7" borderId="96" xfId="6" applyNumberFormat="1" applyFont="1" applyFill="1" applyBorder="1"/>
    <xf numFmtId="1" fontId="2" fillId="7" borderId="98" xfId="6" applyNumberFormat="1" applyFont="1" applyFill="1" applyBorder="1"/>
    <xf numFmtId="1" fontId="2" fillId="7" borderId="12" xfId="6" applyNumberFormat="1" applyFont="1" applyFill="1" applyBorder="1"/>
    <xf numFmtId="4" fontId="2" fillId="7" borderId="6" xfId="6" applyNumberFormat="1" applyFont="1" applyFill="1" applyBorder="1"/>
    <xf numFmtId="10" fontId="0" fillId="0" borderId="0" xfId="7" applyNumberFormat="1" applyFont="1"/>
    <xf numFmtId="43" fontId="1" fillId="0" borderId="0" xfId="6" applyNumberFormat="1" applyFont="1"/>
    <xf numFmtId="43" fontId="1" fillId="0" borderId="0" xfId="6" applyNumberFormat="1" applyFont="1" applyAlignment="1">
      <alignment horizontal="left" indent="1"/>
    </xf>
    <xf numFmtId="174" fontId="4" fillId="12" borderId="0" xfId="8" applyFont="1" applyFill="1"/>
    <xf numFmtId="164" fontId="1" fillId="0" borderId="0" xfId="6" applyNumberFormat="1" applyFont="1"/>
    <xf numFmtId="0" fontId="5" fillId="6" borderId="7" xfId="6" applyFont="1" applyFill="1" applyBorder="1"/>
    <xf numFmtId="0" fontId="5" fillId="6" borderId="7" xfId="6" applyFont="1" applyFill="1" applyBorder="1" applyAlignment="1">
      <alignment horizontal="right"/>
    </xf>
    <xf numFmtId="0" fontId="5" fillId="6" borderId="6" xfId="6" applyFont="1" applyFill="1" applyBorder="1"/>
    <xf numFmtId="0" fontId="1" fillId="0" borderId="6" xfId="6" applyFont="1" applyBorder="1"/>
    <xf numFmtId="4" fontId="1" fillId="0" borderId="6" xfId="6" applyNumberFormat="1" applyFont="1" applyBorder="1"/>
    <xf numFmtId="9" fontId="1" fillId="0" borderId="6" xfId="6" applyNumberFormat="1" applyFont="1" applyBorder="1"/>
    <xf numFmtId="9" fontId="0" fillId="0" borderId="6" xfId="7" applyFont="1" applyBorder="1"/>
    <xf numFmtId="3" fontId="1" fillId="0" borderId="6" xfId="6" applyNumberFormat="1" applyFont="1" applyBorder="1"/>
    <xf numFmtId="3" fontId="1" fillId="0" borderId="0" xfId="6" applyNumberFormat="1" applyFont="1"/>
    <xf numFmtId="0" fontId="2" fillId="6" borderId="0" xfId="6" applyFont="1" applyFill="1"/>
    <xf numFmtId="1" fontId="2" fillId="6" borderId="0" xfId="6" applyNumberFormat="1" applyFont="1" applyFill="1"/>
    <xf numFmtId="0" fontId="5" fillId="6" borderId="12" xfId="6" applyFont="1" applyFill="1" applyBorder="1"/>
    <xf numFmtId="4" fontId="5" fillId="6" borderId="12" xfId="6" applyNumberFormat="1" applyFont="1" applyFill="1" applyBorder="1"/>
    <xf numFmtId="167" fontId="5" fillId="6" borderId="12" xfId="8" applyNumberFormat="1" applyFont="1" applyFill="1" applyBorder="1"/>
    <xf numFmtId="171" fontId="5" fillId="6" borderId="12" xfId="7" applyNumberFormat="1" applyFont="1" applyFill="1" applyBorder="1" applyAlignment="1">
      <alignment horizontal="right"/>
    </xf>
    <xf numFmtId="171" fontId="5" fillId="6" borderId="12" xfId="7" applyNumberFormat="1" applyFont="1" applyFill="1" applyBorder="1"/>
    <xf numFmtId="2" fontId="5" fillId="6" borderId="0" xfId="6" applyNumberFormat="1" applyFont="1" applyFill="1"/>
    <xf numFmtId="4" fontId="5" fillId="6" borderId="0" xfId="6" applyNumberFormat="1" applyFont="1" applyFill="1"/>
    <xf numFmtId="9" fontId="5" fillId="6" borderId="0" xfId="6" applyNumberFormat="1" applyFont="1" applyFill="1"/>
    <xf numFmtId="9" fontId="5" fillId="6" borderId="0" xfId="7" applyFont="1" applyFill="1"/>
    <xf numFmtId="0" fontId="5" fillId="6" borderId="7" xfId="6" applyFont="1" applyFill="1" applyBorder="1" applyAlignment="1">
      <alignment horizontal="right" wrapText="1"/>
    </xf>
    <xf numFmtId="0" fontId="5" fillId="6" borderId="0" xfId="6" applyFont="1" applyFill="1"/>
    <xf numFmtId="1" fontId="5" fillId="6" borderId="0" xfId="6" applyNumberFormat="1" applyFont="1" applyFill="1"/>
    <xf numFmtId="1" fontId="1" fillId="0" borderId="6" xfId="6" applyNumberFormat="1" applyFont="1" applyBorder="1"/>
    <xf numFmtId="171" fontId="5" fillId="6" borderId="0" xfId="7" applyNumberFormat="1" applyFont="1" applyFill="1"/>
    <xf numFmtId="9" fontId="5" fillId="6" borderId="12" xfId="7" applyFont="1" applyFill="1" applyBorder="1" applyAlignment="1">
      <alignment horizontal="right"/>
    </xf>
    <xf numFmtId="0" fontId="5" fillId="6" borderId="1" xfId="6" applyFont="1" applyFill="1" applyBorder="1"/>
    <xf numFmtId="0" fontId="5" fillId="6" borderId="1" xfId="6" applyFont="1" applyFill="1" applyBorder="1" applyAlignment="1">
      <alignment horizontal="right"/>
    </xf>
    <xf numFmtId="9" fontId="1" fillId="0" borderId="1" xfId="6" applyNumberFormat="1" applyFont="1" applyBorder="1"/>
    <xf numFmtId="3" fontId="1" fillId="0" borderId="1" xfId="6" applyNumberFormat="1" applyFont="1" applyBorder="1"/>
    <xf numFmtId="0" fontId="5" fillId="7" borderId="1" xfId="6" applyFont="1" applyFill="1" applyBorder="1"/>
    <xf numFmtId="4" fontId="5" fillId="7" borderId="1" xfId="6" applyNumberFormat="1" applyFont="1" applyFill="1" applyBorder="1"/>
    <xf numFmtId="9" fontId="5" fillId="7" borderId="1" xfId="7" applyFont="1" applyFill="1" applyBorder="1"/>
    <xf numFmtId="0" fontId="25" fillId="6" borderId="1" xfId="13" applyNumberFormat="1" applyFont="1" applyFill="1" applyBorder="1" applyAlignment="1">
      <alignment horizontal="center" vertical="center" wrapText="1"/>
    </xf>
    <xf numFmtId="0" fontId="51" fillId="0" borderId="1" xfId="6" applyFont="1" applyFill="1" applyBorder="1" applyAlignment="1">
      <alignment horizontal="left" vertical="top"/>
    </xf>
    <xf numFmtId="43" fontId="51" fillId="0" borderId="1" xfId="12" applyFont="1" applyFill="1" applyBorder="1" applyAlignment="1">
      <alignment horizontal="left" vertical="top"/>
    </xf>
    <xf numFmtId="43" fontId="51" fillId="0" borderId="1" xfId="12" applyFont="1" applyFill="1" applyBorder="1" applyAlignment="1">
      <alignment horizontal="right" vertical="top"/>
    </xf>
    <xf numFmtId="0" fontId="1" fillId="0" borderId="1" xfId="6" applyBorder="1"/>
    <xf numFmtId="9" fontId="0" fillId="0" borderId="1" xfId="7" applyFont="1" applyBorder="1"/>
    <xf numFmtId="0" fontId="1" fillId="3" borderId="0" xfId="6" applyFill="1" applyAlignment="1">
      <alignment horizontal="left"/>
    </xf>
    <xf numFmtId="1" fontId="1" fillId="3" borderId="0" xfId="6" applyNumberFormat="1" applyFill="1"/>
    <xf numFmtId="0" fontId="1" fillId="0" borderId="1" xfId="6" applyBorder="1" applyAlignment="1">
      <alignment horizontal="right"/>
    </xf>
    <xf numFmtId="0" fontId="51" fillId="0" borderId="1" xfId="6" applyFont="1" applyFill="1" applyBorder="1" applyAlignment="1">
      <alignment horizontal="right" vertical="top"/>
    </xf>
    <xf numFmtId="1" fontId="4" fillId="0" borderId="0" xfId="6" applyNumberFormat="1" applyFont="1"/>
    <xf numFmtId="177" fontId="47" fillId="0" borderId="94" xfId="9" applyNumberFormat="1" applyFont="1" applyBorder="1"/>
    <xf numFmtId="3" fontId="6" fillId="36" borderId="1" xfId="0" applyNumberFormat="1" applyFont="1" applyFill="1" applyBorder="1" applyAlignment="1">
      <alignment horizontal="center" vertical="center"/>
    </xf>
    <xf numFmtId="3" fontId="0" fillId="36" borderId="1" xfId="0" applyNumberFormat="1" applyFill="1" applyBorder="1" applyAlignment="1">
      <alignment horizontal="center"/>
    </xf>
    <xf numFmtId="9" fontId="46" fillId="0" borderId="47" xfId="2" applyFont="1" applyBorder="1"/>
    <xf numFmtId="2" fontId="46" fillId="0" borderId="47" xfId="2" applyNumberFormat="1" applyFont="1" applyBorder="1"/>
    <xf numFmtId="2" fontId="46" fillId="0" borderId="47" xfId="9" applyNumberFormat="1" applyBorder="1"/>
    <xf numFmtId="2" fontId="0" fillId="0" borderId="1" xfId="0" applyNumberFormat="1" applyBorder="1" applyAlignment="1">
      <alignment horizontal="center"/>
    </xf>
    <xf numFmtId="3" fontId="6" fillId="0" borderId="1" xfId="0" applyNumberFormat="1" applyFont="1" applyFill="1" applyBorder="1" applyAlignment="1">
      <alignment horizontal="center" vertical="center"/>
    </xf>
    <xf numFmtId="9" fontId="47" fillId="0" borderId="15" xfId="2" applyFont="1" applyBorder="1" applyAlignment="1">
      <alignment horizontal="right"/>
    </xf>
    <xf numFmtId="9" fontId="46" fillId="0" borderId="15" xfId="2" applyFont="1" applyBorder="1"/>
    <xf numFmtId="1" fontId="46" fillId="0" borderId="58" xfId="9" applyNumberFormat="1" applyBorder="1"/>
    <xf numFmtId="1" fontId="6" fillId="0" borderId="1" xfId="0" applyNumberFormat="1" applyFont="1" applyFill="1" applyBorder="1" applyAlignment="1">
      <alignment horizontal="center" vertical="center"/>
    </xf>
    <xf numFmtId="9" fontId="47" fillId="0" borderId="15" xfId="2" applyFont="1" applyBorder="1"/>
    <xf numFmtId="4" fontId="0" fillId="0" borderId="1" xfId="0" applyNumberFormat="1" applyBorder="1"/>
    <xf numFmtId="165" fontId="5" fillId="6" borderId="12" xfId="6" applyNumberFormat="1" applyFont="1" applyFill="1" applyBorder="1"/>
    <xf numFmtId="9" fontId="5" fillId="6" borderId="12" xfId="2" applyFont="1" applyFill="1" applyBorder="1"/>
    <xf numFmtId="0" fontId="2" fillId="2" borderId="1" xfId="0" applyFont="1" applyFill="1" applyBorder="1" applyAlignment="1">
      <alignment horizontal="center" vertical="center" wrapText="1"/>
    </xf>
    <xf numFmtId="0" fontId="23" fillId="0" borderId="0" xfId="0" applyFont="1" applyFill="1" applyBorder="1" applyAlignment="1">
      <alignment horizontal="center" vertical="center" wrapText="1"/>
    </xf>
    <xf numFmtId="170" fontId="0" fillId="0" borderId="0" xfId="0" applyNumberFormat="1" applyBorder="1"/>
    <xf numFmtId="0" fontId="0" fillId="0" borderId="0" xfId="0" applyFill="1" applyBorder="1" applyAlignment="1">
      <alignment wrapText="1"/>
    </xf>
    <xf numFmtId="43" fontId="0" fillId="0" borderId="0" xfId="0" applyNumberFormat="1" applyBorder="1"/>
    <xf numFmtId="170" fontId="0" fillId="12" borderId="0" xfId="0" applyNumberFormat="1" applyFill="1" applyBorder="1"/>
    <xf numFmtId="170" fontId="0" fillId="11" borderId="0" xfId="0" applyNumberFormat="1" applyFill="1" applyBorder="1"/>
    <xf numFmtId="167" fontId="4" fillId="0" borderId="1" xfId="8" applyNumberFormat="1" applyFont="1" applyBorder="1" applyAlignment="1">
      <alignment horizontal="center"/>
    </xf>
    <xf numFmtId="170" fontId="0" fillId="12" borderId="8" xfId="0" applyNumberFormat="1" applyFill="1" applyBorder="1"/>
    <xf numFmtId="0" fontId="4" fillId="20" borderId="6" xfId="0" applyFont="1" applyFill="1" applyBorder="1"/>
    <xf numFmtId="43" fontId="4" fillId="20" borderId="0" xfId="0" applyNumberFormat="1" applyFont="1" applyFill="1"/>
    <xf numFmtId="0" fontId="54" fillId="0" borderId="0" xfId="0" applyFont="1" applyAlignment="1">
      <alignment vertical="center"/>
    </xf>
    <xf numFmtId="170" fontId="23" fillId="0" borderId="0" xfId="0" applyNumberFormat="1" applyFont="1" applyFill="1" applyBorder="1" applyAlignment="1">
      <alignment horizontal="center" vertical="center" wrapText="1"/>
    </xf>
    <xf numFmtId="170" fontId="0" fillId="0" borderId="0" xfId="0" applyNumberFormat="1" applyFill="1" applyBorder="1"/>
    <xf numFmtId="170" fontId="2" fillId="2" borderId="0" xfId="0" applyNumberFormat="1" applyFont="1" applyFill="1" applyBorder="1" applyAlignment="1">
      <alignment horizontal="center" vertical="center" wrapText="1"/>
    </xf>
    <xf numFmtId="1" fontId="0" fillId="12" borderId="0" xfId="0" applyNumberFormat="1" applyFill="1" applyBorder="1"/>
    <xf numFmtId="167" fontId="4" fillId="0" borderId="1" xfId="8" applyNumberFormat="1" applyFont="1" applyBorder="1" applyAlignment="1">
      <alignment horizontal="center"/>
    </xf>
    <xf numFmtId="167" fontId="4" fillId="0" borderId="1" xfId="8" applyNumberFormat="1" applyFont="1" applyBorder="1" applyAlignment="1"/>
    <xf numFmtId="167" fontId="4" fillId="0" borderId="1" xfId="8" applyNumberFormat="1" applyFont="1" applyBorder="1" applyAlignment="1">
      <alignment horizontal="right"/>
    </xf>
    <xf numFmtId="2" fontId="0" fillId="0" borderId="1" xfId="0" applyNumberFormat="1" applyBorder="1" applyAlignment="1">
      <alignment horizontal="right"/>
    </xf>
    <xf numFmtId="164" fontId="0" fillId="0" borderId="0" xfId="0" applyNumberFormat="1" applyBorder="1"/>
    <xf numFmtId="1" fontId="0" fillId="40" borderId="1" xfId="0" applyNumberFormat="1" applyFill="1" applyBorder="1"/>
    <xf numFmtId="1" fontId="0" fillId="12" borderId="2" xfId="0" applyNumberFormat="1" applyFill="1" applyBorder="1"/>
    <xf numFmtId="2" fontId="0" fillId="0" borderId="2" xfId="1" applyNumberFormat="1" applyFont="1" applyBorder="1"/>
    <xf numFmtId="2"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64" fontId="0" fillId="0" borderId="0" xfId="1" applyNumberFormat="1" applyFont="1" applyAlignment="1">
      <alignment horizontal="center" vertical="center"/>
    </xf>
    <xf numFmtId="0" fontId="0" fillId="12" borderId="1" xfId="0" applyFill="1" applyBorder="1" applyAlignment="1">
      <alignment horizontal="center" vertical="center"/>
    </xf>
    <xf numFmtId="164" fontId="0" fillId="23" borderId="1" xfId="1" applyNumberFormat="1" applyFont="1" applyFill="1" applyBorder="1"/>
    <xf numFmtId="17" fontId="0" fillId="23" borderId="1" xfId="0" applyNumberFormat="1" applyFill="1" applyBorder="1"/>
    <xf numFmtId="2" fontId="0" fillId="0" borderId="1" xfId="0" quotePrefix="1" applyNumberFormat="1" applyBorder="1"/>
    <xf numFmtId="164" fontId="0" fillId="3" borderId="1" xfId="1" applyNumberFormat="1" applyFont="1" applyFill="1" applyBorder="1"/>
    <xf numFmtId="0" fontId="0" fillId="0" borderId="0" xfId="0" quotePrefix="1" applyBorder="1"/>
    <xf numFmtId="3" fontId="0" fillId="3" borderId="1" xfId="0" applyNumberFormat="1" applyFill="1" applyBorder="1"/>
    <xf numFmtId="3" fontId="7" fillId="3" borderId="1" xfId="0" applyNumberFormat="1" applyFont="1" applyFill="1" applyBorder="1"/>
    <xf numFmtId="3" fontId="4" fillId="45" borderId="1" xfId="0" applyNumberFormat="1" applyFont="1" applyFill="1" applyBorder="1"/>
    <xf numFmtId="3" fontId="4" fillId="3" borderId="1" xfId="0" applyNumberFormat="1" applyFont="1" applyFill="1" applyBorder="1"/>
    <xf numFmtId="3" fontId="23" fillId="3" borderId="1" xfId="0" applyNumberFormat="1" applyFont="1" applyFill="1" applyBorder="1"/>
    <xf numFmtId="3" fontId="0" fillId="23" borderId="1" xfId="0" applyNumberFormat="1" applyFill="1" applyBorder="1"/>
    <xf numFmtId="165" fontId="0" fillId="12" borderId="2" xfId="0" applyNumberFormat="1" applyFill="1" applyBorder="1"/>
    <xf numFmtId="0" fontId="0" fillId="12" borderId="6" xfId="0" applyFill="1" applyBorder="1" applyAlignment="1">
      <alignment horizontal="center" vertical="center"/>
    </xf>
    <xf numFmtId="0" fontId="0" fillId="12" borderId="0" xfId="0" applyFill="1" applyBorder="1"/>
    <xf numFmtId="0" fontId="0" fillId="49" borderId="1" xfId="0" applyFont="1" applyFill="1" applyBorder="1"/>
    <xf numFmtId="0" fontId="2" fillId="17" borderId="102" xfId="0" applyFont="1" applyFill="1" applyBorder="1"/>
    <xf numFmtId="0" fontId="2" fillId="17" borderId="103" xfId="0" applyFont="1" applyFill="1" applyBorder="1"/>
    <xf numFmtId="1" fontId="2" fillId="17" borderId="103" xfId="0" applyNumberFormat="1" applyFont="1" applyFill="1" applyBorder="1"/>
    <xf numFmtId="0" fontId="2" fillId="17" borderId="104" xfId="0" applyFont="1" applyFill="1" applyBorder="1"/>
    <xf numFmtId="0" fontId="0" fillId="49" borderId="19" xfId="0" applyFont="1" applyFill="1" applyBorder="1"/>
    <xf numFmtId="43" fontId="0" fillId="49" borderId="19" xfId="0" applyNumberFormat="1" applyFont="1" applyFill="1" applyBorder="1"/>
    <xf numFmtId="2" fontId="0" fillId="49" borderId="19" xfId="0" applyNumberFormat="1" applyFont="1" applyFill="1" applyBorder="1"/>
    <xf numFmtId="0" fontId="0" fillId="49" borderId="19" xfId="0" applyFont="1" applyFill="1" applyBorder="1" applyAlignment="1"/>
    <xf numFmtId="1" fontId="0" fillId="49" borderId="19" xfId="0" applyNumberFormat="1" applyFont="1" applyFill="1" applyBorder="1"/>
    <xf numFmtId="0" fontId="0" fillId="49" borderId="7" xfId="0" applyFont="1" applyFill="1" applyBorder="1"/>
    <xf numFmtId="0" fontId="0" fillId="0" borderId="19" xfId="0" applyFont="1" applyBorder="1"/>
    <xf numFmtId="2" fontId="0" fillId="0" borderId="19" xfId="0" applyNumberFormat="1" applyFont="1" applyBorder="1"/>
    <xf numFmtId="1" fontId="0" fillId="0" borderId="19" xfId="0" applyNumberFormat="1" applyFont="1" applyBorder="1"/>
    <xf numFmtId="0" fontId="0" fillId="0" borderId="7" xfId="0" applyFont="1" applyBorder="1"/>
    <xf numFmtId="43" fontId="0" fillId="0" borderId="19" xfId="0" applyNumberFormat="1" applyFont="1" applyBorder="1"/>
    <xf numFmtId="44" fontId="0" fillId="0" borderId="19" xfId="14" applyNumberFormat="1" applyFont="1" applyBorder="1"/>
    <xf numFmtId="44" fontId="0" fillId="49" borderId="19" xfId="14" applyNumberFormat="1" applyFont="1" applyFill="1" applyBorder="1"/>
    <xf numFmtId="0" fontId="0" fillId="49" borderId="105" xfId="0" applyFont="1" applyFill="1" applyBorder="1"/>
    <xf numFmtId="0" fontId="0" fillId="0" borderId="105" xfId="0" applyFont="1" applyBorder="1"/>
    <xf numFmtId="0" fontId="0" fillId="49" borderId="5" xfId="0" applyFont="1" applyFill="1" applyBorder="1"/>
    <xf numFmtId="2" fontId="0" fillId="49" borderId="5" xfId="0" applyNumberFormat="1" applyFont="1" applyFill="1" applyBorder="1"/>
    <xf numFmtId="1" fontId="0" fillId="49" borderId="5" xfId="0" applyNumberFormat="1" applyFont="1" applyFill="1" applyBorder="1"/>
    <xf numFmtId="0" fontId="4"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2" fillId="2" borderId="36"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0" xfId="0" applyFont="1" applyFill="1" applyBorder="1" applyAlignment="1">
      <alignment horizontal="center" vertical="center"/>
    </xf>
    <xf numFmtId="0" fontId="2" fillId="2" borderId="8" xfId="0" applyFont="1" applyFill="1" applyBorder="1" applyAlignment="1">
      <alignment horizontal="center" vertical="center"/>
    </xf>
    <xf numFmtId="0" fontId="2" fillId="34" borderId="1" xfId="0" applyFont="1" applyFill="1" applyBorder="1" applyAlignment="1">
      <alignment horizontal="center" vertical="center" wrapText="1"/>
    </xf>
    <xf numFmtId="0" fontId="4" fillId="0" borderId="1" xfId="0" applyFont="1" applyBorder="1" applyAlignment="1">
      <alignment horizontal="center"/>
    </xf>
    <xf numFmtId="0" fontId="2" fillId="2" borderId="1" xfId="0" applyFont="1" applyFill="1" applyBorder="1" applyAlignment="1">
      <alignment horizontal="center" vertical="center" wrapText="1"/>
    </xf>
    <xf numFmtId="0" fontId="45" fillId="2" borderId="84" xfId="0" applyFont="1" applyFill="1" applyBorder="1" applyAlignment="1">
      <alignment horizontal="center" vertical="center"/>
    </xf>
    <xf numFmtId="0" fontId="45" fillId="2" borderId="81"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85" xfId="0" applyFont="1" applyBorder="1" applyAlignment="1">
      <alignment horizontal="center" vertical="center" wrapText="1"/>
    </xf>
    <xf numFmtId="0" fontId="6" fillId="0" borderId="78" xfId="0" applyFont="1" applyBorder="1" applyAlignment="1">
      <alignment horizontal="center" vertical="center" wrapText="1"/>
    </xf>
    <xf numFmtId="0" fontId="4" fillId="0" borderId="40" xfId="0" applyFont="1" applyBorder="1" applyAlignment="1">
      <alignment horizontal="center" wrapText="1"/>
    </xf>
    <xf numFmtId="0" fontId="44" fillId="0" borderId="82" xfId="0" applyFont="1" applyBorder="1" applyAlignment="1">
      <alignment horizontal="center" vertical="center" wrapText="1"/>
    </xf>
    <xf numFmtId="0" fontId="44" fillId="0" borderId="83" xfId="0" applyFont="1" applyBorder="1" applyAlignment="1">
      <alignment horizontal="center" vertical="center" wrapText="1"/>
    </xf>
    <xf numFmtId="0" fontId="44" fillId="0" borderId="84" xfId="0" applyFont="1" applyBorder="1" applyAlignment="1">
      <alignment horizontal="center" vertical="center" wrapText="1"/>
    </xf>
    <xf numFmtId="0" fontId="44" fillId="0" borderId="79" xfId="0" applyFont="1" applyBorder="1" applyAlignment="1">
      <alignment horizontal="center" vertical="center" wrapText="1"/>
    </xf>
    <xf numFmtId="0" fontId="4" fillId="0" borderId="5" xfId="0" applyFont="1" applyBorder="1" applyAlignment="1">
      <alignment horizontal="center"/>
    </xf>
    <xf numFmtId="0" fontId="4" fillId="0" borderId="13" xfId="0" applyFont="1" applyBorder="1" applyAlignment="1">
      <alignment horizontal="center"/>
    </xf>
    <xf numFmtId="0" fontId="4" fillId="0" borderId="7"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0" fontId="0" fillId="0" borderId="1" xfId="0" applyBorder="1" applyAlignment="1">
      <alignment horizontal="center" vertical="center" wrapText="1"/>
    </xf>
    <xf numFmtId="0" fontId="2" fillId="2" borderId="40" xfId="0" applyFont="1" applyFill="1" applyBorder="1" applyAlignment="1">
      <alignment horizontal="center" vertical="center"/>
    </xf>
    <xf numFmtId="0" fontId="2" fillId="2" borderId="30" xfId="0" applyFont="1" applyFill="1" applyBorder="1" applyAlignment="1">
      <alignment horizontal="center" vertical="center"/>
    </xf>
    <xf numFmtId="0" fontId="2" fillId="41" borderId="31" xfId="0" applyFont="1" applyFill="1" applyBorder="1" applyAlignment="1">
      <alignment horizontal="center" vertical="center"/>
    </xf>
    <xf numFmtId="0" fontId="2" fillId="41" borderId="8" xfId="0" applyFont="1" applyFill="1" applyBorder="1" applyAlignment="1">
      <alignment horizontal="center" vertical="center"/>
    </xf>
    <xf numFmtId="0" fontId="2" fillId="41" borderId="5" xfId="0" applyFont="1" applyFill="1" applyBorder="1" applyAlignment="1">
      <alignment horizontal="center" vertical="center"/>
    </xf>
    <xf numFmtId="0" fontId="2" fillId="41" borderId="47" xfId="0" applyFont="1" applyFill="1" applyBorder="1" applyAlignment="1">
      <alignment horizontal="center" vertical="center"/>
    </xf>
    <xf numFmtId="0" fontId="2" fillId="41" borderId="13" xfId="0" applyFont="1" applyFill="1" applyBorder="1" applyAlignment="1">
      <alignment horizontal="center" vertical="center"/>
    </xf>
    <xf numFmtId="0" fontId="2" fillId="2" borderId="5" xfId="0" applyFont="1" applyFill="1" applyBorder="1" applyAlignment="1">
      <alignment horizontal="center" vertical="center"/>
    </xf>
    <xf numFmtId="0" fontId="0" fillId="0" borderId="0" xfId="0" applyAlignment="1">
      <alignment horizontal="left" vertical="center"/>
    </xf>
    <xf numFmtId="0" fontId="4" fillId="0" borderId="0" xfId="0" applyFont="1" applyAlignment="1">
      <alignment horizontal="left"/>
    </xf>
    <xf numFmtId="0" fontId="2" fillId="0" borderId="2" xfId="0" applyFont="1" applyFill="1" applyBorder="1" applyAlignment="1">
      <alignment horizontal="center" vertical="center"/>
    </xf>
    <xf numFmtId="0" fontId="4" fillId="0" borderId="9" xfId="0" applyFont="1" applyFill="1" applyBorder="1" applyAlignment="1">
      <alignment horizontal="center" vertical="center"/>
    </xf>
    <xf numFmtId="0" fontId="4" fillId="0" borderId="11" xfId="0" applyFont="1" applyFill="1" applyBorder="1" applyAlignment="1">
      <alignment horizontal="center" vertical="center"/>
    </xf>
    <xf numFmtId="0" fontId="22" fillId="14" borderId="18" xfId="0" applyFont="1" applyFill="1" applyBorder="1" applyAlignment="1">
      <alignment horizontal="center" vertical="center" wrapText="1"/>
    </xf>
    <xf numFmtId="0" fontId="4" fillId="0" borderId="1" xfId="0" applyFont="1" applyBorder="1" applyAlignment="1">
      <alignment horizontal="center" vertical="center"/>
    </xf>
    <xf numFmtId="0" fontId="0" fillId="0" borderId="0" xfId="0" applyFill="1" applyAlignment="1">
      <alignment horizontal="center"/>
    </xf>
    <xf numFmtId="0" fontId="22" fillId="14" borderId="8" xfId="0" applyFont="1" applyFill="1" applyBorder="1" applyAlignment="1">
      <alignment horizontal="center" vertical="center" wrapText="1"/>
    </xf>
    <xf numFmtId="0" fontId="4" fillId="0" borderId="7" xfId="0" applyFont="1" applyFill="1" applyBorder="1" applyAlignment="1">
      <alignment horizontal="center" vertical="center"/>
    </xf>
    <xf numFmtId="0" fontId="4" fillId="0" borderId="12" xfId="0" applyFont="1" applyFill="1" applyBorder="1" applyAlignment="1">
      <alignment horizontal="center" vertical="center"/>
    </xf>
    <xf numFmtId="0" fontId="0" fillId="0" borderId="7" xfId="0" applyFill="1" applyBorder="1" applyAlignment="1">
      <alignment horizontal="center" vertical="center"/>
    </xf>
    <xf numFmtId="0" fontId="0" fillId="0" borderId="12" xfId="0" applyFill="1" applyBorder="1" applyAlignment="1">
      <alignment horizontal="center" vertical="center"/>
    </xf>
    <xf numFmtId="0" fontId="4" fillId="0" borderId="1" xfId="0" applyFont="1" applyFill="1" applyBorder="1" applyAlignment="1">
      <alignment horizontal="center"/>
    </xf>
    <xf numFmtId="17" fontId="4" fillId="0" borderId="1" xfId="0" applyNumberFormat="1" applyFont="1" applyBorder="1" applyAlignment="1">
      <alignment horizontal="center"/>
    </xf>
    <xf numFmtId="0" fontId="12" fillId="0" borderId="47" xfId="0" applyFont="1" applyBorder="1" applyAlignment="1">
      <alignment horizontal="center" vertical="center"/>
    </xf>
    <xf numFmtId="0" fontId="0" fillId="0" borderId="1" xfId="0" applyBorder="1" applyAlignment="1">
      <alignment horizontal="center"/>
    </xf>
    <xf numFmtId="0" fontId="0" fillId="0" borderId="0" xfId="0" applyAlignment="1">
      <alignment horizontal="center"/>
    </xf>
    <xf numFmtId="164" fontId="2" fillId="39" borderId="5" xfId="8" applyNumberFormat="1" applyFont="1" applyFill="1" applyBorder="1" applyAlignment="1">
      <alignment horizontal="center" vertical="center" wrapText="1"/>
    </xf>
    <xf numFmtId="164" fontId="2" fillId="39" borderId="47" xfId="8" applyNumberFormat="1" applyFont="1" applyFill="1" applyBorder="1" applyAlignment="1">
      <alignment horizontal="center" vertical="center" wrapText="1"/>
    </xf>
    <xf numFmtId="164" fontId="2" fillId="39" borderId="13" xfId="8" applyNumberFormat="1" applyFont="1" applyFill="1" applyBorder="1" applyAlignment="1">
      <alignment horizontal="center" vertical="center" wrapText="1"/>
    </xf>
    <xf numFmtId="17" fontId="2" fillId="39"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164" fontId="2" fillId="39" borderId="1" xfId="8" applyNumberFormat="1" applyFont="1" applyFill="1" applyBorder="1" applyAlignment="1">
      <alignment horizontal="center" vertical="center" wrapText="1"/>
    </xf>
    <xf numFmtId="0" fontId="2" fillId="39" borderId="1" xfId="0" applyFont="1" applyFill="1" applyBorder="1" applyAlignment="1">
      <alignment horizontal="center" vertical="center" wrapText="1"/>
    </xf>
    <xf numFmtId="0" fontId="2" fillId="39" borderId="1" xfId="0" applyFont="1" applyFill="1" applyBorder="1" applyAlignment="1">
      <alignment horizontal="left" vertical="center"/>
    </xf>
    <xf numFmtId="164" fontId="2" fillId="39" borderId="1" xfId="0" applyNumberFormat="1" applyFont="1" applyFill="1" applyBorder="1" applyAlignment="1">
      <alignment horizontal="center" vertical="center" wrapText="1"/>
    </xf>
    <xf numFmtId="1" fontId="0" fillId="0" borderId="1" xfId="0" applyNumberFormat="1" applyBorder="1" applyAlignment="1">
      <alignment horizontal="center" vertical="center"/>
    </xf>
    <xf numFmtId="1" fontId="0" fillId="0" borderId="0" xfId="0" applyNumberFormat="1" applyAlignment="1">
      <alignment horizontal="center" vertical="center"/>
    </xf>
    <xf numFmtId="0" fontId="24" fillId="0" borderId="5" xfId="0" applyFont="1" applyFill="1" applyBorder="1" applyAlignment="1">
      <alignment horizontal="center" vertical="center" wrapText="1"/>
    </xf>
    <xf numFmtId="0" fontId="24" fillId="19" borderId="20" xfId="0" applyFont="1" applyFill="1" applyBorder="1" applyAlignment="1" applyProtection="1">
      <alignment horizontal="center" vertical="center"/>
      <protection hidden="1"/>
    </xf>
    <xf numFmtId="0" fontId="24" fillId="19" borderId="21" xfId="0" applyFont="1" applyFill="1" applyBorder="1" applyAlignment="1" applyProtection="1">
      <alignment horizontal="center" vertical="center"/>
      <protection hidden="1"/>
    </xf>
    <xf numFmtId="0" fontId="24" fillId="19" borderId="22" xfId="0" applyFont="1" applyFill="1" applyBorder="1" applyAlignment="1" applyProtection="1">
      <alignment horizontal="center" vertical="center"/>
      <protection hidden="1"/>
    </xf>
    <xf numFmtId="0" fontId="24" fillId="19" borderId="20" xfId="0" applyFont="1" applyFill="1" applyBorder="1" applyAlignment="1" applyProtection="1">
      <alignment horizontal="center" vertical="top" wrapText="1"/>
      <protection hidden="1"/>
    </xf>
    <xf numFmtId="0" fontId="24" fillId="19" borderId="21" xfId="0" applyFont="1" applyFill="1" applyBorder="1" applyAlignment="1" applyProtection="1">
      <alignment horizontal="center" vertical="top" wrapText="1"/>
      <protection hidden="1"/>
    </xf>
    <xf numFmtId="0" fontId="24" fillId="19" borderId="22" xfId="0" applyFont="1" applyFill="1" applyBorder="1" applyAlignment="1" applyProtection="1">
      <alignment horizontal="center" vertical="top" wrapText="1"/>
      <protection hidden="1"/>
    </xf>
    <xf numFmtId="0" fontId="4" fillId="0" borderId="5" xfId="0" applyFont="1" applyBorder="1" applyAlignment="1">
      <alignment horizontal="center" vertical="center" wrapText="1"/>
    </xf>
    <xf numFmtId="0" fontId="4" fillId="0" borderId="8" xfId="0" applyFont="1" applyBorder="1" applyAlignment="1">
      <alignment horizontal="center" vertical="center"/>
    </xf>
    <xf numFmtId="0" fontId="0" fillId="0" borderId="1" xfId="0" applyFont="1" applyFill="1" applyBorder="1" applyAlignment="1">
      <alignment horizontal="left" vertical="center"/>
    </xf>
    <xf numFmtId="0" fontId="0" fillId="0" borderId="1" xfId="0" applyFont="1" applyFill="1" applyBorder="1" applyAlignment="1">
      <alignment horizontal="center" vertical="center"/>
    </xf>
    <xf numFmtId="165" fontId="34" fillId="11" borderId="5" xfId="5" applyNumberFormat="1" applyFont="1" applyFill="1" applyBorder="1" applyAlignment="1">
      <alignment horizontal="center" vertical="center"/>
    </xf>
    <xf numFmtId="165" fontId="34" fillId="11" borderId="47" xfId="5" applyNumberFormat="1" applyFont="1" applyFill="1" applyBorder="1" applyAlignment="1">
      <alignment horizontal="center" vertical="center"/>
    </xf>
    <xf numFmtId="165" fontId="34" fillId="11" borderId="13" xfId="5" applyNumberFormat="1" applyFont="1" applyFill="1" applyBorder="1" applyAlignment="1">
      <alignment horizontal="center" vertical="center"/>
    </xf>
    <xf numFmtId="0" fontId="34" fillId="0" borderId="20" xfId="5" applyFont="1" applyBorder="1" applyAlignment="1">
      <alignment horizontal="left"/>
    </xf>
    <xf numFmtId="0" fontId="34" fillId="0" borderId="21" xfId="5" applyFont="1" applyBorder="1" applyAlignment="1">
      <alignment horizontal="left"/>
    </xf>
    <xf numFmtId="0" fontId="26" fillId="25" borderId="28" xfId="5" applyFont="1" applyFill="1" applyBorder="1" applyAlignment="1">
      <alignment horizontal="left"/>
    </xf>
    <xf numFmtId="0" fontId="26" fillId="25" borderId="33" xfId="5" applyFont="1" applyFill="1" applyBorder="1" applyAlignment="1">
      <alignment horizontal="left"/>
    </xf>
    <xf numFmtId="0" fontId="4" fillId="12" borderId="1" xfId="0" applyFont="1" applyFill="1" applyBorder="1" applyAlignment="1">
      <alignment horizontal="center"/>
    </xf>
    <xf numFmtId="0" fontId="4" fillId="12" borderId="5" xfId="0" applyFont="1" applyFill="1" applyBorder="1" applyAlignment="1">
      <alignment horizontal="center"/>
    </xf>
    <xf numFmtId="0" fontId="4" fillId="12" borderId="47" xfId="0" applyFont="1" applyFill="1" applyBorder="1" applyAlignment="1">
      <alignment horizontal="center"/>
    </xf>
    <xf numFmtId="0" fontId="4" fillId="12" borderId="13" xfId="0" applyFont="1" applyFill="1" applyBorder="1" applyAlignment="1">
      <alignment horizontal="center"/>
    </xf>
    <xf numFmtId="0" fontId="26" fillId="26" borderId="50" xfId="5" applyFont="1" applyFill="1" applyBorder="1" applyAlignment="1">
      <alignment horizontal="left" vertical="center"/>
    </xf>
    <xf numFmtId="0" fontId="26" fillId="26" borderId="7" xfId="5" applyFont="1" applyFill="1" applyBorder="1" applyAlignment="1">
      <alignment horizontal="left" vertical="center"/>
    </xf>
    <xf numFmtId="0" fontId="35" fillId="11" borderId="25" xfId="5" applyFont="1" applyFill="1" applyBorder="1" applyAlignment="1">
      <alignment horizontal="left" vertical="center" wrapText="1"/>
    </xf>
    <xf numFmtId="0" fontId="35" fillId="11" borderId="50" xfId="5" applyFont="1" applyFill="1" applyBorder="1" applyAlignment="1">
      <alignment horizontal="center" vertical="center"/>
    </xf>
    <xf numFmtId="0" fontId="35" fillId="11" borderId="49" xfId="5" applyFont="1" applyFill="1" applyBorder="1" applyAlignment="1">
      <alignment horizontal="center" vertical="center"/>
    </xf>
    <xf numFmtId="0" fontId="35" fillId="11" borderId="51" xfId="5" applyFont="1" applyFill="1" applyBorder="1" applyAlignment="1">
      <alignment horizontal="center" vertical="center"/>
    </xf>
    <xf numFmtId="0" fontId="38" fillId="11" borderId="25" xfId="5" applyFont="1" applyFill="1" applyBorder="1" applyAlignment="1">
      <alignment horizontal="left" vertical="center"/>
    </xf>
    <xf numFmtId="0" fontId="38" fillId="11" borderId="50" xfId="5" applyFont="1" applyFill="1" applyBorder="1" applyAlignment="1">
      <alignment horizontal="left" vertical="center"/>
    </xf>
    <xf numFmtId="0" fontId="38" fillId="11" borderId="49" xfId="5" applyFont="1" applyFill="1" applyBorder="1" applyAlignment="1">
      <alignment horizontal="left" vertical="center"/>
    </xf>
    <xf numFmtId="165" fontId="4" fillId="12" borderId="5" xfId="0" applyNumberFormat="1" applyFont="1" applyFill="1" applyBorder="1" applyAlignment="1">
      <alignment horizontal="center" vertical="center"/>
    </xf>
    <xf numFmtId="165" fontId="4" fillId="12" borderId="47" xfId="0" applyNumberFormat="1" applyFont="1" applyFill="1" applyBorder="1" applyAlignment="1">
      <alignment horizontal="center" vertical="center"/>
    </xf>
    <xf numFmtId="165" fontId="4" fillId="12" borderId="13" xfId="0" applyNumberFormat="1" applyFont="1" applyFill="1" applyBorder="1" applyAlignment="1">
      <alignment horizontal="center" vertical="center"/>
    </xf>
    <xf numFmtId="0" fontId="24" fillId="19" borderId="5" xfId="0" applyFont="1" applyFill="1" applyBorder="1" applyAlignment="1">
      <alignment horizontal="right"/>
    </xf>
    <xf numFmtId="0" fontId="24" fillId="19" borderId="47" xfId="0" applyFont="1" applyFill="1" applyBorder="1" applyAlignment="1">
      <alignment horizontal="right"/>
    </xf>
    <xf numFmtId="0" fontId="24" fillId="19" borderId="13" xfId="0" applyFont="1" applyFill="1" applyBorder="1" applyAlignment="1">
      <alignment horizontal="right"/>
    </xf>
    <xf numFmtId="0" fontId="30" fillId="11" borderId="7" xfId="5" applyFont="1" applyFill="1" applyBorder="1" applyAlignment="1">
      <alignment horizontal="center" vertical="center" wrapText="1"/>
    </xf>
    <xf numFmtId="0" fontId="30" fillId="11" borderId="6" xfId="5" applyFont="1" applyFill="1" applyBorder="1" applyAlignment="1">
      <alignment horizontal="center" vertical="center" wrapText="1"/>
    </xf>
    <xf numFmtId="0" fontId="30" fillId="11" borderId="12" xfId="5" applyFont="1" applyFill="1" applyBorder="1" applyAlignment="1">
      <alignment horizontal="center" vertical="center" wrapText="1"/>
    </xf>
    <xf numFmtId="0" fontId="30" fillId="11" borderId="50" xfId="5" applyFont="1" applyFill="1" applyBorder="1" applyAlignment="1">
      <alignment horizontal="center" vertical="center" wrapText="1"/>
    </xf>
    <xf numFmtId="0" fontId="30" fillId="11" borderId="49" xfId="5" applyFont="1" applyFill="1" applyBorder="1" applyAlignment="1">
      <alignment horizontal="center" vertical="center" wrapText="1"/>
    </xf>
    <xf numFmtId="0" fontId="30" fillId="11" borderId="7" xfId="5" applyFont="1" applyFill="1" applyBorder="1" applyAlignment="1">
      <alignment horizontal="center" vertical="center"/>
    </xf>
    <xf numFmtId="0" fontId="30" fillId="11" borderId="6" xfId="5" applyFont="1" applyFill="1" applyBorder="1" applyAlignment="1">
      <alignment horizontal="center" vertical="center"/>
    </xf>
    <xf numFmtId="0" fontId="30" fillId="11" borderId="12" xfId="5" applyFont="1" applyFill="1" applyBorder="1" applyAlignment="1">
      <alignment horizontal="center" vertical="center"/>
    </xf>
    <xf numFmtId="0" fontId="26" fillId="26" borderId="48" xfId="5" applyFont="1" applyFill="1" applyBorder="1" applyAlignment="1">
      <alignment horizontal="left" vertical="center"/>
    </xf>
    <xf numFmtId="0" fontId="26" fillId="26" borderId="42" xfId="5" applyFont="1" applyFill="1" applyBorder="1" applyAlignment="1">
      <alignment horizontal="left" vertical="center"/>
    </xf>
    <xf numFmtId="0" fontId="28" fillId="27" borderId="1" xfId="5" quotePrefix="1" applyFont="1" applyFill="1" applyBorder="1" applyAlignment="1">
      <alignment horizontal="center" vertical="center" wrapText="1"/>
    </xf>
    <xf numFmtId="0" fontId="28" fillId="27" borderId="1" xfId="5" applyFont="1" applyFill="1" applyBorder="1" applyAlignment="1">
      <alignment horizontal="center" vertical="center" wrapText="1"/>
    </xf>
    <xf numFmtId="0" fontId="33" fillId="11" borderId="50" xfId="5" applyFont="1" applyFill="1" applyBorder="1" applyAlignment="1">
      <alignment horizontal="center" vertical="center" wrapText="1"/>
    </xf>
    <xf numFmtId="0" fontId="33" fillId="11" borderId="49" xfId="5" applyFont="1" applyFill="1" applyBorder="1" applyAlignment="1">
      <alignment horizontal="center" vertical="center" wrapText="1"/>
    </xf>
    <xf numFmtId="0" fontId="26" fillId="25" borderId="20" xfId="5" applyFont="1" applyFill="1" applyBorder="1" applyAlignment="1">
      <alignment horizontal="left" vertical="center"/>
    </xf>
    <xf numFmtId="0" fontId="26" fillId="25" borderId="25" xfId="5" applyFont="1" applyFill="1" applyBorder="1" applyAlignment="1">
      <alignment horizontal="left" vertical="center"/>
    </xf>
    <xf numFmtId="17" fontId="26" fillId="26" borderId="7" xfId="5" applyNumberFormat="1" applyFont="1" applyFill="1" applyBorder="1" applyAlignment="1">
      <alignment horizontal="center" vertical="center" wrapText="1"/>
    </xf>
    <xf numFmtId="0" fontId="26" fillId="26" borderId="12" xfId="5" applyFont="1" applyFill="1" applyBorder="1" applyAlignment="1">
      <alignment horizontal="center" vertical="center" wrapText="1"/>
    </xf>
    <xf numFmtId="0" fontId="26" fillId="26" borderId="20" xfId="5" applyFont="1" applyFill="1" applyBorder="1" applyAlignment="1">
      <alignment horizontal="left" vertical="center"/>
    </xf>
    <xf numFmtId="0" fontId="26" fillId="26" borderId="28" xfId="5" applyFont="1" applyFill="1" applyBorder="1" applyAlignment="1">
      <alignment horizontal="left" vertical="center"/>
    </xf>
    <xf numFmtId="0" fontId="33" fillId="11" borderId="49" xfId="5" applyFont="1" applyFill="1" applyBorder="1" applyAlignment="1">
      <alignment horizontal="left" vertical="center" wrapText="1"/>
    </xf>
    <xf numFmtId="0" fontId="33" fillId="11" borderId="25" xfId="5" applyFont="1" applyFill="1" applyBorder="1" applyAlignment="1">
      <alignment horizontal="left" vertical="center" wrapText="1"/>
    </xf>
    <xf numFmtId="0" fontId="33" fillId="11" borderId="51" xfId="5" applyFont="1" applyFill="1" applyBorder="1" applyAlignment="1">
      <alignment horizontal="center" vertical="center" wrapText="1"/>
    </xf>
    <xf numFmtId="2" fontId="0" fillId="0" borderId="2" xfId="0" applyNumberFormat="1" applyBorder="1" applyAlignment="1">
      <alignment horizontal="center" vertical="center"/>
    </xf>
    <xf numFmtId="0" fontId="0" fillId="0" borderId="2" xfId="0" applyBorder="1" applyAlignment="1">
      <alignment horizontal="center" vertical="center"/>
    </xf>
    <xf numFmtId="0" fontId="0" fillId="11" borderId="2" xfId="0" applyFont="1" applyFill="1" applyBorder="1" applyAlignment="1">
      <alignment horizontal="center" vertical="center"/>
    </xf>
    <xf numFmtId="1" fontId="3" fillId="0" borderId="2" xfId="0" applyNumberFormat="1" applyFont="1" applyBorder="1" applyAlignment="1">
      <alignment horizontal="center" vertical="center"/>
    </xf>
    <xf numFmtId="1" fontId="0" fillId="0" borderId="9" xfId="0" applyNumberFormat="1" applyBorder="1" applyAlignment="1">
      <alignment horizontal="center" vertical="center"/>
    </xf>
    <xf numFmtId="1" fontId="0" fillId="0" borderId="10" xfId="0" applyNumberFormat="1" applyBorder="1" applyAlignment="1">
      <alignment horizontal="center" vertical="center"/>
    </xf>
    <xf numFmtId="1" fontId="0" fillId="0" borderId="11" xfId="0" applyNumberForma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1" fontId="0" fillId="0" borderId="2" xfId="0" applyNumberFormat="1" applyBorder="1" applyAlignment="1">
      <alignment horizontal="center" vertical="center"/>
    </xf>
    <xf numFmtId="170" fontId="0" fillId="0" borderId="2" xfId="0" applyNumberFormat="1" applyBorder="1" applyAlignment="1">
      <alignment horizontal="center" vertical="center"/>
    </xf>
    <xf numFmtId="164" fontId="0" fillId="0" borderId="0" xfId="1" applyNumberFormat="1" applyFont="1" applyAlignment="1">
      <alignment horizontal="center" vertical="center"/>
    </xf>
    <xf numFmtId="0" fontId="27" fillId="0" borderId="1" xfId="0" applyFont="1" applyBorder="1" applyAlignment="1">
      <alignment horizontal="center"/>
    </xf>
    <xf numFmtId="167" fontId="4" fillId="0" borderId="5" xfId="8" applyNumberFormat="1" applyFont="1" applyBorder="1" applyAlignment="1">
      <alignment horizontal="center"/>
    </xf>
    <xf numFmtId="167" fontId="4" fillId="0" borderId="13" xfId="8" applyNumberFormat="1" applyFont="1" applyBorder="1" applyAlignment="1">
      <alignment horizontal="center"/>
    </xf>
    <xf numFmtId="167" fontId="4" fillId="0" borderId="1" xfId="8" applyNumberFormat="1" applyFont="1" applyBorder="1" applyAlignment="1">
      <alignment horizontal="right"/>
    </xf>
    <xf numFmtId="0" fontId="0" fillId="10" borderId="7" xfId="0" applyFill="1" applyBorder="1" applyAlignment="1">
      <alignment horizontal="center" vertical="center"/>
    </xf>
    <xf numFmtId="0" fontId="0" fillId="10" borderId="6" xfId="0" applyFill="1" applyBorder="1" applyAlignment="1">
      <alignment horizontal="center" vertical="center"/>
    </xf>
    <xf numFmtId="0" fontId="0" fillId="10" borderId="12" xfId="0" applyFill="1" applyBorder="1" applyAlignment="1">
      <alignment horizontal="center" vertical="center"/>
    </xf>
    <xf numFmtId="0" fontId="0" fillId="0" borderId="1" xfId="0" applyBorder="1" applyAlignment="1">
      <alignment horizontal="center" wrapText="1"/>
    </xf>
    <xf numFmtId="0" fontId="0" fillId="0" borderId="7" xfId="0" applyBorder="1" applyAlignment="1">
      <alignment horizontal="center" vertical="center"/>
    </xf>
    <xf numFmtId="0" fontId="0" fillId="0" borderId="6" xfId="0" applyBorder="1" applyAlignment="1">
      <alignment horizontal="center" vertical="center"/>
    </xf>
    <xf numFmtId="0" fontId="0" fillId="0" borderId="12" xfId="0" applyBorder="1" applyAlignment="1">
      <alignment horizontal="center" vertical="center"/>
    </xf>
    <xf numFmtId="0" fontId="0" fillId="0" borderId="1" xfId="0" applyFill="1" applyBorder="1" applyAlignment="1">
      <alignment horizontal="center" vertical="center"/>
    </xf>
    <xf numFmtId="0" fontId="0" fillId="12" borderId="1" xfId="0" applyFill="1" applyBorder="1" applyAlignment="1">
      <alignment horizontal="center" vertical="center"/>
    </xf>
    <xf numFmtId="0" fontId="0" fillId="0" borderId="1" xfId="0" applyBorder="1" applyAlignment="1">
      <alignment horizontal="center" vertical="center"/>
    </xf>
    <xf numFmtId="0" fontId="1" fillId="0" borderId="1" xfId="6" applyFont="1" applyFill="1" applyBorder="1" applyAlignment="1">
      <alignment horizontal="left" vertical="center"/>
    </xf>
    <xf numFmtId="0" fontId="1" fillId="0" borderId="1" xfId="6" applyFont="1" applyFill="1" applyBorder="1" applyAlignment="1">
      <alignment horizontal="center" vertical="center"/>
    </xf>
    <xf numFmtId="167" fontId="0" fillId="0" borderId="1" xfId="8" applyNumberFormat="1" applyFont="1" applyFill="1" applyBorder="1" applyAlignment="1">
      <alignment horizontal="right"/>
    </xf>
    <xf numFmtId="0" fontId="12" fillId="0" borderId="1" xfId="0" applyFont="1" applyBorder="1" applyAlignment="1">
      <alignment horizontal="center" vertical="center"/>
    </xf>
    <xf numFmtId="0" fontId="0" fillId="20" borderId="1" xfId="0" applyFill="1" applyBorder="1" applyAlignment="1">
      <alignment horizontal="center"/>
    </xf>
    <xf numFmtId="0" fontId="0" fillId="30" borderId="1" xfId="0" applyFill="1" applyBorder="1" applyAlignment="1">
      <alignment horizontal="center"/>
    </xf>
    <xf numFmtId="0" fontId="0" fillId="3" borderId="1" xfId="0" applyFill="1" applyBorder="1" applyAlignment="1">
      <alignment horizontal="center"/>
    </xf>
    <xf numFmtId="0" fontId="0" fillId="16" borderId="5" xfId="0" applyFill="1" applyBorder="1" applyAlignment="1">
      <alignment horizontal="center"/>
    </xf>
    <xf numFmtId="0" fontId="0" fillId="16" borderId="47" xfId="0" applyFill="1" applyBorder="1" applyAlignment="1">
      <alignment horizontal="center"/>
    </xf>
    <xf numFmtId="0" fontId="0" fillId="16" borderId="13" xfId="0" applyFill="1" applyBorder="1" applyAlignment="1">
      <alignment horizontal="center"/>
    </xf>
    <xf numFmtId="0" fontId="0" fillId="21" borderId="31" xfId="0" applyFill="1" applyBorder="1" applyAlignment="1">
      <alignment horizontal="center"/>
    </xf>
    <xf numFmtId="0" fontId="0" fillId="21" borderId="8" xfId="0" applyFill="1" applyBorder="1" applyAlignment="1">
      <alignment horizontal="center"/>
    </xf>
    <xf numFmtId="0" fontId="0" fillId="0" borderId="36" xfId="0" applyFont="1" applyFill="1" applyBorder="1"/>
  </cellXfs>
  <cellStyles count="15">
    <cellStyle name="Comma" xfId="1" builtinId="3"/>
    <cellStyle name="Comma 2" xfId="8"/>
    <cellStyle name="Comma 2 10" xfId="3"/>
    <cellStyle name="Comma 2 2" xfId="12"/>
    <cellStyle name="Comma 3" xfId="4"/>
    <cellStyle name="Comma 4" xfId="11"/>
    <cellStyle name="Currency" xfId="14" builtinId="4"/>
    <cellStyle name="Normal" xfId="0" builtinId="0"/>
    <cellStyle name="Normal 2" xfId="9"/>
    <cellStyle name="Normal 2 2" xfId="6"/>
    <cellStyle name="Normal 3 3" xfId="5"/>
    <cellStyle name="Normal 4" xfId="13"/>
    <cellStyle name="Percent" xfId="2" builtinId="5"/>
    <cellStyle name="Percent 2" xfId="7"/>
    <cellStyle name="Percent 3" xfId="10"/>
  </cellStyles>
  <dxfs count="115">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ont>
        <b/>
        <i val="0"/>
        <color rgb="FF00B050"/>
      </font>
    </dxf>
    <dxf>
      <font>
        <b/>
        <i val="0"/>
        <color theme="5" tint="-0.24994659260841701"/>
      </font>
    </dxf>
    <dxf>
      <fill>
        <patternFill patternType="solid">
          <bgColor theme="7" tint="0.59999389629810485"/>
        </patternFill>
      </fill>
    </dxf>
    <dxf>
      <fill>
        <patternFill patternType="solid">
          <bgColor theme="7" tint="0.59999389629810485"/>
        </patternFill>
      </fill>
    </dxf>
    <dxf>
      <numFmt numFmtId="1" formatCode="0"/>
    </dxf>
    <dxf>
      <numFmt numFmtId="1"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 formatCode="0"/>
    </dxf>
    <dxf>
      <numFmt numFmtId="1" formatCode="0"/>
    </dxf>
    <dxf>
      <numFmt numFmtId="1" formatCode="0"/>
    </dxf>
  </dxfs>
  <tableStyles count="0" defaultTableStyle="TableStyleMedium2" defaultPivotStyle="PivotStyleLight16"/>
  <colors>
    <mruColors>
      <color rgb="FFCCFF33"/>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63" Type="http://schemas.openxmlformats.org/officeDocument/2006/relationships/externalLink" Target="externalLinks/externalLink29.xml"/><Relationship Id="rId68" Type="http://schemas.openxmlformats.org/officeDocument/2006/relationships/externalLink" Target="externalLinks/externalLink34.xml"/><Relationship Id="rId84" Type="http://schemas.openxmlformats.org/officeDocument/2006/relationships/externalLink" Target="externalLinks/externalLink50.xml"/><Relationship Id="rId89" Type="http://schemas.openxmlformats.org/officeDocument/2006/relationships/externalLink" Target="externalLinks/externalLink55.xml"/><Relationship Id="rId16" Type="http://schemas.openxmlformats.org/officeDocument/2006/relationships/worksheet" Target="worksheets/sheet16.xml"/><Relationship Id="rId107" Type="http://schemas.openxmlformats.org/officeDocument/2006/relationships/pivotCacheDefinition" Target="pivotCache/pivotCacheDefinition2.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externalLink" Target="externalLinks/externalLink3.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74" Type="http://schemas.openxmlformats.org/officeDocument/2006/relationships/externalLink" Target="externalLinks/externalLink40.xml"/><Relationship Id="rId79" Type="http://schemas.openxmlformats.org/officeDocument/2006/relationships/externalLink" Target="externalLinks/externalLink45.xml"/><Relationship Id="rId102" Type="http://schemas.openxmlformats.org/officeDocument/2006/relationships/externalLink" Target="externalLinks/externalLink68.xml"/><Relationship Id="rId5" Type="http://schemas.openxmlformats.org/officeDocument/2006/relationships/worksheet" Target="worksheets/sheet5.xml"/><Relationship Id="rId90" Type="http://schemas.openxmlformats.org/officeDocument/2006/relationships/externalLink" Target="externalLinks/externalLink56.xml"/><Relationship Id="rId95" Type="http://schemas.openxmlformats.org/officeDocument/2006/relationships/externalLink" Target="externalLinks/externalLink6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64" Type="http://schemas.openxmlformats.org/officeDocument/2006/relationships/externalLink" Target="externalLinks/externalLink30.xml"/><Relationship Id="rId69" Type="http://schemas.openxmlformats.org/officeDocument/2006/relationships/externalLink" Target="externalLinks/externalLink35.xml"/><Relationship Id="rId80" Type="http://schemas.openxmlformats.org/officeDocument/2006/relationships/externalLink" Target="externalLinks/externalLink46.xml"/><Relationship Id="rId85" Type="http://schemas.openxmlformats.org/officeDocument/2006/relationships/externalLink" Target="externalLinks/externalLink5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externalLink" Target="externalLinks/externalLink4.xml"/><Relationship Id="rId59" Type="http://schemas.openxmlformats.org/officeDocument/2006/relationships/externalLink" Target="externalLinks/externalLink25.xml"/><Relationship Id="rId103" Type="http://schemas.openxmlformats.org/officeDocument/2006/relationships/externalLink" Target="externalLinks/externalLink69.xml"/><Relationship Id="rId108" Type="http://schemas.openxmlformats.org/officeDocument/2006/relationships/theme" Target="theme/theme1.xml"/><Relationship Id="rId54" Type="http://schemas.openxmlformats.org/officeDocument/2006/relationships/externalLink" Target="externalLinks/externalLink20.xml"/><Relationship Id="rId70" Type="http://schemas.openxmlformats.org/officeDocument/2006/relationships/externalLink" Target="externalLinks/externalLink36.xml"/><Relationship Id="rId75" Type="http://schemas.openxmlformats.org/officeDocument/2006/relationships/externalLink" Target="externalLinks/externalLink41.xml"/><Relationship Id="rId91" Type="http://schemas.openxmlformats.org/officeDocument/2006/relationships/externalLink" Target="externalLinks/externalLink57.xml"/><Relationship Id="rId96" Type="http://schemas.openxmlformats.org/officeDocument/2006/relationships/externalLink" Target="externalLinks/externalLink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6" Type="http://schemas.openxmlformats.org/officeDocument/2006/relationships/pivotCacheDefinition" Target="pivotCache/pivotCacheDefinition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externalLink" Target="externalLinks/externalLink31.xml"/><Relationship Id="rId73" Type="http://schemas.openxmlformats.org/officeDocument/2006/relationships/externalLink" Target="externalLinks/externalLink39.xml"/><Relationship Id="rId78" Type="http://schemas.openxmlformats.org/officeDocument/2006/relationships/externalLink" Target="externalLinks/externalLink44.xml"/><Relationship Id="rId81" Type="http://schemas.openxmlformats.org/officeDocument/2006/relationships/externalLink" Target="externalLinks/externalLink47.xml"/><Relationship Id="rId86" Type="http://schemas.openxmlformats.org/officeDocument/2006/relationships/externalLink" Target="externalLinks/externalLink52.xml"/><Relationship Id="rId94" Type="http://schemas.openxmlformats.org/officeDocument/2006/relationships/externalLink" Target="externalLinks/externalLink60.xml"/><Relationship Id="rId99" Type="http://schemas.openxmlformats.org/officeDocument/2006/relationships/externalLink" Target="externalLinks/externalLink65.xml"/><Relationship Id="rId101" Type="http://schemas.openxmlformats.org/officeDocument/2006/relationships/externalLink" Target="externalLinks/externalLink6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 Id="rId109" Type="http://schemas.openxmlformats.org/officeDocument/2006/relationships/styles" Target="styles.xml"/><Relationship Id="rId34" Type="http://schemas.openxmlformats.org/officeDocument/2006/relationships/worksheet" Target="worksheets/sheet34.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76" Type="http://schemas.openxmlformats.org/officeDocument/2006/relationships/externalLink" Target="externalLinks/externalLink42.xml"/><Relationship Id="rId97" Type="http://schemas.openxmlformats.org/officeDocument/2006/relationships/externalLink" Target="externalLinks/externalLink63.xml"/><Relationship Id="rId104" Type="http://schemas.openxmlformats.org/officeDocument/2006/relationships/externalLink" Target="externalLinks/externalLink70.xml"/><Relationship Id="rId7" Type="http://schemas.openxmlformats.org/officeDocument/2006/relationships/worksheet" Target="worksheets/sheet7.xml"/><Relationship Id="rId71" Type="http://schemas.openxmlformats.org/officeDocument/2006/relationships/externalLink" Target="externalLinks/externalLink37.xml"/><Relationship Id="rId92" Type="http://schemas.openxmlformats.org/officeDocument/2006/relationships/externalLink" Target="externalLinks/externalLink5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66" Type="http://schemas.openxmlformats.org/officeDocument/2006/relationships/externalLink" Target="externalLinks/externalLink32.xml"/><Relationship Id="rId87" Type="http://schemas.openxmlformats.org/officeDocument/2006/relationships/externalLink" Target="externalLinks/externalLink53.xml"/><Relationship Id="rId110" Type="http://schemas.openxmlformats.org/officeDocument/2006/relationships/sharedStrings" Target="sharedStrings.xml"/><Relationship Id="rId61" Type="http://schemas.openxmlformats.org/officeDocument/2006/relationships/externalLink" Target="externalLinks/externalLink27.xml"/><Relationship Id="rId82" Type="http://schemas.openxmlformats.org/officeDocument/2006/relationships/externalLink" Target="externalLinks/externalLink4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externalLink" Target="externalLinks/externalLink1.xml"/><Relationship Id="rId56" Type="http://schemas.openxmlformats.org/officeDocument/2006/relationships/externalLink" Target="externalLinks/externalLink22.xml"/><Relationship Id="rId77" Type="http://schemas.openxmlformats.org/officeDocument/2006/relationships/externalLink" Target="externalLinks/externalLink43.xml"/><Relationship Id="rId100" Type="http://schemas.openxmlformats.org/officeDocument/2006/relationships/externalLink" Target="externalLinks/externalLink66.xml"/><Relationship Id="rId105" Type="http://schemas.openxmlformats.org/officeDocument/2006/relationships/externalLink" Target="externalLinks/externalLink71.xml"/><Relationship Id="rId8" Type="http://schemas.openxmlformats.org/officeDocument/2006/relationships/worksheet" Target="worksheets/sheet8.xml"/><Relationship Id="rId51" Type="http://schemas.openxmlformats.org/officeDocument/2006/relationships/externalLink" Target="externalLinks/externalLink17.xml"/><Relationship Id="rId72" Type="http://schemas.openxmlformats.org/officeDocument/2006/relationships/externalLink" Target="externalLinks/externalLink38.xml"/><Relationship Id="rId93" Type="http://schemas.openxmlformats.org/officeDocument/2006/relationships/externalLink" Target="externalLinks/externalLink59.xml"/><Relationship Id="rId98" Type="http://schemas.openxmlformats.org/officeDocument/2006/relationships/externalLink" Target="externalLinks/externalLink64.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12.xml"/><Relationship Id="rId67" Type="http://schemas.openxmlformats.org/officeDocument/2006/relationships/externalLink" Target="externalLinks/externalLink33.xml"/><Relationship Id="rId20" Type="http://schemas.openxmlformats.org/officeDocument/2006/relationships/worksheet" Target="worksheets/sheet20.xml"/><Relationship Id="rId41" Type="http://schemas.openxmlformats.org/officeDocument/2006/relationships/externalLink" Target="externalLinks/externalLink7.xml"/><Relationship Id="rId62" Type="http://schemas.openxmlformats.org/officeDocument/2006/relationships/externalLink" Target="externalLinks/externalLink28.xml"/><Relationship Id="rId83" Type="http://schemas.openxmlformats.org/officeDocument/2006/relationships/externalLink" Target="externalLinks/externalLink49.xml"/><Relationship Id="rId88" Type="http://schemas.openxmlformats.org/officeDocument/2006/relationships/externalLink" Target="externalLinks/externalLink54.xml"/><Relationship Id="rId111"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sbmfinw1\Rengachari%20D\FLASH\Flash-03-04\Flash-Aug03\Flash-isbm-te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tcs01\share\GENERAL\sucharita\satyamadr\comps\INFOSY1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osting/COST/MIS/MIS2008/Dec-2008/WTT%20&amp;%20SPG/Commercial-file-Nov-08-PART-II.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YDWFSDHCP\WFL-Costing-MIS\costing\COST\MIS\MIS2008\Dec-2008\WTT%20&amp;%20SPG\Commercial-file-Nov-08-PART-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ewuser77\c\All%20files\segment%20reporting\Flannex-jun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rf-fd\E%20Drive\et-workings\Flash\Flash-2002-03\Flash-Oct02\Flash-ISBM-Oct02.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Valuation%20-%20Daurala%20Suga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nwicos-006\amish%20share\Documents%20and%20Settings\a7510313\My%20Documents\My%20Documents\TT\Com_Reports\Nov\Reports\Com.Repo_Nov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nwicos-006\amish%20share\Stores%20&amp;%20Spares\Stores%20&amp;%20Spares%20Aug.05%20(version%20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Vp-ac-023\SHARING\Documents%20and%20Settings\kamleshm\Desktop\Welspun%20-%20Tax%20Audit%202005\2004-05\DTA\Clause%2012%20(b)-%20DT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nwicos-006\amish%20share\Documents%20and%20Settings\A7510578\Local%20Settings\Temporary%20Internet%20Files\OLKF\Job_Work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nwicos-004\mis\Documents%20and%20Settings\a7510202\Local%20Settings\Temporary%20Internet%20Files\OLKA2\Comm_Report\Variable%20Cost\dyes%20&amp;%20chemic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fowel\costing\COST\COST_INDIVIDUAL\Vishal\PACKING%20GL-MAY-0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infowel\COSTING\COST\COST_INDIVIDUAL\Vishal\YARN%20CONSUMPTION-APR-JUNE-0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fowel\costing\COST\COST_INDIVIDUAL\Vishal\packing%20gl-%20Apr07%20to%20june-07.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Basis%20(1)"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Startup" Target="ACCOUNTS/VILAS/I-TAX/TBAL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nwicos-002\mis%20on%20acc014\Documents%20and%20Settings\a7510661\Local%20Settings\Temporary%20Internet%20Files\OLK8E\OLDINSSTATU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OCUME~1/h1100777/LOCALS~1/Temp/Documents%20and%20Settings/a7510661/Local%20Settings/Temporary%20Internet%20Files/OLK8E/OLDINSSTATU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twilanj0123\Documents%20and%20Settings\h1630\My%20Documents\WIL%20MIS\WIL%20ACCOUNTS\WGBL%20SHCEDULE%20VI%20FORMAT\New%20Folder%20(2)\WGBL%20Set%20Part%202\Documents%20and%20Settings\a7510661\Local%20Settings\Temporary%20Internet%20Files\OLK8E\OLDINSSTATU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cuments%20and%20Settings/TKUO/Desktop/My%20Briefcase/My%20Documents/Fresh%20Direct/Banking/C%20L%20I%20E%20N%20T%20S/Handex(new)/Handex%20model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twilanj0123\Documents%20and%20Settings\TKUO\Desktop\My%20Briefcase\My%20Documents\Fresh%20Direct\Banking\C%20L%20I%20E%20N%20T%20S\Handex(new)\Handex%20model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nwicos-004\mis\Documents%20and%20Settings\wil_accounts\Desktop\POP%20breakup%20as%20on%20march%2007old.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35.215.58.41\costing\COST\COST_INDIVIDUAL\Vishal\Packing%20Matl%20consump%20revised-Q-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nfowel\COSTING\Documents%20and%20Settings\v1371011\Desktop\Asvin\31\SAP%20DATA%203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nwicos-002\mis%20on%20acc014\Documents%20and%20Settings\a7510494\Desktop\pending%20pr%20upto%2030.06.200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rf_fd\c\WINDOWS\TEMP\Flash-isbm-may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ocuments%20and%20Settings/tgoodson/Desktop/My%20Briefcase/My%20Documents/Security/Entrust/Entu_historical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Documents%20and%20Settings\tgoodson\Desktop\My%20Briefcase\My%20Documents\Security\Entrust\Entu_historical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T/Mahindra%20BT/GA%20Org/Comps/All%20Comps_combined_Jan%206.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twilanj0123\BT\Mahindra%20BT\GA%20Org\Comps\All%20Comps_combined_Jan%206.xl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Singapor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nwiacc-007\C%20on%20Vikas\Documents%20and%20Settings\a7510494\Desktop\pending%20pr%20upto%2030.06.200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Final%20Drafts\Debt%20schedule-JKI.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nwicos-004\mis\Documents%20and%20Settings\a7510313\My%20Documents\Budget%20F0607\B.Plan%2027.2.06\Prodn_VCost\Product%20Costing%20Bud%20F07.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nwicos-002\mis%20on%20acc014\Documents%20and%20Settings\h1100787\My%20Documents\MILIND%202008-09\MONTHLY%20BALANCE%20SHEET\SEPT%202008\FA%20SCHEDULE\FIXED%20ASSETS%20REGISTER%20-%2030.09.2008-AFTER%20WEL%20HOUSE.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nwicos-002\mis%20on%20acc014\R%20K%20C\Monthly%20MIS%20Reports%202008-2009\L%20-%20%20March%202009\Stores%20&amp;%20Spares%20March-0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pvr-value.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nwims-009\D\ajay%20data\d\ajay\RUNNING%20ORDER\SPRING400%20REPEAT\SPRING%20400-DPR%20IN%20SAP-REPEAT.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nwicos-004\mis\Documents%20and%20Settings\a7510313\My%20Documents\Budget%20F0607\B.Plan%2027.2.06\Prodn_VCost\Production%20Budget.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welspungroup-my.sharepoint.com/DOCUME~1/mohan/LOCALS~1/Temp/INS0404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nwicos-002\mis%20on%20acc014\DOCUME~1\mohan\LOCALS~1\Temp\INS0404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welspungroup-my.sharepoint.com/Documents%20and%20Settings/a7510202/Local%20Settings/Temporary%20Internet%20Files/OLKDA/Product%20Costing%20for%20RRM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dt0581co\RAJEEV\Final%20Accounts\Financial%20Year%202002-03\Final%20Accounts%2002-03%2030%25%20Div%20with%20incorrect%20related%20party.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nwicos-004\mis\DOCUME~1\a7510355\LOCALS~1\Temp\ANJAR%20BSPL%20JULY'06-final.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Praveenl\c\dty\mb9900\MBDTY_01_F.xls" TargetMode="External"/></Relationships>
</file>

<file path=xl/externalLinks/_rels/externalLink47.xml.rels><?xml version="1.0" encoding="UTF-8" standalone="yes"?>
<Relationships xmlns="http://schemas.openxmlformats.org/package/2006/relationships"><Relationship Id="rId1" Type="http://schemas.microsoft.com/office/2006/relationships/xlExternalLinkPath/xlPathMissing" Target="mgt9900_GE%20(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Infowel\COSTING\COSTING\COST\COST_INDIVIDUAL\Vishal\RAW%20MATERIAL%20YARN%20CONSUM-JULY-06.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Anwicos-006\amish%20share\Buusiness%20Paln%2006_07\Version-5\Terry_Towel_2006-07_28.06.06_Version_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nwicos-004\mis\Documents%20and%20Settings\a7510313\My%20Documents\Budget%20F0607\B.Plan%2010.2.06\Prodn_VCost\Production%20Budget.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nwicos-004\mis\Documents%20and%20Settings\a7510313\My%20Documents\Budget%20F0607\B.Plan%201.3.06\Budget%20presentation\TTBplan_org_0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JKTSERVER\COSTUSERS\BRM%20FOLDER\LAL\CASHFLOW%20PROJECTION.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35.215.58.41\costing\DAILY%20REPORTS\GCIL_Daily%20Reports\GCIL%20DAILY%20REPORT-2007-08\08-NOVEMBER-2007\DPR-30.11.2007-REVISED.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nwicos-004\mis\Documents%20and%20Settings\a7510313\My%20Documents\Budget%20F0607\B.Plan%201.3.06\Sales_VME\Sales%20Budget%20F07_altI_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Admon/Admininsitracion-Finanzas/Planning/Plan%2002/Plan%20Banks%202002%20Q3A/corporate%20plan.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twilanj0123\Admon\Admininsitracion-Finanzas\Planning\Plan%2002\Plan%20Banks%202002%20Q3A\corporate%20plan.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Power1\d$\MIR\LONGI\March-05\Nov-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nwicos-006\amish%20share\AMISH%20Share\FY-08\Stock%20Valuation\(9)%20Dec'07\Stock%20Valuatio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Anwicos-004\mis\Documents%20and%20Settings\a7540239\Local%20Settings\Temporary%20Internet%20Files\OLK5B\(1)%20April'08\Stock%20as%20on%2030.04.08.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wicos-004\mis\Documents%20and%20Settings\a7510202\Local%20Settings\Temporary%20Internet%20Files\OLKA2\Stock%20Valuation\(3)%20June'08\Stock%20Valuation%20summary%20for%20the%20month%20of%20June%202008.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Anwicos-004\mis\Documents%20and%20Settings\a7540239\Local%20Settings\Temporary%20Internet%20Files\OLK5B\(2)%20May'08\Stock%20as%20on%2031st%20May.2008.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nwicos-004\mis\Documents%20and%20Settings\a7510202\Local%20Settings\Temporary%20Internet%20Files\OLK1B4\Stock%20as%20on%2031st%20May.2008.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Parelcpu358\vipul%20share\Clients\Tech_Pacific\Audit_2005\Fixed%20Assets\Fixed%20Assets\FIXED%20ASSET%20REGISTER%20AS%20ON%2031.12.04.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D:\BP%2025-26%20Working\Final%20Business%20Plan%2025-26\Q1%20Monthwise%20Manpower%20Review%2007072025.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Users/0184728/Downloads/Book1%20(29).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Users/0184728/Downloads/WFL%20Updated%20FInal%20MP%20-%20BP%202025%20-26%20Working%20(2)%2001042025.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CSP%20Work\Piece%20Rate%20Working%20CSP%2021072026.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Users/0184728/Downloads/YN01%20Capacity%20of%20costing.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Z:\Business%20Plan\2025-26\V1\3.2%20Softflooring_BPlan_2025-26.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Users/0184728/Downloads/TC01%20capacity%20of%20Costing.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Business%20Plan\2024-25\V1\Capacity%20Utilization%20Master%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_MAN"/>
      <sheetName val="FORMAT4"/>
      <sheetName val="incst-tcf"/>
      <sheetName val="KEYCODES(TCF)"/>
      <sheetName val="INTER-UNIT"/>
      <sheetName val="rmvar"/>
      <sheetName val="lactam-rate"/>
      <sheetName val="fin-link"/>
      <sheetName val="CONTN (2)"/>
      <sheetName val="ebidt"/>
      <sheetName val="end_point"/>
      <sheetName val="fixexp_analysis"/>
      <sheetName val="key-ind"/>
      <sheetName val="adj-2002-03"/>
      <sheetName val="Sales-Jun02"/>
      <sheetName val="Incst-PY-M-01-02"/>
      <sheetName val="incst_tcf"/>
      <sheetName val="Collection"/>
      <sheetName val="P &amp; l "/>
      <sheetName val="tarps"/>
      <sheetName val="Import Summary"/>
      <sheetName val="Refere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tyTemplate"/>
      <sheetName val="Tables"/>
      <sheetName val="Rates"/>
      <sheetName val="Q299"/>
      <sheetName val="Model"/>
      <sheetName val="GE3"/>
      <sheetName val="GE 2"/>
      <sheetName val="pending indent"/>
    </sheetNames>
    <sheetDataSet>
      <sheetData sheetId="0" refreshError="1"/>
      <sheetData sheetId="1" refreshError="1"/>
      <sheetData sheetId="2" refreshError="1"/>
      <sheetData sheetId="3" refreshError="1"/>
      <sheetData sheetId="4" refreshError="1">
        <row r="453">
          <cell r="A453" t="str">
            <v>Tata Consultancy</v>
          </cell>
          <cell r="B453">
            <v>4205.2</v>
          </cell>
        </row>
        <row r="454">
          <cell r="A454" t="str">
            <v>HCL Consulting</v>
          </cell>
          <cell r="B454">
            <v>2705.1</v>
          </cell>
        </row>
        <row r="455">
          <cell r="A455" t="str">
            <v>Wipro</v>
          </cell>
          <cell r="B455">
            <v>1639</v>
          </cell>
        </row>
        <row r="456">
          <cell r="A456" t="str">
            <v>Pentafour Software</v>
          </cell>
          <cell r="B456">
            <v>1002.7</v>
          </cell>
        </row>
        <row r="457">
          <cell r="A457" t="str">
            <v>Tata Unisys</v>
          </cell>
          <cell r="B457">
            <v>922.5</v>
          </cell>
        </row>
        <row r="458">
          <cell r="A458" t="str">
            <v>Silverline Ind.</v>
          </cell>
          <cell r="B458">
            <v>810</v>
          </cell>
        </row>
        <row r="459">
          <cell r="A459" t="str">
            <v>Infosys</v>
          </cell>
          <cell r="B459">
            <v>803.4</v>
          </cell>
        </row>
        <row r="460">
          <cell r="A460" t="str">
            <v>Fujitsu ICIM</v>
          </cell>
          <cell r="B460">
            <v>650</v>
          </cell>
        </row>
        <row r="461">
          <cell r="A461" t="str">
            <v>Square D Software</v>
          </cell>
          <cell r="B461">
            <v>573.1</v>
          </cell>
        </row>
        <row r="462">
          <cell r="A462" t="str">
            <v>Patni Computer Systems</v>
          </cell>
          <cell r="B462">
            <v>560</v>
          </cell>
        </row>
        <row r="469">
          <cell r="A469" t="str">
            <v>FY1992</v>
          </cell>
          <cell r="B469">
            <v>88.787569000000005</v>
          </cell>
          <cell r="C469">
            <v>22.481446000000005</v>
          </cell>
        </row>
        <row r="470">
          <cell r="A470" t="str">
            <v>FY1993</v>
          </cell>
          <cell r="B470">
            <v>137.184933</v>
          </cell>
          <cell r="C470">
            <v>35.089639999999996</v>
          </cell>
        </row>
        <row r="471">
          <cell r="A471" t="str">
            <v>FY1994</v>
          </cell>
          <cell r="B471">
            <v>288.98526500000003</v>
          </cell>
          <cell r="C471">
            <v>80.919432000000029</v>
          </cell>
        </row>
        <row r="472">
          <cell r="A472" t="str">
            <v>FY1995</v>
          </cell>
          <cell r="B472">
            <v>554.19435799999997</v>
          </cell>
          <cell r="C472">
            <v>133.24426599999995</v>
          </cell>
        </row>
        <row r="473">
          <cell r="A473" t="str">
            <v>FY1996</v>
          </cell>
          <cell r="B473">
            <v>885.55399999999997</v>
          </cell>
          <cell r="C473">
            <v>210.1</v>
          </cell>
        </row>
        <row r="474">
          <cell r="A474" t="str">
            <v>FY1997E</v>
          </cell>
          <cell r="B474">
            <v>1392.2</v>
          </cell>
          <cell r="C474">
            <v>333.89999999999992</v>
          </cell>
        </row>
        <row r="475">
          <cell r="A475" t="str">
            <v>FY1998E</v>
          </cell>
          <cell r="B475">
            <v>2576.573488</v>
          </cell>
          <cell r="C475">
            <v>603.63307900000018</v>
          </cell>
        </row>
        <row r="483">
          <cell r="A483" t="str">
            <v>FY1990</v>
          </cell>
          <cell r="B483">
            <v>1.55</v>
          </cell>
          <cell r="C483">
            <v>1.01</v>
          </cell>
        </row>
        <row r="484">
          <cell r="A484" t="str">
            <v>FY1991</v>
          </cell>
          <cell r="B484">
            <v>2.35</v>
          </cell>
          <cell r="C484">
            <v>1.87</v>
          </cell>
        </row>
        <row r="485">
          <cell r="A485" t="str">
            <v>FY1992</v>
          </cell>
          <cell r="B485">
            <v>4.3</v>
          </cell>
          <cell r="C485">
            <v>3.2</v>
          </cell>
        </row>
        <row r="486">
          <cell r="A486" t="str">
            <v>FY1993</v>
          </cell>
          <cell r="B486">
            <v>6.75</v>
          </cell>
          <cell r="C486">
            <v>4.9000000000000004</v>
          </cell>
        </row>
        <row r="487">
          <cell r="A487" t="str">
            <v>FY1994</v>
          </cell>
          <cell r="B487">
            <v>10.199999999999999</v>
          </cell>
          <cell r="C487">
            <v>6.95</v>
          </cell>
        </row>
        <row r="488">
          <cell r="A488" t="str">
            <v>FY1995</v>
          </cell>
          <cell r="B488">
            <v>15.35</v>
          </cell>
          <cell r="C488">
            <v>10.7</v>
          </cell>
        </row>
        <row r="489">
          <cell r="A489" t="str">
            <v>FY1996</v>
          </cell>
          <cell r="B489">
            <v>25.2</v>
          </cell>
          <cell r="C489">
            <v>16.7</v>
          </cell>
        </row>
      </sheetData>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pecial Sanction"/>
      <sheetName val="sales-analy-tt"/>
      <sheetName val="sales-analy-spg"/>
      <sheetName val="Sales Realisation"/>
      <sheetName val="KEYDATA-TT"/>
      <sheetName val="key data-SPG"/>
      <sheetName val="FOREIGN CURR-Nov-08"/>
      <sheetName val="US $ -APR TO Nov-08"/>
      <sheetName val="TYPE-WISE SALES -Nov"/>
      <sheetName val="COUNTRY-NOV"/>
      <sheetName val="PARTY-WISE SALES -Nov"/>
      <sheetName val="COUNT WISE SALES -Nov"/>
      <sheetName val="TYPE-UP TO NOV-08"/>
      <sheetName val="COUNTRY-UP TO NOV -08"/>
      <sheetName val="PARTY-UP TO NOV-08"/>
      <sheetName val="COUNT-UP TO NOV-08"/>
      <sheetName val="country wise NOV.08"/>
      <sheetName val="REGION WISE NOV.08"/>
      <sheetName val="product wise NOV"/>
      <sheetName val="EXP DESIGN WISE NOV"/>
      <sheetName val="countrywise UPDATE"/>
      <sheetName val="Customer regionwise UPDATE"/>
      <sheetName val="product wise-new-UPDATE"/>
      <sheetName val="DESIGN WISE SALES UPDATE"/>
      <sheetName val="SUMMARY GCIL"/>
      <sheetName val="SUMMARY WIL"/>
      <sheetName val="RUGS PLANT"/>
      <sheetName val="COST PER KG "/>
      <sheetName val="WORKING"/>
      <sheetName val="Paramater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pecial Sanction"/>
      <sheetName val="sales-analy-tt"/>
      <sheetName val="sales-analy-spg"/>
      <sheetName val="Sales Realisation"/>
      <sheetName val="KEYDATA-TT"/>
      <sheetName val="key data-SPG"/>
      <sheetName val="FOREIGN CURR-Nov-08"/>
      <sheetName val="US $ -APR TO Nov-08"/>
      <sheetName val="TYPE-WISE SALES -Nov"/>
      <sheetName val="COUNTRY-NOV"/>
      <sheetName val="PARTY-WISE SALES -Nov"/>
      <sheetName val="COUNT WISE SALES -Nov"/>
      <sheetName val="TYPE-UP TO NOV-08"/>
      <sheetName val="COUNTRY-UP TO NOV -08"/>
      <sheetName val="PARTY-UP TO NOV-08"/>
      <sheetName val="COUNT-UP TO NOV-08"/>
      <sheetName val="country wise NOV.08"/>
      <sheetName val="REGION WISE NOV.08"/>
      <sheetName val="product wise NOV"/>
      <sheetName val="EXP DESIGN WISE NOV"/>
      <sheetName val="countrywise UPDATE"/>
      <sheetName val="Customer regionwise UPDATE"/>
      <sheetName val="product wise-new-UPDATE"/>
      <sheetName val="DESIGN WISE SALES UPDATE"/>
      <sheetName val="SUMMARY GCIL"/>
      <sheetName val="SUMMARY WIL"/>
      <sheetName val="RUGS PLANT"/>
      <sheetName val="COST PER KG "/>
      <sheetName val="WORKING"/>
      <sheetName val="Paramaters"/>
      <sheetName val="Mach wise Activity Cost"/>
      <sheetName val="Reference Sheet"/>
      <sheetName val="RM"/>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tr"/>
      <sheetName val="incst_pyr9900"/>
      <sheetName val="Incst-PY-M-00-01"/>
      <sheetName val="Incst-PY-G-00-01"/>
      <sheetName val="isd-g-09900"/>
      <sheetName val="INPUT_GRAPH"/>
      <sheetName val="INPUT_MAN"/>
      <sheetName val="INPUT_LINK"/>
      <sheetName val="summary"/>
      <sheetName val="FORMAT4"/>
      <sheetName val="incst-tcf"/>
      <sheetName val="KEYCODES(TCF)"/>
      <sheetName val="rmvar"/>
      <sheetName val="lactam-rate"/>
      <sheetName val="fin-link"/>
      <sheetName val="CONTN (2)"/>
      <sheetName val="ebidt"/>
      <sheetName val="end_point"/>
      <sheetName val="fixexp_analysis"/>
      <sheetName val="workings"/>
      <sheetName val="keyind"/>
      <sheetName val="adj_0001"/>
      <sheetName val="Sheet1"/>
      <sheetName val="Slit roll gra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ty details"/>
      <sheetName val="Input_Man"/>
      <sheetName val="Incst-TCF"/>
      <sheetName val="Keycodes(TCF)"/>
      <sheetName val="Rmvar"/>
      <sheetName val="Inter-Unit"/>
      <sheetName val="YTD-ADJ-Reasons"/>
      <sheetName val="Lactam-Rate"/>
      <sheetName val="Lactam-Imp-Rate"/>
      <sheetName val="Fin-Link"/>
      <sheetName val="Variance-MTH-Summary"/>
      <sheetName val="MTH-Annex"/>
      <sheetName val="Sales-MTH-Variance"/>
      <sheetName val="Variance-YTD-Summary"/>
      <sheetName val="Variance-YTD-Annex"/>
      <sheetName val="Sales-YTD-Variance"/>
      <sheetName val="Fixexp_analysis"/>
      <sheetName val="Key-Ind"/>
      <sheetName val="ADJ-2002-03"/>
      <sheetName val="Sales-Routewise"/>
      <sheetName val="Incst-PY-M-01-02"/>
      <sheetName val="Incst_TCF"/>
      <sheetName val="Key_I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sheetName val="Tax (2)"/>
      <sheetName val="Assumptions - Sugar"/>
      <sheetName val="Assumptions-Fancy Sugar"/>
      <sheetName val="Cons-P&amp;L"/>
      <sheetName val="Financials"/>
      <sheetName val="Ratios"/>
      <sheetName val="WC Estimates"/>
      <sheetName val="Power&amp;Fuel"/>
      <sheetName val="Power&amp;Fuel (2)"/>
      <sheetName val="Depreciation"/>
      <sheetName val="debt schedule"/>
      <sheetName val="Tax"/>
      <sheetName val="Valuation"/>
      <sheetName val="Power_Fuel"/>
      <sheetName val="_x0000__x0000__x0000__x0002__x0000__x0000__x0000__x0000_䀘_x0000__x0000__x0000__x0000__x0001__x0000_"/>
      <sheetName val="_x0000__x0000__x0000__x0002__x0000__x0000__x0000__x0000_䀦_x0000__x0000__x0000__x0000__x0001__x0000__x0000__x0000_㵈ˑ㵰㿪_x0000_"/>
      <sheetName val="Sheet1"/>
      <sheetName val="Dec"/>
      <sheetName val="COST PER KG  (Qtr)"/>
      <sheetName val=""/>
      <sheetName val="March.10"/>
      <sheetName val="???_x0002_????䀘????_x0001_?"/>
      <sheetName val="???_x0002_????䀦????_x0001_???㵈ˑ㵰㿪?"/>
      <sheetName val="MC.9 - ROH"/>
      <sheetName val="stores &amp; spares"/>
      <sheetName val="____x0002_____䀘_____x0001__"/>
      <sheetName val="____x0002_____䀦_____x0001____㵈ˑ㵰㿪_"/>
      <sheetName val="_x005f_x0000__x005f_x0000__x005f_x0000__x005f_x0002__x0"/>
      <sheetName val="____x005f_x0002_____䀘_____x005f_x0001__"/>
      <sheetName val="____x005f_x0002_____䀦_____x005f_x0001____㵈ˑ"/>
      <sheetName val="???_x005f_x0002_????䀘????_x005f_x0001_?"/>
      <sheetName val="???_x005f_x0002_????䀦????_x005f_x0001_???㵈ˑ"/>
      <sheetName val="_x005f_x005f_x005f_x0000__x005f_x005f_x005f_x0000__x005"/>
      <sheetName val="____x005f_x005f_x005f_x0002_____䀘_____x005f"/>
      <sheetName val="____x005f_x005f_x005f_x0002_____䀦_____x005f"/>
      <sheetName val="???_x005f_x005f_x005f_x0002_????䀘????_x005f"/>
      <sheetName val="???_x005f_x005f_x005f_x0002_????䀦????_x005f"/>
      <sheetName val="_x005f_x005f_x005f_x005f_x005f_x005f_x005f_x0000__x005f"/>
      <sheetName val="____x005f_x005f_x005f_x005f_x005f_x005f_x005f_x0002____"/>
      <sheetName val="???_x005f_x005f_x005f_x005f_x005f_x005f_x005f_x0002_???"/>
      <sheetName val="Excise on RM"/>
      <sheetName val="Computation"/>
      <sheetName val="Paramaters"/>
      <sheetName val="Do not delete"/>
      <sheetName val="ADDTIONS"/>
      <sheetName val="#REF"/>
      <sheetName val="Sheet2"/>
      <sheetName val="BS &amp; P&amp;L"/>
      <sheetName val="_x0000__x0000__x0000__x0002__x0"/>
      <sheetName val="____x0002_____䀦_____x0001____㵈ˑ"/>
      <sheetName val="???_x0002_????䀦????_x0001_???㵈ˑ"/>
      <sheetName val="_x005f_x0000__x005f_x0000__x005"/>
      <sheetName val="____x005f_x0002_____䀘_____x005f"/>
      <sheetName val="____x005f_x0002_____䀦_____x005f"/>
      <sheetName val="???_x005f_x0002_????䀘????_x005f"/>
      <sheetName val="???_x005f_x0002_????䀦????_x005f"/>
      <sheetName val="_x005f_x005f_x005f_x0000__x005f"/>
      <sheetName val="____x005f_x005f_x005f_x0002____"/>
      <sheetName val="???_x005f_x005f_x005f_x0002_???"/>
      <sheetName val="Balance regroupée"/>
      <sheetName val="Sheet-2"/>
      <sheetName val="Photocopy"/>
      <sheetName val="FA Register"/>
      <sheetName val="Costing-blk-B"/>
      <sheetName val="Assumptions"/>
      <sheetName val="PAP France"/>
      <sheetName val="???_x0002__x0"/>
      <sheetName val="POP SALARY "/>
      <sheetName val="Quarterly Scrap"/>
      <sheetName val="Raw Data"/>
      <sheetName val="Raw Mtls."/>
      <sheetName val="WIP"/>
      <sheetName val="Finished Goods"/>
      <sheetName val="GiaVL"/>
      <sheetName val="Cschedules"/>
      <sheetName val="CMA"/>
      <sheetName val="tb"/>
      <sheetName val="Breadown"/>
      <sheetName val="_x0002_䀘_x0001_"/>
      <sheetName val="_x0002_䀦_x0001_㵈ˑ㵰㿪"/>
      <sheetName val="_x0002__x0"/>
      <sheetName val="Country"/>
      <sheetName val="MaterialSelection"/>
      <sheetName val="MaterialGroup"/>
      <sheetName val="Currency"/>
      <sheetName val="SuppliersSelection"/>
      <sheetName val="BD"/>
      <sheetName val="ArticlesSelection"/>
      <sheetName val="ProductSelection"/>
      <sheetName val="RFQSelection"/>
      <sheetName val="Fixexp_analysis"/>
      <sheetName val="Key-Ind"/>
      <sheetName val="Rmvar"/>
      <sheetName val="Prov. Comm. Inv."/>
      <sheetName val="CASHFLOWS"/>
      <sheetName val="CO_1"/>
      <sheetName val="PREPAYMENTS"/>
      <sheetName val="Valuation - Daurala Sugar"/>
      <sheetName val="대차대조표-공시형"/>
      <sheetName val="Lookups"/>
      <sheetName val="CRITERIA1"/>
      <sheetName val="DLR-WK"/>
      <sheetName val="OTH-WK"/>
      <sheetName val="BLN Detail 2000"/>
      <sheetName val="CIP Summary 0012"/>
      <sheetName val="CIP Detail 0011"/>
      <sheetName val="VLOOK"/>
      <sheetName val="99 to 00 blns"/>
      <sheetName val="_x005f_x005f_x005f_x005f_x005f_x005f_x005f_x005f_x005f_x005f_"/>
      <sheetName val="____x005f_x005f_x005f_x005f_x005f_x005f_x005f_x005f_x00"/>
      <sheetName val="???_x005f_x005f_x005f_x005f_x005f_x005f_x005f_x005f_x00"/>
      <sheetName val="Invoice"/>
      <sheetName val="full-gl-fi"/>
      <sheetName val="Statements"/>
      <sheetName val="MUS Testing"/>
      <sheetName val="A"/>
      <sheetName val="Cash Flow"/>
      <sheetName val="I.Tax"/>
      <sheetName val="B"/>
      <sheetName val="D"/>
      <sheetName val="Inputs"/>
      <sheetName val="Keyratios"/>
      <sheetName val="Cntrl Sheet"/>
      <sheetName val="NFF"/>
      <sheetName val="Facility"/>
      <sheetName val="deb"/>
      <sheetName val="SPR"/>
      <sheetName val="PAP"/>
      <sheetName val="Old"/>
      <sheetName val="Internet"/>
      <sheetName val="Accounts"/>
      <sheetName val="INCOME "/>
      <sheetName val="5 Star Hotel"/>
      <sheetName val="TBLINKAGE"/>
      <sheetName val="Budget 2"/>
      <sheetName val="VS 3"/>
      <sheetName val="IST 2"/>
      <sheetName val="Ausgabe 1"/>
      <sheetName val="VS 1"/>
      <sheetName val="AP"/>
      <sheetName val="VS 2"/>
      <sheetName val="entitlements"/>
      <sheetName val="Cashflow with no investment"/>
      <sheetName val="analysis"/>
      <sheetName val="pending indent"/>
      <sheetName val=" Comp"/>
      <sheetName val="REPORT"/>
      <sheetName val="Provision MIS"/>
      <sheetName val="____x0002__x0"/>
      <sheetName val="_x0000__x0000__x005"/>
      <sheetName val="____x0002_____䀘_____x005f"/>
      <sheetName val="____x0002_____䀦_____x005f"/>
      <sheetName val="???_x0002_????䀘????_x005f"/>
      <sheetName val="???_x0002_????䀦????_x005f"/>
      <sheetName val="_x005f_x0000__x005f"/>
      <sheetName val="____x005f_x0002____"/>
      <sheetName val="???_x005f_x0002_???"/>
      <sheetName val="TRIAL BALANCE"/>
      <sheetName val="Output"/>
      <sheetName val="DSCR-IRR"/>
      <sheetName val="Fundflow"/>
      <sheetName val="New Projects"/>
      <sheetName val="Groupings 1"/>
      <sheetName val="Output Sheet"/>
      <sheetName val="V-13_NRV Testing-FG"/>
      <sheetName val="BLGR"/>
      <sheetName val="Sum proj"/>
      <sheetName val="Financial Estimates"/>
      <sheetName val="BSPL"/>
      <sheetName val="BILLS-BOTOUT"/>
      <sheetName val="BILLS-BUB"/>
      <sheetName val="BILLS-GUR"/>
      <sheetName val="BILLS-JBP"/>
      <sheetName val="BILLS-JPR"/>
      <sheetName val="Sep Trail"/>
      <sheetName val="Balancesheet"/>
      <sheetName val="Cover Page"/>
      <sheetName val="Lookup"/>
      <sheetName val="Other notes"/>
      <sheetName val="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_A_V"/>
      <sheetName val="Input_A_Q"/>
      <sheetName val="Input_B_V"/>
      <sheetName val="Ann-1"/>
      <sheetName val="Ann-2"/>
      <sheetName val="P&amp;L_CM"/>
      <sheetName val="P&amp;L_YTD"/>
      <sheetName val="Input_B_Q"/>
      <sheetName val="Ann-5"/>
      <sheetName val="Ann-6"/>
      <sheetName val="Ann-7"/>
      <sheetName val="Ann-8"/>
      <sheetName val="Ann-9"/>
      <sheetName val="Ann-10"/>
      <sheetName val="Ann11"/>
      <sheetName val="Ann-12"/>
      <sheetName val="Ann-13"/>
    </sheetNames>
    <sheetDataSet>
      <sheetData sheetId="0"/>
      <sheetData sheetId="1"/>
      <sheetData sheetId="2" refreshError="1">
        <row r="5">
          <cell r="A5" t="str">
            <v>Particulars</v>
          </cell>
        </row>
        <row r="6">
          <cell r="J6">
            <v>38628</v>
          </cell>
        </row>
        <row r="9">
          <cell r="J9">
            <v>1318.5403130526036</v>
          </cell>
        </row>
        <row r="10">
          <cell r="J10">
            <v>0</v>
          </cell>
        </row>
        <row r="11">
          <cell r="J11">
            <v>19.104628280364913</v>
          </cell>
        </row>
        <row r="12">
          <cell r="J12">
            <v>28.656942420547367</v>
          </cell>
        </row>
        <row r="13">
          <cell r="J13">
            <v>0</v>
          </cell>
        </row>
        <row r="14">
          <cell r="J14">
            <v>0</v>
          </cell>
        </row>
        <row r="15">
          <cell r="J15">
            <v>0</v>
          </cell>
        </row>
        <row r="16">
          <cell r="J16">
            <v>363.47982666666667</v>
          </cell>
        </row>
        <row r="17">
          <cell r="J17">
            <v>1729.7817104201827</v>
          </cell>
        </row>
        <row r="18">
          <cell r="J18">
            <v>0</v>
          </cell>
        </row>
        <row r="19">
          <cell r="J19">
            <v>0</v>
          </cell>
        </row>
        <row r="20">
          <cell r="J20">
            <v>0</v>
          </cell>
        </row>
        <row r="21">
          <cell r="J21">
            <v>40.765805073786161</v>
          </cell>
        </row>
        <row r="22">
          <cell r="J22">
            <v>1770.5475154939688</v>
          </cell>
        </row>
        <row r="23">
          <cell r="J23">
            <v>0</v>
          </cell>
        </row>
        <row r="24">
          <cell r="J24">
            <v>0</v>
          </cell>
        </row>
        <row r="25">
          <cell r="A25" t="str">
            <v>Domestic</v>
          </cell>
          <cell r="J25">
            <v>0</v>
          </cell>
        </row>
        <row r="26">
          <cell r="J26">
            <v>0</v>
          </cell>
        </row>
        <row r="27">
          <cell r="J27">
            <v>1770.5475154939688</v>
          </cell>
        </row>
        <row r="28">
          <cell r="J28">
            <v>0</v>
          </cell>
        </row>
        <row r="29">
          <cell r="J29">
            <v>1770.5475154939688</v>
          </cell>
        </row>
        <row r="31">
          <cell r="J31">
            <v>11.344609157413364</v>
          </cell>
        </row>
        <row r="32">
          <cell r="J32">
            <v>0</v>
          </cell>
        </row>
        <row r="33">
          <cell r="J33">
            <v>22.151477259283741</v>
          </cell>
        </row>
        <row r="34">
          <cell r="J34">
            <v>5.9980232232000006</v>
          </cell>
        </row>
        <row r="35">
          <cell r="J35">
            <v>6.5927015652630168</v>
          </cell>
        </row>
        <row r="36">
          <cell r="J36">
            <v>1.1269096128189748</v>
          </cell>
        </row>
        <row r="37">
          <cell r="J37">
            <v>0.83333333333333337</v>
          </cell>
        </row>
        <row r="38">
          <cell r="J38">
            <v>7.9112418783156224</v>
          </cell>
        </row>
        <row r="39">
          <cell r="J39">
            <v>25.238534898596352</v>
          </cell>
        </row>
        <row r="40">
          <cell r="J40">
            <v>2.6370806261052073</v>
          </cell>
        </row>
        <row r="41">
          <cell r="J41">
            <v>1.3185403130526037</v>
          </cell>
        </row>
        <row r="42">
          <cell r="J42">
            <v>0</v>
          </cell>
        </row>
        <row r="43">
          <cell r="J43">
            <v>1.3185403130526037</v>
          </cell>
        </row>
        <row r="44">
          <cell r="J44">
            <v>86.47099218043482</v>
          </cell>
        </row>
        <row r="45">
          <cell r="J45">
            <v>1684.0765233135339</v>
          </cell>
        </row>
        <row r="46">
          <cell r="J46">
            <v>0</v>
          </cell>
        </row>
        <row r="47">
          <cell r="A47" t="str">
            <v xml:space="preserve">                Goods In Transit </v>
          </cell>
          <cell r="J47">
            <v>0</v>
          </cell>
        </row>
        <row r="48">
          <cell r="J48">
            <v>0</v>
          </cell>
        </row>
        <row r="49">
          <cell r="J49">
            <v>15.27254359333884</v>
          </cell>
        </row>
        <row r="50">
          <cell r="J50">
            <v>1699.3490669068728</v>
          </cell>
        </row>
        <row r="51">
          <cell r="J51">
            <v>53.595023859702799</v>
          </cell>
        </row>
        <row r="52">
          <cell r="J52">
            <v>0</v>
          </cell>
        </row>
        <row r="53">
          <cell r="J53">
            <v>1752.9440907665758</v>
          </cell>
        </row>
        <row r="55">
          <cell r="J55">
            <v>798.97496330517845</v>
          </cell>
        </row>
        <row r="56">
          <cell r="J56">
            <v>0</v>
          </cell>
        </row>
        <row r="57">
          <cell r="J57">
            <v>-6.3956629493635768</v>
          </cell>
        </row>
        <row r="58">
          <cell r="J58">
            <v>96.977780128800006</v>
          </cell>
        </row>
        <row r="59">
          <cell r="J59">
            <v>19.547504220771931</v>
          </cell>
        </row>
        <row r="60">
          <cell r="J60">
            <v>67.482969037700613</v>
          </cell>
        </row>
        <row r="61">
          <cell r="J61">
            <v>30.360297178883496</v>
          </cell>
        </row>
        <row r="62">
          <cell r="J62">
            <v>0</v>
          </cell>
        </row>
        <row r="63">
          <cell r="A63" t="str">
            <v>Water Cost</v>
          </cell>
          <cell r="J63">
            <v>11.645321663438596</v>
          </cell>
        </row>
        <row r="64">
          <cell r="J64">
            <v>40.765805073786161</v>
          </cell>
        </row>
        <row r="65">
          <cell r="J65">
            <v>1059.3589776591955</v>
          </cell>
        </row>
        <row r="66">
          <cell r="J66">
            <v>693.58511310738027</v>
          </cell>
        </row>
        <row r="69">
          <cell r="J69">
            <v>70.371015194778963</v>
          </cell>
        </row>
        <row r="70">
          <cell r="J70">
            <v>55.216666666666669</v>
          </cell>
        </row>
        <row r="71">
          <cell r="J71">
            <v>50.85</v>
          </cell>
        </row>
        <row r="72">
          <cell r="J72">
            <v>3</v>
          </cell>
        </row>
        <row r="73">
          <cell r="J73">
            <v>16.666666666666668</v>
          </cell>
        </row>
        <row r="74">
          <cell r="J74">
            <v>17.438333333333333</v>
          </cell>
        </row>
        <row r="75">
          <cell r="J75">
            <v>5.416666666666667</v>
          </cell>
        </row>
        <row r="76">
          <cell r="J76">
            <v>35.54</v>
          </cell>
        </row>
        <row r="77">
          <cell r="J77">
            <v>45.348478450665709</v>
          </cell>
        </row>
        <row r="78">
          <cell r="J78">
            <v>46.993333333333332</v>
          </cell>
        </row>
        <row r="79">
          <cell r="J79">
            <v>8</v>
          </cell>
        </row>
        <row r="80">
          <cell r="J80">
            <v>354.84116031211136</v>
          </cell>
        </row>
        <row r="81">
          <cell r="J81">
            <v>338.74395279526891</v>
          </cell>
        </row>
        <row r="83">
          <cell r="J83">
            <v>20.033168870126726</v>
          </cell>
        </row>
        <row r="84">
          <cell r="J84">
            <v>0</v>
          </cell>
        </row>
        <row r="85">
          <cell r="J85">
            <v>0</v>
          </cell>
        </row>
        <row r="86">
          <cell r="J86">
            <v>44.372000000000007</v>
          </cell>
        </row>
        <row r="87">
          <cell r="J87">
            <v>64.40516887012673</v>
          </cell>
        </row>
        <row r="88">
          <cell r="J88">
            <v>274.3387839251422</v>
          </cell>
        </row>
        <row r="89">
          <cell r="J89">
            <v>110.25999999999999</v>
          </cell>
        </row>
        <row r="90">
          <cell r="J90">
            <v>0</v>
          </cell>
        </row>
        <row r="91">
          <cell r="J91">
            <v>164.0787839251422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heet1"/>
      <sheetName val="TT YTD Presentation"/>
      <sheetName val=" Reco Acc"/>
      <sheetName val="For P&amp;L Aug"/>
      <sheetName val="Stock"/>
      <sheetName val="Working"/>
      <sheetName val="TQM"/>
      <sheetName val="Supply chain"/>
      <sheetName val="PPC"/>
      <sheetName val="HSGA"/>
      <sheetName val="Spinning by Deptt"/>
      <sheetName val="Spinning"/>
      <sheetName val="Cut &amp; Sew"/>
      <sheetName val="Processing"/>
      <sheetName val="Weaving"/>
      <sheetName val="Power Plant"/>
      <sheetName val="ETP"/>
      <sheetName val="Boiler"/>
      <sheetName val="Mech. cell"/>
      <sheetName val="Compr."/>
      <sheetName val="Elect. Cell"/>
      <sheetName val="Sheeting Weaving"/>
      <sheetName val="Cut &amp; Sew Sheetng"/>
      <sheetName val="Process Sheetng "/>
      <sheetName val="Process Sheetng"/>
      <sheetName val="Weav Sheetng"/>
      <sheetName val="TT_YTD_Presentation"/>
      <sheetName val="_Reco_Acc"/>
      <sheetName val="For_P&amp;L_Aug"/>
      <sheetName val="Supply_chain"/>
      <sheetName val="Spinning_by_Deptt"/>
      <sheetName val="Cut_&amp;_Sew"/>
      <sheetName val="Power_Plant"/>
      <sheetName val="Mech__cell"/>
      <sheetName val="Compr_"/>
      <sheetName val="Elect__Cell"/>
      <sheetName val="Sheeting_Weaving"/>
      <sheetName val="Cut_&amp;_Sew_Sheetng"/>
      <sheetName val="Process_Sheetng_"/>
      <sheetName val="Process_Sheetng"/>
      <sheetName val="Weav_Sheetng"/>
      <sheetName val="PPP 2023-24"/>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use 12 (b)"/>
      <sheetName val="Excise on RM"/>
      <sheetName val="DOWN PAYMENT SERVICE"/>
      <sheetName val="Clause_12_(b)"/>
      <sheetName val="Excise_on_RM"/>
      <sheetName val="DOWN_PAYMENT_SERVICE"/>
      <sheetName val="Clause_12_(b)1"/>
      <sheetName val="Excise_on_RM1"/>
      <sheetName val="DOWN_PAYMENT_SERVICE1"/>
      <sheetName val="Power&amp;Fuel"/>
      <sheetName val="Do not delete"/>
      <sheetName val="AS2003"/>
      <sheetName val="P&amp;LSC"/>
      <sheetName val="SALE"/>
      <sheetName val="Clause 12 (b)- DTA"/>
      <sheetName val="Loss on Sale FA"/>
      <sheetName val="Salary Outstanding"/>
      <sheetName val="Clause_12_(b)2"/>
      <sheetName val="Excise_on_RM2"/>
      <sheetName val="Clause_12_(b)3"/>
      <sheetName val="Excise_on_RM3"/>
      <sheetName val="Clause_12_(b)4"/>
      <sheetName val="Excise_on_RM4"/>
      <sheetName val="Clause_12_(b)5"/>
      <sheetName val="Excise_on_RM5"/>
      <sheetName val="Clause_12_(b)6"/>
      <sheetName val="Excise_on_RM6"/>
    </sheetNames>
    <sheetDataSet>
      <sheetData sheetId="0"/>
      <sheetData sheetId="1"/>
      <sheetData sheetId="2" refreshError="1"/>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2)"/>
      <sheetName val="Sheet3"/>
      <sheetName val="Sheet2"/>
      <sheetName val="Sheet1"/>
      <sheetName val="Sheet3_(2)"/>
    </sheetNames>
    <sheetDataSet>
      <sheetData sheetId="0"/>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ould BE"/>
      <sheetName val="Final"/>
      <sheetName val="Customer Wise"/>
      <sheetName val="Order Wise"/>
      <sheetName val="Prod"/>
      <sheetName val="D &amp; C Pivot"/>
      <sheetName val="Sheet1"/>
    </sheetNames>
    <sheetDataSet>
      <sheetData sheetId="0"/>
      <sheetData sheetId="1"/>
      <sheetData sheetId="2"/>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cking May-07"/>
      <sheetName val="PARTY WISE PACKING CONSUM"/>
      <sheetName val="Sheet1"/>
      <sheetName val="PACKING GL MAY-07"/>
      <sheetName val="ACTUALPACKING -MAY-07"/>
      <sheetName val="COST PER KG "/>
      <sheetName val="WORKING"/>
      <sheetName val="PAcking_May-07"/>
      <sheetName val="PARTY_WISE_PACKING_CONSUM"/>
      <sheetName val="PACKING_GL_MAY-07"/>
      <sheetName val="ACTUALPACKING_-MAY-07"/>
      <sheetName val="COST_PER_KG_"/>
      <sheetName val="Jul DP"/>
      <sheetName val="Stock"/>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sheetData sheetId="9"/>
      <sheetData sheetId="10"/>
      <sheetData sheetId="1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FINAL SUMM-APR-JUNE"/>
      <sheetName val="final summ qtrly"/>
      <sheetName val="QTRLY FILE"/>
      <sheetName val="MASTER"/>
      <sheetName val="SUMM"/>
      <sheetName val="COST PER KG "/>
      <sheetName val="FINAL_SUMM-APR-JUNE"/>
      <sheetName val="final_summ_qtrly"/>
      <sheetName val="QTRLY_FILE"/>
      <sheetName val="COST_PER_KG_"/>
    </sheetNames>
    <sheetDataSet>
      <sheetData sheetId="0"/>
      <sheetData sheetId="1"/>
      <sheetData sheetId="2"/>
      <sheetData sheetId="3"/>
      <sheetData sheetId="4"/>
      <sheetData sheetId="5"/>
      <sheetData sheetId="6" refreshError="1"/>
      <sheetData sheetId="7"/>
      <sheetData sheetId="8"/>
      <sheetData sheetId="9"/>
      <sheetData sheetId="1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Summary of packing"/>
      <sheetName val="PAcking JUNE-07 (2)"/>
      <sheetName val="PAcking JUNE-07"/>
      <sheetName val="PARTY WISE PACKING"/>
      <sheetName val="Sheet1"/>
      <sheetName val="PACKING APR-MAY -JUNE"/>
      <sheetName val="qtrly -packing "/>
      <sheetName val="Sheet5"/>
      <sheetName val="MASTER-01st qtr-packinggl"/>
      <sheetName val="Sheet2"/>
      <sheetName val="Sheet4"/>
      <sheetName val="Sheet6"/>
      <sheetName val="Sheet7"/>
      <sheetName val="MASTER-01st qtr-packinggl (2)"/>
      <sheetName val="July"/>
      <sheetName val="WORKING"/>
      <sheetName val="BS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2">
          <cell r="E12">
            <v>1400</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1 (2)"/>
      <sheetName val="Sheet3"/>
      <sheetName val="Sheet4"/>
      <sheetName val="GBP"/>
      <sheetName val="INR"/>
      <sheetName val="USD"/>
      <sheetName val="USDN"/>
      <sheetName val="Sheet2 (2)"/>
      <sheetName val="16-20"/>
      <sheetName val="06-10"/>
      <sheetName val="i01050001-sample"/>
      <sheetName val="costco"/>
      <sheetName val="EUR"/>
      <sheetName val="Chart1"/>
      <sheetName val="Working"/>
      <sheetName val="6130"/>
      <sheetName val="ze42-wgbl march &amp; april"/>
      <sheetName val="LC 09"/>
      <sheetName val="Sheet5"/>
      <sheetName val="JUNE-2013"/>
      <sheetName val="LATEX"/>
      <sheetName val="dta"/>
      <sheetName val="bathrobe "/>
      <sheetName val="02.03.2014"/>
      <sheetName val="03.03.2014"/>
      <sheetName val="DTA "/>
      <sheetName val="BR DTA "/>
      <sheetName val="04.2014 Stock"/>
      <sheetName val="600650"/>
      <sheetName val="SO Details"/>
      <sheetName val="DTA TOWEL "/>
      <sheetName val="Sales Order Details"/>
      <sheetName val="MARCH-2014"/>
      <sheetName val="SO Detais JULY DP"/>
      <sheetName val="Wastege"/>
      <sheetName val="SO Details "/>
      <sheetName val="2030"/>
      <sheetName val="dta br "/>
      <sheetName val="mc.9 sTOCK"/>
      <sheetName val="QUALITY CLAIM PAID -AUG "/>
      <sheetName val="Dta packing cost for Oct-14"/>
      <sheetName val="SO 2 SO Details"/>
      <sheetName val="br export "/>
      <sheetName val="DTA TOWEL"/>
      <sheetName val="Pivot"/>
      <sheetName val="dta  towel "/>
      <sheetName val="717460 -NRV PROV."/>
      <sheetName val="TOWEL EXPORT "/>
      <sheetName val="towel export"/>
      <sheetName val="export towel "/>
      <sheetName val="MC.9 Stock March-2015"/>
      <sheetName val="731310- utd feb-2015"/>
      <sheetName val="731240- UTD FEB-2015"/>
      <sheetName val="105-106"/>
      <sheetName val="2200 JUN-2015"/>
      <sheetName val="DTA  TOWEL"/>
      <sheetName val="towle export"/>
      <sheetName val="ftm june"/>
      <sheetName val="DTA SALES AUG-2015"/>
      <sheetName val="SO Details Export"/>
      <sheetName val="DTA-SO DETAILS"/>
      <sheetName val="ROSS SO 3604"/>
      <sheetName val="EXPORT TOWL REVISED- 02.10.2015"/>
      <sheetName val="ORIGINAL"/>
      <sheetName val="EXPORT TOWEL"/>
      <sheetName val="revised wgbl sales -05.02.2016"/>
      <sheetName val="SO DETAILS MAR"/>
      <sheetName val="So-Details"/>
      <sheetName val="SO DUMP"/>
      <sheetName val="Worksheet in Basis (1)"/>
      <sheetName val="ZFGLM11 712400"/>
      <sheetName val="Rugs DTA SALES July-17"/>
      <sheetName val="SQ00"/>
      <sheetName val="Fabric Cons. Q-1 2018"/>
      <sheetName val="Cabling"/>
      <sheetName val="RTF OCT-2018"/>
      <sheetName val="Weaving Jun-2018"/>
      <sheetName val="CUT SAW"/>
      <sheetName val="RTF 11-20"/>
      <sheetName val="Rugs Export-Aug-2018"/>
      <sheetName val="00.00.0008"/>
      <sheetName val="Travelling Exp 121903"/>
      <sheetName val="Summary"/>
      <sheetName val="Rugs Jobbers Ageing"/>
      <sheetName val="Purchase Rate"/>
      <sheetName val="RUGS RTF FEB-2019"/>
      <sheetName val="Waste"/>
      <sheetName val="Rugs WGBL Sales SEP-2017"/>
      <sheetName val="Piv"/>
      <sheetName val="RF"/>
      <sheetName val="OE"/>
      <sheetName val="WGBL TO EXPORT"/>
      <sheetName val="Dump"/>
      <sheetName val="17"/>
      <sheetName val="18"/>
      <sheetName val="2200 plant"/>
      <sheetName val="ZWPI SALES "/>
      <sheetName val="ZWPI APR MAY JUNE"/>
      <sheetName val="SALES"/>
      <sheetName val="Ane"/>
      <sheetName val="Master"/>
      <sheetName val="Fiber MM60 23.09.24"/>
    </sheetNames>
    <sheetDataSet>
      <sheetData sheetId="0">
        <row r="1">
          <cell r="A1" t="str">
            <v>Plant</v>
          </cell>
        </row>
      </sheetData>
      <sheetData sheetId="1">
        <row r="1">
          <cell r="A1" t="str">
            <v>Plant</v>
          </cell>
        </row>
      </sheetData>
      <sheetData sheetId="2" refreshError="1"/>
      <sheetData sheetId="3">
        <row r="1">
          <cell r="A1" t="str">
            <v>Plant</v>
          </cell>
        </row>
      </sheetData>
      <sheetData sheetId="4">
        <row r="1">
          <cell r="A1" t="str">
            <v>Plant</v>
          </cell>
        </row>
      </sheetData>
      <sheetData sheetId="5" refreshError="1"/>
      <sheetData sheetId="6" refreshError="1"/>
      <sheetData sheetId="7" refreshError="1"/>
      <sheetData sheetId="8" refreshError="1"/>
      <sheetData sheetId="9" refreshError="1"/>
      <sheetData sheetId="10" refreshError="1"/>
      <sheetData sheetId="11" refreshError="1"/>
      <sheetData sheetId="12">
        <row r="1">
          <cell r="A1" t="str">
            <v>Plant</v>
          </cell>
        </row>
      </sheetData>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ow r="1">
          <cell r="A1" t="str">
            <v>Plant</v>
          </cell>
        </row>
      </sheetData>
      <sheetData sheetId="75">
        <row r="1">
          <cell r="A1" t="str">
            <v>Plant</v>
          </cell>
        </row>
      </sheetData>
      <sheetData sheetId="76">
        <row r="1">
          <cell r="A1" t="str">
            <v>Plant</v>
          </cell>
        </row>
      </sheetData>
      <sheetData sheetId="77">
        <row r="1">
          <cell r="A1" t="str">
            <v>Plant</v>
          </cell>
        </row>
      </sheetData>
      <sheetData sheetId="78">
        <row r="1">
          <cell r="A1" t="str">
            <v>Plant</v>
          </cell>
        </row>
      </sheetData>
      <sheetData sheetId="79">
        <row r="1">
          <cell r="A1" t="str">
            <v>Plant</v>
          </cell>
        </row>
      </sheetData>
      <sheetData sheetId="80">
        <row r="1">
          <cell r="A1" t="str">
            <v>Plant</v>
          </cell>
        </row>
      </sheetData>
      <sheetData sheetId="81">
        <row r="1">
          <cell r="A1" t="str">
            <v>Plant</v>
          </cell>
        </row>
      </sheetData>
      <sheetData sheetId="82">
        <row r="1">
          <cell r="A1" t="str">
            <v>Plant</v>
          </cell>
        </row>
      </sheetData>
      <sheetData sheetId="83">
        <row r="1">
          <cell r="A1" t="str">
            <v>Plant</v>
          </cell>
        </row>
      </sheetData>
      <sheetData sheetId="84" refreshError="1"/>
      <sheetData sheetId="85">
        <row r="1">
          <cell r="A1" t="str">
            <v>Plant</v>
          </cell>
        </row>
      </sheetData>
      <sheetData sheetId="86">
        <row r="1">
          <cell r="A1" t="str">
            <v>Plant</v>
          </cell>
        </row>
      </sheetData>
      <sheetData sheetId="87">
        <row r="1">
          <cell r="A1" t="str">
            <v>Plant</v>
          </cell>
        </row>
      </sheetData>
      <sheetData sheetId="88" refreshError="1"/>
      <sheetData sheetId="89" refreshError="1"/>
      <sheetData sheetId="90" refreshError="1"/>
      <sheetData sheetId="91" refreshError="1"/>
      <sheetData sheetId="92"/>
      <sheetData sheetId="93"/>
      <sheetData sheetId="94"/>
      <sheetData sheetId="95" refreshError="1"/>
      <sheetData sheetId="96"/>
      <sheetData sheetId="97"/>
      <sheetData sheetId="98"/>
      <sheetData sheetId="99"/>
      <sheetData sheetId="100"/>
      <sheetData sheetId="101" refreshError="1"/>
      <sheetData sheetId="102" refreshError="1"/>
      <sheetData sheetId="10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 &amp; P&amp;l (2)"/>
      <sheetName val="Mach wise Activity Cost"/>
      <sheetName val="Power_Fuel"/>
      <sheetName val="MASTER"/>
    </sheetNames>
    <sheetDataSet>
      <sheetData sheetId="0">
        <row r="86">
          <cell r="E86">
            <v>11176.046967300001</v>
          </cell>
        </row>
      </sheetData>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GSRL10"/>
      <sheetName val="EUPEC10"/>
      <sheetName val="EUP"/>
      <sheetName val="WGUJ"/>
      <sheetName val="WGSRL"/>
      <sheetName val="EUPEC"/>
      <sheetName val="WELGUJ"/>
      <sheetName val="WELUP"/>
      <sheetName val="welguj09"/>
      <sheetName val="eup09"/>
      <sheetName val="Sheet1"/>
      <sheetName val="Sheet2"/>
      <sheetName val="Sheet3"/>
      <sheetName val="Templat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GSRL10"/>
      <sheetName val="EUPEC10"/>
      <sheetName val="EUP"/>
      <sheetName val="WGUJ"/>
      <sheetName val="WGSRL"/>
      <sheetName val="EUPEC"/>
      <sheetName val="WELGUJ"/>
      <sheetName val="WELUP"/>
      <sheetName val="welguj09"/>
      <sheetName val="eup09"/>
      <sheetName val="Sheet1"/>
      <sheetName val="Sheet2"/>
      <sheetName val="Sheet3"/>
      <sheetName val="CSCCincSKR"/>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GSRL10"/>
      <sheetName val="EUPEC10"/>
      <sheetName val="EUP"/>
      <sheetName val="WGUJ"/>
      <sheetName val="WGSRL"/>
      <sheetName val="EUPEC"/>
      <sheetName val="WELGUJ"/>
      <sheetName val="WELUP"/>
      <sheetName val="welguj09"/>
      <sheetName val="eup09"/>
      <sheetName val="Sheet1"/>
      <sheetName val="Sheet2"/>
      <sheetName val="Sheet3"/>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onsolidated"/>
      <sheetName val="IRR"/>
      <sheetName val="LTM 8-30"/>
      <sheetName val="LTM 6-30"/>
      <sheetName val="Covenants"/>
      <sheetName val="Capex"/>
      <sheetName val="pending ind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onsolidated"/>
      <sheetName val="IRR"/>
      <sheetName val="LTM 8-30"/>
      <sheetName val="LTM 6-30"/>
      <sheetName val="Covenants"/>
      <sheetName val="Capex"/>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 6Bin Million"/>
      <sheetName val="Sch. 6B"/>
      <sheetName val="Interest on fixed loan"/>
      <sheetName val="Summary"/>
      <sheetName val="building cap."/>
      <sheetName val="POP SALARY "/>
      <sheetName val="POP RATES &amp; TAXES"/>
      <sheetName val="POP AUDIT FEES"/>
      <sheetName val="POP FINANCE CHARGES"/>
      <sheetName val="POP-TRAINNING EXPENSES"/>
      <sheetName val="A02100043-POP LOSS ON FWD"/>
      <sheetName val="A02100042 - POP PROGIT ON FWD"/>
      <sheetName val="A02100038 - EQUIPMENT HIRE"/>
      <sheetName val="A02100036-ERECTOR EXPS"/>
      <sheetName val="A02100028 - POWER"/>
      <sheetName val="A02100009 - POP LEGAL &amp; PROFF"/>
      <sheetName val="A02100007-POP TRVL  CONVY"/>
      <sheetName val="pending indent"/>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cking 2nd qtr"/>
      <sheetName val="sUMMARY"/>
      <sheetName val="BUYER WISE PACKING aug"/>
      <sheetName val="jan feb"/>
      <sheetName val="march"/>
      <sheetName val="COST PER KG "/>
      <sheetName val="July"/>
      <sheetName val="Packing_2nd_qtr"/>
      <sheetName val="BUYER_WISE_PACKING_aug"/>
      <sheetName val="jan_feb"/>
      <sheetName val="COST_PER_KG_"/>
      <sheetName val="DAILY LAY REPORT"/>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B-DESP"/>
      <sheetName val="Sheet3"/>
      <sheetName val="Sheet4"/>
      <sheetName val="PRD-131-2"/>
      <sheetName val="PRD-101-2"/>
      <sheetName val="Sheet1 (3)"/>
      <sheetName val="Sheet2"/>
      <sheetName val="PROD131-2"/>
      <sheetName val="PROD-101-2"/>
      <sheetName val="Sheet1"/>
      <sheetName val="WASTE"/>
      <sheetName val="Sheet5"/>
      <sheetName val="Sheet6"/>
      <sheetName val="Sheet7"/>
      <sheetName val="RM"/>
      <sheetName val="STOCK"/>
      <sheetName val="JOB-PACK"/>
      <sheetName val="PACK-1"/>
      <sheetName val="dsp"/>
      <sheetName val="PACK-W"/>
      <sheetName val="PACK-RTS"/>
      <sheetName val="Sheet1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ered "/>
      <sheetName val="IND RECD 01.06.2006 TO 30.06"/>
      <sheetName val="ho"/>
      <sheetName val="wo"/>
      <sheetName val="pending indent"/>
    </sheetNames>
    <sheetDataSet>
      <sheetData sheetId="0"/>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_MAN"/>
      <sheetName val="FORMAT4"/>
      <sheetName val="incst-tcf"/>
      <sheetName val="KEYCODES(TCF)"/>
      <sheetName val="INTER-UNIT"/>
      <sheetName val="rmvar"/>
      <sheetName val="lactam-rate"/>
      <sheetName val="fin-link"/>
      <sheetName val="CONTN (2)"/>
      <sheetName val="ebidt"/>
      <sheetName val="end_point"/>
      <sheetName val="fixexp_analysis"/>
      <sheetName val="key-ind"/>
      <sheetName val="adj-2002-03"/>
      <sheetName val="may02"/>
      <sheetName val="Incst-PY-M-01-02"/>
      <sheetName val="LED"/>
      <sheetName val="TFAA"/>
      <sheetName val="lt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orical"/>
      <sheetName val="Sheet3"/>
      <sheetName val="pending indent"/>
    </sheetNames>
    <sheetDataSet>
      <sheetData sheetId="0" refreshError="1"/>
      <sheetData sheetId="1" refreshError="1"/>
      <sheetData sheetId="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orical"/>
      <sheetName val="Sheet3"/>
    </sheetNames>
    <sheetDataSet>
      <sheetData sheetId="0" refreshError="1"/>
      <sheetData sheetId="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_FDSCACHE__"/>
      <sheetName val="2-Pager"/>
      <sheetName val="Indian Major_Trading_"/>
      <sheetName val="Indian Maj History"/>
      <sheetName val="US_UK_Trading"/>
      <sheetName val="Hist_US_UK"/>
      <sheetName val="Indian_second_Comps"/>
      <sheetName val="Indian_Second_hist"/>
      <sheetName val="Sh_out_backup"/>
      <sheetName val="Mascot"/>
      <sheetName val="Aztec"/>
      <sheetName val="Polaris_Orbitech"/>
      <sheetName val="US_visit_comps"/>
      <sheetName val="Sonata"/>
      <sheetName val="Zensar"/>
      <sheetName val="Hexaware"/>
      <sheetName val="Covansys"/>
      <sheetName val="pending ind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_FDSCACHE__"/>
      <sheetName val="2-Pager"/>
      <sheetName val="Indian Major_Trading_"/>
      <sheetName val="Indian Maj History"/>
      <sheetName val="US_UK_Trading"/>
      <sheetName val="Hist_US_UK"/>
      <sheetName val="Indian_second_Comps"/>
      <sheetName val="Indian_Second_hist"/>
      <sheetName val="Sh_out_backup"/>
      <sheetName val="Mascot"/>
      <sheetName val="Aztec"/>
      <sheetName val="Polaris_Orbitech"/>
      <sheetName val="US_visit_comps"/>
      <sheetName val="Sonata"/>
      <sheetName val="Zensar"/>
      <sheetName val="Hexaware"/>
      <sheetName val="Covans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YS"/>
      <sheetName val="BS"/>
      <sheetName val="TB"/>
      <sheetName val="BL"/>
      <sheetName val="TM"/>
      <sheetName val="MS"/>
      <sheetName val="GW"/>
      <sheetName val="PL"/>
      <sheetName val="EP"/>
      <sheetName val="Head Office"/>
      <sheetName val="Consolidated"/>
      <sheetName val="Summary"/>
      <sheetName val="Bal.Sheet"/>
      <sheetName val="Bal.Sheet(2)"/>
      <sheetName val="Balance Sheet"/>
      <sheetName val="Cash Flow"/>
      <sheetName val="Capex"/>
      <sheetName val="Facilities4Funding"/>
      <sheetName val="Loan details"/>
      <sheetName val="YS-Bud"/>
      <sheetName val="BS-Bud"/>
      <sheetName val="TB-Bud"/>
      <sheetName val="BL-Bud"/>
      <sheetName val="TM-Bud"/>
      <sheetName val="MS-Bud"/>
      <sheetName val="GW-Bud"/>
      <sheetName val="PL-Bud"/>
      <sheetName val="EP-Bud"/>
      <sheetName val="Head Office-Bud"/>
      <sheetName val="YS_Bud"/>
      <sheetName val="BS_Bud"/>
      <sheetName val="TB_Bud"/>
      <sheetName val="BL_Bud"/>
      <sheetName val="TM_Bud"/>
      <sheetName val="MS_Bud"/>
      <sheetName val="GW_Bud"/>
      <sheetName val="PL_Bud"/>
      <sheetName val="Head Office_Bud"/>
      <sheetName val="Excise on RM"/>
      <sheetName val="Power&amp;Fuel"/>
      <sheetName val="MFG-EXP"/>
      <sheetName val="Debtor Ageing_31.12.2010"/>
      <sheetName val="Masters"/>
      <sheetName val="BRP&amp;L"/>
      <sheetName val="BS Summary"/>
      <sheetName val="Sheet1"/>
      <sheetName val="Cap"/>
      <sheetName val="NEW O.S. 06-07"/>
      <sheetName val="Macrow"/>
      <sheetName val="working"/>
      <sheetName val="#REF"/>
      <sheetName val="Head_Office"/>
      <sheetName val="Bal_Sheet"/>
      <sheetName val="Bal_Sheet(2)"/>
      <sheetName val="Balance_Sheet"/>
      <sheetName val="Cash_Flow"/>
      <sheetName val="Loan_details"/>
      <sheetName val="Head_Office-Bud"/>
      <sheetName val="Head_Office_Bud"/>
      <sheetName val="Excise_on_RM"/>
      <sheetName val="Debtor_Ageing_31_12_2010"/>
      <sheetName val="Support - US"/>
      <sheetName val="Dropdowns"/>
      <sheetName val="ADDNS"/>
      <sheetName val="SALES-VAL"/>
      <sheetName val="dhlrates (AOP 2008)"/>
      <sheetName val="dhlrates (NER 2009)"/>
      <sheetName val="UNIDADES"/>
      <sheetName val="spares"/>
      <sheetName val="Nskveh"/>
      <sheetName val="Pr.-hist."/>
      <sheetName val="Revenue-Invoicewise"/>
      <sheetName val="Mkt Cap"/>
      <sheetName val="e0604008"/>
      <sheetName val="pending indent"/>
      <sheetName val="Sch5TO10"/>
      <sheetName val="GROUPING"/>
      <sheetName val="1.0"/>
      <sheetName val="1.3"/>
      <sheetName val="2.0"/>
      <sheetName val="3.0"/>
      <sheetName val="8.0"/>
      <sheetName val="12.0"/>
      <sheetName val="13.1"/>
      <sheetName val="27.0"/>
      <sheetName val="27.1"/>
      <sheetName val="36.1"/>
      <sheetName val="38.0"/>
      <sheetName val="50.0"/>
      <sheetName val="50.1"/>
      <sheetName val="key parameter1st"/>
      <sheetName val="sales "/>
      <sheetName val="Stock"/>
      <sheetName val="liability"/>
      <sheetName val="Do not delete"/>
      <sheetName val="Sch"/>
      <sheetName val=" Peer Group Ps"/>
      <sheetName val="TRC Chart"/>
      <sheetName val="TC Chart"/>
      <sheetName val="GC Chart"/>
      <sheetName val="BS Chart"/>
      <sheetName val="Internal Fairness"/>
      <sheetName val="Market Data"/>
      <sheetName val="Market Data2"/>
      <sheetName val="Peer vs Gen Mkt"/>
      <sheetName val="Company Data"/>
      <sheetName val="Policy"/>
      <sheetName val="Matrix Summary"/>
      <sheetName val="1-Managerial"/>
      <sheetName val="2-Gen Staff"/>
      <sheetName val="4-Others2"/>
      <sheetName val="Parameter"/>
      <sheetName val="Total Haryana POs AMC Sheet 3%"/>
      <sheetName val="delhi 03-04AMC @ 3%"/>
      <sheetName val="itemsdetails"/>
      <sheetName val="Calendar year Summary Plan"/>
      <sheetName val="chiet tinh"/>
      <sheetName val="Forecast summary"/>
      <sheetName val="Groupings-final"/>
      <sheetName val="Sched"/>
      <sheetName val="Trial"/>
      <sheetName val="FA_Final"/>
      <sheetName val="debt schedule"/>
      <sheetName val="Exchange rate"/>
      <sheetName val="FA-LISTING"/>
      <sheetName val="FIX_INCOME"/>
      <sheetName val="Controls"/>
      <sheetName val="Print Controls"/>
      <sheetName val="Inputs"/>
      <sheetName val="Sheet2"/>
      <sheetName val="Banquet Equipment"/>
      <sheetName val="China Bqt RS ADD RM STAFF"/>
      <sheetName val="Cleaning Equipment"/>
      <sheetName val="Dining Accessories"/>
      <sheetName val="Engineering Tools"/>
      <sheetName val="Glassware BQT STAFF"/>
      <sheetName val="Minor Electrical Equipment"/>
      <sheetName val="Guestr.HSK Acc"/>
      <sheetName val="Material Trucks"/>
      <sheetName val="Office Furniture"/>
      <sheetName val="Recreational Equipment"/>
      <sheetName val="Shelving &amp; Lockers"/>
      <sheetName val="Silverware"/>
      <sheetName val="Uniforms"/>
      <sheetName val="Vehicles"/>
      <sheetName val="F&amp;B Special"/>
      <sheetName val="SAW"/>
      <sheetName val="Vendor"/>
      <sheetName val="Audit and Accounting Issues"/>
      <sheetName val="Variables"/>
      <sheetName val="Menu"/>
      <sheetName val="Assumptions"/>
      <sheetName val="Drivers"/>
      <sheetName val="Bid_Sheet"/>
      <sheetName val="LabourRates"/>
      <sheetName val="DATA"/>
      <sheetName val="Report Setup Sheet"/>
      <sheetName val="Prior Quarter Changes"/>
      <sheetName val="Country Total"/>
      <sheetName val="Apple"/>
      <sheetName val="Arcelor Mittal"/>
      <sheetName val="Barclays"/>
      <sheetName val="Bayer"/>
      <sheetName val="Bloomberg"/>
      <sheetName val="Daimler"/>
      <sheetName val="Deutsche Bank"/>
      <sheetName val="Deutsche Telecom"/>
      <sheetName val="DSM"/>
      <sheetName val="DuPont"/>
      <sheetName val="E-ON"/>
      <sheetName val="Exxon"/>
      <sheetName val="Fed Ex"/>
      <sheetName val="Fiserv"/>
      <sheetName val="Flextronics"/>
      <sheetName val="GEA Gruppe"/>
      <sheetName val="GSK"/>
      <sheetName val="Harris"/>
      <sheetName val="IKEA"/>
      <sheetName val="Imperial Tobacco"/>
      <sheetName val="ING"/>
      <sheetName val="Ingersoll Rand"/>
      <sheetName val="Jabil"/>
      <sheetName val="Kodak"/>
      <sheetName val="Kraft"/>
      <sheetName val="Linde AG"/>
      <sheetName val="Merck"/>
      <sheetName val="MMC"/>
      <sheetName val="Nestle"/>
      <sheetName val="Nike"/>
      <sheetName val="Pepsi"/>
      <sheetName val="Pfizer"/>
      <sheetName val="Reed"/>
      <sheetName val="Roche"/>
      <sheetName val="Sanofi Aventis"/>
      <sheetName val="SAP"/>
      <sheetName val="Siemens"/>
      <sheetName val="Societe Generale"/>
      <sheetName val="The Bosch Group"/>
      <sheetName val="Time Warner"/>
      <sheetName val="UBS"/>
      <sheetName val="Vestas"/>
      <sheetName val="Visa"/>
      <sheetName val="Walt Disney"/>
      <sheetName val="Wartsila"/>
      <sheetName val="World Bank"/>
      <sheetName val="Abbott"/>
      <sheetName val="Yahoo"/>
      <sheetName val="SW"/>
      <sheetName val="Total Data"/>
      <sheetName val="Offline and Online Breakdown"/>
      <sheetName val="data input list"/>
      <sheetName val="Country Input Sheet"/>
      <sheetName val="Market Workings"/>
      <sheetName val="Agency Imp Costs &amp; Sales Comm."/>
      <sheetName val="Fee Workings"/>
      <sheetName val="Internal P&amp;L"/>
      <sheetName val="Bundled Trx Fees"/>
      <sheetName val="Internal Summary-US"/>
      <sheetName val="EMEA Internal Summary"/>
      <sheetName val="Fully Bundled Fees"/>
      <sheetName val="Blended Bundled Fees"/>
      <sheetName val="Menu - Unbundled Trx Fees"/>
      <sheetName val="Mgmt Fee - One Voice"/>
      <sheetName val="Mgmt Fee - FS"/>
      <sheetName val="Bid Notes"/>
      <sheetName val="NSA Strategy"/>
      <sheetName val="US - Information"/>
      <sheetName val="Bln Sh"/>
      <sheetName val="Fn Anl"/>
      <sheetName val="Inc St"/>
      <sheetName val="Prf-Exp"/>
      <sheetName val="PARTS"/>
      <sheetName val="A0744339"/>
      <sheetName val="Outgoing"/>
      <sheetName val="Incoming"/>
      <sheetName val="Returns Backup"/>
      <sheetName val="Int Rates"/>
      <sheetName val="macros"/>
      <sheetName val="BASE REAL"/>
      <sheetName val="NTA"/>
      <sheetName val="OBC"/>
      <sheetName val="SCEL Funding"/>
      <sheetName val="Parameters and Tables"/>
      <sheetName val="EPS"/>
      <sheetName val="Alok"/>
      <sheetName val="Amol"/>
      <sheetName val="Anand"/>
      <sheetName val="Anindya "/>
      <sheetName val="Chetan"/>
      <sheetName val="Chitnis"/>
      <sheetName val="Deepak"/>
      <sheetName val="R. Devarajan"/>
      <sheetName val="Girish"/>
      <sheetName val="Harry"/>
      <sheetName val="Jeetu"/>
      <sheetName val="Kuldeepak"/>
      <sheetName val="Mahesh "/>
      <sheetName val="Mandar"/>
      <sheetName val="Manoj"/>
      <sheetName val="Milind Acharya"/>
      <sheetName val="Milind Pande"/>
      <sheetName val="MLMahindra"/>
      <sheetName val="Mohan"/>
      <sheetName val="Navjit"/>
      <sheetName val="Nozer"/>
      <sheetName val="Ram Pattabhi"/>
      <sheetName val="Prabhanjan"/>
      <sheetName val="Revati"/>
      <sheetName val="R Chatterjee"/>
      <sheetName val="Roy"/>
      <sheetName val="Sagar"/>
      <sheetName val="salaj"/>
      <sheetName val="Sameer"/>
      <sheetName val="Sandeep C"/>
      <sheetName val="Sandeep Tulshyan"/>
      <sheetName val="Sanjay"/>
      <sheetName val="Santosh"/>
      <sheetName val="Shardul"/>
      <sheetName val="Shivkumar"/>
      <sheetName val="Subir "/>
      <sheetName val="Suman"/>
      <sheetName val="Swami"/>
      <sheetName val="Vighnesh"/>
      <sheetName val="Vishal"/>
      <sheetName val="Market"/>
      <sheetName val="MTS_comp_out of SAP"/>
      <sheetName val="Trial Balance"/>
      <sheetName val="Stock Chart"/>
      <sheetName val="Library Procedures"/>
      <sheetName val="Codes"/>
      <sheetName val="master_booking_lost"/>
      <sheetName val="Interest"/>
      <sheetName val="Ring Details"/>
      <sheetName val="Location"/>
      <sheetName val="Table"/>
      <sheetName val="Options"/>
      <sheetName val=""/>
      <sheetName val="Singapore"/>
      <sheetName val="Cover"/>
      <sheetName val="Notes"/>
      <sheetName val="Sum"/>
      <sheetName val="Revenues"/>
      <sheetName val="Direct"/>
      <sheetName val="Allocated"/>
      <sheetName val="Headcount"/>
      <sheetName val="AUM"/>
      <sheetName val="AYU PM-rates"/>
      <sheetName val="AYU RM-RATES"/>
      <sheetName val="외화금융(97-03)"/>
      <sheetName val="Listing"/>
      <sheetName val="NLD - Assum"/>
      <sheetName val="Capex-fixed"/>
      <sheetName val="Stock-06"/>
      <sheetName val="STORE NAME"/>
      <sheetName val="Control"/>
      <sheetName val="FX Rates"/>
      <sheetName val="Print_Controls"/>
      <sheetName val="NEW_O_S__06-07"/>
      <sheetName val="Total_Haryana_POs_AMC_Sheet_3%"/>
      <sheetName val="delhi_03-04AMC_@_3%"/>
      <sheetName val="STORE_NAME"/>
      <sheetName val="FX_Rates"/>
      <sheetName val="Head_Office1"/>
      <sheetName val="Bal_Sheet1"/>
      <sheetName val="Bal_Sheet(2)1"/>
      <sheetName val="Balance_Sheet1"/>
      <sheetName val="Cash_Flow1"/>
      <sheetName val="Loan_details1"/>
      <sheetName val="Head_Office-Bud1"/>
      <sheetName val="Head_Office_Bud1"/>
      <sheetName val="Debtor_Ageing_31_12_20101"/>
      <sheetName val="Excise_on_RM1"/>
      <sheetName val="Print_Controls1"/>
      <sheetName val="BASE_REAL"/>
      <sheetName val="Bln_Sh"/>
      <sheetName val="Fn_Anl"/>
      <sheetName val="Inc_St"/>
      <sheetName val="sales_"/>
      <sheetName val="price vs. volu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1">
          <cell r="A11">
            <v>1</v>
          </cell>
          <cell r="B11" t="str">
            <v>Net Film Revenue</v>
          </cell>
          <cell r="E11">
            <v>428.8</v>
          </cell>
          <cell r="F11">
            <v>435.5</v>
          </cell>
          <cell r="G11">
            <v>569.5</v>
          </cell>
          <cell r="H11">
            <v>428.8</v>
          </cell>
          <cell r="I11">
            <v>455.6</v>
          </cell>
          <cell r="J11">
            <v>643.20000000000005</v>
          </cell>
          <cell r="K11">
            <v>442.2</v>
          </cell>
          <cell r="L11">
            <v>502.5</v>
          </cell>
          <cell r="M11">
            <v>569.5</v>
          </cell>
          <cell r="N11">
            <v>428.8</v>
          </cell>
          <cell r="O11">
            <v>562.79999999999995</v>
          </cell>
          <cell r="P11">
            <v>515.9</v>
          </cell>
          <cell r="Q11">
            <v>0</v>
          </cell>
          <cell r="T11">
            <v>0</v>
          </cell>
          <cell r="U11">
            <v>5983.1</v>
          </cell>
          <cell r="V11">
            <v>6314.3334699999987</v>
          </cell>
          <cell r="W11">
            <v>8724.0589999999993</v>
          </cell>
          <cell r="X11">
            <v>-331.23346999999922</v>
          </cell>
          <cell r="Y11">
            <v>-2740.9589999999998</v>
          </cell>
        </row>
        <row r="12">
          <cell r="A12">
            <v>2</v>
          </cell>
          <cell r="B12" t="str">
            <v>Concession Sales</v>
          </cell>
          <cell r="E12">
            <v>73.599999999999994</v>
          </cell>
          <cell r="F12">
            <v>74.75</v>
          </cell>
          <cell r="G12">
            <v>97.75</v>
          </cell>
          <cell r="H12">
            <v>73.599999999999994</v>
          </cell>
          <cell r="I12">
            <v>78.2</v>
          </cell>
          <cell r="J12">
            <v>110.4</v>
          </cell>
          <cell r="K12">
            <v>75.900000000000006</v>
          </cell>
          <cell r="L12">
            <v>86.25</v>
          </cell>
          <cell r="M12">
            <v>97.75</v>
          </cell>
          <cell r="N12">
            <v>73.599999999999994</v>
          </cell>
          <cell r="O12">
            <v>96.6</v>
          </cell>
          <cell r="P12">
            <v>88.55</v>
          </cell>
          <cell r="T12">
            <v>0</v>
          </cell>
          <cell r="U12">
            <v>1026.95</v>
          </cell>
          <cell r="V12">
            <v>1061.2433399999998</v>
          </cell>
          <cell r="W12">
            <v>1287.2809999999999</v>
          </cell>
          <cell r="X12">
            <v>-34.293339999999716</v>
          </cell>
          <cell r="Y12">
            <v>-260.3309999999999</v>
          </cell>
        </row>
        <row r="13">
          <cell r="A13">
            <v>3</v>
          </cell>
          <cell r="B13" t="str">
            <v>Rental Income</v>
          </cell>
          <cell r="E13">
            <v>0</v>
          </cell>
          <cell r="F13">
            <v>0</v>
          </cell>
          <cell r="G13">
            <v>0</v>
          </cell>
          <cell r="H13">
            <v>0</v>
          </cell>
          <cell r="I13">
            <v>0</v>
          </cell>
          <cell r="J13">
            <v>0</v>
          </cell>
          <cell r="K13">
            <v>0</v>
          </cell>
          <cell r="L13">
            <v>0</v>
          </cell>
          <cell r="M13">
            <v>0</v>
          </cell>
          <cell r="N13">
            <v>0</v>
          </cell>
          <cell r="O13">
            <v>0</v>
          </cell>
          <cell r="P13">
            <v>0</v>
          </cell>
          <cell r="T13">
            <v>0</v>
          </cell>
          <cell r="U13">
            <v>0</v>
          </cell>
          <cell r="V13">
            <v>0</v>
          </cell>
          <cell r="W13">
            <v>0</v>
          </cell>
          <cell r="X13">
            <v>0</v>
          </cell>
          <cell r="Y13">
            <v>0</v>
          </cell>
        </row>
        <row r="14">
          <cell r="A14">
            <v>4</v>
          </cell>
          <cell r="B14" t="str">
            <v>Electronic Games income</v>
          </cell>
          <cell r="E14">
            <v>0</v>
          </cell>
          <cell r="F14">
            <v>0</v>
          </cell>
          <cell r="G14">
            <v>0</v>
          </cell>
          <cell r="H14">
            <v>0</v>
          </cell>
          <cell r="I14">
            <v>0</v>
          </cell>
          <cell r="J14">
            <v>0</v>
          </cell>
          <cell r="K14">
            <v>0</v>
          </cell>
          <cell r="L14">
            <v>0</v>
          </cell>
          <cell r="M14">
            <v>0</v>
          </cell>
          <cell r="N14">
            <v>0</v>
          </cell>
          <cell r="O14">
            <v>0</v>
          </cell>
          <cell r="P14">
            <v>0</v>
          </cell>
          <cell r="T14">
            <v>0</v>
          </cell>
          <cell r="U14">
            <v>0</v>
          </cell>
          <cell r="V14">
            <v>0</v>
          </cell>
          <cell r="W14">
            <v>0</v>
          </cell>
          <cell r="X14">
            <v>0</v>
          </cell>
          <cell r="Y14">
            <v>0</v>
          </cell>
        </row>
        <row r="15">
          <cell r="A15">
            <v>5</v>
          </cell>
          <cell r="B15" t="str">
            <v>Screen Advertising</v>
          </cell>
          <cell r="E15">
            <v>32.5</v>
          </cell>
          <cell r="F15">
            <v>32.5</v>
          </cell>
          <cell r="G15">
            <v>32.5</v>
          </cell>
          <cell r="H15">
            <v>32.5</v>
          </cell>
          <cell r="I15">
            <v>32.5</v>
          </cell>
          <cell r="J15">
            <v>32.5</v>
          </cell>
          <cell r="K15">
            <v>32.5</v>
          </cell>
          <cell r="L15">
            <v>32.5</v>
          </cell>
          <cell r="M15">
            <v>32.5</v>
          </cell>
          <cell r="N15">
            <v>32.5</v>
          </cell>
          <cell r="O15">
            <v>32.5</v>
          </cell>
          <cell r="P15">
            <v>32.5</v>
          </cell>
          <cell r="T15">
            <v>0</v>
          </cell>
          <cell r="U15">
            <v>390</v>
          </cell>
          <cell r="V15">
            <v>355.49998999999997</v>
          </cell>
          <cell r="W15">
            <v>274.60199999999998</v>
          </cell>
          <cell r="X15">
            <v>34.500010000000032</v>
          </cell>
          <cell r="Y15">
            <v>115.39800000000002</v>
          </cell>
        </row>
        <row r="16">
          <cell r="A16">
            <v>6</v>
          </cell>
          <cell r="B16" t="str">
            <v>Other Income</v>
          </cell>
          <cell r="C16">
            <v>0</v>
          </cell>
          <cell r="E16">
            <v>9.4376250000000006</v>
          </cell>
          <cell r="F16">
            <v>9.4376250000000006</v>
          </cell>
          <cell r="G16">
            <v>9.4376250000000006</v>
          </cell>
          <cell r="H16">
            <v>9.4376250000000006</v>
          </cell>
          <cell r="I16">
            <v>9.4376250000000006</v>
          </cell>
          <cell r="J16">
            <v>9.4376250000000006</v>
          </cell>
          <cell r="K16">
            <v>9.4376250000000006</v>
          </cell>
          <cell r="L16">
            <v>9.4376250000000006</v>
          </cell>
          <cell r="M16">
            <v>9.4376250000000006</v>
          </cell>
          <cell r="N16">
            <v>9.4376250000000006</v>
          </cell>
          <cell r="O16">
            <v>9.4376250000000006</v>
          </cell>
          <cell r="P16">
            <v>9.4376250000000006</v>
          </cell>
          <cell r="R16">
            <v>0</v>
          </cell>
          <cell r="S16">
            <v>0</v>
          </cell>
          <cell r="T16">
            <v>0</v>
          </cell>
          <cell r="U16">
            <v>113.25149999999998</v>
          </cell>
          <cell r="V16">
            <v>140.56952999999999</v>
          </cell>
          <cell r="W16">
            <v>79.453000000000003</v>
          </cell>
          <cell r="X16">
            <v>-27.318030000000007</v>
          </cell>
          <cell r="Y16">
            <v>33.798499999999976</v>
          </cell>
        </row>
        <row r="17">
          <cell r="B17" t="str">
            <v>TOTAL REVENUE</v>
          </cell>
          <cell r="C17">
            <v>0</v>
          </cell>
          <cell r="E17">
            <v>544.337625</v>
          </cell>
          <cell r="F17">
            <v>552.18762500000003</v>
          </cell>
          <cell r="G17">
            <v>709.18762500000003</v>
          </cell>
          <cell r="H17">
            <v>544.337625</v>
          </cell>
          <cell r="I17">
            <v>575.73762499999998</v>
          </cell>
          <cell r="J17">
            <v>795.53762500000005</v>
          </cell>
          <cell r="K17">
            <v>560.03762500000005</v>
          </cell>
          <cell r="L17">
            <v>630.68762500000003</v>
          </cell>
          <cell r="M17">
            <v>709.18762500000003</v>
          </cell>
          <cell r="N17">
            <v>544.337625</v>
          </cell>
          <cell r="O17">
            <v>701.33762500000012</v>
          </cell>
          <cell r="P17">
            <v>646.38762499999996</v>
          </cell>
          <cell r="R17">
            <v>0</v>
          </cell>
          <cell r="S17">
            <v>0</v>
          </cell>
          <cell r="T17">
            <v>0</v>
          </cell>
          <cell r="U17">
            <v>7513.3015000000005</v>
          </cell>
          <cell r="V17">
            <v>7871.6463299999987</v>
          </cell>
          <cell r="W17">
            <v>10365.395</v>
          </cell>
          <cell r="X17">
            <v>-358.34482999999818</v>
          </cell>
          <cell r="Y17">
            <v>-2852.0934999999999</v>
          </cell>
        </row>
        <row r="19">
          <cell r="A19">
            <v>7</v>
          </cell>
          <cell r="B19" t="str">
            <v>Film Hire</v>
          </cell>
          <cell r="E19">
            <v>199.39200000000002</v>
          </cell>
          <cell r="F19">
            <v>202.50749999999999</v>
          </cell>
          <cell r="G19">
            <v>264.8175</v>
          </cell>
          <cell r="H19">
            <v>199.39200000000002</v>
          </cell>
          <cell r="I19">
            <v>211.85400000000001</v>
          </cell>
          <cell r="J19">
            <v>299.08800000000002</v>
          </cell>
          <cell r="K19">
            <v>205.62300000000002</v>
          </cell>
          <cell r="L19">
            <v>233.66249999999999</v>
          </cell>
          <cell r="M19">
            <v>264.8175</v>
          </cell>
          <cell r="N19">
            <v>199.39200000000002</v>
          </cell>
          <cell r="O19">
            <v>261.70200000000006</v>
          </cell>
          <cell r="P19">
            <v>239.89349999999999</v>
          </cell>
          <cell r="U19">
            <v>2782.1415000000006</v>
          </cell>
          <cell r="V19">
            <v>2918.7243400000002</v>
          </cell>
          <cell r="W19">
            <v>3991.942</v>
          </cell>
          <cell r="X19">
            <v>-136.58283999999958</v>
          </cell>
          <cell r="Y19">
            <v>-1209.8004999999994</v>
          </cell>
        </row>
        <row r="20">
          <cell r="A20">
            <v>8</v>
          </cell>
          <cell r="B20" t="str">
            <v>Concession Cost</v>
          </cell>
          <cell r="E20">
            <v>16.192</v>
          </cell>
          <cell r="F20">
            <v>16.445</v>
          </cell>
          <cell r="G20">
            <v>21.504999999999999</v>
          </cell>
          <cell r="H20">
            <v>16.192</v>
          </cell>
          <cell r="I20">
            <v>17.203999999999997</v>
          </cell>
          <cell r="J20">
            <v>24.287999999999997</v>
          </cell>
          <cell r="K20">
            <v>16.697999999999997</v>
          </cell>
          <cell r="L20">
            <v>18.975000000000001</v>
          </cell>
          <cell r="M20">
            <v>21.504999999999999</v>
          </cell>
          <cell r="N20">
            <v>16.192</v>
          </cell>
          <cell r="O20">
            <v>21.251999999999999</v>
          </cell>
          <cell r="P20">
            <v>19.480999999999998</v>
          </cell>
          <cell r="T20">
            <v>0</v>
          </cell>
          <cell r="U20">
            <v>225.929</v>
          </cell>
          <cell r="V20">
            <v>222.33358999999999</v>
          </cell>
          <cell r="W20">
            <v>332.161</v>
          </cell>
          <cell r="X20">
            <v>3.5954100000000153</v>
          </cell>
          <cell r="Y20">
            <v>-106.232</v>
          </cell>
        </row>
        <row r="21">
          <cell r="A21">
            <v>9</v>
          </cell>
          <cell r="B21" t="str">
            <v>Less Concession Rebates</v>
          </cell>
          <cell r="E21">
            <v>-1.84</v>
          </cell>
          <cell r="F21">
            <v>-1.8687499999999999</v>
          </cell>
          <cell r="G21">
            <v>-2.4437500000000001</v>
          </cell>
          <cell r="H21">
            <v>-1.84</v>
          </cell>
          <cell r="I21">
            <v>-1.9550000000000001</v>
          </cell>
          <cell r="J21">
            <v>-2.76</v>
          </cell>
          <cell r="K21">
            <v>-1.8975</v>
          </cell>
          <cell r="L21">
            <v>-2.15625</v>
          </cell>
          <cell r="M21">
            <v>-2.4437500000000001</v>
          </cell>
          <cell r="N21">
            <v>-1.84</v>
          </cell>
          <cell r="O21">
            <v>-2.415</v>
          </cell>
          <cell r="P21">
            <v>-2.2137500000000001</v>
          </cell>
          <cell r="U21">
            <v>-25.673749999999998</v>
          </cell>
          <cell r="V21">
            <v>-32.79</v>
          </cell>
          <cell r="W21">
            <v>-54.335999999999999</v>
          </cell>
          <cell r="X21">
            <v>7.11625</v>
          </cell>
          <cell r="Y21">
            <v>28.66225</v>
          </cell>
        </row>
        <row r="22">
          <cell r="A22">
            <v>10</v>
          </cell>
          <cell r="B22" t="str">
            <v>Advertising Cost</v>
          </cell>
          <cell r="E22">
            <v>9.8624000000000009</v>
          </cell>
          <cell r="F22">
            <v>10.016500000000001</v>
          </cell>
          <cell r="G22">
            <v>13.0985</v>
          </cell>
          <cell r="H22">
            <v>9.8624000000000009</v>
          </cell>
          <cell r="I22">
            <v>10.4788</v>
          </cell>
          <cell r="J22">
            <v>14.793600000000001</v>
          </cell>
          <cell r="K22">
            <v>10.1706</v>
          </cell>
          <cell r="L22">
            <v>11.557499999999999</v>
          </cell>
          <cell r="M22">
            <v>13.0985</v>
          </cell>
          <cell r="N22">
            <v>9.8624000000000009</v>
          </cell>
          <cell r="O22">
            <v>12.944400000000002</v>
          </cell>
          <cell r="P22">
            <v>11.865699999999999</v>
          </cell>
          <cell r="T22">
            <v>0</v>
          </cell>
          <cell r="U22">
            <v>137.61130000000003</v>
          </cell>
          <cell r="V22">
            <v>157.63596999999999</v>
          </cell>
          <cell r="W22">
            <v>206.21799999999999</v>
          </cell>
          <cell r="X22">
            <v>-20.024669999999958</v>
          </cell>
          <cell r="Y22">
            <v>-68.606699999999961</v>
          </cell>
        </row>
        <row r="23">
          <cell r="A23">
            <v>11</v>
          </cell>
          <cell r="B23" t="str">
            <v>Other Cost</v>
          </cell>
          <cell r="C23">
            <v>0</v>
          </cell>
          <cell r="E23">
            <v>0.85760000000000003</v>
          </cell>
          <cell r="F23">
            <v>0.871</v>
          </cell>
          <cell r="G23">
            <v>1.139</v>
          </cell>
          <cell r="H23">
            <v>0.85760000000000003</v>
          </cell>
          <cell r="I23">
            <v>0.91120000000000001</v>
          </cell>
          <cell r="J23">
            <v>1.2864000000000002</v>
          </cell>
          <cell r="K23">
            <v>0.88439999999999996</v>
          </cell>
          <cell r="L23">
            <v>1.0049999999999999</v>
          </cell>
          <cell r="M23">
            <v>1.139</v>
          </cell>
          <cell r="N23">
            <v>0.85760000000000003</v>
          </cell>
          <cell r="O23">
            <v>1.1256000000000002</v>
          </cell>
          <cell r="P23">
            <v>1.0318000000000001</v>
          </cell>
          <cell r="R23">
            <v>0</v>
          </cell>
          <cell r="S23">
            <v>0</v>
          </cell>
          <cell r="T23">
            <v>0</v>
          </cell>
          <cell r="U23">
            <v>11.966200000000001</v>
          </cell>
          <cell r="V23">
            <v>12.628666939999997</v>
          </cell>
          <cell r="W23">
            <v>17.448117999999997</v>
          </cell>
          <cell r="X23">
            <v>-0.66246693999999628</v>
          </cell>
          <cell r="Y23">
            <v>-5.4819179999999967</v>
          </cell>
        </row>
        <row r="24">
          <cell r="A24">
            <v>12</v>
          </cell>
          <cell r="B24" t="str">
            <v>Direct Payroll</v>
          </cell>
          <cell r="C24">
            <v>0</v>
          </cell>
          <cell r="E24">
            <v>37.290862671494246</v>
          </cell>
          <cell r="F24">
            <v>37.290862671494246</v>
          </cell>
          <cell r="G24">
            <v>38.390862671494247</v>
          </cell>
          <cell r="H24">
            <v>37.290862671494246</v>
          </cell>
          <cell r="I24">
            <v>37.290862671494246</v>
          </cell>
          <cell r="J24">
            <v>38.390862671494247</v>
          </cell>
          <cell r="K24">
            <v>38.091679218794241</v>
          </cell>
          <cell r="L24">
            <v>38.091679218794241</v>
          </cell>
          <cell r="M24">
            <v>39.191679218794242</v>
          </cell>
          <cell r="N24">
            <v>38.091679218794241</v>
          </cell>
          <cell r="O24">
            <v>39.191679218794242</v>
          </cell>
          <cell r="P24">
            <v>39.191679218794242</v>
          </cell>
          <cell r="R24">
            <v>0</v>
          </cell>
          <cell r="S24">
            <v>0</v>
          </cell>
          <cell r="T24">
            <v>0</v>
          </cell>
          <cell r="U24">
            <v>457.79525134173099</v>
          </cell>
          <cell r="V24">
            <v>597.6969049999999</v>
          </cell>
          <cell r="W24">
            <v>827.36200000000008</v>
          </cell>
          <cell r="X24">
            <v>-139.90165365826891</v>
          </cell>
          <cell r="Y24">
            <v>-369.56674865826909</v>
          </cell>
        </row>
        <row r="25">
          <cell r="B25" t="str">
            <v>TOTAL COST</v>
          </cell>
          <cell r="C25">
            <v>0</v>
          </cell>
          <cell r="E25">
            <v>261.75486267149427</v>
          </cell>
          <cell r="F25">
            <v>265.26211267149426</v>
          </cell>
          <cell r="G25">
            <v>336.50711267149421</v>
          </cell>
          <cell r="H25">
            <v>261.75486267149427</v>
          </cell>
          <cell r="I25">
            <v>275.78386267149426</v>
          </cell>
          <cell r="J25">
            <v>375.08686267149432</v>
          </cell>
          <cell r="K25">
            <v>269.57017921879424</v>
          </cell>
          <cell r="L25">
            <v>301.13542921879423</v>
          </cell>
          <cell r="M25">
            <v>337.30792921879424</v>
          </cell>
          <cell r="N25">
            <v>262.55567921879424</v>
          </cell>
          <cell r="O25">
            <v>333.80067921879436</v>
          </cell>
          <cell r="P25">
            <v>309.24992921879425</v>
          </cell>
          <cell r="R25">
            <v>0</v>
          </cell>
          <cell r="S25">
            <v>0</v>
          </cell>
          <cell r="T25">
            <v>0</v>
          </cell>
          <cell r="U25">
            <v>3589.7695013417315</v>
          </cell>
          <cell r="V25">
            <v>3876.2294719400002</v>
          </cell>
          <cell r="W25">
            <v>5320.795118</v>
          </cell>
          <cell r="X25">
            <v>-286.45997059826868</v>
          </cell>
          <cell r="Y25">
            <v>-1731.0256166582685</v>
          </cell>
        </row>
        <row r="27">
          <cell r="B27" t="str">
            <v>GROSS MARGIN</v>
          </cell>
          <cell r="C27">
            <v>0</v>
          </cell>
          <cell r="E27">
            <v>282.58276232850574</v>
          </cell>
          <cell r="F27">
            <v>286.92551232850576</v>
          </cell>
          <cell r="G27">
            <v>372.68051232850581</v>
          </cell>
          <cell r="H27">
            <v>282.58276232850574</v>
          </cell>
          <cell r="I27">
            <v>299.95376232850572</v>
          </cell>
          <cell r="J27">
            <v>420.45076232850573</v>
          </cell>
          <cell r="K27">
            <v>290.46744578120581</v>
          </cell>
          <cell r="L27">
            <v>329.5521957812058</v>
          </cell>
          <cell r="M27">
            <v>371.87969578120578</v>
          </cell>
          <cell r="N27">
            <v>281.78194578120576</v>
          </cell>
          <cell r="O27">
            <v>367.53694578120576</v>
          </cell>
          <cell r="P27">
            <v>337.13769578120571</v>
          </cell>
          <cell r="R27">
            <v>0</v>
          </cell>
          <cell r="S27">
            <v>0</v>
          </cell>
          <cell r="T27">
            <v>0</v>
          </cell>
          <cell r="U27">
            <v>3923.5319986582695</v>
          </cell>
          <cell r="V27">
            <v>3995.4168580599985</v>
          </cell>
          <cell r="W27">
            <v>5044.5998820000004</v>
          </cell>
          <cell r="X27">
            <v>-71.884859401729045</v>
          </cell>
          <cell r="Y27">
            <v>-1121.067883341731</v>
          </cell>
        </row>
        <row r="28">
          <cell r="X28">
            <v>0</v>
          </cell>
          <cell r="Y28">
            <v>0</v>
          </cell>
        </row>
        <row r="29">
          <cell r="A29">
            <v>13</v>
          </cell>
          <cell r="B29" t="str">
            <v>Direct Rent</v>
          </cell>
          <cell r="E29">
            <v>0</v>
          </cell>
          <cell r="F29">
            <v>0</v>
          </cell>
          <cell r="G29">
            <v>0</v>
          </cell>
          <cell r="H29">
            <v>0</v>
          </cell>
          <cell r="I29">
            <v>0</v>
          </cell>
          <cell r="J29">
            <v>0</v>
          </cell>
          <cell r="K29">
            <v>0</v>
          </cell>
          <cell r="L29">
            <v>0</v>
          </cell>
          <cell r="M29">
            <v>0</v>
          </cell>
          <cell r="N29">
            <v>0</v>
          </cell>
          <cell r="O29">
            <v>0</v>
          </cell>
          <cell r="P29">
            <v>0</v>
          </cell>
          <cell r="T29">
            <v>0</v>
          </cell>
          <cell r="U29">
            <v>0</v>
          </cell>
          <cell r="V29">
            <v>0</v>
          </cell>
          <cell r="W29">
            <v>0</v>
          </cell>
          <cell r="X29">
            <v>0</v>
          </cell>
          <cell r="Y29">
            <v>0</v>
          </cell>
        </row>
        <row r="30">
          <cell r="A30">
            <v>14</v>
          </cell>
          <cell r="B30" t="str">
            <v>Light, Heat and Power</v>
          </cell>
          <cell r="E30">
            <v>20.2</v>
          </cell>
          <cell r="F30">
            <v>20.2</v>
          </cell>
          <cell r="G30">
            <v>20.2</v>
          </cell>
          <cell r="H30">
            <v>20.2</v>
          </cell>
          <cell r="I30">
            <v>20.2</v>
          </cell>
          <cell r="J30">
            <v>20.2</v>
          </cell>
          <cell r="K30">
            <v>20.2</v>
          </cell>
          <cell r="L30">
            <v>20.2</v>
          </cell>
          <cell r="M30">
            <v>20.2</v>
          </cell>
          <cell r="N30">
            <v>20.2</v>
          </cell>
          <cell r="O30">
            <v>20.2</v>
          </cell>
          <cell r="P30">
            <v>20.2</v>
          </cell>
          <cell r="T30">
            <v>0</v>
          </cell>
          <cell r="U30">
            <v>242.4</v>
          </cell>
          <cell r="V30">
            <v>246.33176000000003</v>
          </cell>
          <cell r="W30">
            <v>271.14699999999999</v>
          </cell>
          <cell r="X30">
            <v>-3.9317600000000823</v>
          </cell>
          <cell r="Y30">
            <v>-28.747000000000043</v>
          </cell>
        </row>
        <row r="31">
          <cell r="A31">
            <v>15</v>
          </cell>
          <cell r="B31" t="str">
            <v>Repair &amp; Maintenance</v>
          </cell>
          <cell r="E31">
            <v>13.25</v>
          </cell>
          <cell r="F31">
            <v>13.25</v>
          </cell>
          <cell r="G31">
            <v>13.25</v>
          </cell>
          <cell r="H31">
            <v>18.25</v>
          </cell>
          <cell r="I31">
            <v>13.25</v>
          </cell>
          <cell r="J31">
            <v>13.25</v>
          </cell>
          <cell r="K31">
            <v>13.25</v>
          </cell>
          <cell r="L31">
            <v>13.25</v>
          </cell>
          <cell r="M31">
            <v>13.25</v>
          </cell>
          <cell r="N31">
            <v>13.25</v>
          </cell>
          <cell r="O31">
            <v>13.25</v>
          </cell>
          <cell r="P31">
            <v>13.25</v>
          </cell>
          <cell r="T31">
            <v>0</v>
          </cell>
          <cell r="U31">
            <v>164</v>
          </cell>
          <cell r="V31">
            <v>217.57400666666669</v>
          </cell>
          <cell r="W31">
            <v>328.58800000000002</v>
          </cell>
          <cell r="X31">
            <v>-53.574006666666691</v>
          </cell>
          <cell r="Y31">
            <v>-164.58800000000002</v>
          </cell>
        </row>
        <row r="32">
          <cell r="A32">
            <v>16</v>
          </cell>
          <cell r="B32" t="str">
            <v>Common Area Maintenance</v>
          </cell>
          <cell r="E32">
            <v>15.888</v>
          </cell>
          <cell r="F32">
            <v>15.888</v>
          </cell>
          <cell r="G32">
            <v>15.888</v>
          </cell>
          <cell r="H32">
            <v>15.888</v>
          </cell>
          <cell r="I32">
            <v>15.888</v>
          </cell>
          <cell r="J32">
            <v>15.888</v>
          </cell>
          <cell r="K32">
            <v>15.888</v>
          </cell>
          <cell r="L32">
            <v>15.888</v>
          </cell>
          <cell r="M32">
            <v>15.888</v>
          </cell>
          <cell r="N32">
            <v>15.888</v>
          </cell>
          <cell r="O32">
            <v>15.888</v>
          </cell>
          <cell r="P32">
            <v>15.888</v>
          </cell>
          <cell r="T32">
            <v>0</v>
          </cell>
          <cell r="U32">
            <v>190.65600000000003</v>
          </cell>
          <cell r="V32">
            <v>190.65660000000003</v>
          </cell>
          <cell r="W32">
            <v>186.501</v>
          </cell>
          <cell r="X32">
            <v>-5.9999999999149622E-4</v>
          </cell>
          <cell r="Y32">
            <v>4.1550000000000296</v>
          </cell>
        </row>
        <row r="33">
          <cell r="A33">
            <v>17</v>
          </cell>
          <cell r="B33" t="str">
            <v>Other Overhead Costs</v>
          </cell>
          <cell r="C33">
            <v>0</v>
          </cell>
          <cell r="E33">
            <v>22.180588626714943</v>
          </cell>
          <cell r="F33">
            <v>22.180188626714941</v>
          </cell>
          <cell r="G33">
            <v>22.01230862671494</v>
          </cell>
          <cell r="H33">
            <v>22.180188626714941</v>
          </cell>
          <cell r="I33">
            <v>24.501308626714941</v>
          </cell>
          <cell r="J33">
            <v>22.19118862671494</v>
          </cell>
          <cell r="K33">
            <v>22.188196792187941</v>
          </cell>
          <cell r="L33">
            <v>24.151556792187943</v>
          </cell>
          <cell r="M33">
            <v>22.199196792187941</v>
          </cell>
          <cell r="N33">
            <v>22.009316792187942</v>
          </cell>
          <cell r="O33">
            <v>22.199196792187941</v>
          </cell>
          <cell r="P33">
            <v>22.020316792187941</v>
          </cell>
          <cell r="R33">
            <v>0</v>
          </cell>
          <cell r="S33">
            <v>0</v>
          </cell>
          <cell r="T33">
            <v>0</v>
          </cell>
          <cell r="U33">
            <v>270.01355251341727</v>
          </cell>
          <cell r="V33">
            <v>334.65881855333333</v>
          </cell>
          <cell r="W33">
            <v>415.33888200000001</v>
          </cell>
          <cell r="X33">
            <v>-64.645266039916066</v>
          </cell>
          <cell r="Y33">
            <v>-145.32532948658275</v>
          </cell>
        </row>
        <row r="35">
          <cell r="B35" t="str">
            <v>Total Overhead Expenses</v>
          </cell>
          <cell r="C35">
            <v>0</v>
          </cell>
          <cell r="E35">
            <v>71.518588626714944</v>
          </cell>
          <cell r="F35">
            <v>71.518188626714945</v>
          </cell>
          <cell r="G35">
            <v>121.2987</v>
          </cell>
          <cell r="H35">
            <v>76.518188626714945</v>
          </cell>
          <cell r="I35">
            <v>73.839308626714939</v>
          </cell>
          <cell r="J35">
            <v>71.529188626714941</v>
          </cell>
          <cell r="K35">
            <v>71.526196792187946</v>
          </cell>
          <cell r="L35">
            <v>73.48955679218794</v>
          </cell>
          <cell r="M35">
            <v>71.537196792187942</v>
          </cell>
          <cell r="N35">
            <v>71.347316792187939</v>
          </cell>
          <cell r="O35">
            <v>71.537196792187942</v>
          </cell>
          <cell r="P35">
            <v>71.358316792187935</v>
          </cell>
          <cell r="R35">
            <v>0</v>
          </cell>
          <cell r="S35">
            <v>0</v>
          </cell>
          <cell r="T35">
            <v>0</v>
          </cell>
          <cell r="U35">
            <v>867.06955251341731</v>
          </cell>
          <cell r="V35">
            <v>989.22118522000005</v>
          </cell>
          <cell r="W35">
            <v>1201.5748819999999</v>
          </cell>
          <cell r="X35">
            <v>-122.15163270658275</v>
          </cell>
          <cell r="Y35">
            <v>-334.50532948658258</v>
          </cell>
        </row>
        <row r="37">
          <cell r="B37" t="str">
            <v>E.B.I.T.D.</v>
          </cell>
          <cell r="C37">
            <v>0</v>
          </cell>
          <cell r="E37">
            <v>211.06417370179079</v>
          </cell>
          <cell r="F37">
            <v>215.4073237017908</v>
          </cell>
          <cell r="G37">
            <v>251.38181232850582</v>
          </cell>
          <cell r="H37">
            <v>206.06457370179078</v>
          </cell>
          <cell r="I37">
            <v>226.11445370179078</v>
          </cell>
          <cell r="J37">
            <v>348.92157370179081</v>
          </cell>
          <cell r="K37">
            <v>218.94124898901788</v>
          </cell>
          <cell r="L37">
            <v>256.06263898901784</v>
          </cell>
          <cell r="M37">
            <v>300.34249898901783</v>
          </cell>
          <cell r="N37">
            <v>210.43462898901782</v>
          </cell>
          <cell r="O37">
            <v>295.9997489890178</v>
          </cell>
          <cell r="P37">
            <v>265.7793789890178</v>
          </cell>
          <cell r="R37">
            <v>0</v>
          </cell>
          <cell r="S37">
            <v>0</v>
          </cell>
          <cell r="T37">
            <v>0</v>
          </cell>
          <cell r="U37">
            <v>3056.462446144852</v>
          </cell>
          <cell r="V37">
            <v>3006.1956728399982</v>
          </cell>
          <cell r="W37">
            <v>3843.0250000000005</v>
          </cell>
          <cell r="X37">
            <v>50.2667733048537</v>
          </cell>
          <cell r="Y37">
            <v>-786.56255385514839</v>
          </cell>
        </row>
        <row r="39">
          <cell r="A39">
            <v>18</v>
          </cell>
          <cell r="B39" t="str">
            <v>Depreciation</v>
          </cell>
          <cell r="E39">
            <v>72.451840277777762</v>
          </cell>
          <cell r="F39">
            <v>72.451840277777762</v>
          </cell>
          <cell r="G39">
            <v>72.451840277777762</v>
          </cell>
          <cell r="H39">
            <v>72.451840277777762</v>
          </cell>
          <cell r="I39">
            <v>72.451840277777762</v>
          </cell>
          <cell r="J39">
            <v>72.451840277777762</v>
          </cell>
          <cell r="K39">
            <v>72.451840277777762</v>
          </cell>
          <cell r="L39">
            <v>72.451840277777762</v>
          </cell>
          <cell r="M39">
            <v>72.451840277777762</v>
          </cell>
          <cell r="N39">
            <v>72.451840277777762</v>
          </cell>
          <cell r="O39">
            <v>72.451840277777762</v>
          </cell>
          <cell r="P39">
            <v>72.451840277777762</v>
          </cell>
          <cell r="T39">
            <v>0</v>
          </cell>
          <cell r="U39">
            <v>869.42208333333338</v>
          </cell>
          <cell r="V39">
            <v>861.3788936574075</v>
          </cell>
          <cell r="W39">
            <v>838.29700000000003</v>
          </cell>
          <cell r="X39">
            <v>8.0431896759258734</v>
          </cell>
          <cell r="Y39">
            <v>31.12508333333335</v>
          </cell>
        </row>
        <row r="40">
          <cell r="A40">
            <v>19</v>
          </cell>
          <cell r="B40" t="str">
            <v>Fixed Assets Written Off</v>
          </cell>
          <cell r="E40">
            <v>0</v>
          </cell>
          <cell r="F40">
            <v>0</v>
          </cell>
          <cell r="G40">
            <v>0</v>
          </cell>
          <cell r="H40">
            <v>0</v>
          </cell>
          <cell r="I40">
            <v>0</v>
          </cell>
          <cell r="J40">
            <v>0</v>
          </cell>
          <cell r="K40">
            <v>0</v>
          </cell>
          <cell r="L40">
            <v>0</v>
          </cell>
          <cell r="M40">
            <v>0</v>
          </cell>
          <cell r="N40">
            <v>0</v>
          </cell>
          <cell r="O40">
            <v>0</v>
          </cell>
          <cell r="P40">
            <v>0</v>
          </cell>
          <cell r="T40">
            <v>0</v>
          </cell>
          <cell r="U40">
            <v>0</v>
          </cell>
          <cell r="V40">
            <v>72.63</v>
          </cell>
          <cell r="W40">
            <v>226.50200000000001</v>
          </cell>
          <cell r="X40">
            <v>-72.63</v>
          </cell>
          <cell r="Y40">
            <v>-226.50200000000001</v>
          </cell>
        </row>
        <row r="41">
          <cell r="A41">
            <v>20</v>
          </cell>
          <cell r="B41" t="str">
            <v>External Interest</v>
          </cell>
          <cell r="E41">
            <v>127.83253424657536</v>
          </cell>
          <cell r="F41">
            <v>127.19554794520549</v>
          </cell>
          <cell r="G41">
            <v>122.47602739726027</v>
          </cell>
          <cell r="H41">
            <v>124.22294520547948</v>
          </cell>
          <cell r="I41">
            <v>119.59931506849318</v>
          </cell>
          <cell r="J41">
            <v>120.38510273972605</v>
          </cell>
          <cell r="K41">
            <v>118.3998287671233</v>
          </cell>
          <cell r="L41">
            <v>106.36643835616439</v>
          </cell>
          <cell r="M41">
            <v>117.12585616438356</v>
          </cell>
          <cell r="N41">
            <v>112.73116438356166</v>
          </cell>
          <cell r="O41">
            <v>114.04708904109589</v>
          </cell>
          <cell r="P41">
            <v>107.27054794520549</v>
          </cell>
          <cell r="T41">
            <v>0</v>
          </cell>
          <cell r="U41">
            <v>0</v>
          </cell>
          <cell r="V41">
            <v>99.225781369863014</v>
          </cell>
          <cell r="W41">
            <v>157.886</v>
          </cell>
          <cell r="X41">
            <v>-99.225781369863014</v>
          </cell>
          <cell r="Y41">
            <v>-157.886</v>
          </cell>
        </row>
        <row r="42">
          <cell r="A42">
            <v>21</v>
          </cell>
          <cell r="B42" t="str">
            <v>Intercompany Interest Income</v>
          </cell>
          <cell r="E42">
            <v>0</v>
          </cell>
          <cell r="F42">
            <v>0</v>
          </cell>
          <cell r="G42">
            <v>0</v>
          </cell>
          <cell r="H42">
            <v>0</v>
          </cell>
          <cell r="I42">
            <v>0</v>
          </cell>
          <cell r="J42">
            <v>0</v>
          </cell>
          <cell r="K42">
            <v>0</v>
          </cell>
          <cell r="L42">
            <v>0</v>
          </cell>
          <cell r="M42">
            <v>0</v>
          </cell>
          <cell r="N42">
            <v>0</v>
          </cell>
          <cell r="O42">
            <v>0</v>
          </cell>
          <cell r="P42">
            <v>0</v>
          </cell>
          <cell r="T42">
            <v>0</v>
          </cell>
          <cell r="U42">
            <v>0</v>
          </cell>
          <cell r="V42">
            <v>0</v>
          </cell>
          <cell r="W42">
            <v>0</v>
          </cell>
          <cell r="X42">
            <v>0</v>
          </cell>
          <cell r="Y42">
            <v>0</v>
          </cell>
        </row>
        <row r="43">
          <cell r="A43">
            <v>22</v>
          </cell>
          <cell r="B43" t="str">
            <v>External Interest Income</v>
          </cell>
          <cell r="E43">
            <v>0</v>
          </cell>
          <cell r="F43">
            <v>0</v>
          </cell>
          <cell r="G43">
            <v>0</v>
          </cell>
          <cell r="H43">
            <v>0</v>
          </cell>
          <cell r="I43">
            <v>0.16900000000000001</v>
          </cell>
          <cell r="J43">
            <v>0.222</v>
          </cell>
          <cell r="K43">
            <v>0</v>
          </cell>
          <cell r="L43">
            <v>0</v>
          </cell>
          <cell r="M43">
            <v>0</v>
          </cell>
          <cell r="N43">
            <v>0</v>
          </cell>
          <cell r="O43">
            <v>0</v>
          </cell>
          <cell r="P43">
            <v>0</v>
          </cell>
          <cell r="T43">
            <v>0</v>
          </cell>
          <cell r="U43">
            <v>0</v>
          </cell>
          <cell r="V43">
            <v>2.7231000000000001</v>
          </cell>
          <cell r="W43">
            <v>0.90700000000000003</v>
          </cell>
          <cell r="X43">
            <v>-2.7231000000000001</v>
          </cell>
          <cell r="Y43">
            <v>-0.90700000000000003</v>
          </cell>
        </row>
        <row r="44">
          <cell r="B44" t="str">
            <v>E.B.T.</v>
          </cell>
          <cell r="C44">
            <v>0</v>
          </cell>
          <cell r="E44">
            <v>138.61233342401303</v>
          </cell>
          <cell r="F44">
            <v>142.95548342401304</v>
          </cell>
          <cell r="G44">
            <v>178.92997205072805</v>
          </cell>
          <cell r="H44">
            <v>133.61273342401302</v>
          </cell>
          <cell r="I44">
            <v>153.66261342401302</v>
          </cell>
          <cell r="J44">
            <v>276.46973342401304</v>
          </cell>
          <cell r="K44">
            <v>146.48940871124012</v>
          </cell>
          <cell r="L44">
            <v>183.61079871124008</v>
          </cell>
          <cell r="M44">
            <v>227.89065871124006</v>
          </cell>
          <cell r="N44">
            <v>137.98278871124006</v>
          </cell>
          <cell r="O44">
            <v>223.54790871124004</v>
          </cell>
          <cell r="P44">
            <v>193.32753871124004</v>
          </cell>
          <cell r="Q44">
            <v>0</v>
          </cell>
          <cell r="R44">
            <v>0</v>
          </cell>
          <cell r="S44">
            <v>0</v>
          </cell>
          <cell r="T44">
            <v>0</v>
          </cell>
          <cell r="U44">
            <v>2187.0403628115187</v>
          </cell>
          <cell r="V44">
            <v>1975.6840978127277</v>
          </cell>
          <cell r="W44">
            <v>2621.2470000000008</v>
          </cell>
          <cell r="X44">
            <v>211.35626499879095</v>
          </cell>
          <cell r="Y44">
            <v>-434.20663718848209</v>
          </cell>
        </row>
        <row r="46">
          <cell r="A46">
            <v>23</v>
          </cell>
          <cell r="B46" t="str">
            <v>Taxation</v>
          </cell>
          <cell r="E46">
            <v>0</v>
          </cell>
          <cell r="F46">
            <v>0</v>
          </cell>
          <cell r="G46">
            <v>0</v>
          </cell>
          <cell r="H46">
            <v>0</v>
          </cell>
          <cell r="I46">
            <v>0</v>
          </cell>
          <cell r="J46">
            <v>0</v>
          </cell>
          <cell r="K46">
            <v>0</v>
          </cell>
          <cell r="L46">
            <v>0</v>
          </cell>
          <cell r="M46">
            <v>0</v>
          </cell>
          <cell r="N46">
            <v>0</v>
          </cell>
          <cell r="O46">
            <v>0</v>
          </cell>
          <cell r="P46">
            <v>0</v>
          </cell>
          <cell r="T46">
            <v>0</v>
          </cell>
          <cell r="U46">
            <v>0</v>
          </cell>
          <cell r="V46">
            <v>0</v>
          </cell>
          <cell r="W46">
            <v>0</v>
          </cell>
          <cell r="X46">
            <v>0</v>
          </cell>
          <cell r="Y46">
            <v>0</v>
          </cell>
        </row>
        <row r="47">
          <cell r="A47">
            <v>24</v>
          </cell>
          <cell r="B47" t="str">
            <v>Adjustments</v>
          </cell>
          <cell r="C47">
            <v>0</v>
          </cell>
          <cell r="E47">
            <v>0</v>
          </cell>
          <cell r="F47">
            <v>0</v>
          </cell>
          <cell r="G47">
            <v>0</v>
          </cell>
          <cell r="H47">
            <v>0</v>
          </cell>
          <cell r="I47">
            <v>0</v>
          </cell>
          <cell r="J47">
            <v>0</v>
          </cell>
          <cell r="K47">
            <v>0</v>
          </cell>
          <cell r="L47">
            <v>0</v>
          </cell>
          <cell r="M47">
            <v>0</v>
          </cell>
          <cell r="N47">
            <v>0</v>
          </cell>
          <cell r="O47">
            <v>0</v>
          </cell>
          <cell r="P47">
            <v>0</v>
          </cell>
          <cell r="R47">
            <v>0</v>
          </cell>
          <cell r="S47">
            <v>0</v>
          </cell>
          <cell r="T47">
            <v>0</v>
          </cell>
          <cell r="U47">
            <v>0</v>
          </cell>
          <cell r="V47">
            <v>0</v>
          </cell>
          <cell r="W47">
            <v>0</v>
          </cell>
          <cell r="X47">
            <v>0</v>
          </cell>
          <cell r="Y47">
            <v>0</v>
          </cell>
        </row>
        <row r="48">
          <cell r="A48">
            <v>25</v>
          </cell>
          <cell r="B48" t="str">
            <v>Dividends</v>
          </cell>
          <cell r="E48">
            <v>0</v>
          </cell>
          <cell r="F48">
            <v>0</v>
          </cell>
          <cell r="G48">
            <v>0</v>
          </cell>
          <cell r="H48">
            <v>0</v>
          </cell>
          <cell r="I48">
            <v>0</v>
          </cell>
          <cell r="J48">
            <v>0</v>
          </cell>
          <cell r="K48">
            <v>0</v>
          </cell>
          <cell r="L48">
            <v>0</v>
          </cell>
          <cell r="M48">
            <v>0</v>
          </cell>
          <cell r="N48">
            <v>0</v>
          </cell>
          <cell r="O48">
            <v>0</v>
          </cell>
          <cell r="P48">
            <v>0</v>
          </cell>
          <cell r="T48">
            <v>0</v>
          </cell>
          <cell r="U48">
            <v>0</v>
          </cell>
          <cell r="V48">
            <v>0</v>
          </cell>
          <cell r="W48">
            <v>0</v>
          </cell>
          <cell r="X48">
            <v>0</v>
          </cell>
          <cell r="Y48">
            <v>0</v>
          </cell>
        </row>
        <row r="49">
          <cell r="A49">
            <v>26</v>
          </cell>
          <cell r="B49" t="str">
            <v>Extraordinary Items</v>
          </cell>
          <cell r="E49">
            <v>0</v>
          </cell>
          <cell r="F49">
            <v>0</v>
          </cell>
          <cell r="G49">
            <v>0</v>
          </cell>
          <cell r="H49">
            <v>0</v>
          </cell>
          <cell r="I49">
            <v>0</v>
          </cell>
          <cell r="J49">
            <v>0</v>
          </cell>
          <cell r="K49">
            <v>0</v>
          </cell>
          <cell r="L49">
            <v>0</v>
          </cell>
          <cell r="M49">
            <v>0</v>
          </cell>
          <cell r="N49">
            <v>0</v>
          </cell>
          <cell r="O49">
            <v>0</v>
          </cell>
          <cell r="P49">
            <v>0</v>
          </cell>
          <cell r="T49">
            <v>0</v>
          </cell>
          <cell r="U49">
            <v>0</v>
          </cell>
          <cell r="V49">
            <v>0</v>
          </cell>
          <cell r="W49">
            <v>0</v>
          </cell>
          <cell r="X49">
            <v>0</v>
          </cell>
          <cell r="Y49">
            <v>0</v>
          </cell>
        </row>
        <row r="50">
          <cell r="B50" t="str">
            <v>RETAINED PROFIT(LOSS)</v>
          </cell>
          <cell r="C50">
            <v>0</v>
          </cell>
          <cell r="E50">
            <v>138.61233342401303</v>
          </cell>
          <cell r="F50">
            <v>142.95548342401304</v>
          </cell>
          <cell r="G50">
            <v>178.92997205072805</v>
          </cell>
          <cell r="H50">
            <v>133.61273342401302</v>
          </cell>
          <cell r="I50">
            <v>153.66261342401302</v>
          </cell>
          <cell r="J50">
            <v>276.46973342401304</v>
          </cell>
          <cell r="K50">
            <v>146.48940871124012</v>
          </cell>
          <cell r="L50">
            <v>183.61079871124008</v>
          </cell>
          <cell r="M50">
            <v>227.89065871124006</v>
          </cell>
          <cell r="N50">
            <v>137.98278871124006</v>
          </cell>
          <cell r="O50">
            <v>223.54790871124004</v>
          </cell>
          <cell r="P50">
            <v>193.32753871124004</v>
          </cell>
          <cell r="Q50">
            <v>0</v>
          </cell>
          <cell r="R50">
            <v>0</v>
          </cell>
          <cell r="S50">
            <v>0</v>
          </cell>
          <cell r="T50">
            <v>0</v>
          </cell>
          <cell r="U50">
            <v>2187.0403628115187</v>
          </cell>
          <cell r="V50">
            <v>1975.6840978127277</v>
          </cell>
          <cell r="W50">
            <v>2621.2470000000008</v>
          </cell>
          <cell r="X50">
            <v>211.35626499879095</v>
          </cell>
          <cell r="Y50">
            <v>-434.20663718848209</v>
          </cell>
        </row>
        <row r="52">
          <cell r="B52" t="str">
            <v>RATIOS</v>
          </cell>
        </row>
        <row r="53">
          <cell r="B53" t="str">
            <v>No of week</v>
          </cell>
          <cell r="E53">
            <v>4</v>
          </cell>
          <cell r="F53">
            <v>4</v>
          </cell>
          <cell r="G53">
            <v>5</v>
          </cell>
          <cell r="H53">
            <v>4</v>
          </cell>
          <cell r="I53">
            <v>4</v>
          </cell>
          <cell r="J53">
            <v>5</v>
          </cell>
          <cell r="K53">
            <v>4</v>
          </cell>
          <cell r="L53">
            <v>4</v>
          </cell>
          <cell r="M53">
            <v>5</v>
          </cell>
          <cell r="N53">
            <v>4</v>
          </cell>
          <cell r="O53">
            <v>5</v>
          </cell>
          <cell r="P53">
            <v>4</v>
          </cell>
          <cell r="U53">
            <v>52</v>
          </cell>
          <cell r="V53">
            <v>52</v>
          </cell>
          <cell r="W53">
            <v>52</v>
          </cell>
          <cell r="X53">
            <v>0</v>
          </cell>
          <cell r="Y53">
            <v>0</v>
          </cell>
        </row>
        <row r="54">
          <cell r="A54">
            <v>27</v>
          </cell>
          <cell r="B54" t="str">
            <v>Pd Admissions</v>
          </cell>
          <cell r="E54">
            <v>62.72</v>
          </cell>
          <cell r="F54">
            <v>63.7</v>
          </cell>
          <cell r="G54">
            <v>83.3</v>
          </cell>
          <cell r="H54">
            <v>62.72</v>
          </cell>
          <cell r="I54">
            <v>66.64</v>
          </cell>
          <cell r="J54">
            <v>94.08</v>
          </cell>
          <cell r="K54">
            <v>64.680000000000007</v>
          </cell>
          <cell r="L54">
            <v>73.5</v>
          </cell>
          <cell r="M54">
            <v>83.3</v>
          </cell>
          <cell r="N54">
            <v>62.72</v>
          </cell>
          <cell r="O54">
            <v>82.32</v>
          </cell>
          <cell r="P54">
            <v>75.459999999999994</v>
          </cell>
          <cell r="T54">
            <v>0</v>
          </cell>
          <cell r="U54">
            <v>875.14</v>
          </cell>
          <cell r="V54">
            <v>946</v>
          </cell>
          <cell r="W54">
            <v>1285.933</v>
          </cell>
          <cell r="X54">
            <v>-70.860000000000127</v>
          </cell>
          <cell r="Y54">
            <v>-410.79300000000012</v>
          </cell>
        </row>
        <row r="55">
          <cell r="A55">
            <v>28</v>
          </cell>
          <cell r="B55" t="str">
            <v>Admissions</v>
          </cell>
          <cell r="E55">
            <v>64</v>
          </cell>
          <cell r="F55">
            <v>65</v>
          </cell>
          <cell r="G55">
            <v>85</v>
          </cell>
          <cell r="H55">
            <v>64</v>
          </cell>
          <cell r="I55">
            <v>68</v>
          </cell>
          <cell r="J55">
            <v>96</v>
          </cell>
          <cell r="K55">
            <v>66</v>
          </cell>
          <cell r="L55">
            <v>75</v>
          </cell>
          <cell r="M55">
            <v>85</v>
          </cell>
          <cell r="N55">
            <v>64</v>
          </cell>
          <cell r="O55">
            <v>84</v>
          </cell>
          <cell r="P55">
            <v>77</v>
          </cell>
          <cell r="T55">
            <v>0</v>
          </cell>
          <cell r="U55">
            <v>893</v>
          </cell>
          <cell r="V55">
            <v>946</v>
          </cell>
          <cell r="W55">
            <v>1285.933</v>
          </cell>
          <cell r="X55">
            <v>-53</v>
          </cell>
          <cell r="Y55">
            <v>-392.93299999999999</v>
          </cell>
        </row>
        <row r="56">
          <cell r="B56" t="str">
            <v>Utilisation Rate</v>
          </cell>
          <cell r="E56">
            <v>0.16498927569707969</v>
          </cell>
          <cell r="F56">
            <v>0.16756723312984656</v>
          </cell>
          <cell r="G56">
            <v>0.17530110542814717</v>
          </cell>
          <cell r="H56">
            <v>0.16498927569707969</v>
          </cell>
          <cell r="I56">
            <v>0.17530110542814717</v>
          </cell>
          <cell r="J56">
            <v>0.19798713083649563</v>
          </cell>
          <cell r="K56">
            <v>0.17014519056261343</v>
          </cell>
          <cell r="L56">
            <v>0.19334680745751526</v>
          </cell>
          <cell r="M56">
            <v>0.17530110542814717</v>
          </cell>
          <cell r="N56">
            <v>0.16498927569707969</v>
          </cell>
          <cell r="O56">
            <v>0.17323873948193366</v>
          </cell>
          <cell r="P56">
            <v>0.198502722323049</v>
          </cell>
          <cell r="U56">
            <v>0.17708584518929346</v>
          </cell>
          <cell r="V56">
            <v>0.18759597933826608</v>
          </cell>
          <cell r="W56">
            <v>0.23937873699729709</v>
          </cell>
          <cell r="X56">
            <v>-1.0510134148972616E-2</v>
          </cell>
          <cell r="Y56">
            <v>-6.2292891808003625E-2</v>
          </cell>
        </row>
        <row r="57">
          <cell r="B57" t="str">
            <v>Ave. Admission Price (S$)</v>
          </cell>
          <cell r="C57" t="str">
            <v>N.A.</v>
          </cell>
          <cell r="E57">
            <v>6.7</v>
          </cell>
          <cell r="F57">
            <v>6.7</v>
          </cell>
          <cell r="G57">
            <v>6.7</v>
          </cell>
          <cell r="H57">
            <v>6.7</v>
          </cell>
          <cell r="I57">
            <v>6.7</v>
          </cell>
          <cell r="J57">
            <v>6.7</v>
          </cell>
          <cell r="K57">
            <v>6.7</v>
          </cell>
          <cell r="L57">
            <v>6.7</v>
          </cell>
          <cell r="M57">
            <v>6.7</v>
          </cell>
          <cell r="N57">
            <v>6.7</v>
          </cell>
          <cell r="O57">
            <v>6.7</v>
          </cell>
          <cell r="P57">
            <v>6.7</v>
          </cell>
          <cell r="R57" t="str">
            <v>N.A.</v>
          </cell>
          <cell r="S57" t="str">
            <v>N.A.</v>
          </cell>
          <cell r="T57" t="str">
            <v>N.A.</v>
          </cell>
          <cell r="U57">
            <v>6.7</v>
          </cell>
          <cell r="V57">
            <v>6.6747711099365734</v>
          </cell>
          <cell r="W57">
            <v>6.7842251501439028</v>
          </cell>
          <cell r="X57">
            <v>2.5228890063425879E-2</v>
          </cell>
          <cell r="Y57">
            <v>-8.4225150143903527E-2</v>
          </cell>
        </row>
        <row r="58">
          <cell r="B58" t="str">
            <v>Advert. Cost % of Box</v>
          </cell>
          <cell r="C58" t="str">
            <v>N.A.</v>
          </cell>
          <cell r="E58">
            <v>2.3E-2</v>
          </cell>
          <cell r="F58">
            <v>2.3E-2</v>
          </cell>
          <cell r="G58">
            <v>2.3E-2</v>
          </cell>
          <cell r="H58">
            <v>2.3E-2</v>
          </cell>
          <cell r="I58">
            <v>2.3E-2</v>
          </cell>
          <cell r="J58">
            <v>2.3E-2</v>
          </cell>
          <cell r="K58">
            <v>2.3E-2</v>
          </cell>
          <cell r="L58">
            <v>2.3E-2</v>
          </cell>
          <cell r="M58">
            <v>2.3E-2</v>
          </cell>
          <cell r="N58">
            <v>2.3E-2</v>
          </cell>
          <cell r="O58">
            <v>2.3E-2</v>
          </cell>
          <cell r="P58">
            <v>2.3E-2</v>
          </cell>
          <cell r="R58">
            <v>2.5999999999999999E-2</v>
          </cell>
          <cell r="S58">
            <v>2.5999999999999999E-2</v>
          </cell>
          <cell r="T58">
            <v>2.5999999999999999E-2</v>
          </cell>
          <cell r="U58">
            <v>2.3000000000000007E-2</v>
          </cell>
          <cell r="V58">
            <v>2.496478381272442E-2</v>
          </cell>
          <cell r="W58">
            <v>2.363785022545125E-2</v>
          </cell>
          <cell r="X58">
            <v>-1.9647838127244133E-3</v>
          </cell>
          <cell r="Y58">
            <v>-6.3785022545124331E-4</v>
          </cell>
        </row>
        <row r="59">
          <cell r="B59" t="str">
            <v>Concession Cost %</v>
          </cell>
          <cell r="C59" t="str">
            <v>N.A.</v>
          </cell>
          <cell r="E59">
            <v>0.19500000000000001</v>
          </cell>
          <cell r="F59">
            <v>0.19500000000000001</v>
          </cell>
          <cell r="G59">
            <v>0.19500000000000001</v>
          </cell>
          <cell r="H59">
            <v>0.19500000000000001</v>
          </cell>
          <cell r="I59">
            <v>0.19500000000000001</v>
          </cell>
          <cell r="J59">
            <v>0.19500000000000001</v>
          </cell>
          <cell r="K59">
            <v>0.19500000000000001</v>
          </cell>
          <cell r="L59">
            <v>0.19500000000000001</v>
          </cell>
          <cell r="M59">
            <v>0.19500000000000001</v>
          </cell>
          <cell r="N59">
            <v>0.19500000000000001</v>
          </cell>
          <cell r="O59">
            <v>0.19500000000000001</v>
          </cell>
          <cell r="P59">
            <v>0.19500000000000001</v>
          </cell>
          <cell r="R59" t="str">
            <v>N.A.</v>
          </cell>
          <cell r="S59" t="str">
            <v>N.A.</v>
          </cell>
          <cell r="T59" t="str">
            <v>N.A.</v>
          </cell>
          <cell r="U59">
            <v>0.19500000000000001</v>
          </cell>
          <cell r="V59">
            <v>0.17860521037521898</v>
          </cell>
          <cell r="W59">
            <v>0.21582311865086179</v>
          </cell>
          <cell r="X59">
            <v>1.6394789624780998E-2</v>
          </cell>
          <cell r="Y59">
            <v>-2.082311865086181E-2</v>
          </cell>
        </row>
        <row r="60">
          <cell r="B60" t="str">
            <v>Concess. Rev per Patron (S$)</v>
          </cell>
          <cell r="C60" t="str">
            <v>N.A.</v>
          </cell>
          <cell r="E60">
            <v>1.1499999999999999</v>
          </cell>
          <cell r="F60">
            <v>1.1499999999999999</v>
          </cell>
          <cell r="G60">
            <v>1.1499999999999999</v>
          </cell>
          <cell r="H60">
            <v>1.1499999999999999</v>
          </cell>
          <cell r="I60">
            <v>1.1499999999999999</v>
          </cell>
          <cell r="J60">
            <v>1.1499999999999999</v>
          </cell>
          <cell r="K60">
            <v>1.1499999999999999</v>
          </cell>
          <cell r="L60">
            <v>1.1499999999999999</v>
          </cell>
          <cell r="M60">
            <v>1.1499999999999999</v>
          </cell>
          <cell r="N60">
            <v>1.1499999999999999</v>
          </cell>
          <cell r="O60">
            <v>1.1499999999999999</v>
          </cell>
          <cell r="P60">
            <v>1.1499999999999999</v>
          </cell>
          <cell r="R60" t="str">
            <v>N.A.</v>
          </cell>
          <cell r="S60" t="str">
            <v>N.A.</v>
          </cell>
          <cell r="T60" t="str">
            <v>N.A.</v>
          </cell>
          <cell r="U60">
            <v>1.1499999999999999</v>
          </cell>
          <cell r="V60">
            <v>1.1218217124735728</v>
          </cell>
          <cell r="W60">
            <v>1.0010482661227296</v>
          </cell>
          <cell r="X60">
            <v>2.817828752642737E-2</v>
          </cell>
          <cell r="Y60">
            <v>0.14895173387727056</v>
          </cell>
        </row>
        <row r="61">
          <cell r="B61" t="str">
            <v>Film Hire : % of Net Box</v>
          </cell>
          <cell r="C61" t="str">
            <v>N.A.</v>
          </cell>
          <cell r="E61">
            <v>0.46500000000000002</v>
          </cell>
          <cell r="F61">
            <v>0.46500000000000002</v>
          </cell>
          <cell r="G61">
            <v>0.46500000000000002</v>
          </cell>
          <cell r="H61">
            <v>0.46500000000000002</v>
          </cell>
          <cell r="I61">
            <v>0.46500000000000002</v>
          </cell>
          <cell r="J61">
            <v>0.46500000000000002</v>
          </cell>
          <cell r="K61">
            <v>0.46500000000000002</v>
          </cell>
          <cell r="L61">
            <v>0.46500000000000002</v>
          </cell>
          <cell r="M61">
            <v>0.46500000000000002</v>
          </cell>
          <cell r="N61">
            <v>0.46500000000000002</v>
          </cell>
          <cell r="O61">
            <v>0.46500000000000002</v>
          </cell>
          <cell r="P61">
            <v>0.46500000000000002</v>
          </cell>
          <cell r="R61" t="str">
            <v>N.A.</v>
          </cell>
          <cell r="S61" t="str">
            <v>N.A.</v>
          </cell>
          <cell r="T61" t="str">
            <v>N.A.</v>
          </cell>
          <cell r="U61">
            <v>0.46500000000000002</v>
          </cell>
          <cell r="V61">
            <v>0.46223791535039105</v>
          </cell>
          <cell r="W61">
            <v>0.45757851935664356</v>
          </cell>
          <cell r="X61">
            <v>2.7620846496090867E-3</v>
          </cell>
          <cell r="Y61">
            <v>7.4214806433565705E-3</v>
          </cell>
        </row>
        <row r="62">
          <cell r="B62" t="str">
            <v>Direct Payroll : Net Box</v>
          </cell>
          <cell r="C62" t="str">
            <v>N.A.</v>
          </cell>
          <cell r="E62">
            <v>8.696563123016382E-2</v>
          </cell>
          <cell r="F62">
            <v>8.5627698442007447E-2</v>
          </cell>
          <cell r="G62">
            <v>6.7411523567154075E-2</v>
          </cell>
          <cell r="H62">
            <v>8.696563123016382E-2</v>
          </cell>
          <cell r="I62">
            <v>8.1850005863683586E-2</v>
          </cell>
          <cell r="J62">
            <v>5.9687286491751E-2</v>
          </cell>
          <cell r="K62">
            <v>8.6141291765703842E-2</v>
          </cell>
          <cell r="L62">
            <v>7.5804336753819382E-2</v>
          </cell>
          <cell r="M62">
            <v>6.8817698364871366E-2</v>
          </cell>
          <cell r="N62">
            <v>8.8833207133382094E-2</v>
          </cell>
          <cell r="O62">
            <v>6.9636956678738871E-2</v>
          </cell>
          <cell r="P62">
            <v>7.5967589104078775E-2</v>
          </cell>
          <cell r="R62" t="str">
            <v>N.A.</v>
          </cell>
          <cell r="S62" t="str">
            <v>N.A.</v>
          </cell>
          <cell r="T62" t="str">
            <v>N.A.</v>
          </cell>
          <cell r="U62">
            <v>7.6514725032463274E-2</v>
          </cell>
          <cell r="V62">
            <v>9.465716497864976E-2</v>
          </cell>
          <cell r="W62">
            <v>9.4836818503863871E-2</v>
          </cell>
          <cell r="X62">
            <v>-1.8142439946186487E-2</v>
          </cell>
          <cell r="Y62">
            <v>-1.8322093471400597E-2</v>
          </cell>
        </row>
        <row r="63">
          <cell r="B63" t="str">
            <v>Direct Payroll : Net Box &amp; Conc.</v>
          </cell>
          <cell r="C63" t="str">
            <v>N.A.</v>
          </cell>
          <cell r="E63">
            <v>7.4225443215553841E-2</v>
          </cell>
          <cell r="F63">
            <v>7.3083513319929932E-2</v>
          </cell>
          <cell r="G63">
            <v>5.7535950050946791E-2</v>
          </cell>
          <cell r="H63">
            <v>7.4225443215553841E-2</v>
          </cell>
          <cell r="I63">
            <v>6.9859240673462442E-2</v>
          </cell>
          <cell r="J63">
            <v>5.094328910760914E-2</v>
          </cell>
          <cell r="K63">
            <v>7.3521866857352319E-2</v>
          </cell>
          <cell r="L63">
            <v>6.4699242834470053E-2</v>
          </cell>
          <cell r="M63">
            <v>5.8736124719062185E-2</v>
          </cell>
          <cell r="N63">
            <v>7.5819425196644585E-2</v>
          </cell>
          <cell r="O63">
            <v>5.9435364299051011E-2</v>
          </cell>
          <cell r="P63">
            <v>6.4838579235328389E-2</v>
          </cell>
          <cell r="Q63">
            <v>0</v>
          </cell>
          <cell r="R63" t="str">
            <v>N.A.</v>
          </cell>
          <cell r="S63" t="str">
            <v>N.A.</v>
          </cell>
          <cell r="T63" t="str">
            <v>N.A.</v>
          </cell>
          <cell r="U63">
            <v>6.5305561492675662E-2</v>
          </cell>
          <cell r="V63">
            <v>8.1037310083955316E-2</v>
          </cell>
          <cell r="W63">
            <v>8.2642483423797417E-2</v>
          </cell>
          <cell r="X63">
            <v>-1.5731748591279654E-2</v>
          </cell>
          <cell r="Y63">
            <v>-1.7336921931121754E-2</v>
          </cell>
        </row>
        <row r="64">
          <cell r="B64" t="str">
            <v>Direct Payroll of Admissions (S$)</v>
          </cell>
          <cell r="C64" t="str">
            <v>N.A.</v>
          </cell>
          <cell r="E64">
            <v>0.58266972924209759</v>
          </cell>
          <cell r="F64">
            <v>0.57370557956144996</v>
          </cell>
          <cell r="G64">
            <v>0.4516572078999323</v>
          </cell>
          <cell r="H64">
            <v>0.58266972924209759</v>
          </cell>
          <cell r="I64">
            <v>0.5483950392866801</v>
          </cell>
          <cell r="J64">
            <v>0.39990481949473172</v>
          </cell>
          <cell r="K64">
            <v>0.57714665483021577</v>
          </cell>
          <cell r="L64">
            <v>0.50788905625058989</v>
          </cell>
          <cell r="M64">
            <v>0.46107857904463811</v>
          </cell>
          <cell r="N64">
            <v>0.59518248779366001</v>
          </cell>
          <cell r="O64">
            <v>0.46656760974755052</v>
          </cell>
          <cell r="P64">
            <v>0.50898284699732776</v>
          </cell>
          <cell r="Q64">
            <v>0</v>
          </cell>
          <cell r="R64" t="str">
            <v>N.A.</v>
          </cell>
          <cell r="S64" t="str">
            <v>N.A.</v>
          </cell>
          <cell r="T64" t="str">
            <v>N.A.</v>
          </cell>
          <cell r="U64">
            <v>0.5126486577175039</v>
          </cell>
          <cell r="V64">
            <v>0.6318149101479914</v>
          </cell>
          <cell r="W64">
            <v>0.64339432925354589</v>
          </cell>
          <cell r="X64">
            <v>-0.11916625243048751</v>
          </cell>
          <cell r="Y64">
            <v>-0.130745671536042</v>
          </cell>
        </row>
        <row r="65">
          <cell r="B65" t="str">
            <v>Gross Margin :Total Rev</v>
          </cell>
          <cell r="C65" t="str">
            <v>N.A.</v>
          </cell>
          <cell r="E65">
            <v>0.51913141651471495</v>
          </cell>
          <cell r="F65">
            <v>0.51961597713912144</v>
          </cell>
          <cell r="G65">
            <v>0.52550340585611011</v>
          </cell>
          <cell r="H65">
            <v>0.51913141651471495</v>
          </cell>
          <cell r="I65">
            <v>0.52099037704632511</v>
          </cell>
          <cell r="J65">
            <v>0.52851147339323601</v>
          </cell>
          <cell r="K65">
            <v>0.51865702019789439</v>
          </cell>
          <cell r="L65">
            <v>0.52252840030150549</v>
          </cell>
          <cell r="M65">
            <v>0.52437420320356798</v>
          </cell>
          <cell r="N65">
            <v>0.51766024033559277</v>
          </cell>
          <cell r="O65">
            <v>0.52405137366073251</v>
          </cell>
          <cell r="P65">
            <v>0.5215720145960494</v>
          </cell>
          <cell r="Q65">
            <v>0</v>
          </cell>
          <cell r="R65" t="str">
            <v>N.A.</v>
          </cell>
          <cell r="S65" t="str">
            <v>N.A.</v>
          </cell>
          <cell r="T65" t="str">
            <v>N.A.</v>
          </cell>
          <cell r="U65">
            <v>0.52221144042446177</v>
          </cell>
          <cell r="V65">
            <v>0.50757067715718873</v>
          </cell>
          <cell r="W65">
            <v>0.48667705205638573</v>
          </cell>
          <cell r="X65">
            <v>1.4640763267273038E-2</v>
          </cell>
          <cell r="Y65">
            <v>3.5534388368076042E-2</v>
          </cell>
        </row>
        <row r="66">
          <cell r="B66" t="str">
            <v>G&amp;A % of total revenue</v>
          </cell>
          <cell r="C66" t="str">
            <v>N.A.</v>
          </cell>
          <cell r="E66">
            <v>4.0747851348168232E-2</v>
          </cell>
          <cell r="F66">
            <v>4.0167848069240848E-2</v>
          </cell>
          <cell r="G66">
            <v>3.103876583677689E-2</v>
          </cell>
          <cell r="H66">
            <v>4.0747116510116199E-2</v>
          </cell>
          <cell r="I66">
            <v>4.2556379091456709E-2</v>
          </cell>
          <cell r="J66">
            <v>2.789458088385818E-2</v>
          </cell>
          <cell r="K66">
            <v>3.9619118076554126E-2</v>
          </cell>
          <cell r="L66">
            <v>3.8294007738280803E-2</v>
          </cell>
          <cell r="M66">
            <v>3.1302290126943404E-2</v>
          </cell>
          <cell r="N66">
            <v>4.0433208695040954E-2</v>
          </cell>
          <cell r="O66">
            <v>3.165265344517619E-2</v>
          </cell>
          <cell r="P66">
            <v>3.4066736336711187E-2</v>
          </cell>
          <cell r="Q66">
            <v>0</v>
          </cell>
          <cell r="R66" t="e">
            <v>#DIV/0!</v>
          </cell>
          <cell r="S66" t="e">
            <v>#DIV/0!</v>
          </cell>
          <cell r="T66" t="e">
            <v>#DIV/0!</v>
          </cell>
          <cell r="U66">
            <v>3.5938069637351466E-2</v>
          </cell>
          <cell r="V66">
            <v>4.2514463242320666E-2</v>
          </cell>
          <cell r="W66">
            <v>4.0069759232523219E-2</v>
          </cell>
          <cell r="X66">
            <v>-6.5763936049691996E-3</v>
          </cell>
          <cell r="Y66">
            <v>-4.131689595171753E-3</v>
          </cell>
        </row>
        <row r="67">
          <cell r="B67" t="str">
            <v>E.B.I.T.D. : Total Rev</v>
          </cell>
          <cell r="C67" t="str">
            <v>N.A.</v>
          </cell>
          <cell r="E67">
            <v>0.38774496563927724</v>
          </cell>
          <cell r="F67">
            <v>0.39009806440662409</v>
          </cell>
          <cell r="G67">
            <v>0.35446446535006276</v>
          </cell>
          <cell r="H67">
            <v>0.37856022482699186</v>
          </cell>
          <cell r="I67">
            <v>0.39273871271100408</v>
          </cell>
          <cell r="J67">
            <v>0.43859845560640931</v>
          </cell>
          <cell r="K67">
            <v>0.39094024975378727</v>
          </cell>
          <cell r="L67">
            <v>0.40600549121130741</v>
          </cell>
          <cell r="M67">
            <v>0.42350217121881928</v>
          </cell>
          <cell r="N67">
            <v>0.38658843211328231</v>
          </cell>
          <cell r="O67">
            <v>0.42205029138286676</v>
          </cell>
          <cell r="P67">
            <v>0.41117646549780068</v>
          </cell>
          <cell r="Q67">
            <v>0</v>
          </cell>
          <cell r="R67" t="str">
            <v>N.A.</v>
          </cell>
          <cell r="S67" t="str">
            <v>N.A.</v>
          </cell>
          <cell r="T67" t="str">
            <v>N.A.</v>
          </cell>
          <cell r="U67">
            <v>0.40680684066050748</v>
          </cell>
          <cell r="V67">
            <v>0.38190177083832461</v>
          </cell>
          <cell r="W67">
            <v>0.37075528718394235</v>
          </cell>
          <cell r="X67">
            <v>2.4905069822182879E-2</v>
          </cell>
          <cell r="Y67">
            <v>3.6051553476565135E-2</v>
          </cell>
        </row>
        <row r="68">
          <cell r="B68" t="str">
            <v>No of Concession Transactions</v>
          </cell>
          <cell r="E68">
            <v>18</v>
          </cell>
          <cell r="F68">
            <v>18</v>
          </cell>
          <cell r="G68">
            <v>24</v>
          </cell>
          <cell r="H68">
            <v>17</v>
          </cell>
          <cell r="I68">
            <v>20</v>
          </cell>
          <cell r="J68">
            <v>26</v>
          </cell>
          <cell r="K68">
            <v>18</v>
          </cell>
          <cell r="L68">
            <v>20</v>
          </cell>
          <cell r="M68">
            <v>25</v>
          </cell>
          <cell r="N68">
            <v>18</v>
          </cell>
          <cell r="O68">
            <v>24</v>
          </cell>
          <cell r="P68">
            <v>28</v>
          </cell>
          <cell r="Q68">
            <v>0</v>
          </cell>
          <cell r="R68">
            <v>30.731000000000002</v>
          </cell>
          <cell r="S68">
            <v>31.731000000000002</v>
          </cell>
          <cell r="T68">
            <v>32.731000000000002</v>
          </cell>
          <cell r="U68">
            <v>256</v>
          </cell>
          <cell r="V68">
            <v>240</v>
          </cell>
          <cell r="W68">
            <v>0</v>
          </cell>
          <cell r="X68">
            <v>16</v>
          </cell>
          <cell r="Y68">
            <v>256</v>
          </cell>
        </row>
        <row r="69">
          <cell r="B69" t="str">
            <v>Strike Rate %(No of Trans/Adm)</v>
          </cell>
          <cell r="E69">
            <v>0.28125</v>
          </cell>
          <cell r="F69">
            <v>0.27692307692307694</v>
          </cell>
          <cell r="G69">
            <v>0.28235294117647058</v>
          </cell>
          <cell r="H69">
            <v>0.265625</v>
          </cell>
          <cell r="I69">
            <v>0.29411764705882354</v>
          </cell>
          <cell r="J69">
            <v>0.27083333333333331</v>
          </cell>
          <cell r="K69">
            <v>0.27272727272727271</v>
          </cell>
          <cell r="L69">
            <v>0.26666666666666666</v>
          </cell>
          <cell r="M69">
            <v>0.29411764705882354</v>
          </cell>
          <cell r="N69">
            <v>0.28125</v>
          </cell>
          <cell r="O69">
            <v>0.2857142857142857</v>
          </cell>
          <cell r="P69">
            <v>0.36363636363636365</v>
          </cell>
          <cell r="Q69">
            <v>0</v>
          </cell>
          <cell r="R69" t="e">
            <v>#DIV/0!</v>
          </cell>
          <cell r="S69" t="e">
            <v>#DIV/0!</v>
          </cell>
          <cell r="T69" t="e">
            <v>#DIV/0!</v>
          </cell>
          <cell r="U69">
            <v>0.28667413213885778</v>
          </cell>
          <cell r="V69">
            <v>0.2536997885835095</v>
          </cell>
          <cell r="W69">
            <v>0</v>
          </cell>
          <cell r="X69">
            <v>3.2974343555348284E-2</v>
          </cell>
          <cell r="Y69">
            <v>0.28667413213885778</v>
          </cell>
        </row>
        <row r="70">
          <cell r="B70" t="str">
            <v>Ave Sales (Total Sale/No of Trans) (S$)</v>
          </cell>
          <cell r="E70">
            <v>4.0888888888888886</v>
          </cell>
          <cell r="F70">
            <v>4.1527777777777777</v>
          </cell>
          <cell r="G70">
            <v>4.0729166666666661</v>
          </cell>
          <cell r="H70">
            <v>4.3294117647058821</v>
          </cell>
          <cell r="I70">
            <v>3.91</v>
          </cell>
          <cell r="J70">
            <v>4.2461538461538462</v>
          </cell>
          <cell r="K70">
            <v>4.2166666666666659</v>
          </cell>
          <cell r="L70">
            <v>4.3125</v>
          </cell>
          <cell r="M70">
            <v>3.91</v>
          </cell>
          <cell r="N70">
            <v>4.0888888888888886</v>
          </cell>
          <cell r="O70">
            <v>4.0250000000000004</v>
          </cell>
          <cell r="P70">
            <v>3.1625000000000001</v>
          </cell>
          <cell r="Q70">
            <v>0</v>
          </cell>
          <cell r="R70">
            <v>0</v>
          </cell>
          <cell r="S70">
            <v>0</v>
          </cell>
          <cell r="T70">
            <v>0</v>
          </cell>
          <cell r="U70">
            <v>4.0115234375000002</v>
          </cell>
          <cell r="V70">
            <v>4.421847249999999</v>
          </cell>
          <cell r="W70" t="str">
            <v>N.A.</v>
          </cell>
          <cell r="X70">
            <v>-0.41032381249999883</v>
          </cell>
          <cell r="Y70" t="str">
            <v>N.A.</v>
          </cell>
        </row>
        <row r="71">
          <cell r="B71" t="str">
            <v xml:space="preserve">Total Concession Combo Sales </v>
          </cell>
          <cell r="E71">
            <v>38</v>
          </cell>
          <cell r="F71">
            <v>40</v>
          </cell>
          <cell r="G71">
            <v>55</v>
          </cell>
          <cell r="H71">
            <v>37</v>
          </cell>
          <cell r="I71">
            <v>38</v>
          </cell>
          <cell r="J71">
            <v>53</v>
          </cell>
          <cell r="K71">
            <v>37</v>
          </cell>
          <cell r="L71">
            <v>40</v>
          </cell>
          <cell r="M71">
            <v>51</v>
          </cell>
          <cell r="N71">
            <v>36</v>
          </cell>
          <cell r="O71">
            <v>50</v>
          </cell>
          <cell r="P71">
            <v>51</v>
          </cell>
          <cell r="Q71">
            <v>0</v>
          </cell>
          <cell r="R71">
            <v>74.369</v>
          </cell>
          <cell r="S71">
            <v>75.369</v>
          </cell>
          <cell r="T71">
            <v>76.369</v>
          </cell>
          <cell r="U71">
            <v>526</v>
          </cell>
          <cell r="V71">
            <v>522</v>
          </cell>
          <cell r="W71">
            <v>0</v>
          </cell>
          <cell r="X71">
            <v>4</v>
          </cell>
          <cell r="Y71">
            <v>526</v>
          </cell>
        </row>
        <row r="72">
          <cell r="B72" t="str">
            <v>Combo Sales as % of Total Sales</v>
          </cell>
          <cell r="E72">
            <v>0.51630434782608703</v>
          </cell>
          <cell r="F72">
            <v>0.53511705685618727</v>
          </cell>
          <cell r="G72">
            <v>0.56265984654731471</v>
          </cell>
          <cell r="H72">
            <v>0.50271739130434789</v>
          </cell>
          <cell r="I72">
            <v>0.48593350383631723</v>
          </cell>
          <cell r="J72">
            <v>0.48007246376811596</v>
          </cell>
          <cell r="K72">
            <v>0.48748353096179187</v>
          </cell>
          <cell r="L72">
            <v>0.46376811594202899</v>
          </cell>
          <cell r="M72">
            <v>0.52173913043478271</v>
          </cell>
          <cell r="N72">
            <v>0.48913043478260876</v>
          </cell>
          <cell r="O72">
            <v>0.51759834368530022</v>
          </cell>
          <cell r="P72">
            <v>0.57594579333709772</v>
          </cell>
          <cell r="Q72">
            <v>0</v>
          </cell>
          <cell r="R72" t="e">
            <v>#DIV/0!</v>
          </cell>
          <cell r="S72" t="e">
            <v>#DIV/0!</v>
          </cell>
          <cell r="T72" t="e">
            <v>#DIV/0!</v>
          </cell>
          <cell r="U72">
            <v>0.51219630946005157</v>
          </cell>
          <cell r="V72">
            <v>0.4918758783447349</v>
          </cell>
          <cell r="W72">
            <v>0</v>
          </cell>
          <cell r="X72">
            <v>2.0320431115316673E-2</v>
          </cell>
          <cell r="Y72">
            <v>0.51219630946005157</v>
          </cell>
        </row>
        <row r="73">
          <cell r="B73" t="str">
            <v>No of Payroll hours Paid</v>
          </cell>
          <cell r="E73">
            <v>4</v>
          </cell>
          <cell r="F73">
            <v>3</v>
          </cell>
          <cell r="G73">
            <v>4</v>
          </cell>
          <cell r="H73">
            <v>3</v>
          </cell>
          <cell r="I73">
            <v>4</v>
          </cell>
          <cell r="J73">
            <v>4</v>
          </cell>
          <cell r="K73">
            <v>3</v>
          </cell>
          <cell r="L73">
            <v>3</v>
          </cell>
          <cell r="M73">
            <v>4</v>
          </cell>
          <cell r="N73">
            <v>3</v>
          </cell>
          <cell r="O73">
            <v>4</v>
          </cell>
          <cell r="P73">
            <v>4</v>
          </cell>
          <cell r="Q73">
            <v>0</v>
          </cell>
          <cell r="R73">
            <v>4.5520000000000005</v>
          </cell>
          <cell r="S73">
            <v>4.5520000000000005</v>
          </cell>
          <cell r="T73">
            <v>4.5520000000000005</v>
          </cell>
          <cell r="U73">
            <v>81.075000000000003</v>
          </cell>
          <cell r="V73">
            <v>75</v>
          </cell>
          <cell r="W73">
            <v>0</v>
          </cell>
          <cell r="X73">
            <v>6.0750000000000002</v>
          </cell>
          <cell r="Y73">
            <v>81.075000000000003</v>
          </cell>
        </row>
        <row r="74">
          <cell r="B74" t="str">
            <v>Admissions/labour hour paid</v>
          </cell>
          <cell r="E74">
            <v>10.503856884949943</v>
          </cell>
          <cell r="F74">
            <v>10.833333333333334</v>
          </cell>
          <cell r="G74">
            <v>10.758131882040248</v>
          </cell>
          <cell r="H74">
            <v>10.503856884949943</v>
          </cell>
          <cell r="I74">
            <v>11.333333333333334</v>
          </cell>
          <cell r="J74">
            <v>12.150360713833692</v>
          </cell>
          <cell r="K74">
            <v>10.832102412604629</v>
          </cell>
          <cell r="L74">
            <v>12.5</v>
          </cell>
          <cell r="M74">
            <v>10.758131882040248</v>
          </cell>
          <cell r="N74">
            <v>10.503856884949943</v>
          </cell>
          <cell r="O74">
            <v>10.5</v>
          </cell>
          <cell r="P74">
            <v>11</v>
          </cell>
          <cell r="Q74">
            <v>0</v>
          </cell>
          <cell r="R74">
            <v>0</v>
          </cell>
          <cell r="S74">
            <v>0</v>
          </cell>
          <cell r="T74">
            <v>0</v>
          </cell>
          <cell r="U74">
            <v>11.014492753623188</v>
          </cell>
          <cell r="V74">
            <v>12.613333333333333</v>
          </cell>
          <cell r="W74" t="str">
            <v>N.A.</v>
          </cell>
          <cell r="X74">
            <v>-1.5988405797101457</v>
          </cell>
          <cell r="Y74" t="str">
            <v>N.A.</v>
          </cell>
        </row>
        <row r="75">
          <cell r="A75">
            <v>0</v>
          </cell>
        </row>
        <row r="76">
          <cell r="A76">
            <v>0</v>
          </cell>
          <cell r="B76" t="str">
            <v>6 Other Income</v>
          </cell>
        </row>
        <row r="77">
          <cell r="A77">
            <v>52</v>
          </cell>
          <cell r="B77" t="str">
            <v>Booking Fee</v>
          </cell>
          <cell r="E77">
            <v>2.265625</v>
          </cell>
          <cell r="F77">
            <v>2.265625</v>
          </cell>
          <cell r="G77">
            <v>2.265625</v>
          </cell>
          <cell r="H77">
            <v>2.265625</v>
          </cell>
          <cell r="I77">
            <v>2.265625</v>
          </cell>
          <cell r="J77">
            <v>2.265625</v>
          </cell>
          <cell r="K77">
            <v>2.265625</v>
          </cell>
          <cell r="L77">
            <v>2.265625</v>
          </cell>
          <cell r="M77">
            <v>2.265625</v>
          </cell>
          <cell r="N77">
            <v>2.265625</v>
          </cell>
          <cell r="O77">
            <v>2.265625</v>
          </cell>
          <cell r="P77">
            <v>2.265625</v>
          </cell>
          <cell r="T77">
            <v>0</v>
          </cell>
          <cell r="U77">
            <v>27.1875</v>
          </cell>
          <cell r="V77">
            <v>47.739530000000002</v>
          </cell>
          <cell r="W77">
            <v>3.8690000000000002</v>
          </cell>
          <cell r="X77">
            <v>-20.552030000000002</v>
          </cell>
          <cell r="Y77">
            <v>23.3185</v>
          </cell>
        </row>
        <row r="78">
          <cell r="A78">
            <v>53</v>
          </cell>
          <cell r="B78" t="str">
            <v>Auditorium Rentals</v>
          </cell>
          <cell r="E78">
            <v>4</v>
          </cell>
          <cell r="F78">
            <v>4</v>
          </cell>
          <cell r="G78">
            <v>4</v>
          </cell>
          <cell r="H78">
            <v>4</v>
          </cell>
          <cell r="I78">
            <v>4</v>
          </cell>
          <cell r="J78">
            <v>4</v>
          </cell>
          <cell r="K78">
            <v>4</v>
          </cell>
          <cell r="L78">
            <v>4</v>
          </cell>
          <cell r="M78">
            <v>4</v>
          </cell>
          <cell r="N78">
            <v>4</v>
          </cell>
          <cell r="O78">
            <v>4</v>
          </cell>
          <cell r="P78">
            <v>4</v>
          </cell>
          <cell r="T78">
            <v>0</v>
          </cell>
          <cell r="U78">
            <v>48</v>
          </cell>
          <cell r="V78">
            <v>45.44</v>
          </cell>
          <cell r="W78">
            <v>22.137</v>
          </cell>
          <cell r="X78">
            <v>2.56</v>
          </cell>
          <cell r="Y78">
            <v>25.863</v>
          </cell>
        </row>
        <row r="79">
          <cell r="A79">
            <v>54</v>
          </cell>
          <cell r="B79" t="str">
            <v>Parking Revenue</v>
          </cell>
          <cell r="E79">
            <v>0</v>
          </cell>
          <cell r="F79">
            <v>0</v>
          </cell>
          <cell r="G79">
            <v>0</v>
          </cell>
          <cell r="H79">
            <v>0</v>
          </cell>
          <cell r="I79">
            <v>0</v>
          </cell>
          <cell r="J79">
            <v>0</v>
          </cell>
          <cell r="K79">
            <v>0</v>
          </cell>
          <cell r="L79">
            <v>0</v>
          </cell>
          <cell r="M79">
            <v>0</v>
          </cell>
          <cell r="N79">
            <v>0</v>
          </cell>
          <cell r="O79">
            <v>0</v>
          </cell>
          <cell r="P79">
            <v>0</v>
          </cell>
          <cell r="T79">
            <v>0</v>
          </cell>
          <cell r="U79">
            <v>0</v>
          </cell>
          <cell r="V79">
            <v>0</v>
          </cell>
          <cell r="W79">
            <v>0</v>
          </cell>
          <cell r="X79">
            <v>0</v>
          </cell>
          <cell r="Y79">
            <v>0</v>
          </cell>
        </row>
        <row r="80">
          <cell r="A80">
            <v>55</v>
          </cell>
          <cell r="B80" t="str">
            <v>Ticket Advertising</v>
          </cell>
          <cell r="E80">
            <v>0</v>
          </cell>
          <cell r="F80">
            <v>0</v>
          </cell>
          <cell r="G80">
            <v>0</v>
          </cell>
          <cell r="H80">
            <v>0</v>
          </cell>
          <cell r="I80">
            <v>0</v>
          </cell>
          <cell r="J80">
            <v>0</v>
          </cell>
          <cell r="K80">
            <v>0</v>
          </cell>
          <cell r="L80">
            <v>0</v>
          </cell>
          <cell r="M80">
            <v>0</v>
          </cell>
          <cell r="N80">
            <v>0</v>
          </cell>
          <cell r="O80">
            <v>0</v>
          </cell>
          <cell r="P80">
            <v>0</v>
          </cell>
          <cell r="T80">
            <v>0</v>
          </cell>
          <cell r="U80">
            <v>0</v>
          </cell>
          <cell r="V80">
            <v>0</v>
          </cell>
          <cell r="W80">
            <v>0</v>
          </cell>
          <cell r="X80">
            <v>0</v>
          </cell>
          <cell r="Y80">
            <v>0</v>
          </cell>
        </row>
        <row r="81">
          <cell r="A81">
            <v>56</v>
          </cell>
          <cell r="B81" t="str">
            <v>Participating</v>
          </cell>
          <cell r="E81">
            <v>0</v>
          </cell>
          <cell r="F81">
            <v>0</v>
          </cell>
          <cell r="G81">
            <v>0</v>
          </cell>
          <cell r="H81">
            <v>0</v>
          </cell>
          <cell r="I81">
            <v>0</v>
          </cell>
          <cell r="J81">
            <v>0</v>
          </cell>
          <cell r="K81">
            <v>0</v>
          </cell>
          <cell r="L81">
            <v>0</v>
          </cell>
          <cell r="M81">
            <v>0</v>
          </cell>
          <cell r="N81">
            <v>0</v>
          </cell>
          <cell r="O81">
            <v>0</v>
          </cell>
          <cell r="P81">
            <v>0</v>
          </cell>
          <cell r="T81">
            <v>0</v>
          </cell>
          <cell r="U81">
            <v>0</v>
          </cell>
          <cell r="V81">
            <v>0</v>
          </cell>
          <cell r="W81">
            <v>0</v>
          </cell>
          <cell r="X81">
            <v>0</v>
          </cell>
          <cell r="Y81">
            <v>0</v>
          </cell>
        </row>
        <row r="82">
          <cell r="A82">
            <v>57</v>
          </cell>
          <cell r="B82" t="str">
            <v>Miscellaneous</v>
          </cell>
          <cell r="E82">
            <v>3.1720000000000002</v>
          </cell>
          <cell r="F82">
            <v>3.1720000000000002</v>
          </cell>
          <cell r="G82">
            <v>3.1720000000000002</v>
          </cell>
          <cell r="H82">
            <v>3.1720000000000002</v>
          </cell>
          <cell r="I82">
            <v>3.1720000000000002</v>
          </cell>
          <cell r="J82">
            <v>3.1720000000000002</v>
          </cell>
          <cell r="K82">
            <v>3.1720000000000002</v>
          </cell>
          <cell r="L82">
            <v>3.1720000000000002</v>
          </cell>
          <cell r="M82">
            <v>3.1720000000000002</v>
          </cell>
          <cell r="N82">
            <v>3.1720000000000002</v>
          </cell>
          <cell r="O82">
            <v>3.1720000000000002</v>
          </cell>
          <cell r="P82">
            <v>3.1720000000000002</v>
          </cell>
          <cell r="T82">
            <v>0</v>
          </cell>
          <cell r="U82">
            <v>38.064</v>
          </cell>
          <cell r="V82">
            <v>47.39</v>
          </cell>
          <cell r="W82">
            <v>53.447000000000003</v>
          </cell>
          <cell r="X82">
            <v>-9.3260000000000005</v>
          </cell>
          <cell r="Y82">
            <v>-15.383000000000003</v>
          </cell>
        </row>
        <row r="83">
          <cell r="C83">
            <v>0</v>
          </cell>
          <cell r="E83">
            <v>9.4376250000000006</v>
          </cell>
          <cell r="F83">
            <v>9.4376250000000006</v>
          </cell>
          <cell r="G83">
            <v>9.4376250000000006</v>
          </cell>
          <cell r="H83">
            <v>9.4376250000000006</v>
          </cell>
          <cell r="I83">
            <v>9.4376250000000006</v>
          </cell>
          <cell r="J83">
            <v>9.4376250000000006</v>
          </cell>
          <cell r="K83">
            <v>9.4376250000000006</v>
          </cell>
          <cell r="L83">
            <v>9.4376250000000006</v>
          </cell>
          <cell r="M83">
            <v>9.4376250000000006</v>
          </cell>
          <cell r="N83">
            <v>9.4376250000000006</v>
          </cell>
          <cell r="O83">
            <v>9.4376250000000006</v>
          </cell>
          <cell r="P83">
            <v>9.4376250000000006</v>
          </cell>
          <cell r="R83">
            <v>0</v>
          </cell>
          <cell r="S83">
            <v>0</v>
          </cell>
          <cell r="T83">
            <v>0</v>
          </cell>
          <cell r="U83">
            <v>113.25149999999999</v>
          </cell>
          <cell r="V83">
            <v>140.56952999999999</v>
          </cell>
          <cell r="W83">
            <v>79.453000000000003</v>
          </cell>
          <cell r="X83">
            <v>-27.318029999999993</v>
          </cell>
          <cell r="Y83">
            <v>33.79849999999999</v>
          </cell>
        </row>
        <row r="84">
          <cell r="X84">
            <v>0</v>
          </cell>
          <cell r="Y84">
            <v>0</v>
          </cell>
        </row>
        <row r="85">
          <cell r="B85" t="str">
            <v>10 Other Cost</v>
          </cell>
          <cell r="X85">
            <v>0</v>
          </cell>
          <cell r="Y85">
            <v>0</v>
          </cell>
        </row>
        <row r="86">
          <cell r="A86">
            <v>61</v>
          </cell>
          <cell r="B86" t="str">
            <v>Authors Rights</v>
          </cell>
          <cell r="E86">
            <v>0.85760000000000003</v>
          </cell>
          <cell r="F86">
            <v>0.871</v>
          </cell>
          <cell r="G86">
            <v>1.139</v>
          </cell>
          <cell r="H86">
            <v>0.85760000000000003</v>
          </cell>
          <cell r="I86">
            <v>0.91120000000000001</v>
          </cell>
          <cell r="J86">
            <v>1.2864000000000002</v>
          </cell>
          <cell r="K86">
            <v>0.88439999999999996</v>
          </cell>
          <cell r="L86">
            <v>1.0049999999999999</v>
          </cell>
          <cell r="M86">
            <v>1.139</v>
          </cell>
          <cell r="N86">
            <v>0.85760000000000003</v>
          </cell>
          <cell r="O86">
            <v>1.1256000000000002</v>
          </cell>
          <cell r="P86">
            <v>1.0318000000000001</v>
          </cell>
          <cell r="U86">
            <v>11.966200000000001</v>
          </cell>
          <cell r="V86">
            <v>12.628666939999997</v>
          </cell>
          <cell r="W86">
            <v>17.448117999999997</v>
          </cell>
          <cell r="X86">
            <v>-0.66246693999999628</v>
          </cell>
          <cell r="Y86">
            <v>-5.4819179999999967</v>
          </cell>
        </row>
        <row r="87">
          <cell r="A87">
            <v>62</v>
          </cell>
          <cell r="B87" t="str">
            <v>Film Levies</v>
          </cell>
          <cell r="E87">
            <v>0</v>
          </cell>
          <cell r="F87">
            <v>0</v>
          </cell>
          <cell r="G87">
            <v>0</v>
          </cell>
          <cell r="H87">
            <v>0</v>
          </cell>
          <cell r="I87">
            <v>0</v>
          </cell>
          <cell r="J87">
            <v>0</v>
          </cell>
          <cell r="K87">
            <v>0</v>
          </cell>
          <cell r="L87">
            <v>0</v>
          </cell>
          <cell r="M87">
            <v>0</v>
          </cell>
          <cell r="N87">
            <v>0</v>
          </cell>
          <cell r="O87">
            <v>0</v>
          </cell>
          <cell r="P87">
            <v>0</v>
          </cell>
          <cell r="U87">
            <v>0</v>
          </cell>
          <cell r="V87">
            <v>0</v>
          </cell>
          <cell r="W87">
            <v>0</v>
          </cell>
          <cell r="X87">
            <v>0</v>
          </cell>
          <cell r="Y87">
            <v>0</v>
          </cell>
        </row>
        <row r="88">
          <cell r="A88">
            <v>63</v>
          </cell>
          <cell r="B88" t="str">
            <v>Cultural Fees</v>
          </cell>
          <cell r="E88">
            <v>0</v>
          </cell>
          <cell r="F88">
            <v>0</v>
          </cell>
          <cell r="G88">
            <v>0</v>
          </cell>
          <cell r="H88">
            <v>0</v>
          </cell>
          <cell r="I88">
            <v>0</v>
          </cell>
          <cell r="J88">
            <v>0</v>
          </cell>
          <cell r="K88">
            <v>0</v>
          </cell>
          <cell r="L88">
            <v>0</v>
          </cell>
          <cell r="M88">
            <v>0</v>
          </cell>
          <cell r="N88">
            <v>0</v>
          </cell>
          <cell r="O88">
            <v>0</v>
          </cell>
          <cell r="P88">
            <v>0</v>
          </cell>
          <cell r="U88">
            <v>0</v>
          </cell>
          <cell r="V88">
            <v>0</v>
          </cell>
          <cell r="W88">
            <v>0</v>
          </cell>
          <cell r="X88">
            <v>0</v>
          </cell>
          <cell r="Y88">
            <v>0</v>
          </cell>
        </row>
        <row r="89">
          <cell r="A89">
            <v>64</v>
          </cell>
          <cell r="B89" t="str">
            <v>Municipal Taxes</v>
          </cell>
          <cell r="E89">
            <v>0</v>
          </cell>
          <cell r="F89">
            <v>0</v>
          </cell>
          <cell r="G89">
            <v>0</v>
          </cell>
          <cell r="H89">
            <v>0</v>
          </cell>
          <cell r="I89">
            <v>0</v>
          </cell>
          <cell r="J89">
            <v>0</v>
          </cell>
          <cell r="K89">
            <v>0</v>
          </cell>
          <cell r="L89">
            <v>0</v>
          </cell>
          <cell r="M89">
            <v>0</v>
          </cell>
          <cell r="N89">
            <v>0</v>
          </cell>
          <cell r="O89">
            <v>0</v>
          </cell>
          <cell r="P89">
            <v>0</v>
          </cell>
          <cell r="U89">
            <v>0</v>
          </cell>
          <cell r="V89">
            <v>0</v>
          </cell>
          <cell r="W89">
            <v>0</v>
          </cell>
          <cell r="X89">
            <v>0</v>
          </cell>
          <cell r="Y89">
            <v>0</v>
          </cell>
        </row>
        <row r="90">
          <cell r="A90">
            <v>65</v>
          </cell>
          <cell r="B90" t="str">
            <v>Other</v>
          </cell>
          <cell r="E90">
            <v>0</v>
          </cell>
          <cell r="F90">
            <v>0</v>
          </cell>
          <cell r="G90">
            <v>0</v>
          </cell>
          <cell r="H90">
            <v>0</v>
          </cell>
          <cell r="I90">
            <v>0</v>
          </cell>
          <cell r="J90">
            <v>0</v>
          </cell>
          <cell r="K90">
            <v>0</v>
          </cell>
          <cell r="L90">
            <v>0</v>
          </cell>
          <cell r="M90">
            <v>0</v>
          </cell>
          <cell r="N90">
            <v>0</v>
          </cell>
          <cell r="O90">
            <v>0</v>
          </cell>
          <cell r="P90">
            <v>0</v>
          </cell>
          <cell r="U90">
            <v>0</v>
          </cell>
          <cell r="V90">
            <v>0</v>
          </cell>
          <cell r="W90">
            <v>0</v>
          </cell>
          <cell r="X90">
            <v>0</v>
          </cell>
          <cell r="Y90">
            <v>0</v>
          </cell>
        </row>
        <row r="91">
          <cell r="E91">
            <v>0.85760000000000003</v>
          </cell>
          <cell r="F91">
            <v>0.871</v>
          </cell>
          <cell r="G91">
            <v>1.139</v>
          </cell>
          <cell r="H91">
            <v>0.85760000000000003</v>
          </cell>
          <cell r="I91">
            <v>0.91120000000000001</v>
          </cell>
          <cell r="J91">
            <v>1.2864000000000002</v>
          </cell>
          <cell r="K91">
            <v>0.88439999999999996</v>
          </cell>
          <cell r="L91">
            <v>1.0049999999999999</v>
          </cell>
          <cell r="M91">
            <v>1.139</v>
          </cell>
          <cell r="N91">
            <v>0.85760000000000003</v>
          </cell>
          <cell r="O91">
            <v>1.1256000000000002</v>
          </cell>
          <cell r="P91">
            <v>1.0318000000000001</v>
          </cell>
          <cell r="U91">
            <v>11.966200000000001</v>
          </cell>
          <cell r="V91">
            <v>12.628666939999997</v>
          </cell>
          <cell r="W91">
            <v>17.448117999999997</v>
          </cell>
          <cell r="X91">
            <v>-0.66246693999999628</v>
          </cell>
          <cell r="Y91">
            <v>-5.4819179999999967</v>
          </cell>
        </row>
        <row r="92">
          <cell r="X92">
            <v>0</v>
          </cell>
          <cell r="Y92">
            <v>0</v>
          </cell>
        </row>
        <row r="93">
          <cell r="B93" t="str">
            <v>11 Direct Payroll</v>
          </cell>
          <cell r="X93">
            <v>0</v>
          </cell>
          <cell r="Y93">
            <v>0</v>
          </cell>
        </row>
        <row r="94">
          <cell r="A94">
            <v>66</v>
          </cell>
          <cell r="B94" t="str">
            <v>Salaries</v>
          </cell>
          <cell r="E94">
            <v>34.256723504827583</v>
          </cell>
          <cell r="F94">
            <v>34.256723504827583</v>
          </cell>
          <cell r="G94">
            <v>35.356723504827585</v>
          </cell>
          <cell r="H94">
            <v>34.256723504827583</v>
          </cell>
          <cell r="I94">
            <v>34.256723504827583</v>
          </cell>
          <cell r="J94">
            <v>35.356723504827585</v>
          </cell>
          <cell r="K94">
            <v>35.057540052127578</v>
          </cell>
          <cell r="L94">
            <v>35.057540052127578</v>
          </cell>
          <cell r="M94">
            <v>36.15754005212758</v>
          </cell>
          <cell r="N94">
            <v>35.057540052127578</v>
          </cell>
          <cell r="O94">
            <v>36.15754005212758</v>
          </cell>
          <cell r="P94">
            <v>36.15754005212758</v>
          </cell>
          <cell r="Q94">
            <v>0</v>
          </cell>
          <cell r="T94">
            <v>0</v>
          </cell>
          <cell r="U94">
            <v>421.38558134173093</v>
          </cell>
          <cell r="V94">
            <v>547.94183499999997</v>
          </cell>
          <cell r="W94">
            <v>730.81500000000005</v>
          </cell>
          <cell r="X94">
            <v>-126.55625365826904</v>
          </cell>
          <cell r="Y94">
            <v>-309.42941865826913</v>
          </cell>
        </row>
        <row r="95">
          <cell r="A95">
            <v>67</v>
          </cell>
          <cell r="B95" t="str">
            <v>Bonus/Commission</v>
          </cell>
          <cell r="E95">
            <v>1.6967391666666665</v>
          </cell>
          <cell r="F95">
            <v>1.6967391666666665</v>
          </cell>
          <cell r="G95">
            <v>1.6967391666666665</v>
          </cell>
          <cell r="H95">
            <v>1.6967391666666665</v>
          </cell>
          <cell r="I95">
            <v>1.6967391666666665</v>
          </cell>
          <cell r="J95">
            <v>1.6967391666666665</v>
          </cell>
          <cell r="K95">
            <v>1.6967391666666665</v>
          </cell>
          <cell r="L95">
            <v>1.6967391666666665</v>
          </cell>
          <cell r="M95">
            <v>1.6967391666666665</v>
          </cell>
          <cell r="N95">
            <v>1.6967391666666665</v>
          </cell>
          <cell r="O95">
            <v>1.6967391666666665</v>
          </cell>
          <cell r="P95">
            <v>1.6967391666666665</v>
          </cell>
          <cell r="Q95">
            <v>0</v>
          </cell>
          <cell r="T95">
            <v>0</v>
          </cell>
          <cell r="U95">
            <v>20.360870000000002</v>
          </cell>
          <cell r="V95">
            <v>29.305899999999998</v>
          </cell>
          <cell r="W95">
            <v>53.343000000000004</v>
          </cell>
          <cell r="X95">
            <v>-8.9450299999999956</v>
          </cell>
          <cell r="Y95">
            <v>-32.982129999999998</v>
          </cell>
        </row>
        <row r="96">
          <cell r="A96">
            <v>68</v>
          </cell>
          <cell r="B96" t="str">
            <v>Payroll Tax</v>
          </cell>
          <cell r="E96">
            <v>0</v>
          </cell>
          <cell r="F96">
            <v>0</v>
          </cell>
          <cell r="G96">
            <v>0</v>
          </cell>
          <cell r="H96">
            <v>0</v>
          </cell>
          <cell r="I96">
            <v>0</v>
          </cell>
          <cell r="J96">
            <v>0</v>
          </cell>
          <cell r="K96">
            <v>0</v>
          </cell>
          <cell r="L96">
            <v>0</v>
          </cell>
          <cell r="M96">
            <v>0</v>
          </cell>
          <cell r="N96">
            <v>0</v>
          </cell>
          <cell r="O96">
            <v>0</v>
          </cell>
          <cell r="P96">
            <v>0</v>
          </cell>
          <cell r="Q96">
            <v>0</v>
          </cell>
          <cell r="T96">
            <v>0</v>
          </cell>
          <cell r="U96">
            <v>0</v>
          </cell>
          <cell r="V96">
            <v>0</v>
          </cell>
          <cell r="W96">
            <v>0</v>
          </cell>
          <cell r="X96">
            <v>0</v>
          </cell>
          <cell r="Y96">
            <v>0</v>
          </cell>
        </row>
        <row r="97">
          <cell r="A97">
            <v>69</v>
          </cell>
          <cell r="B97" t="str">
            <v>Welfare &amp; Pension</v>
          </cell>
          <cell r="E97">
            <v>0.55300000000000005</v>
          </cell>
          <cell r="F97">
            <v>0.55300000000000005</v>
          </cell>
          <cell r="G97">
            <v>0.55300000000000005</v>
          </cell>
          <cell r="H97">
            <v>0.55300000000000005</v>
          </cell>
          <cell r="I97">
            <v>0.55300000000000005</v>
          </cell>
          <cell r="J97">
            <v>0.55300000000000005</v>
          </cell>
          <cell r="K97">
            <v>0.55300000000000005</v>
          </cell>
          <cell r="L97">
            <v>0.55300000000000005</v>
          </cell>
          <cell r="M97">
            <v>0.55300000000000005</v>
          </cell>
          <cell r="N97">
            <v>0.55300000000000005</v>
          </cell>
          <cell r="O97">
            <v>0.55300000000000005</v>
          </cell>
          <cell r="P97">
            <v>0.55300000000000005</v>
          </cell>
          <cell r="Q97">
            <v>0</v>
          </cell>
          <cell r="T97">
            <v>0</v>
          </cell>
          <cell r="U97">
            <v>6.6360000000000001</v>
          </cell>
          <cell r="V97">
            <v>10.023599999999998</v>
          </cell>
          <cell r="W97">
            <v>28.282</v>
          </cell>
          <cell r="X97">
            <v>-3.3875999999999982</v>
          </cell>
          <cell r="Y97">
            <v>-21.646000000000001</v>
          </cell>
        </row>
        <row r="98">
          <cell r="A98">
            <v>70</v>
          </cell>
          <cell r="B98" t="str">
            <v>Miscellaneous</v>
          </cell>
          <cell r="E98">
            <v>0.78439999999999999</v>
          </cell>
          <cell r="F98">
            <v>0.78439999999999999</v>
          </cell>
          <cell r="G98">
            <v>0.78439999999999999</v>
          </cell>
          <cell r="H98">
            <v>0.78439999999999999</v>
          </cell>
          <cell r="I98">
            <v>0.78439999999999999</v>
          </cell>
          <cell r="J98">
            <v>0.78439999999999999</v>
          </cell>
          <cell r="K98">
            <v>0.78439999999999999</v>
          </cell>
          <cell r="L98">
            <v>0.78439999999999999</v>
          </cell>
          <cell r="M98">
            <v>0.78439999999999999</v>
          </cell>
          <cell r="N98">
            <v>0.78439999999999999</v>
          </cell>
          <cell r="O98">
            <v>0.78439999999999999</v>
          </cell>
          <cell r="P98">
            <v>0.78439999999999999</v>
          </cell>
          <cell r="Q98">
            <v>0</v>
          </cell>
          <cell r="T98">
            <v>0</v>
          </cell>
          <cell r="U98">
            <v>9.4127999999999989</v>
          </cell>
          <cell r="V98">
            <v>10.42557</v>
          </cell>
          <cell r="W98">
            <v>14.922000000000001</v>
          </cell>
          <cell r="X98">
            <v>-1.0127700000000015</v>
          </cell>
          <cell r="Y98">
            <v>-5.5092000000000017</v>
          </cell>
        </row>
        <row r="99">
          <cell r="C99">
            <v>0</v>
          </cell>
          <cell r="E99">
            <v>37.290862671494246</v>
          </cell>
          <cell r="F99">
            <v>37.290862671494246</v>
          </cell>
          <cell r="G99">
            <v>38.390862671494247</v>
          </cell>
          <cell r="H99">
            <v>37.290862671494246</v>
          </cell>
          <cell r="I99">
            <v>37.290862671494246</v>
          </cell>
          <cell r="J99">
            <v>38.390862671494247</v>
          </cell>
          <cell r="K99">
            <v>38.091679218794241</v>
          </cell>
          <cell r="L99">
            <v>38.091679218794241</v>
          </cell>
          <cell r="M99">
            <v>39.191679218794242</v>
          </cell>
          <cell r="N99">
            <v>38.091679218794241</v>
          </cell>
          <cell r="O99">
            <v>39.191679218794242</v>
          </cell>
          <cell r="P99">
            <v>39.191679218794242</v>
          </cell>
          <cell r="Q99">
            <v>0</v>
          </cell>
          <cell r="R99">
            <v>0</v>
          </cell>
          <cell r="S99">
            <v>0</v>
          </cell>
          <cell r="T99">
            <v>0</v>
          </cell>
          <cell r="U99">
            <v>457.79525134173093</v>
          </cell>
          <cell r="V99">
            <v>597.6969049999999</v>
          </cell>
          <cell r="W99">
            <v>827.36200000000008</v>
          </cell>
          <cell r="X99">
            <v>-139.90165365826897</v>
          </cell>
          <cell r="Y99">
            <v>-369.56674865826915</v>
          </cell>
        </row>
        <row r="100">
          <cell r="Q100">
            <v>0</v>
          </cell>
          <cell r="X100">
            <v>0</v>
          </cell>
          <cell r="Y100">
            <v>0</v>
          </cell>
        </row>
        <row r="101">
          <cell r="B101" t="str">
            <v>16 Other Overhead Costs</v>
          </cell>
          <cell r="Q101">
            <v>0</v>
          </cell>
          <cell r="X101">
            <v>0</v>
          </cell>
          <cell r="Y101">
            <v>0</v>
          </cell>
        </row>
        <row r="102">
          <cell r="A102">
            <v>71</v>
          </cell>
          <cell r="B102" t="str">
            <v>Insurance (Other than employee)</v>
          </cell>
          <cell r="E102">
            <v>1.3</v>
          </cell>
          <cell r="F102">
            <v>1.3</v>
          </cell>
          <cell r="G102">
            <v>1.3</v>
          </cell>
          <cell r="H102">
            <v>1.3</v>
          </cell>
          <cell r="I102">
            <v>1.3</v>
          </cell>
          <cell r="J102">
            <v>1.3</v>
          </cell>
          <cell r="K102">
            <v>1.3</v>
          </cell>
          <cell r="L102">
            <v>1.3</v>
          </cell>
          <cell r="M102">
            <v>1.3</v>
          </cell>
          <cell r="N102">
            <v>1.3</v>
          </cell>
          <cell r="O102">
            <v>1.3</v>
          </cell>
          <cell r="P102">
            <v>1.3</v>
          </cell>
          <cell r="Q102">
            <v>0</v>
          </cell>
          <cell r="T102">
            <v>0</v>
          </cell>
          <cell r="U102">
            <v>15.6</v>
          </cell>
          <cell r="V102">
            <v>15.299569999999996</v>
          </cell>
          <cell r="W102">
            <v>17.048999999999999</v>
          </cell>
          <cell r="X102">
            <v>0.30043000000000752</v>
          </cell>
          <cell r="Y102">
            <v>-1.4489999999999963</v>
          </cell>
        </row>
        <row r="103">
          <cell r="A103">
            <v>72</v>
          </cell>
          <cell r="B103" t="str">
            <v>Property Taxes</v>
          </cell>
          <cell r="E103">
            <v>4.0194000000000001</v>
          </cell>
          <cell r="F103">
            <v>4.0190000000000001</v>
          </cell>
          <cell r="G103">
            <v>4.0190000000000001</v>
          </cell>
          <cell r="H103">
            <v>4.0190000000000001</v>
          </cell>
          <cell r="I103">
            <v>4.0190000000000001</v>
          </cell>
          <cell r="J103">
            <v>4.0190000000000001</v>
          </cell>
          <cell r="K103">
            <v>4.0190000000000001</v>
          </cell>
          <cell r="L103">
            <v>4.0190000000000001</v>
          </cell>
          <cell r="M103">
            <v>4.0190000000000001</v>
          </cell>
          <cell r="N103">
            <v>4.0190000000000001</v>
          </cell>
          <cell r="O103">
            <v>4.0190000000000001</v>
          </cell>
          <cell r="P103">
            <v>4.0190000000000001</v>
          </cell>
          <cell r="Q103">
            <v>0</v>
          </cell>
          <cell r="T103">
            <v>0</v>
          </cell>
          <cell r="U103">
            <v>48.228399999999986</v>
          </cell>
          <cell r="V103">
            <v>48.228399999999986</v>
          </cell>
          <cell r="W103">
            <v>107.184</v>
          </cell>
          <cell r="X103">
            <v>0</v>
          </cell>
          <cell r="Y103">
            <v>-58.955600000000011</v>
          </cell>
        </row>
        <row r="104">
          <cell r="A104">
            <v>73</v>
          </cell>
          <cell r="B104" t="str">
            <v>Travel &amp; Entertainment</v>
          </cell>
          <cell r="E104">
            <v>2</v>
          </cell>
          <cell r="F104">
            <v>2</v>
          </cell>
          <cell r="G104">
            <v>2</v>
          </cell>
          <cell r="H104">
            <v>2</v>
          </cell>
          <cell r="I104">
            <v>2</v>
          </cell>
          <cell r="J104">
            <v>2</v>
          </cell>
          <cell r="K104">
            <v>2</v>
          </cell>
          <cell r="L104">
            <v>2</v>
          </cell>
          <cell r="M104">
            <v>2</v>
          </cell>
          <cell r="N104">
            <v>2</v>
          </cell>
          <cell r="O104">
            <v>2</v>
          </cell>
          <cell r="P104">
            <v>2</v>
          </cell>
          <cell r="T104">
            <v>0</v>
          </cell>
          <cell r="U104">
            <v>24</v>
          </cell>
          <cell r="V104">
            <v>20.267083333333332</v>
          </cell>
          <cell r="W104">
            <v>20.210999999999999</v>
          </cell>
          <cell r="X104">
            <v>3.732916666666668</v>
          </cell>
          <cell r="Y104">
            <v>3.7890000000000015</v>
          </cell>
        </row>
        <row r="105">
          <cell r="A105">
            <v>74</v>
          </cell>
          <cell r="B105" t="str">
            <v>Legal &amp; Professional</v>
          </cell>
          <cell r="E105">
            <v>1</v>
          </cell>
          <cell r="F105">
            <v>1</v>
          </cell>
          <cell r="G105">
            <v>1</v>
          </cell>
          <cell r="H105">
            <v>1</v>
          </cell>
          <cell r="I105">
            <v>1</v>
          </cell>
          <cell r="J105">
            <v>1</v>
          </cell>
          <cell r="K105">
            <v>1</v>
          </cell>
          <cell r="L105">
            <v>1</v>
          </cell>
          <cell r="M105">
            <v>1</v>
          </cell>
          <cell r="N105">
            <v>1</v>
          </cell>
          <cell r="O105">
            <v>1</v>
          </cell>
          <cell r="P105">
            <v>1</v>
          </cell>
          <cell r="T105">
            <v>0</v>
          </cell>
          <cell r="U105">
            <v>12</v>
          </cell>
          <cell r="V105">
            <v>12.994800000000001</v>
          </cell>
          <cell r="W105">
            <v>22.789000000000001</v>
          </cell>
          <cell r="X105">
            <v>-0.99480000000000146</v>
          </cell>
          <cell r="Y105">
            <v>-10.789000000000001</v>
          </cell>
        </row>
        <row r="106">
          <cell r="A106">
            <v>75</v>
          </cell>
          <cell r="B106" t="str">
            <v>Credit Card Charges</v>
          </cell>
          <cell r="E106">
            <v>0.5</v>
          </cell>
          <cell r="F106">
            <v>0.5</v>
          </cell>
          <cell r="G106">
            <v>0.5</v>
          </cell>
          <cell r="H106">
            <v>0.5</v>
          </cell>
          <cell r="I106">
            <v>0.5</v>
          </cell>
          <cell r="J106">
            <v>0.5</v>
          </cell>
          <cell r="K106">
            <v>0.5</v>
          </cell>
          <cell r="L106">
            <v>0.5</v>
          </cell>
          <cell r="M106">
            <v>0.5</v>
          </cell>
          <cell r="N106">
            <v>0.5</v>
          </cell>
          <cell r="O106">
            <v>0.5</v>
          </cell>
          <cell r="P106">
            <v>0.5</v>
          </cell>
          <cell r="T106">
            <v>0</v>
          </cell>
          <cell r="U106">
            <v>6</v>
          </cell>
          <cell r="V106">
            <v>2.9394600000000008</v>
          </cell>
          <cell r="W106">
            <v>0</v>
          </cell>
          <cell r="X106">
            <v>3.0605399999999992</v>
          </cell>
          <cell r="Y106">
            <v>6</v>
          </cell>
        </row>
        <row r="107">
          <cell r="A107">
            <v>76</v>
          </cell>
          <cell r="B107" t="str">
            <v>Membership Fees</v>
          </cell>
          <cell r="E107">
            <v>0</v>
          </cell>
          <cell r="F107">
            <v>0</v>
          </cell>
          <cell r="G107">
            <v>0</v>
          </cell>
          <cell r="H107">
            <v>0</v>
          </cell>
          <cell r="I107">
            <v>0</v>
          </cell>
          <cell r="J107">
            <v>0</v>
          </cell>
          <cell r="K107">
            <v>0</v>
          </cell>
          <cell r="L107">
            <v>0</v>
          </cell>
          <cell r="M107">
            <v>0</v>
          </cell>
          <cell r="N107">
            <v>0</v>
          </cell>
          <cell r="O107">
            <v>0</v>
          </cell>
          <cell r="P107">
            <v>0</v>
          </cell>
          <cell r="T107">
            <v>0</v>
          </cell>
          <cell r="U107">
            <v>0</v>
          </cell>
          <cell r="V107">
            <v>0</v>
          </cell>
          <cell r="W107">
            <v>0</v>
          </cell>
          <cell r="X107">
            <v>0</v>
          </cell>
          <cell r="Y107">
            <v>0</v>
          </cell>
        </row>
        <row r="108">
          <cell r="A108">
            <v>77</v>
          </cell>
          <cell r="B108" t="str">
            <v>Taxes &amp; Licences</v>
          </cell>
          <cell r="E108">
            <v>0.218</v>
          </cell>
          <cell r="F108">
            <v>0.218</v>
          </cell>
          <cell r="G108">
            <v>0.218</v>
          </cell>
          <cell r="H108">
            <v>0.218</v>
          </cell>
          <cell r="I108">
            <v>0.218</v>
          </cell>
          <cell r="J108">
            <v>0.218</v>
          </cell>
          <cell r="K108">
            <v>0.218</v>
          </cell>
          <cell r="L108">
            <v>0.218</v>
          </cell>
          <cell r="M108">
            <v>0.218</v>
          </cell>
          <cell r="N108">
            <v>0.218</v>
          </cell>
          <cell r="O108">
            <v>0.218</v>
          </cell>
          <cell r="P108">
            <v>0.218</v>
          </cell>
          <cell r="T108">
            <v>0</v>
          </cell>
          <cell r="U108">
            <v>2.6160000000000001</v>
          </cell>
          <cell r="V108">
            <v>5.9783652200000024</v>
          </cell>
          <cell r="W108">
            <v>21.227882000000005</v>
          </cell>
          <cell r="X108">
            <v>-3.3623652200000023</v>
          </cell>
          <cell r="Y108">
            <v>-18.611882000000005</v>
          </cell>
        </row>
        <row r="109">
          <cell r="A109">
            <v>78</v>
          </cell>
          <cell r="B109" t="str">
            <v>Convention expense</v>
          </cell>
          <cell r="E109">
            <v>0</v>
          </cell>
          <cell r="F109">
            <v>0</v>
          </cell>
          <cell r="G109">
            <v>0</v>
          </cell>
          <cell r="H109">
            <v>0</v>
          </cell>
          <cell r="I109">
            <v>0</v>
          </cell>
          <cell r="J109">
            <v>0</v>
          </cell>
          <cell r="K109">
            <v>0</v>
          </cell>
          <cell r="L109">
            <v>0</v>
          </cell>
          <cell r="M109">
            <v>0</v>
          </cell>
          <cell r="N109">
            <v>0</v>
          </cell>
          <cell r="O109">
            <v>0</v>
          </cell>
          <cell r="P109">
            <v>0</v>
          </cell>
          <cell r="T109">
            <v>0</v>
          </cell>
          <cell r="U109">
            <v>0</v>
          </cell>
          <cell r="V109">
            <v>0</v>
          </cell>
          <cell r="W109">
            <v>0</v>
          </cell>
          <cell r="X109">
            <v>0</v>
          </cell>
          <cell r="Y109">
            <v>0</v>
          </cell>
        </row>
        <row r="110">
          <cell r="A110">
            <v>79</v>
          </cell>
          <cell r="B110" t="str">
            <v>Contributions</v>
          </cell>
          <cell r="E110">
            <v>0</v>
          </cell>
          <cell r="F110">
            <v>0</v>
          </cell>
          <cell r="G110">
            <v>0</v>
          </cell>
          <cell r="H110">
            <v>0</v>
          </cell>
          <cell r="I110">
            <v>0</v>
          </cell>
          <cell r="J110">
            <v>0</v>
          </cell>
          <cell r="K110">
            <v>0</v>
          </cell>
          <cell r="L110">
            <v>0</v>
          </cell>
          <cell r="M110">
            <v>0</v>
          </cell>
          <cell r="N110">
            <v>0</v>
          </cell>
          <cell r="O110">
            <v>0</v>
          </cell>
          <cell r="P110">
            <v>0</v>
          </cell>
          <cell r="T110">
            <v>0</v>
          </cell>
          <cell r="U110">
            <v>0</v>
          </cell>
          <cell r="V110">
            <v>0</v>
          </cell>
          <cell r="W110">
            <v>0</v>
          </cell>
          <cell r="X110">
            <v>0</v>
          </cell>
          <cell r="Y110">
            <v>0</v>
          </cell>
        </row>
        <row r="111">
          <cell r="A111">
            <v>80</v>
          </cell>
          <cell r="B111" t="str">
            <v>Contract Cleaners</v>
          </cell>
          <cell r="E111">
            <v>5.54528</v>
          </cell>
          <cell r="F111">
            <v>5.54528</v>
          </cell>
          <cell r="G111">
            <v>5.3664000000000005</v>
          </cell>
          <cell r="H111">
            <v>5.54528</v>
          </cell>
          <cell r="I111">
            <v>7.8664000000000005</v>
          </cell>
          <cell r="J111">
            <v>5.54528</v>
          </cell>
          <cell r="K111">
            <v>5.54528</v>
          </cell>
          <cell r="L111">
            <v>7.5086399999999998</v>
          </cell>
          <cell r="M111">
            <v>5.54528</v>
          </cell>
          <cell r="N111">
            <v>5.3664000000000005</v>
          </cell>
          <cell r="O111">
            <v>5.54528</v>
          </cell>
          <cell r="P111">
            <v>5.3664000000000005</v>
          </cell>
          <cell r="T111">
            <v>0</v>
          </cell>
          <cell r="U111">
            <v>70.291199999999989</v>
          </cell>
          <cell r="V111">
            <v>133.85639999999998</v>
          </cell>
          <cell r="W111">
            <v>139.471</v>
          </cell>
          <cell r="X111">
            <v>-63.56519999999999</v>
          </cell>
          <cell r="Y111">
            <v>-69.179800000000014</v>
          </cell>
        </row>
        <row r="112">
          <cell r="A112">
            <v>81</v>
          </cell>
          <cell r="B112" t="str">
            <v>Telephone &amp; Faxes</v>
          </cell>
          <cell r="E112">
            <v>4</v>
          </cell>
          <cell r="F112">
            <v>4</v>
          </cell>
          <cell r="G112">
            <v>4</v>
          </cell>
          <cell r="H112">
            <v>4</v>
          </cell>
          <cell r="I112">
            <v>4</v>
          </cell>
          <cell r="J112">
            <v>4</v>
          </cell>
          <cell r="K112">
            <v>4</v>
          </cell>
          <cell r="L112">
            <v>4</v>
          </cell>
          <cell r="M112">
            <v>4</v>
          </cell>
          <cell r="N112">
            <v>4</v>
          </cell>
          <cell r="O112">
            <v>4</v>
          </cell>
          <cell r="P112">
            <v>4</v>
          </cell>
          <cell r="T112">
            <v>0</v>
          </cell>
          <cell r="U112">
            <v>48</v>
          </cell>
          <cell r="V112">
            <v>56.679920000000003</v>
          </cell>
          <cell r="W112">
            <v>36.619</v>
          </cell>
          <cell r="X112">
            <v>-8.6799200000000027</v>
          </cell>
          <cell r="Y112">
            <v>11.381</v>
          </cell>
        </row>
        <row r="113">
          <cell r="A113">
            <v>82</v>
          </cell>
          <cell r="B113" t="str">
            <v>Stationery &amp; Printing</v>
          </cell>
          <cell r="E113">
            <v>0.6</v>
          </cell>
          <cell r="F113">
            <v>0.6</v>
          </cell>
          <cell r="G113">
            <v>0.6</v>
          </cell>
          <cell r="H113">
            <v>0.6</v>
          </cell>
          <cell r="I113">
            <v>0.6</v>
          </cell>
          <cell r="J113">
            <v>0.6</v>
          </cell>
          <cell r="K113">
            <v>0.6</v>
          </cell>
          <cell r="L113">
            <v>0.6</v>
          </cell>
          <cell r="M113">
            <v>0.6</v>
          </cell>
          <cell r="N113">
            <v>0.6</v>
          </cell>
          <cell r="O113">
            <v>0.6</v>
          </cell>
          <cell r="P113">
            <v>0.6</v>
          </cell>
          <cell r="T113">
            <v>0</v>
          </cell>
          <cell r="U113">
            <v>7.2</v>
          </cell>
          <cell r="V113">
            <v>7.4699699999999982</v>
          </cell>
          <cell r="W113">
            <v>7.5039999999999996</v>
          </cell>
          <cell r="X113">
            <v>-0.26996999999999982</v>
          </cell>
          <cell r="Y113">
            <v>-0.30400000000000116</v>
          </cell>
        </row>
        <row r="114">
          <cell r="A114">
            <v>83</v>
          </cell>
          <cell r="B114" t="str">
            <v>Uniforms &amp; Laundry</v>
          </cell>
          <cell r="E114">
            <v>0.2</v>
          </cell>
          <cell r="F114">
            <v>0.2</v>
          </cell>
          <cell r="G114">
            <v>0.2</v>
          </cell>
          <cell r="H114">
            <v>0.2</v>
          </cell>
          <cell r="I114">
            <v>0.2</v>
          </cell>
          <cell r="J114">
            <v>0.2</v>
          </cell>
          <cell r="K114">
            <v>0.2</v>
          </cell>
          <cell r="L114">
            <v>0.2</v>
          </cell>
          <cell r="M114">
            <v>0.2</v>
          </cell>
          <cell r="N114">
            <v>0.2</v>
          </cell>
          <cell r="O114">
            <v>0.2</v>
          </cell>
          <cell r="P114">
            <v>0.2</v>
          </cell>
          <cell r="T114">
            <v>0</v>
          </cell>
          <cell r="U114">
            <v>2.4</v>
          </cell>
          <cell r="V114">
            <v>0.60799999999999998</v>
          </cell>
          <cell r="W114">
            <v>6.2679999999999998</v>
          </cell>
          <cell r="X114">
            <v>1.7919999999999998</v>
          </cell>
          <cell r="Y114">
            <v>-3.8679999999999999</v>
          </cell>
        </row>
        <row r="115">
          <cell r="A115">
            <v>84</v>
          </cell>
          <cell r="B115" t="str">
            <v>Freight</v>
          </cell>
          <cell r="E115">
            <v>0.5</v>
          </cell>
          <cell r="F115">
            <v>0.5</v>
          </cell>
          <cell r="G115">
            <v>0.5</v>
          </cell>
          <cell r="H115">
            <v>0.5</v>
          </cell>
          <cell r="I115">
            <v>0.5</v>
          </cell>
          <cell r="J115">
            <v>0.5</v>
          </cell>
          <cell r="K115">
            <v>0.5</v>
          </cell>
          <cell r="L115">
            <v>0.5</v>
          </cell>
          <cell r="M115">
            <v>0.5</v>
          </cell>
          <cell r="N115">
            <v>0.5</v>
          </cell>
          <cell r="O115">
            <v>0.5</v>
          </cell>
          <cell r="P115">
            <v>0.5</v>
          </cell>
          <cell r="T115">
            <v>0</v>
          </cell>
          <cell r="U115">
            <v>6</v>
          </cell>
          <cell r="V115">
            <v>6.3080999999999996</v>
          </cell>
          <cell r="W115">
            <v>4.5119999999999996</v>
          </cell>
          <cell r="X115">
            <v>-0.3080999999999996</v>
          </cell>
          <cell r="Y115">
            <v>1.4880000000000004</v>
          </cell>
        </row>
        <row r="116">
          <cell r="A116">
            <v>85</v>
          </cell>
          <cell r="B116" t="str">
            <v>Data processing</v>
          </cell>
          <cell r="E116">
            <v>0</v>
          </cell>
          <cell r="F116">
            <v>0</v>
          </cell>
          <cell r="G116">
            <v>0</v>
          </cell>
          <cell r="H116">
            <v>0</v>
          </cell>
          <cell r="I116">
            <v>0</v>
          </cell>
          <cell r="J116">
            <v>0</v>
          </cell>
          <cell r="K116">
            <v>0</v>
          </cell>
          <cell r="L116">
            <v>0</v>
          </cell>
          <cell r="M116">
            <v>0</v>
          </cell>
          <cell r="N116">
            <v>0</v>
          </cell>
          <cell r="O116">
            <v>0</v>
          </cell>
          <cell r="P116">
            <v>0</v>
          </cell>
          <cell r="T116">
            <v>0</v>
          </cell>
          <cell r="U116">
            <v>0</v>
          </cell>
          <cell r="V116">
            <v>0</v>
          </cell>
          <cell r="W116">
            <v>0</v>
          </cell>
          <cell r="X116">
            <v>0</v>
          </cell>
          <cell r="Y116">
            <v>0</v>
          </cell>
        </row>
        <row r="117">
          <cell r="A117">
            <v>86</v>
          </cell>
          <cell r="B117" t="str">
            <v>Bank Charges</v>
          </cell>
          <cell r="E117">
            <v>0.2</v>
          </cell>
          <cell r="F117">
            <v>0.2</v>
          </cell>
          <cell r="G117">
            <v>0.2</v>
          </cell>
          <cell r="H117">
            <v>0.2</v>
          </cell>
          <cell r="I117">
            <v>0.2</v>
          </cell>
          <cell r="J117">
            <v>0.2</v>
          </cell>
          <cell r="K117">
            <v>0.2</v>
          </cell>
          <cell r="L117">
            <v>0.2</v>
          </cell>
          <cell r="M117">
            <v>0.2</v>
          </cell>
          <cell r="N117">
            <v>0.2</v>
          </cell>
          <cell r="O117">
            <v>0.2</v>
          </cell>
          <cell r="P117">
            <v>0.2</v>
          </cell>
          <cell r="T117">
            <v>0</v>
          </cell>
          <cell r="U117">
            <v>2.4</v>
          </cell>
          <cell r="V117">
            <v>1.0617499999999997</v>
          </cell>
          <cell r="W117">
            <v>2.919</v>
          </cell>
          <cell r="X117">
            <v>1.3382500000000002</v>
          </cell>
          <cell r="Y117">
            <v>-0.51900000000000013</v>
          </cell>
        </row>
        <row r="118">
          <cell r="A118">
            <v>87</v>
          </cell>
          <cell r="B118" t="str">
            <v>Parking Expenses</v>
          </cell>
          <cell r="E118">
            <v>0</v>
          </cell>
          <cell r="F118">
            <v>0</v>
          </cell>
          <cell r="G118">
            <v>0</v>
          </cell>
          <cell r="H118">
            <v>0</v>
          </cell>
          <cell r="I118">
            <v>0</v>
          </cell>
          <cell r="J118">
            <v>0</v>
          </cell>
          <cell r="K118">
            <v>0</v>
          </cell>
          <cell r="L118">
            <v>0</v>
          </cell>
          <cell r="M118">
            <v>0</v>
          </cell>
          <cell r="N118">
            <v>0</v>
          </cell>
          <cell r="O118">
            <v>0</v>
          </cell>
          <cell r="P118">
            <v>0</v>
          </cell>
          <cell r="T118">
            <v>0</v>
          </cell>
          <cell r="U118">
            <v>0</v>
          </cell>
          <cell r="V118">
            <v>0</v>
          </cell>
          <cell r="W118">
            <v>0</v>
          </cell>
          <cell r="X118">
            <v>0</v>
          </cell>
          <cell r="Y118">
            <v>0</v>
          </cell>
        </row>
        <row r="119">
          <cell r="A119">
            <v>88</v>
          </cell>
          <cell r="B119" t="str">
            <v>Staff training</v>
          </cell>
          <cell r="E119">
            <v>0.49790862671494251</v>
          </cell>
          <cell r="F119">
            <v>0.49790862671494251</v>
          </cell>
          <cell r="G119">
            <v>0.50890862671494252</v>
          </cell>
          <cell r="H119">
            <v>0.49790862671494251</v>
          </cell>
          <cell r="I119">
            <v>0.49790862671494251</v>
          </cell>
          <cell r="J119">
            <v>0.50890862671494252</v>
          </cell>
          <cell r="K119">
            <v>0.5059167921879425</v>
          </cell>
          <cell r="L119">
            <v>0.5059167921879425</v>
          </cell>
          <cell r="M119">
            <v>0.51691679218794251</v>
          </cell>
          <cell r="N119">
            <v>0.5059167921879425</v>
          </cell>
          <cell r="O119">
            <v>0.51691679218794251</v>
          </cell>
          <cell r="P119">
            <v>0.51691679218794251</v>
          </cell>
          <cell r="T119">
            <v>0</v>
          </cell>
          <cell r="U119">
            <v>6.0779525134173102</v>
          </cell>
          <cell r="V119">
            <v>6.1970000000000001</v>
          </cell>
          <cell r="W119">
            <v>9.8239999999999998</v>
          </cell>
          <cell r="X119">
            <v>-0.11904748658268982</v>
          </cell>
          <cell r="Y119">
            <v>-3.7460474865826896</v>
          </cell>
        </row>
        <row r="120">
          <cell r="A120">
            <v>89</v>
          </cell>
          <cell r="B120" t="str">
            <v>Security</v>
          </cell>
          <cell r="E120">
            <v>1.3</v>
          </cell>
          <cell r="F120">
            <v>1.3</v>
          </cell>
          <cell r="G120">
            <v>1.3</v>
          </cell>
          <cell r="H120">
            <v>1.3</v>
          </cell>
          <cell r="I120">
            <v>1.3</v>
          </cell>
          <cell r="J120">
            <v>1.3</v>
          </cell>
          <cell r="K120">
            <v>1.3</v>
          </cell>
          <cell r="L120">
            <v>1.3</v>
          </cell>
          <cell r="M120">
            <v>1.3</v>
          </cell>
          <cell r="N120">
            <v>1.3</v>
          </cell>
          <cell r="O120">
            <v>1.3</v>
          </cell>
          <cell r="P120">
            <v>1.3</v>
          </cell>
          <cell r="U120">
            <v>15.6</v>
          </cell>
          <cell r="V120">
            <v>15.6</v>
          </cell>
          <cell r="W120">
            <v>15.6</v>
          </cell>
          <cell r="X120">
            <v>0</v>
          </cell>
          <cell r="Y120">
            <v>0</v>
          </cell>
        </row>
        <row r="121">
          <cell r="A121">
            <v>90</v>
          </cell>
          <cell r="B121" t="str">
            <v>Postage</v>
          </cell>
          <cell r="E121">
            <v>0</v>
          </cell>
          <cell r="F121">
            <v>0</v>
          </cell>
          <cell r="G121">
            <v>0</v>
          </cell>
          <cell r="H121">
            <v>0</v>
          </cell>
          <cell r="I121">
            <v>0</v>
          </cell>
          <cell r="J121">
            <v>0</v>
          </cell>
          <cell r="K121">
            <v>0</v>
          </cell>
          <cell r="L121">
            <v>0</v>
          </cell>
          <cell r="M121">
            <v>0</v>
          </cell>
          <cell r="N121">
            <v>0</v>
          </cell>
          <cell r="O121">
            <v>0</v>
          </cell>
          <cell r="P121">
            <v>0</v>
          </cell>
          <cell r="U121">
            <v>0</v>
          </cell>
          <cell r="V121">
            <v>0</v>
          </cell>
          <cell r="W121">
            <v>0</v>
          </cell>
          <cell r="X121">
            <v>0</v>
          </cell>
          <cell r="Y121">
            <v>0</v>
          </cell>
        </row>
        <row r="122">
          <cell r="A122">
            <v>91</v>
          </cell>
          <cell r="B122" t="str">
            <v>Chilled Water</v>
          </cell>
          <cell r="E122">
            <v>0</v>
          </cell>
          <cell r="F122">
            <v>0</v>
          </cell>
          <cell r="G122">
            <v>0</v>
          </cell>
          <cell r="H122">
            <v>0</v>
          </cell>
          <cell r="I122">
            <v>0</v>
          </cell>
          <cell r="J122">
            <v>0</v>
          </cell>
          <cell r="K122">
            <v>0</v>
          </cell>
          <cell r="L122">
            <v>0</v>
          </cell>
          <cell r="M122">
            <v>0</v>
          </cell>
          <cell r="N122">
            <v>0</v>
          </cell>
          <cell r="O122">
            <v>0</v>
          </cell>
          <cell r="P122">
            <v>0</v>
          </cell>
          <cell r="U122">
            <v>0</v>
          </cell>
          <cell r="V122">
            <v>0</v>
          </cell>
          <cell r="W122">
            <v>0</v>
          </cell>
          <cell r="X122">
            <v>0</v>
          </cell>
          <cell r="Y122">
            <v>0</v>
          </cell>
        </row>
        <row r="123">
          <cell r="A123">
            <v>92</v>
          </cell>
          <cell r="B123" t="str">
            <v>Admin Fee</v>
          </cell>
          <cell r="E123">
            <v>0</v>
          </cell>
          <cell r="F123">
            <v>0</v>
          </cell>
          <cell r="G123">
            <v>0</v>
          </cell>
          <cell r="H123">
            <v>0</v>
          </cell>
          <cell r="I123">
            <v>0</v>
          </cell>
          <cell r="J123">
            <v>0</v>
          </cell>
          <cell r="K123">
            <v>0</v>
          </cell>
          <cell r="L123">
            <v>0</v>
          </cell>
          <cell r="M123">
            <v>0</v>
          </cell>
          <cell r="N123">
            <v>0</v>
          </cell>
          <cell r="O123">
            <v>0</v>
          </cell>
          <cell r="P123">
            <v>0</v>
          </cell>
          <cell r="U123">
            <v>0</v>
          </cell>
          <cell r="V123">
            <v>0</v>
          </cell>
          <cell r="W123">
            <v>0</v>
          </cell>
          <cell r="X123">
            <v>0</v>
          </cell>
          <cell r="Y123">
            <v>0</v>
          </cell>
        </row>
        <row r="124">
          <cell r="A124">
            <v>93</v>
          </cell>
          <cell r="B124" t="str">
            <v>Miscellaneous</v>
          </cell>
          <cell r="E124">
            <v>0.3</v>
          </cell>
          <cell r="F124">
            <v>0.3</v>
          </cell>
          <cell r="G124">
            <v>0.3</v>
          </cell>
          <cell r="H124">
            <v>0.3</v>
          </cell>
          <cell r="I124">
            <v>0.3</v>
          </cell>
          <cell r="J124">
            <v>0.3</v>
          </cell>
          <cell r="K124">
            <v>0.3</v>
          </cell>
          <cell r="L124">
            <v>0.3</v>
          </cell>
          <cell r="M124">
            <v>0.3</v>
          </cell>
          <cell r="N124">
            <v>0.3</v>
          </cell>
          <cell r="O124">
            <v>0.3</v>
          </cell>
          <cell r="P124">
            <v>0.3</v>
          </cell>
          <cell r="T124">
            <v>0</v>
          </cell>
          <cell r="U124">
            <v>3.6</v>
          </cell>
          <cell r="V124">
            <v>1.17</v>
          </cell>
          <cell r="W124">
            <v>4.1609999999999978</v>
          </cell>
          <cell r="X124">
            <v>2.4300000000000002</v>
          </cell>
          <cell r="Y124">
            <v>-0.56099999999999861</v>
          </cell>
        </row>
        <row r="125">
          <cell r="C125">
            <v>0</v>
          </cell>
          <cell r="E125">
            <v>22.180588626714943</v>
          </cell>
          <cell r="F125">
            <v>22.180188626714941</v>
          </cell>
          <cell r="G125">
            <v>22.01230862671494</v>
          </cell>
          <cell r="H125">
            <v>22.180188626714941</v>
          </cell>
          <cell r="I125">
            <v>24.501308626714941</v>
          </cell>
          <cell r="J125">
            <v>22.19118862671494</v>
          </cell>
          <cell r="K125">
            <v>22.188196792187941</v>
          </cell>
          <cell r="L125">
            <v>24.151556792187943</v>
          </cell>
          <cell r="M125">
            <v>22.199196792187941</v>
          </cell>
          <cell r="N125">
            <v>22.009316792187942</v>
          </cell>
          <cell r="O125">
            <v>22.199196792187941</v>
          </cell>
          <cell r="P125">
            <v>22.020316792187941</v>
          </cell>
          <cell r="R125">
            <v>0</v>
          </cell>
          <cell r="S125">
            <v>0</v>
          </cell>
          <cell r="T125">
            <v>0</v>
          </cell>
          <cell r="U125">
            <v>270.01355251341732</v>
          </cell>
          <cell r="V125">
            <v>334.65881855333333</v>
          </cell>
          <cell r="W125">
            <v>415.33888200000001</v>
          </cell>
          <cell r="X125">
            <v>-64.64526603991601</v>
          </cell>
          <cell r="Y125">
            <v>-145.32532948658269</v>
          </cell>
        </row>
        <row r="126">
          <cell r="X126">
            <v>0</v>
          </cell>
          <cell r="Y126">
            <v>0</v>
          </cell>
        </row>
        <row r="127">
          <cell r="A127">
            <v>0</v>
          </cell>
          <cell r="B127" t="str">
            <v>23 Adjustments</v>
          </cell>
          <cell r="X127">
            <v>0</v>
          </cell>
          <cell r="Y127">
            <v>0</v>
          </cell>
        </row>
        <row r="128">
          <cell r="A128">
            <v>97</v>
          </cell>
          <cell r="B128" t="str">
            <v>Miscellaneous (Please Specify)</v>
          </cell>
          <cell r="E128">
            <v>0</v>
          </cell>
          <cell r="F128">
            <v>0</v>
          </cell>
          <cell r="G128">
            <v>0</v>
          </cell>
          <cell r="H128">
            <v>0</v>
          </cell>
          <cell r="I128">
            <v>0</v>
          </cell>
          <cell r="J128">
            <v>0</v>
          </cell>
          <cell r="K128">
            <v>0</v>
          </cell>
          <cell r="L128">
            <v>0</v>
          </cell>
          <cell r="M128">
            <v>0</v>
          </cell>
          <cell r="N128">
            <v>0</v>
          </cell>
          <cell r="O128">
            <v>0</v>
          </cell>
          <cell r="P128">
            <v>0</v>
          </cell>
          <cell r="T128">
            <v>0</v>
          </cell>
          <cell r="U128">
            <v>0</v>
          </cell>
          <cell r="V128">
            <v>0</v>
          </cell>
          <cell r="W128">
            <v>0</v>
          </cell>
          <cell r="X128">
            <v>0</v>
          </cell>
          <cell r="Y128">
            <v>0</v>
          </cell>
        </row>
        <row r="129">
          <cell r="A129">
            <v>98</v>
          </cell>
          <cell r="B129" t="str">
            <v>Mgmt fee income - CGV</v>
          </cell>
          <cell r="E129">
            <v>0</v>
          </cell>
          <cell r="F129">
            <v>0</v>
          </cell>
          <cell r="G129">
            <v>0</v>
          </cell>
          <cell r="H129">
            <v>0</v>
          </cell>
          <cell r="I129">
            <v>0</v>
          </cell>
          <cell r="J129">
            <v>0</v>
          </cell>
          <cell r="K129">
            <v>0</v>
          </cell>
          <cell r="L129">
            <v>0</v>
          </cell>
          <cell r="M129">
            <v>0</v>
          </cell>
          <cell r="N129">
            <v>0</v>
          </cell>
          <cell r="O129">
            <v>0</v>
          </cell>
          <cell r="P129">
            <v>0</v>
          </cell>
          <cell r="T129">
            <v>0</v>
          </cell>
          <cell r="U129">
            <v>0</v>
          </cell>
          <cell r="V129">
            <v>0</v>
          </cell>
          <cell r="W129">
            <v>0</v>
          </cell>
          <cell r="X129">
            <v>0</v>
          </cell>
          <cell r="Y129">
            <v>0</v>
          </cell>
        </row>
        <row r="130">
          <cell r="A130">
            <v>99</v>
          </cell>
          <cell r="B130" t="str">
            <v xml:space="preserve">Pre Opening </v>
          </cell>
          <cell r="E130">
            <v>0</v>
          </cell>
          <cell r="F130">
            <v>0</v>
          </cell>
          <cell r="G130">
            <v>0</v>
          </cell>
          <cell r="H130">
            <v>0</v>
          </cell>
          <cell r="I130">
            <v>0</v>
          </cell>
          <cell r="J130">
            <v>0</v>
          </cell>
          <cell r="K130">
            <v>0</v>
          </cell>
          <cell r="L130">
            <v>0</v>
          </cell>
          <cell r="M130">
            <v>0</v>
          </cell>
          <cell r="N130">
            <v>0</v>
          </cell>
          <cell r="O130">
            <v>0</v>
          </cell>
          <cell r="P130">
            <v>0</v>
          </cell>
          <cell r="U130">
            <v>0</v>
          </cell>
          <cell r="V130">
            <v>0</v>
          </cell>
          <cell r="W130">
            <v>0</v>
          </cell>
          <cell r="X130">
            <v>0</v>
          </cell>
          <cell r="Y130">
            <v>0</v>
          </cell>
        </row>
        <row r="131">
          <cell r="A131">
            <v>100</v>
          </cell>
          <cell r="B131" t="str">
            <v>Other</v>
          </cell>
          <cell r="E131">
            <v>0</v>
          </cell>
          <cell r="F131">
            <v>0</v>
          </cell>
          <cell r="G131">
            <v>0</v>
          </cell>
          <cell r="H131">
            <v>0</v>
          </cell>
          <cell r="I131">
            <v>0</v>
          </cell>
          <cell r="J131">
            <v>0</v>
          </cell>
          <cell r="K131">
            <v>0</v>
          </cell>
          <cell r="L131">
            <v>0</v>
          </cell>
          <cell r="M131">
            <v>0</v>
          </cell>
          <cell r="N131">
            <v>0</v>
          </cell>
          <cell r="O131">
            <v>0</v>
          </cell>
          <cell r="P131">
            <v>0</v>
          </cell>
          <cell r="U131">
            <v>0</v>
          </cell>
          <cell r="V131">
            <v>0</v>
          </cell>
          <cell r="W131">
            <v>0</v>
          </cell>
          <cell r="X131">
            <v>0</v>
          </cell>
          <cell r="Y131">
            <v>0</v>
          </cell>
        </row>
        <row r="132">
          <cell r="F132">
            <v>0</v>
          </cell>
          <cell r="T132">
            <v>0</v>
          </cell>
          <cell r="X132">
            <v>0</v>
          </cell>
          <cell r="Y132">
            <v>0</v>
          </cell>
        </row>
        <row r="133">
          <cell r="C133">
            <v>0</v>
          </cell>
          <cell r="E133">
            <v>0</v>
          </cell>
          <cell r="F133">
            <v>0</v>
          </cell>
          <cell r="G133">
            <v>0</v>
          </cell>
          <cell r="H133">
            <v>0</v>
          </cell>
          <cell r="I133">
            <v>0</v>
          </cell>
          <cell r="J133">
            <v>0</v>
          </cell>
          <cell r="K133">
            <v>0</v>
          </cell>
          <cell r="L133">
            <v>0</v>
          </cell>
          <cell r="M133">
            <v>0</v>
          </cell>
          <cell r="N133">
            <v>0</v>
          </cell>
          <cell r="O133">
            <v>0</v>
          </cell>
          <cell r="P133">
            <v>0</v>
          </cell>
          <cell r="R133">
            <v>0</v>
          </cell>
          <cell r="S133">
            <v>0</v>
          </cell>
          <cell r="T133">
            <v>0</v>
          </cell>
          <cell r="U133">
            <v>0</v>
          </cell>
          <cell r="V133">
            <v>0</v>
          </cell>
          <cell r="W133">
            <v>0</v>
          </cell>
          <cell r="X133">
            <v>0</v>
          </cell>
          <cell r="Y133">
            <v>0</v>
          </cell>
        </row>
      </sheetData>
      <sheetData sheetId="21" refreshError="1">
        <row r="11">
          <cell r="A11">
            <v>1</v>
          </cell>
          <cell r="B11" t="str">
            <v>Net Film Revenue</v>
          </cell>
          <cell r="E11">
            <v>377.34</v>
          </cell>
          <cell r="F11">
            <v>397.2</v>
          </cell>
          <cell r="G11">
            <v>463.4</v>
          </cell>
          <cell r="H11">
            <v>383.96</v>
          </cell>
          <cell r="I11">
            <v>410.44</v>
          </cell>
          <cell r="J11">
            <v>562.70000000000005</v>
          </cell>
          <cell r="K11">
            <v>383.96</v>
          </cell>
          <cell r="L11">
            <v>410.44</v>
          </cell>
          <cell r="M11">
            <v>476.64</v>
          </cell>
          <cell r="N11">
            <v>410.44</v>
          </cell>
          <cell r="O11">
            <v>529.6</v>
          </cell>
          <cell r="P11">
            <v>496.5</v>
          </cell>
          <cell r="Q11">
            <v>0</v>
          </cell>
          <cell r="T11">
            <v>0</v>
          </cell>
          <cell r="U11">
            <v>5302.62</v>
          </cell>
          <cell r="V11">
            <v>5536.4605899999988</v>
          </cell>
          <cell r="W11">
            <v>7381.3370000000004</v>
          </cell>
          <cell r="X11">
            <v>-233.84058999999888</v>
          </cell>
          <cell r="Y11">
            <v>-2078.7170000000006</v>
          </cell>
        </row>
        <row r="12">
          <cell r="A12">
            <v>2</v>
          </cell>
          <cell r="B12" t="str">
            <v>Concession Sales</v>
          </cell>
          <cell r="E12">
            <v>76.95</v>
          </cell>
          <cell r="F12">
            <v>81</v>
          </cell>
          <cell r="G12">
            <v>94.5</v>
          </cell>
          <cell r="H12">
            <v>78.3</v>
          </cell>
          <cell r="I12">
            <v>83.7</v>
          </cell>
          <cell r="J12">
            <v>114.75</v>
          </cell>
          <cell r="K12">
            <v>78.3</v>
          </cell>
          <cell r="L12">
            <v>83.7</v>
          </cell>
          <cell r="M12">
            <v>97.2</v>
          </cell>
          <cell r="N12">
            <v>83.7</v>
          </cell>
          <cell r="O12">
            <v>108</v>
          </cell>
          <cell r="P12">
            <v>101.25</v>
          </cell>
          <cell r="T12">
            <v>0</v>
          </cell>
          <cell r="U12">
            <v>1081.3499999999999</v>
          </cell>
          <cell r="V12">
            <v>1151.98856</v>
          </cell>
          <cell r="W12">
            <v>1433.0309999999999</v>
          </cell>
          <cell r="X12">
            <v>-70.63855999999987</v>
          </cell>
          <cell r="Y12">
            <v>-351.68099999999981</v>
          </cell>
        </row>
        <row r="13">
          <cell r="A13">
            <v>3</v>
          </cell>
          <cell r="B13" t="str">
            <v>Rental Income</v>
          </cell>
          <cell r="E13">
            <v>0</v>
          </cell>
          <cell r="F13">
            <v>0</v>
          </cell>
          <cell r="G13">
            <v>0</v>
          </cell>
          <cell r="H13">
            <v>0</v>
          </cell>
          <cell r="I13">
            <v>0</v>
          </cell>
          <cell r="J13">
            <v>0</v>
          </cell>
          <cell r="K13">
            <v>0</v>
          </cell>
          <cell r="L13">
            <v>0</v>
          </cell>
          <cell r="M13">
            <v>0</v>
          </cell>
          <cell r="N13">
            <v>0</v>
          </cell>
          <cell r="O13">
            <v>0</v>
          </cell>
          <cell r="P13">
            <v>0</v>
          </cell>
          <cell r="T13">
            <v>0</v>
          </cell>
          <cell r="U13">
            <v>0</v>
          </cell>
          <cell r="V13">
            <v>0</v>
          </cell>
          <cell r="W13">
            <v>0</v>
          </cell>
          <cell r="X13">
            <v>0</v>
          </cell>
          <cell r="Y13">
            <v>0</v>
          </cell>
        </row>
        <row r="14">
          <cell r="A14">
            <v>4</v>
          </cell>
          <cell r="B14" t="str">
            <v>Electronic Games income</v>
          </cell>
          <cell r="E14">
            <v>0</v>
          </cell>
          <cell r="F14">
            <v>0</v>
          </cell>
          <cell r="G14">
            <v>0</v>
          </cell>
          <cell r="H14">
            <v>0</v>
          </cell>
          <cell r="I14">
            <v>0</v>
          </cell>
          <cell r="J14">
            <v>0</v>
          </cell>
          <cell r="K14">
            <v>0</v>
          </cell>
          <cell r="L14">
            <v>0</v>
          </cell>
          <cell r="M14">
            <v>0</v>
          </cell>
          <cell r="N14">
            <v>0</v>
          </cell>
          <cell r="O14">
            <v>0</v>
          </cell>
          <cell r="P14">
            <v>0</v>
          </cell>
          <cell r="T14">
            <v>0</v>
          </cell>
          <cell r="U14">
            <v>0</v>
          </cell>
          <cell r="V14">
            <v>0</v>
          </cell>
          <cell r="W14">
            <v>0</v>
          </cell>
          <cell r="X14">
            <v>0</v>
          </cell>
          <cell r="Y14">
            <v>0</v>
          </cell>
        </row>
        <row r="15">
          <cell r="A15">
            <v>5</v>
          </cell>
          <cell r="B15" t="str">
            <v>Screen Advertising</v>
          </cell>
          <cell r="E15">
            <v>19.5</v>
          </cell>
          <cell r="F15">
            <v>19.5</v>
          </cell>
          <cell r="G15">
            <v>19.5</v>
          </cell>
          <cell r="H15">
            <v>19.5</v>
          </cell>
          <cell r="I15">
            <v>19.5</v>
          </cell>
          <cell r="J15">
            <v>19.5</v>
          </cell>
          <cell r="K15">
            <v>19.5</v>
          </cell>
          <cell r="L15">
            <v>19.5</v>
          </cell>
          <cell r="M15">
            <v>19.5</v>
          </cell>
          <cell r="N15">
            <v>19.5</v>
          </cell>
          <cell r="O15">
            <v>19.5</v>
          </cell>
          <cell r="P15">
            <v>19.5</v>
          </cell>
          <cell r="T15">
            <v>0</v>
          </cell>
          <cell r="U15">
            <v>234</v>
          </cell>
          <cell r="V15">
            <v>321.01042000000001</v>
          </cell>
          <cell r="W15">
            <v>283.57299999999998</v>
          </cell>
          <cell r="X15">
            <v>-87.010420000000011</v>
          </cell>
          <cell r="Y15">
            <v>-49.572999999999979</v>
          </cell>
        </row>
        <row r="16">
          <cell r="A16">
            <v>6</v>
          </cell>
          <cell r="B16" t="str">
            <v>Other Income</v>
          </cell>
          <cell r="C16">
            <v>0</v>
          </cell>
          <cell r="E16">
            <v>6.4376250000000006</v>
          </cell>
          <cell r="F16">
            <v>6.4376250000000006</v>
          </cell>
          <cell r="G16">
            <v>6.4376250000000006</v>
          </cell>
          <cell r="H16">
            <v>6.4376250000000006</v>
          </cell>
          <cell r="I16">
            <v>6.4376250000000006</v>
          </cell>
          <cell r="J16">
            <v>6.4376250000000006</v>
          </cell>
          <cell r="K16">
            <v>6.4376250000000006</v>
          </cell>
          <cell r="L16">
            <v>6.4376250000000006</v>
          </cell>
          <cell r="M16">
            <v>6.4376250000000006</v>
          </cell>
          <cell r="N16">
            <v>6.4376250000000006</v>
          </cell>
          <cell r="O16">
            <v>6.4376250000000006</v>
          </cell>
          <cell r="P16">
            <v>6.4376250000000006</v>
          </cell>
          <cell r="R16">
            <v>0</v>
          </cell>
          <cell r="S16">
            <v>0</v>
          </cell>
          <cell r="T16">
            <v>0</v>
          </cell>
          <cell r="U16">
            <v>77.251499999999979</v>
          </cell>
          <cell r="V16">
            <v>115.01553</v>
          </cell>
          <cell r="W16">
            <v>62.262999999999998</v>
          </cell>
          <cell r="X16">
            <v>-37.76403000000002</v>
          </cell>
          <cell r="Y16">
            <v>14.988499999999981</v>
          </cell>
        </row>
        <row r="17">
          <cell r="B17" t="str">
            <v>TOTAL REVENUE</v>
          </cell>
          <cell r="C17">
            <v>0</v>
          </cell>
          <cell r="E17">
            <v>480.22762500000005</v>
          </cell>
          <cell r="F17">
            <v>504.13762500000001</v>
          </cell>
          <cell r="G17">
            <v>583.83762500000012</v>
          </cell>
          <cell r="H17">
            <v>488.19762500000002</v>
          </cell>
          <cell r="I17">
            <v>520.07762500000001</v>
          </cell>
          <cell r="J17">
            <v>703.38762500000007</v>
          </cell>
          <cell r="K17">
            <v>488.19762500000002</v>
          </cell>
          <cell r="L17">
            <v>520.07762500000001</v>
          </cell>
          <cell r="M17">
            <v>599.77762500000006</v>
          </cell>
          <cell r="N17">
            <v>520.07762500000001</v>
          </cell>
          <cell r="O17">
            <v>663.53762500000005</v>
          </cell>
          <cell r="P17">
            <v>623.68762500000003</v>
          </cell>
          <cell r="R17">
            <v>0</v>
          </cell>
          <cell r="S17">
            <v>0</v>
          </cell>
          <cell r="T17">
            <v>0</v>
          </cell>
          <cell r="U17">
            <v>6695.2214999999997</v>
          </cell>
          <cell r="V17">
            <v>7124.4750999999978</v>
          </cell>
          <cell r="W17">
            <v>9160.2040000000015</v>
          </cell>
          <cell r="X17">
            <v>-429.25359999999819</v>
          </cell>
          <cell r="Y17">
            <v>-2464.9825000000019</v>
          </cell>
        </row>
        <row r="19">
          <cell r="A19">
            <v>7</v>
          </cell>
          <cell r="B19" t="str">
            <v>Film Hire</v>
          </cell>
          <cell r="E19">
            <v>175.46310000000003</v>
          </cell>
          <cell r="F19">
            <v>184.69800000000001</v>
          </cell>
          <cell r="G19">
            <v>215.48100000000002</v>
          </cell>
          <cell r="H19">
            <v>178.54140000000001</v>
          </cell>
          <cell r="I19">
            <v>190.8546</v>
          </cell>
          <cell r="J19">
            <v>261.65550000000002</v>
          </cell>
          <cell r="K19">
            <v>178.54140000000001</v>
          </cell>
          <cell r="L19">
            <v>190.8546</v>
          </cell>
          <cell r="M19">
            <v>221.63759999999999</v>
          </cell>
          <cell r="N19">
            <v>190.8546</v>
          </cell>
          <cell r="O19">
            <v>246.26400000000001</v>
          </cell>
          <cell r="P19">
            <v>230.8725</v>
          </cell>
          <cell r="U19">
            <v>2465.7183000000005</v>
          </cell>
          <cell r="V19">
            <v>2580.9407300000003</v>
          </cell>
          <cell r="W19">
            <v>3438.9110000000001</v>
          </cell>
          <cell r="X19">
            <v>-115.2224299999998</v>
          </cell>
          <cell r="Y19">
            <v>-973.1926999999996</v>
          </cell>
        </row>
        <row r="20">
          <cell r="A20">
            <v>8</v>
          </cell>
          <cell r="B20" t="str">
            <v>Concession Cost</v>
          </cell>
          <cell r="E20">
            <v>16.929000000000002</v>
          </cell>
          <cell r="F20">
            <v>17.82</v>
          </cell>
          <cell r="G20">
            <v>20.79</v>
          </cell>
          <cell r="H20">
            <v>17.226000000000003</v>
          </cell>
          <cell r="I20">
            <v>18.414000000000001</v>
          </cell>
          <cell r="J20">
            <v>25.245000000000001</v>
          </cell>
          <cell r="K20">
            <v>17.226000000000003</v>
          </cell>
          <cell r="L20">
            <v>18.414000000000001</v>
          </cell>
          <cell r="M20">
            <v>21.384</v>
          </cell>
          <cell r="N20">
            <v>18.414000000000001</v>
          </cell>
          <cell r="O20">
            <v>23.76</v>
          </cell>
          <cell r="P20">
            <v>22.274999999999999</v>
          </cell>
          <cell r="T20">
            <v>0</v>
          </cell>
          <cell r="U20">
            <v>237.89700000000002</v>
          </cell>
          <cell r="V20">
            <v>244.43542999999997</v>
          </cell>
          <cell r="W20">
            <v>337.90199999999999</v>
          </cell>
          <cell r="X20">
            <v>-6.5384299999999484</v>
          </cell>
          <cell r="Y20">
            <v>-100.005</v>
          </cell>
        </row>
        <row r="21">
          <cell r="A21">
            <v>9</v>
          </cell>
          <cell r="B21" t="str">
            <v>Less Concession Rebates</v>
          </cell>
          <cell r="E21">
            <v>-1.9237500000000001</v>
          </cell>
          <cell r="F21">
            <v>-2.0249999999999999</v>
          </cell>
          <cell r="G21">
            <v>-2.3624999999999998</v>
          </cell>
          <cell r="H21">
            <v>-1.9575</v>
          </cell>
          <cell r="I21">
            <v>-2.0924999999999998</v>
          </cell>
          <cell r="J21">
            <v>-2.8687499999999999</v>
          </cell>
          <cell r="K21">
            <v>-1.9575</v>
          </cell>
          <cell r="L21">
            <v>-2.0924999999999998</v>
          </cell>
          <cell r="M21">
            <v>-2.4300000000000002</v>
          </cell>
          <cell r="N21">
            <v>-2.0924999999999998</v>
          </cell>
          <cell r="O21">
            <v>-2.7</v>
          </cell>
          <cell r="P21">
            <v>-2.53125</v>
          </cell>
          <cell r="U21">
            <v>-27.033750000000001</v>
          </cell>
          <cell r="V21">
            <v>-35.18</v>
          </cell>
          <cell r="W21">
            <v>-51.578000000000003</v>
          </cell>
          <cell r="X21">
            <v>8.1462500000000002</v>
          </cell>
          <cell r="Y21">
            <v>24.544249999999998</v>
          </cell>
        </row>
        <row r="22">
          <cell r="A22">
            <v>10</v>
          </cell>
          <cell r="B22" t="str">
            <v>Advertising Cost</v>
          </cell>
          <cell r="E22">
            <v>8.67882</v>
          </cell>
          <cell r="F22">
            <v>9.1356000000000002</v>
          </cell>
          <cell r="G22">
            <v>10.658200000000001</v>
          </cell>
          <cell r="H22">
            <v>8.83108</v>
          </cell>
          <cell r="I22">
            <v>9.4401200000000003</v>
          </cell>
          <cell r="J22">
            <v>12.942100000000002</v>
          </cell>
          <cell r="K22">
            <v>8.83108</v>
          </cell>
          <cell r="L22">
            <v>9.4401200000000003</v>
          </cell>
          <cell r="M22">
            <v>10.962719999999999</v>
          </cell>
          <cell r="N22">
            <v>9.4401200000000003</v>
          </cell>
          <cell r="O22">
            <v>12.1808</v>
          </cell>
          <cell r="P22">
            <v>11.419499999999999</v>
          </cell>
          <cell r="T22">
            <v>0</v>
          </cell>
          <cell r="U22">
            <v>121.96026000000001</v>
          </cell>
          <cell r="V22">
            <v>116.84968000000001</v>
          </cell>
          <cell r="W22">
            <v>136.47999999999999</v>
          </cell>
          <cell r="X22">
            <v>5.1105799999999988</v>
          </cell>
          <cell r="Y22">
            <v>-14.519739999999985</v>
          </cell>
        </row>
        <row r="23">
          <cell r="A23">
            <v>11</v>
          </cell>
          <cell r="B23" t="str">
            <v>Other Cost</v>
          </cell>
          <cell r="C23">
            <v>0</v>
          </cell>
          <cell r="E23">
            <v>0.75468000000000013</v>
          </cell>
          <cell r="F23">
            <v>0.7944</v>
          </cell>
          <cell r="G23">
            <v>0.92680000000000007</v>
          </cell>
          <cell r="H23">
            <v>0.76791999999999994</v>
          </cell>
          <cell r="I23">
            <v>0.82088000000000005</v>
          </cell>
          <cell r="J23">
            <v>1.1254000000000002</v>
          </cell>
          <cell r="K23">
            <v>0.76791999999999994</v>
          </cell>
          <cell r="L23">
            <v>0.82088000000000005</v>
          </cell>
          <cell r="M23">
            <v>0.95328000000000002</v>
          </cell>
          <cell r="N23">
            <v>0.82088000000000005</v>
          </cell>
          <cell r="O23">
            <v>1.0592000000000001</v>
          </cell>
          <cell r="P23">
            <v>0.99299999999999999</v>
          </cell>
          <cell r="R23">
            <v>0</v>
          </cell>
          <cell r="S23">
            <v>0</v>
          </cell>
          <cell r="T23">
            <v>0</v>
          </cell>
          <cell r="U23">
            <v>10.605240000000002</v>
          </cell>
          <cell r="V23">
            <v>11.072921179999998</v>
          </cell>
          <cell r="W23">
            <v>14.762674000000001</v>
          </cell>
          <cell r="X23">
            <v>-0.46768117999999603</v>
          </cell>
          <cell r="Y23">
            <v>-4.1574339999999985</v>
          </cell>
        </row>
        <row r="24">
          <cell r="A24">
            <v>12</v>
          </cell>
          <cell r="B24" t="str">
            <v>Direct Payroll</v>
          </cell>
          <cell r="C24">
            <v>0</v>
          </cell>
          <cell r="E24">
            <v>33.497996330229874</v>
          </cell>
          <cell r="F24">
            <v>33.497996330229874</v>
          </cell>
          <cell r="G24">
            <v>34.597996330229876</v>
          </cell>
          <cell r="H24">
            <v>33.497996330229874</v>
          </cell>
          <cell r="I24">
            <v>33.497996330229874</v>
          </cell>
          <cell r="J24">
            <v>34.597996330229876</v>
          </cell>
          <cell r="K24">
            <v>34.150789093929873</v>
          </cell>
          <cell r="L24">
            <v>34.150789093929873</v>
          </cell>
          <cell r="M24">
            <v>35.250789093929875</v>
          </cell>
          <cell r="N24">
            <v>34.150789093929873</v>
          </cell>
          <cell r="O24">
            <v>35.250789093929875</v>
          </cell>
          <cell r="P24">
            <v>35.250789093929875</v>
          </cell>
          <cell r="R24">
            <v>0</v>
          </cell>
          <cell r="S24">
            <v>0</v>
          </cell>
          <cell r="T24">
            <v>0</v>
          </cell>
          <cell r="U24">
            <v>411.3927125449585</v>
          </cell>
          <cell r="V24">
            <v>518.26446499999986</v>
          </cell>
          <cell r="W24">
            <v>670.90099999999995</v>
          </cell>
          <cell r="X24">
            <v>-106.87175245504136</v>
          </cell>
          <cell r="Y24">
            <v>-259.50828745504145</v>
          </cell>
        </row>
        <row r="25">
          <cell r="B25" t="str">
            <v>TOTAL COST</v>
          </cell>
          <cell r="C25">
            <v>0</v>
          </cell>
          <cell r="E25">
            <v>233.39984633022991</v>
          </cell>
          <cell r="F25">
            <v>243.92099633022988</v>
          </cell>
          <cell r="G25">
            <v>280.09149633022986</v>
          </cell>
          <cell r="H25">
            <v>236.9068963302299</v>
          </cell>
          <cell r="I25">
            <v>250.93509633022987</v>
          </cell>
          <cell r="J25">
            <v>332.69724633022992</v>
          </cell>
          <cell r="K25">
            <v>237.55968909392988</v>
          </cell>
          <cell r="L25">
            <v>251.58788909392985</v>
          </cell>
          <cell r="M25">
            <v>287.75838909392985</v>
          </cell>
          <cell r="N25">
            <v>251.58788909392985</v>
          </cell>
          <cell r="O25">
            <v>315.81478909392985</v>
          </cell>
          <cell r="P25">
            <v>298.27953909392988</v>
          </cell>
          <cell r="R25">
            <v>0</v>
          </cell>
          <cell r="S25">
            <v>0</v>
          </cell>
          <cell r="T25">
            <v>0</v>
          </cell>
          <cell r="U25">
            <v>3220.5397625449586</v>
          </cell>
          <cell r="V25">
            <v>3436.3832261799998</v>
          </cell>
          <cell r="W25">
            <v>4547.3786740000005</v>
          </cell>
          <cell r="X25">
            <v>-215.84346363504119</v>
          </cell>
          <cell r="Y25">
            <v>-1326.8389114550419</v>
          </cell>
        </row>
        <row r="27">
          <cell r="B27" t="str">
            <v>GROSS MARGIN</v>
          </cell>
          <cell r="C27">
            <v>0</v>
          </cell>
          <cell r="E27">
            <v>246.82777866977014</v>
          </cell>
          <cell r="F27">
            <v>260.2166286697701</v>
          </cell>
          <cell r="G27">
            <v>303.74612866977026</v>
          </cell>
          <cell r="H27">
            <v>251.29072866977012</v>
          </cell>
          <cell r="I27">
            <v>269.14252866977017</v>
          </cell>
          <cell r="J27">
            <v>370.69037866977015</v>
          </cell>
          <cell r="K27">
            <v>250.63793590607014</v>
          </cell>
          <cell r="L27">
            <v>268.48973590607017</v>
          </cell>
          <cell r="M27">
            <v>312.01923590607021</v>
          </cell>
          <cell r="N27">
            <v>268.48973590607017</v>
          </cell>
          <cell r="O27">
            <v>347.7228359060702</v>
          </cell>
          <cell r="P27">
            <v>325.40808590607014</v>
          </cell>
          <cell r="R27">
            <v>0</v>
          </cell>
          <cell r="S27">
            <v>0</v>
          </cell>
          <cell r="T27">
            <v>0</v>
          </cell>
          <cell r="U27">
            <v>3474.681737455041</v>
          </cell>
          <cell r="V27">
            <v>3688.091873819998</v>
          </cell>
          <cell r="W27">
            <v>4612.825326000001</v>
          </cell>
          <cell r="X27">
            <v>-213.410136364957</v>
          </cell>
          <cell r="Y27">
            <v>-1138.14358854496</v>
          </cell>
        </row>
        <row r="28">
          <cell r="X28">
            <v>0</v>
          </cell>
          <cell r="Y28">
            <v>0</v>
          </cell>
        </row>
        <row r="29">
          <cell r="A29">
            <v>13</v>
          </cell>
          <cell r="B29" t="str">
            <v>Direct Rent</v>
          </cell>
          <cell r="E29">
            <v>94.909199999999998</v>
          </cell>
          <cell r="F29">
            <v>95.504999999999995</v>
          </cell>
          <cell r="G29">
            <v>97.491</v>
          </cell>
          <cell r="H29">
            <v>95.107799999999997</v>
          </cell>
          <cell r="I29">
            <v>95.902199999999993</v>
          </cell>
          <cell r="J29">
            <v>108.8289</v>
          </cell>
          <cell r="K29">
            <v>103.4667</v>
          </cell>
          <cell r="L29">
            <v>104.2611</v>
          </cell>
          <cell r="M29">
            <v>106.2471</v>
          </cell>
          <cell r="N29">
            <v>104.2611</v>
          </cell>
          <cell r="O29">
            <v>107.83590000000001</v>
          </cell>
          <cell r="P29">
            <v>106.8429</v>
          </cell>
          <cell r="T29">
            <v>0</v>
          </cell>
          <cell r="U29">
            <v>1220.6589000000001</v>
          </cell>
          <cell r="V29">
            <v>1142.45373</v>
          </cell>
          <cell r="W29">
            <v>1224.508</v>
          </cell>
          <cell r="X29">
            <v>78.20517000000018</v>
          </cell>
          <cell r="Y29">
            <v>-3.8490999999999076</v>
          </cell>
        </row>
        <row r="30">
          <cell r="A30">
            <v>14</v>
          </cell>
          <cell r="B30" t="str">
            <v>Light, Heat and Power</v>
          </cell>
          <cell r="E30">
            <v>10.01</v>
          </cell>
          <cell r="F30">
            <v>10.01</v>
          </cell>
          <cell r="G30">
            <v>10.01</v>
          </cell>
          <cell r="H30">
            <v>10.01</v>
          </cell>
          <cell r="I30">
            <v>10.01</v>
          </cell>
          <cell r="J30">
            <v>10.01</v>
          </cell>
          <cell r="K30">
            <v>10.01</v>
          </cell>
          <cell r="L30">
            <v>10.01</v>
          </cell>
          <cell r="M30">
            <v>10.01</v>
          </cell>
          <cell r="N30">
            <v>10.01</v>
          </cell>
          <cell r="O30">
            <v>10.01</v>
          </cell>
          <cell r="P30">
            <v>10.01</v>
          </cell>
          <cell r="T30">
            <v>0</v>
          </cell>
          <cell r="U30">
            <v>120.12</v>
          </cell>
          <cell r="V30">
            <v>125.91146000000001</v>
          </cell>
          <cell r="W30">
            <v>149.56899999999999</v>
          </cell>
          <cell r="X30">
            <v>-5.7914599999999865</v>
          </cell>
          <cell r="Y30">
            <v>-29.44899999999997</v>
          </cell>
        </row>
        <row r="31">
          <cell r="A31">
            <v>15</v>
          </cell>
          <cell r="B31" t="str">
            <v>Repair &amp; Maintenance</v>
          </cell>
          <cell r="E31">
            <v>9.9890000000000008</v>
          </cell>
          <cell r="F31">
            <v>9.9890000000000008</v>
          </cell>
          <cell r="G31">
            <v>9.9890000000000008</v>
          </cell>
          <cell r="H31">
            <v>22.989000000000001</v>
          </cell>
          <cell r="I31">
            <v>9.9890000000000008</v>
          </cell>
          <cell r="J31">
            <v>9.9890000000000008</v>
          </cell>
          <cell r="K31">
            <v>9.9890000000000008</v>
          </cell>
          <cell r="L31">
            <v>9.9890000000000008</v>
          </cell>
          <cell r="M31">
            <v>9.9890000000000008</v>
          </cell>
          <cell r="N31">
            <v>9.9890000000000008</v>
          </cell>
          <cell r="O31">
            <v>9.9890000000000008</v>
          </cell>
          <cell r="P31">
            <v>9.9890000000000008</v>
          </cell>
          <cell r="T31">
            <v>0</v>
          </cell>
          <cell r="U31">
            <v>132.86800000000002</v>
          </cell>
          <cell r="V31">
            <v>121.43692666666666</v>
          </cell>
          <cell r="W31">
            <v>216.595</v>
          </cell>
          <cell r="X31">
            <v>11.431073333333359</v>
          </cell>
          <cell r="Y31">
            <v>-83.726999999999975</v>
          </cell>
        </row>
        <row r="32">
          <cell r="A32">
            <v>16</v>
          </cell>
          <cell r="B32" t="str">
            <v>Common Area Maintenance</v>
          </cell>
          <cell r="E32">
            <v>25.33</v>
          </cell>
          <cell r="F32">
            <v>25.33</v>
          </cell>
          <cell r="G32">
            <v>25.33</v>
          </cell>
          <cell r="H32">
            <v>25.33</v>
          </cell>
          <cell r="I32">
            <v>25.33</v>
          </cell>
          <cell r="J32">
            <v>27.863</v>
          </cell>
          <cell r="K32">
            <v>27.863</v>
          </cell>
          <cell r="L32">
            <v>27.863</v>
          </cell>
          <cell r="M32">
            <v>27.863</v>
          </cell>
          <cell r="N32">
            <v>27.863</v>
          </cell>
          <cell r="O32">
            <v>27.863</v>
          </cell>
          <cell r="P32">
            <v>27.863</v>
          </cell>
          <cell r="T32">
            <v>0</v>
          </cell>
          <cell r="U32">
            <v>321.69099999999997</v>
          </cell>
          <cell r="V32">
            <v>303.95999999999998</v>
          </cell>
          <cell r="W32">
            <v>303.95999999999998</v>
          </cell>
          <cell r="X32">
            <v>17.730999999999995</v>
          </cell>
          <cell r="Y32">
            <v>17.730999999999995</v>
          </cell>
        </row>
        <row r="33">
          <cell r="A33">
            <v>17</v>
          </cell>
          <cell r="B33" t="str">
            <v>Other Overhead Costs</v>
          </cell>
          <cell r="C33">
            <v>0</v>
          </cell>
          <cell r="E33">
            <v>17.665459963302297</v>
          </cell>
          <cell r="F33">
            <v>17.665459963302297</v>
          </cell>
          <cell r="G33">
            <v>17.518379963302298</v>
          </cell>
          <cell r="H33">
            <v>17.665459963302297</v>
          </cell>
          <cell r="I33">
            <v>18.957379963302301</v>
          </cell>
          <cell r="J33">
            <v>17.6764599633023</v>
          </cell>
          <cell r="K33">
            <v>17.671987890939299</v>
          </cell>
          <cell r="L33">
            <v>19.697747890939301</v>
          </cell>
          <cell r="M33">
            <v>17.682987890939298</v>
          </cell>
          <cell r="N33">
            <v>17.513907890939297</v>
          </cell>
          <cell r="O33">
            <v>17.682987890939298</v>
          </cell>
          <cell r="P33">
            <v>17.524907890939296</v>
          </cell>
          <cell r="R33">
            <v>0</v>
          </cell>
          <cell r="S33">
            <v>0</v>
          </cell>
          <cell r="T33">
            <v>0</v>
          </cell>
          <cell r="U33">
            <v>214.92312712544958</v>
          </cell>
          <cell r="V33">
            <v>237.55307627333329</v>
          </cell>
          <cell r="W33">
            <v>275.02032600000001</v>
          </cell>
          <cell r="X33">
            <v>-22.629949147883707</v>
          </cell>
          <cell r="Y33">
            <v>-60.097198874550429</v>
          </cell>
        </row>
        <row r="35">
          <cell r="B35" t="str">
            <v>Total Overhead Expenses</v>
          </cell>
          <cell r="C35">
            <v>0</v>
          </cell>
          <cell r="E35">
            <v>157.90365996330229</v>
          </cell>
          <cell r="F35">
            <v>158.49945996330229</v>
          </cell>
          <cell r="G35">
            <v>160.33837996330229</v>
          </cell>
          <cell r="H35">
            <v>171.10225996330229</v>
          </cell>
          <cell r="I35">
            <v>160.18857996330229</v>
          </cell>
          <cell r="J35">
            <v>174.36735996330231</v>
          </cell>
          <cell r="K35">
            <v>169.00068789093933</v>
          </cell>
          <cell r="L35">
            <v>171.82084789093932</v>
          </cell>
          <cell r="M35">
            <v>171.79208789093931</v>
          </cell>
          <cell r="N35">
            <v>169.63700789093932</v>
          </cell>
          <cell r="O35">
            <v>173.38088789093931</v>
          </cell>
          <cell r="P35">
            <v>172.2298078909393</v>
          </cell>
          <cell r="R35">
            <v>0</v>
          </cell>
          <cell r="S35">
            <v>0</v>
          </cell>
          <cell r="T35">
            <v>0</v>
          </cell>
          <cell r="U35">
            <v>2010.2610271254496</v>
          </cell>
          <cell r="V35">
            <v>1931.3151929400001</v>
          </cell>
          <cell r="W35">
            <v>2169.6523259999999</v>
          </cell>
          <cell r="X35">
            <v>1533.5195272355429</v>
          </cell>
          <cell r="Y35">
            <v>-159.39129887455033</v>
          </cell>
        </row>
        <row r="36">
          <cell r="V36">
            <v>0</v>
          </cell>
        </row>
        <row r="37">
          <cell r="B37" t="str">
            <v>E.B.I.T.D.</v>
          </cell>
          <cell r="C37">
            <v>0</v>
          </cell>
          <cell r="E37">
            <v>88.924118706467851</v>
          </cell>
          <cell r="F37">
            <v>101.71716870646782</v>
          </cell>
          <cell r="G37">
            <v>200.26200000000011</v>
          </cell>
          <cell r="H37">
            <v>80.18846870646783</v>
          </cell>
          <cell r="I37">
            <v>108.95394870646788</v>
          </cell>
          <cell r="J37">
            <v>196.32301870646785</v>
          </cell>
          <cell r="K37">
            <v>81.637248015130808</v>
          </cell>
          <cell r="L37">
            <v>96.668888015130847</v>
          </cell>
          <cell r="M37">
            <v>140.22714801513089</v>
          </cell>
          <cell r="N37">
            <v>98.85272801513085</v>
          </cell>
          <cell r="O37">
            <v>174.3419480151309</v>
          </cell>
          <cell r="P37">
            <v>153.17827801513084</v>
          </cell>
          <cell r="R37">
            <v>0</v>
          </cell>
          <cell r="S37">
            <v>0</v>
          </cell>
          <cell r="T37">
            <v>0</v>
          </cell>
          <cell r="U37">
            <v>1464.4207103295914</v>
          </cell>
          <cell r="V37">
            <v>1756.7766808799979</v>
          </cell>
          <cell r="W37">
            <v>2443.1730000000011</v>
          </cell>
          <cell r="X37">
            <v>-1746.9296636004999</v>
          </cell>
          <cell r="Y37">
            <v>-978.75228967040971</v>
          </cell>
        </row>
        <row r="38">
          <cell r="V38">
            <v>0</v>
          </cell>
        </row>
        <row r="39">
          <cell r="A39">
            <v>18</v>
          </cell>
          <cell r="B39" t="str">
            <v>Depreciation</v>
          </cell>
          <cell r="E39">
            <v>25.501840277777777</v>
          </cell>
          <cell r="F39">
            <v>25.501840277777777</v>
          </cell>
          <cell r="G39">
            <v>25.501840277777777</v>
          </cell>
          <cell r="H39">
            <v>28.008131944444443</v>
          </cell>
          <cell r="I39">
            <v>28.008131944444443</v>
          </cell>
          <cell r="J39">
            <v>28.008131944444443</v>
          </cell>
          <cell r="K39">
            <v>28.008131944444443</v>
          </cell>
          <cell r="L39">
            <v>28.008131944444443</v>
          </cell>
          <cell r="M39">
            <v>28.008131944444443</v>
          </cell>
          <cell r="N39">
            <v>28.008131944444443</v>
          </cell>
          <cell r="O39">
            <v>28.008131944444443</v>
          </cell>
          <cell r="P39">
            <v>28.008131944444443</v>
          </cell>
          <cell r="T39">
            <v>0</v>
          </cell>
          <cell r="U39">
            <v>328.57870833333334</v>
          </cell>
          <cell r="V39">
            <v>308.70829157407411</v>
          </cell>
          <cell r="W39">
            <v>291.90600000000001</v>
          </cell>
          <cell r="X39">
            <v>19.870416759259228</v>
          </cell>
          <cell r="Y39">
            <v>36.672708333333333</v>
          </cell>
        </row>
        <row r="40">
          <cell r="A40">
            <v>19</v>
          </cell>
          <cell r="B40" t="str">
            <v>Fixed Assets Written Off</v>
          </cell>
          <cell r="E40">
            <v>0</v>
          </cell>
          <cell r="F40">
            <v>0</v>
          </cell>
          <cell r="G40">
            <v>0</v>
          </cell>
          <cell r="H40">
            <v>0</v>
          </cell>
          <cell r="I40">
            <v>0</v>
          </cell>
          <cell r="J40">
            <v>0</v>
          </cell>
          <cell r="K40">
            <v>0</v>
          </cell>
          <cell r="L40">
            <v>0</v>
          </cell>
          <cell r="M40">
            <v>0</v>
          </cell>
          <cell r="N40">
            <v>0</v>
          </cell>
          <cell r="O40">
            <v>0</v>
          </cell>
          <cell r="P40">
            <v>0</v>
          </cell>
          <cell r="T40">
            <v>0</v>
          </cell>
          <cell r="U40">
            <v>0</v>
          </cell>
          <cell r="V40">
            <v>21.166999999999998</v>
          </cell>
          <cell r="W40">
            <v>198.422</v>
          </cell>
          <cell r="X40">
            <v>-21.166999999999998</v>
          </cell>
          <cell r="Y40">
            <v>-198.422</v>
          </cell>
        </row>
        <row r="41">
          <cell r="A41">
            <v>20</v>
          </cell>
          <cell r="B41" t="str">
            <v>External Interest</v>
          </cell>
          <cell r="T41">
            <v>0</v>
          </cell>
          <cell r="U41">
            <v>0</v>
          </cell>
          <cell r="V41">
            <v>132.06682849589041</v>
          </cell>
          <cell r="W41">
            <v>148.93799999999999</v>
          </cell>
          <cell r="X41">
            <v>-132.06682849589041</v>
          </cell>
          <cell r="Y41">
            <v>-148.93799999999999</v>
          </cell>
        </row>
        <row r="42">
          <cell r="A42">
            <v>21</v>
          </cell>
          <cell r="B42" t="str">
            <v>Intercompany Interest Income</v>
          </cell>
          <cell r="T42">
            <v>0</v>
          </cell>
          <cell r="U42">
            <v>0</v>
          </cell>
          <cell r="V42">
            <v>0</v>
          </cell>
          <cell r="W42">
            <v>0</v>
          </cell>
          <cell r="X42">
            <v>0</v>
          </cell>
          <cell r="Y42">
            <v>0</v>
          </cell>
        </row>
        <row r="43">
          <cell r="A43">
            <v>22</v>
          </cell>
          <cell r="B43" t="str">
            <v>External Interest Income</v>
          </cell>
          <cell r="T43">
            <v>0</v>
          </cell>
          <cell r="U43">
            <v>0</v>
          </cell>
          <cell r="V43">
            <v>2.72343</v>
          </cell>
          <cell r="W43">
            <v>0.90700000000000003</v>
          </cell>
          <cell r="X43">
            <v>-2.72343</v>
          </cell>
          <cell r="Y43">
            <v>-0.90700000000000003</v>
          </cell>
        </row>
        <row r="44">
          <cell r="B44" t="str">
            <v>E.B.T.</v>
          </cell>
          <cell r="C44">
            <v>0</v>
          </cell>
          <cell r="E44">
            <v>63.422278428690078</v>
          </cell>
          <cell r="F44">
            <v>76.215328428690043</v>
          </cell>
          <cell r="G44">
            <v>174.76015972222234</v>
          </cell>
          <cell r="H44">
            <v>52.180336762023387</v>
          </cell>
          <cell r="I44">
            <v>80.945816762023441</v>
          </cell>
          <cell r="J44">
            <v>168.31488676202341</v>
          </cell>
          <cell r="K44">
            <v>53.629116070686365</v>
          </cell>
          <cell r="L44">
            <v>68.660756070686404</v>
          </cell>
          <cell r="M44">
            <v>112.21901607068645</v>
          </cell>
          <cell r="N44">
            <v>70.844596070686407</v>
          </cell>
          <cell r="O44">
            <v>146.33381607068645</v>
          </cell>
          <cell r="P44">
            <v>125.1701460706864</v>
          </cell>
          <cell r="Q44">
            <v>0</v>
          </cell>
          <cell r="R44">
            <v>0</v>
          </cell>
          <cell r="S44">
            <v>0</v>
          </cell>
          <cell r="T44">
            <v>0</v>
          </cell>
          <cell r="U44">
            <v>1135.8420019962582</v>
          </cell>
          <cell r="V44">
            <v>1297.5579908100335</v>
          </cell>
          <cell r="W44">
            <v>1804.814000000001</v>
          </cell>
          <cell r="X44">
            <v>-161.71598881377531</v>
          </cell>
          <cell r="Y44">
            <v>-668.97199800374278</v>
          </cell>
        </row>
        <row r="46">
          <cell r="A46">
            <v>23</v>
          </cell>
          <cell r="B46" t="str">
            <v>Taxation</v>
          </cell>
          <cell r="E46">
            <v>0</v>
          </cell>
          <cell r="F46">
            <v>0</v>
          </cell>
          <cell r="G46">
            <v>0</v>
          </cell>
          <cell r="H46">
            <v>0</v>
          </cell>
          <cell r="I46">
            <v>0</v>
          </cell>
          <cell r="J46">
            <v>0</v>
          </cell>
          <cell r="K46">
            <v>0</v>
          </cell>
          <cell r="L46">
            <v>0</v>
          </cell>
          <cell r="M46">
            <v>0</v>
          </cell>
          <cell r="N46">
            <v>0</v>
          </cell>
          <cell r="O46">
            <v>0</v>
          </cell>
          <cell r="P46">
            <v>0</v>
          </cell>
          <cell r="T46">
            <v>0</v>
          </cell>
          <cell r="U46">
            <v>0</v>
          </cell>
          <cell r="V46">
            <v>0</v>
          </cell>
          <cell r="W46">
            <v>0</v>
          </cell>
          <cell r="X46">
            <v>0</v>
          </cell>
          <cell r="Y46">
            <v>0</v>
          </cell>
        </row>
        <row r="47">
          <cell r="A47">
            <v>24</v>
          </cell>
          <cell r="B47" t="str">
            <v>Adjustments</v>
          </cell>
          <cell r="C47">
            <v>0</v>
          </cell>
          <cell r="E47">
            <v>0</v>
          </cell>
          <cell r="F47">
            <v>0</v>
          </cell>
          <cell r="G47">
            <v>0</v>
          </cell>
          <cell r="H47">
            <v>0</v>
          </cell>
          <cell r="I47">
            <v>0</v>
          </cell>
          <cell r="J47">
            <v>0</v>
          </cell>
          <cell r="K47">
            <v>0</v>
          </cell>
          <cell r="L47">
            <v>0</v>
          </cell>
          <cell r="M47">
            <v>0</v>
          </cell>
          <cell r="N47">
            <v>0</v>
          </cell>
          <cell r="O47">
            <v>0</v>
          </cell>
          <cell r="P47">
            <v>0</v>
          </cell>
          <cell r="R47">
            <v>0</v>
          </cell>
          <cell r="S47">
            <v>0</v>
          </cell>
          <cell r="T47">
            <v>0</v>
          </cell>
          <cell r="U47">
            <v>0</v>
          </cell>
          <cell r="V47">
            <v>0</v>
          </cell>
          <cell r="W47">
            <v>0</v>
          </cell>
          <cell r="X47">
            <v>0</v>
          </cell>
          <cell r="Y47">
            <v>0</v>
          </cell>
        </row>
        <row r="48">
          <cell r="A48">
            <v>25</v>
          </cell>
          <cell r="B48" t="str">
            <v>Dividends</v>
          </cell>
          <cell r="E48">
            <v>0</v>
          </cell>
          <cell r="F48">
            <v>0</v>
          </cell>
          <cell r="G48">
            <v>0</v>
          </cell>
          <cell r="H48">
            <v>0</v>
          </cell>
          <cell r="I48">
            <v>0</v>
          </cell>
          <cell r="J48">
            <v>0</v>
          </cell>
          <cell r="K48">
            <v>0</v>
          </cell>
          <cell r="L48">
            <v>0</v>
          </cell>
          <cell r="M48">
            <v>0</v>
          </cell>
          <cell r="N48">
            <v>0</v>
          </cell>
          <cell r="O48">
            <v>0</v>
          </cell>
          <cell r="P48">
            <v>0</v>
          </cell>
          <cell r="T48">
            <v>0</v>
          </cell>
          <cell r="U48">
            <v>0</v>
          </cell>
          <cell r="V48">
            <v>0</v>
          </cell>
          <cell r="W48">
            <v>0</v>
          </cell>
          <cell r="X48">
            <v>0</v>
          </cell>
          <cell r="Y48">
            <v>0</v>
          </cell>
        </row>
        <row r="49">
          <cell r="A49">
            <v>26</v>
          </cell>
          <cell r="B49" t="str">
            <v>Extraordinary Items</v>
          </cell>
          <cell r="E49">
            <v>0</v>
          </cell>
          <cell r="F49">
            <v>0</v>
          </cell>
          <cell r="G49">
            <v>0</v>
          </cell>
          <cell r="H49">
            <v>0</v>
          </cell>
          <cell r="I49">
            <v>0</v>
          </cell>
          <cell r="J49">
            <v>0</v>
          </cell>
          <cell r="K49">
            <v>0</v>
          </cell>
          <cell r="L49">
            <v>0</v>
          </cell>
          <cell r="M49">
            <v>0</v>
          </cell>
          <cell r="N49">
            <v>0</v>
          </cell>
          <cell r="O49">
            <v>0</v>
          </cell>
          <cell r="P49">
            <v>0</v>
          </cell>
          <cell r="T49">
            <v>0</v>
          </cell>
          <cell r="U49">
            <v>0</v>
          </cell>
          <cell r="V49">
            <v>0</v>
          </cell>
          <cell r="W49">
            <v>0</v>
          </cell>
          <cell r="X49">
            <v>0</v>
          </cell>
          <cell r="Y49">
            <v>0</v>
          </cell>
        </row>
        <row r="50">
          <cell r="B50" t="str">
            <v>RETAINED PROFIT(LOSS)</v>
          </cell>
          <cell r="C50">
            <v>0</v>
          </cell>
          <cell r="E50">
            <v>63.422278428690078</v>
          </cell>
          <cell r="F50">
            <v>76.215328428690043</v>
          </cell>
          <cell r="G50">
            <v>174.76015972222234</v>
          </cell>
          <cell r="H50">
            <v>52.180336762023387</v>
          </cell>
          <cell r="I50">
            <v>80.945816762023441</v>
          </cell>
          <cell r="J50">
            <v>168.31488676202341</v>
          </cell>
          <cell r="K50">
            <v>53.629116070686365</v>
          </cell>
          <cell r="L50">
            <v>68.660756070686404</v>
          </cell>
          <cell r="M50">
            <v>112.21901607068645</v>
          </cell>
          <cell r="N50">
            <v>70.844596070686407</v>
          </cell>
          <cell r="O50">
            <v>146.33381607068645</v>
          </cell>
          <cell r="P50">
            <v>125.1701460706864</v>
          </cell>
          <cell r="Q50">
            <v>0</v>
          </cell>
          <cell r="R50">
            <v>0</v>
          </cell>
          <cell r="S50">
            <v>0</v>
          </cell>
          <cell r="T50">
            <v>0</v>
          </cell>
          <cell r="U50">
            <v>1135.8420019962582</v>
          </cell>
          <cell r="V50">
            <v>1297.5579908100335</v>
          </cell>
          <cell r="W50">
            <v>1804.814000000001</v>
          </cell>
          <cell r="X50">
            <v>-161.71598881377531</v>
          </cell>
          <cell r="Y50">
            <v>-668.97199800374278</v>
          </cell>
        </row>
        <row r="52">
          <cell r="B52" t="str">
            <v>RATIOS</v>
          </cell>
        </row>
        <row r="53">
          <cell r="B53" t="str">
            <v>No of week</v>
          </cell>
          <cell r="E53">
            <v>4</v>
          </cell>
          <cell r="F53">
            <v>4</v>
          </cell>
          <cell r="G53">
            <v>5</v>
          </cell>
          <cell r="H53">
            <v>4</v>
          </cell>
          <cell r="I53">
            <v>4</v>
          </cell>
          <cell r="J53">
            <v>5</v>
          </cell>
          <cell r="K53">
            <v>4</v>
          </cell>
          <cell r="L53">
            <v>4</v>
          </cell>
          <cell r="M53">
            <v>5</v>
          </cell>
          <cell r="N53">
            <v>4</v>
          </cell>
          <cell r="O53">
            <v>5</v>
          </cell>
          <cell r="P53">
            <v>4</v>
          </cell>
          <cell r="U53">
            <v>52</v>
          </cell>
          <cell r="V53">
            <v>52</v>
          </cell>
          <cell r="W53">
            <v>52</v>
          </cell>
          <cell r="X53">
            <v>0</v>
          </cell>
          <cell r="Y53">
            <v>0</v>
          </cell>
        </row>
        <row r="54">
          <cell r="A54">
            <v>27</v>
          </cell>
          <cell r="B54" t="str">
            <v>Pd Admissions</v>
          </cell>
          <cell r="E54">
            <v>55.86</v>
          </cell>
          <cell r="F54">
            <v>58.8</v>
          </cell>
          <cell r="G54">
            <v>68.599999999999994</v>
          </cell>
          <cell r="H54">
            <v>56.84</v>
          </cell>
          <cell r="I54">
            <v>60.76</v>
          </cell>
          <cell r="J54">
            <v>83.3</v>
          </cell>
          <cell r="K54">
            <v>56.84</v>
          </cell>
          <cell r="L54">
            <v>60.76</v>
          </cell>
          <cell r="M54">
            <v>70.56</v>
          </cell>
          <cell r="N54">
            <v>60.76</v>
          </cell>
          <cell r="O54">
            <v>78.400000000000006</v>
          </cell>
          <cell r="P54">
            <v>73.5</v>
          </cell>
          <cell r="T54">
            <v>0</v>
          </cell>
          <cell r="U54">
            <v>784.98</v>
          </cell>
          <cell r="V54">
            <v>834</v>
          </cell>
          <cell r="W54">
            <v>1091.548</v>
          </cell>
          <cell r="X54">
            <v>-49.020000000000095</v>
          </cell>
          <cell r="Y54">
            <v>-306.5680000000001</v>
          </cell>
        </row>
        <row r="55">
          <cell r="A55">
            <v>28</v>
          </cell>
          <cell r="B55" t="str">
            <v>Admissions</v>
          </cell>
          <cell r="E55">
            <v>57</v>
          </cell>
          <cell r="F55">
            <v>60</v>
          </cell>
          <cell r="G55">
            <v>70</v>
          </cell>
          <cell r="H55">
            <v>58</v>
          </cell>
          <cell r="I55">
            <v>62</v>
          </cell>
          <cell r="J55">
            <v>85</v>
          </cell>
          <cell r="K55">
            <v>58</v>
          </cell>
          <cell r="L55">
            <v>62</v>
          </cell>
          <cell r="M55">
            <v>72</v>
          </cell>
          <cell r="N55">
            <v>62</v>
          </cell>
          <cell r="O55">
            <v>80</v>
          </cell>
          <cell r="P55">
            <v>75</v>
          </cell>
          <cell r="T55">
            <v>0</v>
          </cell>
          <cell r="U55">
            <v>801</v>
          </cell>
          <cell r="V55">
            <v>834</v>
          </cell>
          <cell r="W55">
            <v>1091.548</v>
          </cell>
          <cell r="X55">
            <v>-33</v>
          </cell>
          <cell r="Y55">
            <v>-290.548</v>
          </cell>
        </row>
        <row r="56">
          <cell r="B56" t="str">
            <v>Utilisation Rate</v>
          </cell>
          <cell r="E56">
            <v>0.26096033402922758</v>
          </cell>
          <cell r="F56">
            <v>0.2746950884518185</v>
          </cell>
          <cell r="G56">
            <v>0.25638208255503059</v>
          </cell>
          <cell r="H56">
            <v>0.26553858550342452</v>
          </cell>
          <cell r="I56">
            <v>0.28385159140021243</v>
          </cell>
          <cell r="J56">
            <v>0.31132110024539428</v>
          </cell>
          <cell r="K56">
            <v>0.26553858550342452</v>
          </cell>
          <cell r="L56">
            <v>0.28385159140021243</v>
          </cell>
          <cell r="M56">
            <v>0.26370728491374573</v>
          </cell>
          <cell r="N56">
            <v>0.28385159140021243</v>
          </cell>
          <cell r="O56">
            <v>0.29300809434860636</v>
          </cell>
          <cell r="P56">
            <v>0.34336886056477312</v>
          </cell>
          <cell r="U56">
            <v>0.2820907254485982</v>
          </cell>
          <cell r="V56">
            <v>0.29371244072925207</v>
          </cell>
          <cell r="W56">
            <v>0.36240550978236041</v>
          </cell>
          <cell r="X56">
            <v>-1.1621715280653866E-2</v>
          </cell>
          <cell r="Y56">
            <v>-8.0314784333762212E-2</v>
          </cell>
        </row>
        <row r="57">
          <cell r="B57" t="str">
            <v>Ave. Admission Price (S$)</v>
          </cell>
          <cell r="C57" t="str">
            <v>N.A.</v>
          </cell>
          <cell r="E57">
            <v>6.62</v>
          </cell>
          <cell r="F57">
            <v>6.62</v>
          </cell>
          <cell r="G57">
            <v>6.62</v>
          </cell>
          <cell r="H57">
            <v>6.62</v>
          </cell>
          <cell r="I57">
            <v>6.62</v>
          </cell>
          <cell r="J57">
            <v>6.62</v>
          </cell>
          <cell r="K57">
            <v>6.62</v>
          </cell>
          <cell r="L57">
            <v>6.62</v>
          </cell>
          <cell r="M57">
            <v>6.62</v>
          </cell>
          <cell r="N57">
            <v>6.62</v>
          </cell>
          <cell r="O57">
            <v>6.62</v>
          </cell>
          <cell r="P57">
            <v>6.62</v>
          </cell>
          <cell r="R57" t="str">
            <v>N.A.</v>
          </cell>
          <cell r="S57" t="str">
            <v>N.A.</v>
          </cell>
          <cell r="U57">
            <v>6.62</v>
          </cell>
          <cell r="V57">
            <v>6.6384419544364492</v>
          </cell>
          <cell r="W57">
            <v>6.7622651500437918</v>
          </cell>
          <cell r="X57">
            <v>-1.8441954436449137E-2</v>
          </cell>
          <cell r="Y57">
            <v>-0.1422651500437917</v>
          </cell>
        </row>
        <row r="58">
          <cell r="B58" t="str">
            <v>Advert. Cost % of Box</v>
          </cell>
          <cell r="C58" t="str">
            <v>N.A.</v>
          </cell>
          <cell r="E58">
            <v>2.3E-2</v>
          </cell>
          <cell r="F58">
            <v>2.3E-2</v>
          </cell>
          <cell r="G58">
            <v>2.3E-2</v>
          </cell>
          <cell r="H58">
            <v>2.3E-2</v>
          </cell>
          <cell r="I58">
            <v>2.3E-2</v>
          </cell>
          <cell r="J58">
            <v>2.3E-2</v>
          </cell>
          <cell r="K58">
            <v>2.3E-2</v>
          </cell>
          <cell r="L58">
            <v>2.3E-2</v>
          </cell>
          <cell r="M58">
            <v>2.3E-2</v>
          </cell>
          <cell r="N58">
            <v>2.3E-2</v>
          </cell>
          <cell r="O58">
            <v>2.3E-2</v>
          </cell>
          <cell r="P58">
            <v>2.3E-2</v>
          </cell>
          <cell r="R58">
            <v>2.5999999999999999E-2</v>
          </cell>
          <cell r="S58">
            <v>2.5999999999999999E-2</v>
          </cell>
          <cell r="T58">
            <v>2.5999999999999999E-2</v>
          </cell>
          <cell r="U58">
            <v>2.3000000000000003E-2</v>
          </cell>
          <cell r="V58">
            <v>2.110548392795478E-2</v>
          </cell>
          <cell r="W58">
            <v>1.8489875208244792E-2</v>
          </cell>
          <cell r="X58">
            <v>1.8945160720452228E-3</v>
          </cell>
          <cell r="Y58">
            <v>4.5101247917552108E-3</v>
          </cell>
        </row>
        <row r="59">
          <cell r="B59" t="str">
            <v>Concession Cost %</v>
          </cell>
          <cell r="C59" t="str">
            <v>N.A.</v>
          </cell>
          <cell r="E59">
            <v>0.19500000000000001</v>
          </cell>
          <cell r="F59">
            <v>0.19500000000000001</v>
          </cell>
          <cell r="G59">
            <v>0.19500000000000001</v>
          </cell>
          <cell r="H59">
            <v>0.19500000000000001</v>
          </cell>
          <cell r="I59">
            <v>0.19500000000000001</v>
          </cell>
          <cell r="J59">
            <v>0.19500000000000001</v>
          </cell>
          <cell r="K59">
            <v>0.19500000000000001</v>
          </cell>
          <cell r="L59">
            <v>0.19500000000000001</v>
          </cell>
          <cell r="M59">
            <v>0.19500000000000001</v>
          </cell>
          <cell r="N59">
            <v>0.19500000000000001</v>
          </cell>
          <cell r="O59">
            <v>0.19500000000000001</v>
          </cell>
          <cell r="P59">
            <v>0.19500000000000001</v>
          </cell>
          <cell r="R59" t="str">
            <v>N.A.</v>
          </cell>
          <cell r="S59" t="str">
            <v>N.A.</v>
          </cell>
          <cell r="U59">
            <v>0.19500000000000001</v>
          </cell>
          <cell r="V59">
            <v>0.18164714239870572</v>
          </cell>
          <cell r="W59">
            <v>0.19980307474157918</v>
          </cell>
          <cell r="X59">
            <v>1.3352857601294288E-2</v>
          </cell>
          <cell r="Y59">
            <v>-4.8030747415791775E-3</v>
          </cell>
        </row>
        <row r="60">
          <cell r="B60" t="str">
            <v>Concess. Rev per Patron (S$)</v>
          </cell>
          <cell r="C60" t="str">
            <v>N.A.</v>
          </cell>
          <cell r="E60">
            <v>1.35</v>
          </cell>
          <cell r="F60">
            <v>1.35</v>
          </cell>
          <cell r="G60">
            <v>1.35</v>
          </cell>
          <cell r="H60">
            <v>1.35</v>
          </cell>
          <cell r="I60">
            <v>1.35</v>
          </cell>
          <cell r="J60">
            <v>1.35</v>
          </cell>
          <cell r="K60">
            <v>1.35</v>
          </cell>
          <cell r="L60">
            <v>1.35</v>
          </cell>
          <cell r="M60">
            <v>1.35</v>
          </cell>
          <cell r="N60">
            <v>1.35</v>
          </cell>
          <cell r="O60">
            <v>1.35</v>
          </cell>
          <cell r="P60">
            <v>1.35</v>
          </cell>
          <cell r="R60" t="str">
            <v>N.A.</v>
          </cell>
          <cell r="S60" t="str">
            <v>N.A.</v>
          </cell>
          <cell r="U60">
            <v>1.35</v>
          </cell>
          <cell r="V60">
            <v>1.3812812470023981</v>
          </cell>
          <cell r="W60">
            <v>1.3128428616973324</v>
          </cell>
          <cell r="X60">
            <v>-3.1281247002397983E-2</v>
          </cell>
          <cell r="Y60">
            <v>3.7157138302667647E-2</v>
          </cell>
        </row>
        <row r="61">
          <cell r="B61" t="str">
            <v>Film Hire : % of Net Box</v>
          </cell>
          <cell r="C61" t="str">
            <v>N.A.</v>
          </cell>
          <cell r="E61">
            <v>0.46500000000000002</v>
          </cell>
          <cell r="F61">
            <v>0.46500000000000002</v>
          </cell>
          <cell r="G61">
            <v>0.46500000000000002</v>
          </cell>
          <cell r="H61">
            <v>0.46500000000000002</v>
          </cell>
          <cell r="I61">
            <v>0.46500000000000002</v>
          </cell>
          <cell r="J61">
            <v>0.46500000000000002</v>
          </cell>
          <cell r="K61">
            <v>0.46500000000000002</v>
          </cell>
          <cell r="L61">
            <v>0.46500000000000002</v>
          </cell>
          <cell r="M61">
            <v>0.46500000000000002</v>
          </cell>
          <cell r="N61">
            <v>0.46500000000000002</v>
          </cell>
          <cell r="O61">
            <v>0.46500000000000002</v>
          </cell>
          <cell r="P61">
            <v>0.46500000000000002</v>
          </cell>
          <cell r="R61" t="str">
            <v>N.A.</v>
          </cell>
          <cell r="S61" t="str">
            <v>N.A.</v>
          </cell>
          <cell r="U61">
            <v>0.46500000000000002</v>
          </cell>
          <cell r="V61">
            <v>0.46617160693994947</v>
          </cell>
          <cell r="W61">
            <v>0.46589269667541255</v>
          </cell>
          <cell r="X61">
            <v>-1.1716069399493878E-3</v>
          </cell>
          <cell r="Y61">
            <v>-8.9269667541247433E-4</v>
          </cell>
        </row>
        <row r="62">
          <cell r="B62" t="str">
            <v>Direct Payroll : Net Box</v>
          </cell>
          <cell r="C62" t="str">
            <v>N.A.</v>
          </cell>
          <cell r="E62">
            <v>8.8774040203079108E-2</v>
          </cell>
          <cell r="F62">
            <v>8.4335338192925158E-2</v>
          </cell>
          <cell r="G62">
            <v>7.4661191908135249E-2</v>
          </cell>
          <cell r="H62">
            <v>8.7243453303026033E-2</v>
          </cell>
          <cell r="I62">
            <v>8.1614843412508215E-2</v>
          </cell>
          <cell r="J62">
            <v>6.1485687453758438E-2</v>
          </cell>
          <cell r="K62">
            <v>8.894361155831304E-2</v>
          </cell>
          <cell r="L62">
            <v>8.3205314038421879E-2</v>
          </cell>
          <cell r="M62">
            <v>7.3956841838557136E-2</v>
          </cell>
          <cell r="N62">
            <v>8.3205314038421879E-2</v>
          </cell>
          <cell r="O62">
            <v>6.6561157654701428E-2</v>
          </cell>
          <cell r="P62">
            <v>7.0998568165014847E-2</v>
          </cell>
          <cell r="R62" t="str">
            <v>N.A.</v>
          </cell>
          <cell r="S62" t="str">
            <v>N.A.</v>
          </cell>
          <cell r="U62">
            <v>7.7582914209383E-2</v>
          </cell>
          <cell r="V62">
            <v>9.360934780897627E-2</v>
          </cell>
          <cell r="W62">
            <v>9.0891528187915002E-2</v>
          </cell>
          <cell r="X62">
            <v>-1.6026433599593271E-2</v>
          </cell>
          <cell r="Y62">
            <v>-1.3308613978532002E-2</v>
          </cell>
        </row>
        <row r="63">
          <cell r="B63" t="str">
            <v>Direct Payroll : Net Box &amp; Conc.</v>
          </cell>
          <cell r="C63" t="str">
            <v>N.A.</v>
          </cell>
          <cell r="E63">
            <v>7.3737032138567596E-2</v>
          </cell>
          <cell r="F63">
            <v>7.0050180531639222E-2</v>
          </cell>
          <cell r="G63">
            <v>6.2014691396719612E-2</v>
          </cell>
          <cell r="H63">
            <v>7.2465703998247463E-2</v>
          </cell>
          <cell r="I63">
            <v>6.779049728868311E-2</v>
          </cell>
          <cell r="J63">
            <v>5.1070922326710275E-2</v>
          </cell>
          <cell r="K63">
            <v>7.3877880616817104E-2</v>
          </cell>
          <cell r="L63">
            <v>6.9111565738312772E-2</v>
          </cell>
          <cell r="M63">
            <v>6.1429647800658502E-2</v>
          </cell>
          <cell r="N63">
            <v>6.9111565738312772E-2</v>
          </cell>
          <cell r="O63">
            <v>5.5286683020592649E-2</v>
          </cell>
          <cell r="P63">
            <v>5.8972461888632165E-2</v>
          </cell>
          <cell r="Q63">
            <v>0</v>
          </cell>
          <cell r="R63" t="str">
            <v>N.A.</v>
          </cell>
          <cell r="S63" t="str">
            <v>N.A.</v>
          </cell>
          <cell r="T63" t="str">
            <v>N.A.</v>
          </cell>
          <cell r="U63">
            <v>6.4441517197756024E-2</v>
          </cell>
          <cell r="V63">
            <v>7.7486492515234262E-2</v>
          </cell>
          <cell r="W63">
            <v>7.6114475819480179E-2</v>
          </cell>
          <cell r="X63">
            <v>-1.3044975317478238E-2</v>
          </cell>
          <cell r="Y63">
            <v>-1.1672958621724155E-2</v>
          </cell>
        </row>
        <row r="64">
          <cell r="B64" t="str">
            <v>Direct Payroll of Admissions (S$)</v>
          </cell>
          <cell r="C64" t="str">
            <v>N.A.</v>
          </cell>
          <cell r="E64">
            <v>0.5876841461443838</v>
          </cell>
          <cell r="F64">
            <v>0.55829993883716456</v>
          </cell>
          <cell r="G64">
            <v>0.49425709043185534</v>
          </cell>
          <cell r="H64">
            <v>0.57755166086603227</v>
          </cell>
          <cell r="I64">
            <v>0.54029026339080444</v>
          </cell>
          <cell r="J64">
            <v>0.40703525094388088</v>
          </cell>
          <cell r="K64">
            <v>0.58880670851603234</v>
          </cell>
          <cell r="L64">
            <v>0.55081917893435284</v>
          </cell>
          <cell r="M64">
            <v>0.48959429297124823</v>
          </cell>
          <cell r="N64">
            <v>0.55081917893435284</v>
          </cell>
          <cell r="O64">
            <v>0.44063486367412341</v>
          </cell>
          <cell r="P64">
            <v>0.47001052125239834</v>
          </cell>
          <cell r="Q64">
            <v>0</v>
          </cell>
          <cell r="R64" t="str">
            <v>N.A.</v>
          </cell>
          <cell r="S64" t="str">
            <v>N.A.</v>
          </cell>
          <cell r="T64" t="str">
            <v>N.A.</v>
          </cell>
          <cell r="U64">
            <v>0.51359889206611553</v>
          </cell>
          <cell r="V64">
            <v>0.62142022182254175</v>
          </cell>
          <cell r="W64">
            <v>0.61463261349936049</v>
          </cell>
          <cell r="X64">
            <v>-0.10782132975642622</v>
          </cell>
          <cell r="Y64">
            <v>-0.10103372143324496</v>
          </cell>
        </row>
        <row r="65">
          <cell r="B65" t="str">
            <v>Gross Margin :Total Rev</v>
          </cell>
          <cell r="C65" t="str">
            <v>N.A.</v>
          </cell>
          <cell r="E65">
            <v>0.51398079956306164</v>
          </cell>
          <cell r="F65">
            <v>0.51616188867032109</v>
          </cell>
          <cell r="G65">
            <v>0.5202578862055528</v>
          </cell>
          <cell r="H65">
            <v>0.51473156730283176</v>
          </cell>
          <cell r="I65">
            <v>0.51750453342377523</v>
          </cell>
          <cell r="J65">
            <v>0.52700725104421642</v>
          </cell>
          <cell r="K65">
            <v>0.5133944187173588</v>
          </cell>
          <cell r="L65">
            <v>0.51624935009667094</v>
          </cell>
          <cell r="M65">
            <v>0.5202248681852214</v>
          </cell>
          <cell r="N65">
            <v>0.51624935009667094</v>
          </cell>
          <cell r="O65">
            <v>0.52404388659357515</v>
          </cell>
          <cell r="P65">
            <v>0.52174850496042813</v>
          </cell>
          <cell r="Q65">
            <v>0</v>
          </cell>
          <cell r="R65" t="str">
            <v>N.A.</v>
          </cell>
          <cell r="S65" t="str">
            <v>N.A.</v>
          </cell>
          <cell r="T65" t="str">
            <v>N.A.</v>
          </cell>
          <cell r="U65">
            <v>0.51897935526928285</v>
          </cell>
          <cell r="V65">
            <v>0.51766506613518781</v>
          </cell>
          <cell r="W65">
            <v>0.50357233594361006</v>
          </cell>
          <cell r="X65">
            <v>1.3142891340950369E-3</v>
          </cell>
          <cell r="Y65">
            <v>1.5407019325672788E-2</v>
          </cell>
        </row>
        <row r="66">
          <cell r="B66" t="str">
            <v>G&amp;A % of total revenue</v>
          </cell>
          <cell r="C66" t="str">
            <v>N.A.</v>
          </cell>
          <cell r="E66">
            <v>3.6785597170305009E-2</v>
          </cell>
          <cell r="F66">
            <v>3.5040947327234895E-2</v>
          </cell>
          <cell r="G66">
            <v>3.0005568694381927E-2</v>
          </cell>
          <cell r="H66">
            <v>3.6185059202822417E-2</v>
          </cell>
          <cell r="I66">
            <v>3.6451058557464958E-2</v>
          </cell>
          <cell r="J66">
            <v>2.5130467661131084E-2</v>
          </cell>
          <cell r="K66">
            <v>3.6198430688677147E-2</v>
          </cell>
          <cell r="L66">
            <v>3.7874630524509297E-2</v>
          </cell>
          <cell r="M66">
            <v>2.9482573463688808E-2</v>
          </cell>
          <cell r="N66">
            <v>3.3675565048466173E-2</v>
          </cell>
          <cell r="O66">
            <v>2.6649563227012632E-2</v>
          </cell>
          <cell r="P66">
            <v>2.8098854600392777E-2</v>
          </cell>
          <cell r="Q66">
            <v>0</v>
          </cell>
          <cell r="R66" t="e">
            <v>#DIV/0!</v>
          </cell>
          <cell r="S66" t="e">
            <v>#DIV/0!</v>
          </cell>
          <cell r="T66" t="e">
            <v>#DIV/0!</v>
          </cell>
          <cell r="U66">
            <v>3.2100973377124205E-2</v>
          </cell>
          <cell r="V66">
            <v>3.3343239037123364E-2</v>
          </cell>
          <cell r="W66">
            <v>3.002338441370956E-2</v>
          </cell>
          <cell r="X66">
            <v>-1.2422656599991588E-3</v>
          </cell>
          <cell r="Y66">
            <v>2.0775889634146449E-3</v>
          </cell>
        </row>
        <row r="67">
          <cell r="B67" t="str">
            <v>E.B.I.T.D. : Total Rev</v>
          </cell>
          <cell r="C67" t="str">
            <v>N.A.</v>
          </cell>
          <cell r="E67">
            <v>0.18517076918777392</v>
          </cell>
          <cell r="F67">
            <v>0.20176468420992744</v>
          </cell>
          <cell r="G67">
            <v>0.34300975378214116</v>
          </cell>
          <cell r="H67">
            <v>0.1642541147275508</v>
          </cell>
          <cell r="I67">
            <v>0.20949555118136043</v>
          </cell>
          <cell r="J67">
            <v>0.27911070898705082</v>
          </cell>
          <cell r="K67">
            <v>0.16722172299615509</v>
          </cell>
          <cell r="L67">
            <v>0.18587396067102646</v>
          </cell>
          <cell r="M67">
            <v>0.23379856495168669</v>
          </cell>
          <cell r="N67">
            <v>0.19007302614706958</v>
          </cell>
          <cell r="O67">
            <v>0.26274613744040648</v>
          </cell>
          <cell r="P67">
            <v>0.24560095771521975</v>
          </cell>
          <cell r="Q67">
            <v>0</v>
          </cell>
          <cell r="R67" t="str">
            <v>N.A.</v>
          </cell>
          <cell r="S67" t="str">
            <v>N.A.</v>
          </cell>
          <cell r="T67" t="str">
            <v>N.A.</v>
          </cell>
          <cell r="U67">
            <v>0.21872625279530952</v>
          </cell>
          <cell r="V67">
            <v>0.24658331402968878</v>
          </cell>
          <cell r="W67">
            <v>0.26671600326804956</v>
          </cell>
          <cell r="X67">
            <v>-2.7857061234379255E-2</v>
          </cell>
          <cell r="Y67">
            <v>-4.7989750472740039E-2</v>
          </cell>
        </row>
        <row r="68">
          <cell r="B68" t="str">
            <v>No of Concession Transactions</v>
          </cell>
          <cell r="E68">
            <v>17</v>
          </cell>
          <cell r="F68">
            <v>18</v>
          </cell>
          <cell r="G68">
            <v>21</v>
          </cell>
          <cell r="H68">
            <v>17</v>
          </cell>
          <cell r="I68">
            <v>18</v>
          </cell>
          <cell r="J68">
            <v>25</v>
          </cell>
          <cell r="K68">
            <v>17</v>
          </cell>
          <cell r="L68">
            <v>18</v>
          </cell>
          <cell r="M68">
            <v>21</v>
          </cell>
          <cell r="N68">
            <v>18</v>
          </cell>
          <cell r="O68">
            <v>24</v>
          </cell>
          <cell r="P68">
            <v>22</v>
          </cell>
          <cell r="Q68">
            <v>0</v>
          </cell>
          <cell r="R68">
            <v>26</v>
          </cell>
          <cell r="S68">
            <v>27</v>
          </cell>
          <cell r="T68">
            <v>28</v>
          </cell>
          <cell r="U68">
            <v>236</v>
          </cell>
          <cell r="V68">
            <v>219</v>
          </cell>
          <cell r="W68">
            <v>0</v>
          </cell>
          <cell r="X68">
            <v>17</v>
          </cell>
          <cell r="Y68">
            <v>236</v>
          </cell>
        </row>
        <row r="69">
          <cell r="B69" t="str">
            <v>Strike Rate %(No of Trans/Adm)</v>
          </cell>
          <cell r="E69">
            <v>0.2982456140350877</v>
          </cell>
          <cell r="F69">
            <v>0.3</v>
          </cell>
          <cell r="G69">
            <v>0.3</v>
          </cell>
          <cell r="H69">
            <v>0.29310344827586204</v>
          </cell>
          <cell r="I69">
            <v>0.29032258064516131</v>
          </cell>
          <cell r="J69">
            <v>0.29411764705882354</v>
          </cell>
          <cell r="K69">
            <v>0.29310344827586204</v>
          </cell>
          <cell r="L69">
            <v>0.29032258064516131</v>
          </cell>
          <cell r="M69">
            <v>0.29166666666666669</v>
          </cell>
          <cell r="N69">
            <v>0.29032258064516131</v>
          </cell>
          <cell r="O69">
            <v>0.3</v>
          </cell>
          <cell r="P69">
            <v>0.29333333333333333</v>
          </cell>
          <cell r="Q69">
            <v>0</v>
          </cell>
          <cell r="R69" t="e">
            <v>#DIV/0!</v>
          </cell>
          <cell r="S69" t="e">
            <v>#DIV/0!</v>
          </cell>
          <cell r="T69" t="e">
            <v>#DIV/0!</v>
          </cell>
          <cell r="U69">
            <v>0.29463171036204744</v>
          </cell>
          <cell r="V69">
            <v>0.26258992805755393</v>
          </cell>
          <cell r="W69">
            <v>0</v>
          </cell>
          <cell r="X69">
            <v>3.2041782304493505E-2</v>
          </cell>
          <cell r="Y69">
            <v>0.29463171036204744</v>
          </cell>
        </row>
        <row r="70">
          <cell r="B70" t="str">
            <v>Ave Sales (Total Sale/No of Trans) (S$)</v>
          </cell>
          <cell r="E70">
            <v>4.526470588235294</v>
          </cell>
          <cell r="F70">
            <v>4.5</v>
          </cell>
          <cell r="G70">
            <v>4.5</v>
          </cell>
          <cell r="H70">
            <v>4.605882352941177</v>
          </cell>
          <cell r="I70">
            <v>4.6500000000000004</v>
          </cell>
          <cell r="J70">
            <v>4.59</v>
          </cell>
          <cell r="K70">
            <v>4.605882352941177</v>
          </cell>
          <cell r="L70">
            <v>4.6500000000000004</v>
          </cell>
          <cell r="M70">
            <v>4.628571428571429</v>
          </cell>
          <cell r="N70">
            <v>4.6500000000000004</v>
          </cell>
          <cell r="O70">
            <v>4.5</v>
          </cell>
          <cell r="P70">
            <v>4.6022727272727275</v>
          </cell>
          <cell r="Q70">
            <v>0</v>
          </cell>
          <cell r="R70">
            <v>0</v>
          </cell>
          <cell r="S70">
            <v>0</v>
          </cell>
          <cell r="T70">
            <v>0</v>
          </cell>
          <cell r="U70">
            <v>4.5819915254237298</v>
          </cell>
          <cell r="V70">
            <v>5.2602217351598171</v>
          </cell>
          <cell r="W70" t="str">
            <v>N.A.</v>
          </cell>
          <cell r="X70">
            <v>-0.67823020973608728</v>
          </cell>
          <cell r="Y70" t="str">
            <v>N.A.</v>
          </cell>
        </row>
        <row r="71">
          <cell r="B71" t="str">
            <v xml:space="preserve">Total Concession Combo Sales </v>
          </cell>
          <cell r="E71">
            <v>38</v>
          </cell>
          <cell r="F71">
            <v>40</v>
          </cell>
          <cell r="G71">
            <v>48</v>
          </cell>
          <cell r="H71">
            <v>37</v>
          </cell>
          <cell r="I71">
            <v>40</v>
          </cell>
          <cell r="J71">
            <v>57</v>
          </cell>
          <cell r="K71">
            <v>38</v>
          </cell>
          <cell r="L71">
            <v>42</v>
          </cell>
          <cell r="M71">
            <v>47</v>
          </cell>
          <cell r="N71">
            <v>40</v>
          </cell>
          <cell r="O71">
            <v>54</v>
          </cell>
          <cell r="P71">
            <v>51</v>
          </cell>
          <cell r="Q71">
            <v>0</v>
          </cell>
          <cell r="R71">
            <v>47.768999999999998</v>
          </cell>
          <cell r="S71">
            <v>48.768999999999998</v>
          </cell>
          <cell r="T71">
            <v>49.768999999999998</v>
          </cell>
          <cell r="U71">
            <v>532</v>
          </cell>
          <cell r="V71">
            <v>494</v>
          </cell>
          <cell r="W71">
            <v>0</v>
          </cell>
          <cell r="X71">
            <v>38</v>
          </cell>
          <cell r="Y71">
            <v>532</v>
          </cell>
        </row>
        <row r="72">
          <cell r="B72" t="str">
            <v>Combo Sales as % of Total Sales</v>
          </cell>
          <cell r="E72">
            <v>0.49382716049382713</v>
          </cell>
          <cell r="F72">
            <v>0.49382716049382713</v>
          </cell>
          <cell r="G72">
            <v>0.50793650793650791</v>
          </cell>
          <cell r="H72">
            <v>0.47254150702426556</v>
          </cell>
          <cell r="I72">
            <v>0.47789725209080047</v>
          </cell>
          <cell r="J72">
            <v>0.49673202614379081</v>
          </cell>
          <cell r="K72">
            <v>0.4853128991060025</v>
          </cell>
          <cell r="L72">
            <v>0.50179211469534046</v>
          </cell>
          <cell r="M72">
            <v>0.48353909465020573</v>
          </cell>
          <cell r="N72">
            <v>0.47789725209080047</v>
          </cell>
          <cell r="O72">
            <v>0.5</v>
          </cell>
          <cell r="P72">
            <v>0.50370370370370365</v>
          </cell>
          <cell r="Q72">
            <v>0</v>
          </cell>
          <cell r="R72" t="e">
            <v>#DIV/0!</v>
          </cell>
          <cell r="S72" t="e">
            <v>#DIV/0!</v>
          </cell>
          <cell r="T72" t="e">
            <v>#DIV/0!</v>
          </cell>
          <cell r="U72">
            <v>0.49197762056688393</v>
          </cell>
          <cell r="V72">
            <v>0.42882370290204963</v>
          </cell>
          <cell r="W72">
            <v>0</v>
          </cell>
          <cell r="X72">
            <v>6.3153917664834303E-2</v>
          </cell>
          <cell r="Y72">
            <v>0.49197762056688393</v>
          </cell>
        </row>
        <row r="73">
          <cell r="B73" t="str">
            <v>No of Payroll hours Paid</v>
          </cell>
          <cell r="E73">
            <v>4</v>
          </cell>
          <cell r="F73">
            <v>3</v>
          </cell>
          <cell r="G73">
            <v>4</v>
          </cell>
          <cell r="H73">
            <v>3</v>
          </cell>
          <cell r="I73">
            <v>4</v>
          </cell>
          <cell r="J73">
            <v>4</v>
          </cell>
          <cell r="K73">
            <v>3</v>
          </cell>
          <cell r="L73">
            <v>3</v>
          </cell>
          <cell r="M73">
            <v>4</v>
          </cell>
          <cell r="N73">
            <v>3</v>
          </cell>
          <cell r="O73">
            <v>4</v>
          </cell>
          <cell r="P73">
            <v>4</v>
          </cell>
          <cell r="Q73">
            <v>0</v>
          </cell>
          <cell r="R73">
            <v>5.1360000000000001</v>
          </cell>
          <cell r="S73">
            <v>5.1360000000000001</v>
          </cell>
          <cell r="T73">
            <v>5.1360000000000001</v>
          </cell>
          <cell r="U73">
            <v>73.013999999999996</v>
          </cell>
          <cell r="V73">
            <v>67.687999999999988</v>
          </cell>
          <cell r="W73">
            <v>0</v>
          </cell>
          <cell r="X73">
            <v>5.3260000000000076</v>
          </cell>
          <cell r="Y73">
            <v>73.013999999999996</v>
          </cell>
        </row>
        <row r="74">
          <cell r="B74" t="str">
            <v>Admissions/labour hour paid</v>
          </cell>
          <cell r="E74">
            <v>10.702215546376268</v>
          </cell>
          <cell r="F74">
            <v>10.46207497820401</v>
          </cell>
          <cell r="G74">
            <v>9.5667623342900097</v>
          </cell>
          <cell r="H74">
            <v>11.6</v>
          </cell>
          <cell r="I74">
            <v>10.333333333333334</v>
          </cell>
          <cell r="J74">
            <v>12.142857142857142</v>
          </cell>
          <cell r="K74">
            <v>10.906355772846934</v>
          </cell>
          <cell r="L74">
            <v>10.333333333333334</v>
          </cell>
          <cell r="M74">
            <v>10.285714285714286</v>
          </cell>
          <cell r="N74">
            <v>11.658518239939825</v>
          </cell>
          <cell r="O74">
            <v>11.428571428571429</v>
          </cell>
          <cell r="P74">
            <v>12.5</v>
          </cell>
          <cell r="Q74">
            <v>0</v>
          </cell>
          <cell r="R74">
            <v>0</v>
          </cell>
          <cell r="S74">
            <v>0</v>
          </cell>
          <cell r="T74">
            <v>0</v>
          </cell>
          <cell r="U74">
            <v>10.970498808447696</v>
          </cell>
          <cell r="V74">
            <v>12.321238624276093</v>
          </cell>
          <cell r="W74" t="str">
            <v>N.A.</v>
          </cell>
          <cell r="X74">
            <v>-1.3507398158283976</v>
          </cell>
          <cell r="Y74" t="str">
            <v>N.A.</v>
          </cell>
        </row>
        <row r="75">
          <cell r="A75">
            <v>0</v>
          </cell>
        </row>
        <row r="76">
          <cell r="A76">
            <v>0</v>
          </cell>
          <cell r="B76" t="str">
            <v>6 Other Income</v>
          </cell>
        </row>
        <row r="77">
          <cell r="A77">
            <v>52</v>
          </cell>
          <cell r="B77" t="str">
            <v>Booking Fee</v>
          </cell>
          <cell r="E77">
            <v>2.265625</v>
          </cell>
          <cell r="F77">
            <v>2.265625</v>
          </cell>
          <cell r="G77">
            <v>2.265625</v>
          </cell>
          <cell r="H77">
            <v>2.265625</v>
          </cell>
          <cell r="I77">
            <v>2.265625</v>
          </cell>
          <cell r="J77">
            <v>2.265625</v>
          </cell>
          <cell r="K77">
            <v>2.265625</v>
          </cell>
          <cell r="L77">
            <v>2.265625</v>
          </cell>
          <cell r="M77">
            <v>2.265625</v>
          </cell>
          <cell r="N77">
            <v>2.265625</v>
          </cell>
          <cell r="O77">
            <v>2.265625</v>
          </cell>
          <cell r="P77">
            <v>2.265625</v>
          </cell>
          <cell r="T77">
            <v>0</v>
          </cell>
          <cell r="U77">
            <v>27.1875</v>
          </cell>
          <cell r="V77">
            <v>48.62153</v>
          </cell>
          <cell r="W77">
            <v>3.8690000000000002</v>
          </cell>
          <cell r="X77">
            <v>-21.43403</v>
          </cell>
          <cell r="Y77">
            <v>23.3185</v>
          </cell>
        </row>
        <row r="78">
          <cell r="A78">
            <v>53</v>
          </cell>
          <cell r="B78" t="str">
            <v>Auditorium Rentals</v>
          </cell>
          <cell r="E78">
            <v>1</v>
          </cell>
          <cell r="F78">
            <v>1</v>
          </cell>
          <cell r="G78">
            <v>1</v>
          </cell>
          <cell r="H78">
            <v>1</v>
          </cell>
          <cell r="I78">
            <v>1</v>
          </cell>
          <cell r="J78">
            <v>1</v>
          </cell>
          <cell r="K78">
            <v>1</v>
          </cell>
          <cell r="L78">
            <v>1</v>
          </cell>
          <cell r="M78">
            <v>1</v>
          </cell>
          <cell r="N78">
            <v>1</v>
          </cell>
          <cell r="O78">
            <v>1</v>
          </cell>
          <cell r="P78">
            <v>1</v>
          </cell>
          <cell r="T78">
            <v>0</v>
          </cell>
          <cell r="U78">
            <v>12</v>
          </cell>
          <cell r="V78">
            <v>7.6340000000000021</v>
          </cell>
          <cell r="W78">
            <v>3.923</v>
          </cell>
          <cell r="X78">
            <v>4.3659999999999979</v>
          </cell>
          <cell r="Y78">
            <v>8.077</v>
          </cell>
        </row>
        <row r="79">
          <cell r="A79">
            <v>54</v>
          </cell>
          <cell r="B79" t="str">
            <v>Parking Revenue</v>
          </cell>
          <cell r="E79">
            <v>0</v>
          </cell>
          <cell r="F79">
            <v>0</v>
          </cell>
          <cell r="G79">
            <v>0</v>
          </cell>
          <cell r="H79">
            <v>0</v>
          </cell>
          <cell r="I79">
            <v>0</v>
          </cell>
          <cell r="J79">
            <v>0</v>
          </cell>
          <cell r="K79">
            <v>0</v>
          </cell>
          <cell r="L79">
            <v>0</v>
          </cell>
          <cell r="M79">
            <v>0</v>
          </cell>
          <cell r="N79">
            <v>0</v>
          </cell>
          <cell r="O79">
            <v>0</v>
          </cell>
          <cell r="P79">
            <v>0</v>
          </cell>
          <cell r="T79">
            <v>0</v>
          </cell>
          <cell r="U79">
            <v>0</v>
          </cell>
          <cell r="V79">
            <v>0</v>
          </cell>
          <cell r="W79">
            <v>0</v>
          </cell>
          <cell r="X79">
            <v>0</v>
          </cell>
          <cell r="Y79">
            <v>0</v>
          </cell>
        </row>
        <row r="80">
          <cell r="A80">
            <v>55</v>
          </cell>
          <cell r="B80" t="str">
            <v>Ticket Advertising</v>
          </cell>
          <cell r="E80">
            <v>0</v>
          </cell>
          <cell r="F80">
            <v>0</v>
          </cell>
          <cell r="G80">
            <v>0</v>
          </cell>
          <cell r="H80">
            <v>0</v>
          </cell>
          <cell r="I80">
            <v>0</v>
          </cell>
          <cell r="J80">
            <v>0</v>
          </cell>
          <cell r="K80">
            <v>0</v>
          </cell>
          <cell r="L80">
            <v>0</v>
          </cell>
          <cell r="M80">
            <v>0</v>
          </cell>
          <cell r="N80">
            <v>0</v>
          </cell>
          <cell r="O80">
            <v>0</v>
          </cell>
          <cell r="P80">
            <v>0</v>
          </cell>
          <cell r="T80">
            <v>0</v>
          </cell>
          <cell r="U80">
            <v>0</v>
          </cell>
          <cell r="V80">
            <v>0</v>
          </cell>
          <cell r="W80">
            <v>0</v>
          </cell>
          <cell r="X80">
            <v>0</v>
          </cell>
          <cell r="Y80">
            <v>0</v>
          </cell>
        </row>
        <row r="81">
          <cell r="A81">
            <v>56</v>
          </cell>
          <cell r="B81" t="str">
            <v>Participating</v>
          </cell>
          <cell r="E81">
            <v>0</v>
          </cell>
          <cell r="F81">
            <v>0</v>
          </cell>
          <cell r="G81">
            <v>0</v>
          </cell>
          <cell r="H81">
            <v>0</v>
          </cell>
          <cell r="I81">
            <v>0</v>
          </cell>
          <cell r="J81">
            <v>0</v>
          </cell>
          <cell r="K81">
            <v>0</v>
          </cell>
          <cell r="L81">
            <v>0</v>
          </cell>
          <cell r="M81">
            <v>0</v>
          </cell>
          <cell r="N81">
            <v>0</v>
          </cell>
          <cell r="O81">
            <v>0</v>
          </cell>
          <cell r="P81">
            <v>0</v>
          </cell>
          <cell r="T81">
            <v>0</v>
          </cell>
          <cell r="U81">
            <v>0</v>
          </cell>
          <cell r="V81">
            <v>0</v>
          </cell>
          <cell r="W81">
            <v>0</v>
          </cell>
          <cell r="X81">
            <v>0</v>
          </cell>
          <cell r="Y81">
            <v>0</v>
          </cell>
        </row>
        <row r="82">
          <cell r="A82">
            <v>57</v>
          </cell>
          <cell r="B82" t="str">
            <v>Miscellaneous</v>
          </cell>
          <cell r="E82">
            <v>3.1720000000000002</v>
          </cell>
          <cell r="F82">
            <v>3.1720000000000002</v>
          </cell>
          <cell r="G82">
            <v>3.1720000000000002</v>
          </cell>
          <cell r="H82">
            <v>3.1720000000000002</v>
          </cell>
          <cell r="I82">
            <v>3.1720000000000002</v>
          </cell>
          <cell r="J82">
            <v>3.1720000000000002</v>
          </cell>
          <cell r="K82">
            <v>3.1720000000000002</v>
          </cell>
          <cell r="L82">
            <v>3.1720000000000002</v>
          </cell>
          <cell r="M82">
            <v>3.1720000000000002</v>
          </cell>
          <cell r="N82">
            <v>3.1720000000000002</v>
          </cell>
          <cell r="O82">
            <v>3.1720000000000002</v>
          </cell>
          <cell r="P82">
            <v>3.1720000000000002</v>
          </cell>
          <cell r="T82">
            <v>0</v>
          </cell>
          <cell r="U82">
            <v>38.064</v>
          </cell>
          <cell r="V82">
            <v>58.76</v>
          </cell>
          <cell r="W82">
            <v>54.470999999999997</v>
          </cell>
          <cell r="X82">
            <v>-20.695999999999998</v>
          </cell>
          <cell r="Y82">
            <v>-16.406999999999996</v>
          </cell>
        </row>
        <row r="83">
          <cell r="C83">
            <v>0</v>
          </cell>
          <cell r="E83">
            <v>6.4376250000000006</v>
          </cell>
          <cell r="F83">
            <v>6.4376250000000006</v>
          </cell>
          <cell r="G83">
            <v>6.4376250000000006</v>
          </cell>
          <cell r="H83">
            <v>6.4376250000000006</v>
          </cell>
          <cell r="I83">
            <v>6.4376250000000006</v>
          </cell>
          <cell r="J83">
            <v>6.4376250000000006</v>
          </cell>
          <cell r="K83">
            <v>6.4376250000000006</v>
          </cell>
          <cell r="L83">
            <v>6.4376250000000006</v>
          </cell>
          <cell r="M83">
            <v>6.4376250000000006</v>
          </cell>
          <cell r="N83">
            <v>6.4376250000000006</v>
          </cell>
          <cell r="O83">
            <v>6.4376250000000006</v>
          </cell>
          <cell r="P83">
            <v>6.4376250000000006</v>
          </cell>
          <cell r="R83">
            <v>0</v>
          </cell>
          <cell r="S83">
            <v>0</v>
          </cell>
          <cell r="T83">
            <v>0</v>
          </cell>
          <cell r="U83">
            <v>77.251499999999993</v>
          </cell>
          <cell r="V83">
            <v>115.01553</v>
          </cell>
          <cell r="W83">
            <v>62.262999999999998</v>
          </cell>
          <cell r="X83">
            <v>-37.764030000000005</v>
          </cell>
          <cell r="Y83">
            <v>14.988499999999995</v>
          </cell>
        </row>
        <row r="84">
          <cell r="X84">
            <v>0</v>
          </cell>
          <cell r="Y84">
            <v>0</v>
          </cell>
        </row>
        <row r="85">
          <cell r="B85" t="str">
            <v>10 Other Cost</v>
          </cell>
          <cell r="X85">
            <v>0</v>
          </cell>
          <cell r="Y85">
            <v>0</v>
          </cell>
        </row>
        <row r="86">
          <cell r="A86">
            <v>61</v>
          </cell>
          <cell r="B86" t="str">
            <v>Authors Rights</v>
          </cell>
          <cell r="E86">
            <v>0.75468000000000013</v>
          </cell>
          <cell r="F86">
            <v>0.7944</v>
          </cell>
          <cell r="G86">
            <v>0.92680000000000007</v>
          </cell>
          <cell r="H86">
            <v>0.76791999999999994</v>
          </cell>
          <cell r="I86">
            <v>0.82088000000000005</v>
          </cell>
          <cell r="J86">
            <v>1.1254000000000002</v>
          </cell>
          <cell r="K86">
            <v>0.76791999999999994</v>
          </cell>
          <cell r="L86">
            <v>0.82088000000000005</v>
          </cell>
          <cell r="M86">
            <v>0.95328000000000002</v>
          </cell>
          <cell r="N86">
            <v>0.82088000000000005</v>
          </cell>
          <cell r="O86">
            <v>1.0592000000000001</v>
          </cell>
          <cell r="P86">
            <v>0.99299999999999999</v>
          </cell>
          <cell r="U86">
            <v>10.605240000000002</v>
          </cell>
          <cell r="V86">
            <v>11.072921179999998</v>
          </cell>
          <cell r="W86">
            <v>14.762674000000001</v>
          </cell>
          <cell r="X86">
            <v>-0.46768117999999603</v>
          </cell>
          <cell r="Y86">
            <v>-4.1574339999999985</v>
          </cell>
        </row>
        <row r="87">
          <cell r="A87">
            <v>62</v>
          </cell>
          <cell r="B87" t="str">
            <v>Film Levies</v>
          </cell>
          <cell r="E87">
            <v>0</v>
          </cell>
          <cell r="F87">
            <v>0</v>
          </cell>
          <cell r="G87">
            <v>0</v>
          </cell>
          <cell r="H87">
            <v>0</v>
          </cell>
          <cell r="I87">
            <v>0</v>
          </cell>
          <cell r="J87">
            <v>0</v>
          </cell>
          <cell r="K87">
            <v>0</v>
          </cell>
          <cell r="L87">
            <v>0</v>
          </cell>
          <cell r="M87">
            <v>0</v>
          </cell>
          <cell r="N87">
            <v>0</v>
          </cell>
          <cell r="O87">
            <v>0</v>
          </cell>
          <cell r="P87">
            <v>0</v>
          </cell>
          <cell r="U87">
            <v>0</v>
          </cell>
          <cell r="V87">
            <v>0</v>
          </cell>
          <cell r="W87">
            <v>0</v>
          </cell>
          <cell r="X87">
            <v>0</v>
          </cell>
          <cell r="Y87">
            <v>0</v>
          </cell>
        </row>
        <row r="88">
          <cell r="A88">
            <v>63</v>
          </cell>
          <cell r="B88" t="str">
            <v>Cultural Fees</v>
          </cell>
          <cell r="E88">
            <v>0</v>
          </cell>
          <cell r="F88">
            <v>0</v>
          </cell>
          <cell r="G88">
            <v>0</v>
          </cell>
          <cell r="H88">
            <v>0</v>
          </cell>
          <cell r="I88">
            <v>0</v>
          </cell>
          <cell r="J88">
            <v>0</v>
          </cell>
          <cell r="K88">
            <v>0</v>
          </cell>
          <cell r="L88">
            <v>0</v>
          </cell>
          <cell r="M88">
            <v>0</v>
          </cell>
          <cell r="N88">
            <v>0</v>
          </cell>
          <cell r="O88">
            <v>0</v>
          </cell>
          <cell r="P88">
            <v>0</v>
          </cell>
          <cell r="U88">
            <v>0</v>
          </cell>
          <cell r="V88">
            <v>0</v>
          </cell>
          <cell r="W88">
            <v>0</v>
          </cell>
          <cell r="X88">
            <v>0</v>
          </cell>
          <cell r="Y88">
            <v>0</v>
          </cell>
        </row>
        <row r="89">
          <cell r="A89">
            <v>64</v>
          </cell>
          <cell r="B89" t="str">
            <v>Municipal Taxes</v>
          </cell>
          <cell r="E89">
            <v>0</v>
          </cell>
          <cell r="F89">
            <v>0</v>
          </cell>
          <cell r="G89">
            <v>0</v>
          </cell>
          <cell r="H89">
            <v>0</v>
          </cell>
          <cell r="I89">
            <v>0</v>
          </cell>
          <cell r="J89">
            <v>0</v>
          </cell>
          <cell r="K89">
            <v>0</v>
          </cell>
          <cell r="L89">
            <v>0</v>
          </cell>
          <cell r="M89">
            <v>0</v>
          </cell>
          <cell r="N89">
            <v>0</v>
          </cell>
          <cell r="O89">
            <v>0</v>
          </cell>
          <cell r="P89">
            <v>0</v>
          </cell>
          <cell r="U89">
            <v>0</v>
          </cell>
          <cell r="V89">
            <v>0</v>
          </cell>
          <cell r="W89">
            <v>0</v>
          </cell>
          <cell r="X89">
            <v>0</v>
          </cell>
          <cell r="Y89">
            <v>0</v>
          </cell>
        </row>
        <row r="90">
          <cell r="A90">
            <v>65</v>
          </cell>
          <cell r="B90" t="str">
            <v>Other</v>
          </cell>
          <cell r="E90">
            <v>0</v>
          </cell>
          <cell r="F90">
            <v>0</v>
          </cell>
          <cell r="G90">
            <v>0</v>
          </cell>
          <cell r="H90">
            <v>0</v>
          </cell>
          <cell r="I90">
            <v>0</v>
          </cell>
          <cell r="J90">
            <v>0</v>
          </cell>
          <cell r="K90">
            <v>0</v>
          </cell>
          <cell r="L90">
            <v>0</v>
          </cell>
          <cell r="M90">
            <v>0</v>
          </cell>
          <cell r="N90">
            <v>0</v>
          </cell>
          <cell r="O90">
            <v>0</v>
          </cell>
          <cell r="P90">
            <v>0</v>
          </cell>
          <cell r="U90">
            <v>0</v>
          </cell>
          <cell r="V90">
            <v>0</v>
          </cell>
          <cell r="W90">
            <v>0</v>
          </cell>
          <cell r="X90">
            <v>0</v>
          </cell>
          <cell r="Y90">
            <v>0</v>
          </cell>
        </row>
        <row r="91">
          <cell r="E91">
            <v>0.75468000000000013</v>
          </cell>
          <cell r="F91">
            <v>0.7944</v>
          </cell>
          <cell r="G91">
            <v>0.92680000000000007</v>
          </cell>
          <cell r="H91">
            <v>0.76791999999999994</v>
          </cell>
          <cell r="I91">
            <v>0.82088000000000005</v>
          </cell>
          <cell r="J91">
            <v>1.1254000000000002</v>
          </cell>
          <cell r="K91">
            <v>0.76791999999999994</v>
          </cell>
          <cell r="L91">
            <v>0.82088000000000005</v>
          </cell>
          <cell r="M91">
            <v>0.95328000000000002</v>
          </cell>
          <cell r="N91">
            <v>0.82088000000000005</v>
          </cell>
          <cell r="O91">
            <v>1.0592000000000001</v>
          </cell>
          <cell r="P91">
            <v>0.99299999999999999</v>
          </cell>
          <cell r="U91">
            <v>10.605240000000002</v>
          </cell>
          <cell r="V91">
            <v>11.072921179999998</v>
          </cell>
          <cell r="W91">
            <v>14.762674000000001</v>
          </cell>
          <cell r="X91">
            <v>-0.46768117999999603</v>
          </cell>
          <cell r="Y91">
            <v>-4.1574339999999985</v>
          </cell>
        </row>
        <row r="92">
          <cell r="X92">
            <v>0</v>
          </cell>
          <cell r="Y92">
            <v>0</v>
          </cell>
        </row>
        <row r="93">
          <cell r="B93" t="str">
            <v>11 Direct Payroll</v>
          </cell>
          <cell r="X93">
            <v>0</v>
          </cell>
          <cell r="Y93">
            <v>0</v>
          </cell>
        </row>
        <row r="94">
          <cell r="A94">
            <v>66</v>
          </cell>
          <cell r="B94" t="str">
            <v>Salaries</v>
          </cell>
          <cell r="E94">
            <v>30.818469663563214</v>
          </cell>
          <cell r="F94">
            <v>30.818469663563214</v>
          </cell>
          <cell r="G94">
            <v>31.918469663563215</v>
          </cell>
          <cell r="H94">
            <v>30.818469663563214</v>
          </cell>
          <cell r="I94">
            <v>30.818469663563214</v>
          </cell>
          <cell r="J94">
            <v>31.918469663563215</v>
          </cell>
          <cell r="K94">
            <v>31.471262427263216</v>
          </cell>
          <cell r="L94">
            <v>31.471262427263216</v>
          </cell>
          <cell r="M94">
            <v>32.571262427263214</v>
          </cell>
          <cell r="N94">
            <v>31.471262427263216</v>
          </cell>
          <cell r="O94">
            <v>32.571262427263214</v>
          </cell>
          <cell r="P94">
            <v>32.571262427263214</v>
          </cell>
          <cell r="T94">
            <v>0</v>
          </cell>
          <cell r="U94">
            <v>379.23839254495857</v>
          </cell>
          <cell r="V94">
            <v>474.64974999999987</v>
          </cell>
          <cell r="W94">
            <v>588.10900000000004</v>
          </cell>
          <cell r="X94">
            <v>-95.411357455041298</v>
          </cell>
          <cell r="Y94">
            <v>-208.87060745504147</v>
          </cell>
        </row>
        <row r="95">
          <cell r="A95">
            <v>67</v>
          </cell>
          <cell r="B95" t="str">
            <v>Bonus/Commission</v>
          </cell>
          <cell r="E95">
            <v>1.6555266666666666</v>
          </cell>
          <cell r="F95">
            <v>1.6555266666666666</v>
          </cell>
          <cell r="G95">
            <v>1.6555266666666666</v>
          </cell>
          <cell r="H95">
            <v>1.6555266666666666</v>
          </cell>
          <cell r="I95">
            <v>1.6555266666666666</v>
          </cell>
          <cell r="J95">
            <v>1.6555266666666666</v>
          </cell>
          <cell r="K95">
            <v>1.6555266666666666</v>
          </cell>
          <cell r="L95">
            <v>1.6555266666666666</v>
          </cell>
          <cell r="M95">
            <v>1.6555266666666666</v>
          </cell>
          <cell r="N95">
            <v>1.6555266666666666</v>
          </cell>
          <cell r="O95">
            <v>1.6555266666666666</v>
          </cell>
          <cell r="P95">
            <v>1.6555266666666666</v>
          </cell>
          <cell r="T95">
            <v>0</v>
          </cell>
          <cell r="U95">
            <v>19.866319999999998</v>
          </cell>
          <cell r="V95">
            <v>25.927974999999996</v>
          </cell>
          <cell r="W95">
            <v>50.03</v>
          </cell>
          <cell r="X95">
            <v>-6.0616549999999982</v>
          </cell>
          <cell r="Y95">
            <v>-30.163680000000003</v>
          </cell>
        </row>
        <row r="96">
          <cell r="A96">
            <v>68</v>
          </cell>
          <cell r="B96" t="str">
            <v>Payroll Tax</v>
          </cell>
          <cell r="E96">
            <v>0</v>
          </cell>
          <cell r="F96">
            <v>0</v>
          </cell>
          <cell r="G96">
            <v>0</v>
          </cell>
          <cell r="H96">
            <v>0</v>
          </cell>
          <cell r="I96">
            <v>0</v>
          </cell>
          <cell r="J96">
            <v>0</v>
          </cell>
          <cell r="K96">
            <v>0</v>
          </cell>
          <cell r="L96">
            <v>0</v>
          </cell>
          <cell r="M96">
            <v>0</v>
          </cell>
          <cell r="N96">
            <v>0</v>
          </cell>
          <cell r="O96">
            <v>0</v>
          </cell>
          <cell r="P96">
            <v>0</v>
          </cell>
          <cell r="T96">
            <v>0</v>
          </cell>
          <cell r="U96">
            <v>0</v>
          </cell>
          <cell r="V96">
            <v>0</v>
          </cell>
          <cell r="W96">
            <v>0</v>
          </cell>
          <cell r="X96">
            <v>0</v>
          </cell>
          <cell r="Y96">
            <v>0</v>
          </cell>
        </row>
        <row r="97">
          <cell r="A97">
            <v>69</v>
          </cell>
          <cell r="B97" t="str">
            <v>Welfare &amp; Pension</v>
          </cell>
          <cell r="E97">
            <v>0.55300000000000005</v>
          </cell>
          <cell r="F97">
            <v>0.55300000000000005</v>
          </cell>
          <cell r="G97">
            <v>0.55300000000000005</v>
          </cell>
          <cell r="H97">
            <v>0.55300000000000005</v>
          </cell>
          <cell r="I97">
            <v>0.55300000000000005</v>
          </cell>
          <cell r="J97">
            <v>0.55300000000000005</v>
          </cell>
          <cell r="K97">
            <v>0.55300000000000005</v>
          </cell>
          <cell r="L97">
            <v>0.55300000000000005</v>
          </cell>
          <cell r="M97">
            <v>0.55300000000000005</v>
          </cell>
          <cell r="N97">
            <v>0.55300000000000005</v>
          </cell>
          <cell r="O97">
            <v>0.55300000000000005</v>
          </cell>
          <cell r="P97">
            <v>0.55300000000000005</v>
          </cell>
          <cell r="T97">
            <v>0</v>
          </cell>
          <cell r="U97">
            <v>6.6360000000000001</v>
          </cell>
          <cell r="V97">
            <v>11.432999999999998</v>
          </cell>
          <cell r="W97">
            <v>22.122</v>
          </cell>
          <cell r="X97">
            <v>-4.7969999999999979</v>
          </cell>
          <cell r="Y97">
            <v>-15.486000000000001</v>
          </cell>
        </row>
        <row r="98">
          <cell r="A98">
            <v>70</v>
          </cell>
          <cell r="B98" t="str">
            <v>Miscellaneous</v>
          </cell>
          <cell r="E98">
            <v>0.47099999999999997</v>
          </cell>
          <cell r="F98">
            <v>0.47099999999999997</v>
          </cell>
          <cell r="G98">
            <v>0.47099999999999997</v>
          </cell>
          <cell r="H98">
            <v>0.47099999999999997</v>
          </cell>
          <cell r="I98">
            <v>0.47099999999999997</v>
          </cell>
          <cell r="J98">
            <v>0.47099999999999997</v>
          </cell>
          <cell r="K98">
            <v>0.47099999999999997</v>
          </cell>
          <cell r="L98">
            <v>0.47099999999999997</v>
          </cell>
          <cell r="M98">
            <v>0.47099999999999997</v>
          </cell>
          <cell r="N98">
            <v>0.47099999999999997</v>
          </cell>
          <cell r="O98">
            <v>0.47099999999999997</v>
          </cell>
          <cell r="P98">
            <v>0.47099999999999997</v>
          </cell>
          <cell r="T98">
            <v>0</v>
          </cell>
          <cell r="U98">
            <v>5.6520000000000001</v>
          </cell>
          <cell r="V98">
            <v>6.2537400000000014</v>
          </cell>
          <cell r="W98">
            <v>10.64</v>
          </cell>
          <cell r="X98">
            <v>-0.60174000000000127</v>
          </cell>
          <cell r="Y98">
            <v>-4.9880000000000004</v>
          </cell>
        </row>
        <row r="99">
          <cell r="C99">
            <v>0</v>
          </cell>
          <cell r="E99">
            <v>33.497996330229874</v>
          </cell>
          <cell r="F99">
            <v>33.497996330229874</v>
          </cell>
          <cell r="G99">
            <v>34.597996330229876</v>
          </cell>
          <cell r="H99">
            <v>33.497996330229874</v>
          </cell>
          <cell r="I99">
            <v>33.497996330229874</v>
          </cell>
          <cell r="J99">
            <v>34.597996330229876</v>
          </cell>
          <cell r="K99">
            <v>34.150789093929873</v>
          </cell>
          <cell r="L99">
            <v>34.150789093929873</v>
          </cell>
          <cell r="M99">
            <v>35.250789093929875</v>
          </cell>
          <cell r="N99">
            <v>34.150789093929873</v>
          </cell>
          <cell r="O99">
            <v>35.250789093929875</v>
          </cell>
          <cell r="P99">
            <v>35.250789093929875</v>
          </cell>
          <cell r="R99">
            <v>0</v>
          </cell>
          <cell r="S99">
            <v>0</v>
          </cell>
          <cell r="T99">
            <v>0</v>
          </cell>
          <cell r="U99">
            <v>411.39271254495856</v>
          </cell>
          <cell r="V99">
            <v>518.26446499999986</v>
          </cell>
          <cell r="W99">
            <v>670.90099999999995</v>
          </cell>
          <cell r="X99">
            <v>-106.8717524550413</v>
          </cell>
          <cell r="Y99">
            <v>-259.5082874550414</v>
          </cell>
        </row>
        <row r="100">
          <cell r="X100">
            <v>0</v>
          </cell>
          <cell r="Y100">
            <v>0</v>
          </cell>
        </row>
        <row r="101">
          <cell r="B101" t="str">
            <v>16 Other Overhead Costs</v>
          </cell>
          <cell r="X101">
            <v>0</v>
          </cell>
          <cell r="Y101">
            <v>0</v>
          </cell>
        </row>
        <row r="102">
          <cell r="A102">
            <v>71</v>
          </cell>
          <cell r="B102" t="str">
            <v>Insurance (Other than employee)</v>
          </cell>
          <cell r="E102">
            <v>1.3</v>
          </cell>
          <cell r="F102">
            <v>1.3</v>
          </cell>
          <cell r="G102">
            <v>1.3</v>
          </cell>
          <cell r="H102">
            <v>1.3</v>
          </cell>
          <cell r="I102">
            <v>1.3</v>
          </cell>
          <cell r="J102">
            <v>1.3</v>
          </cell>
          <cell r="K102">
            <v>1.3</v>
          </cell>
          <cell r="L102">
            <v>1.3</v>
          </cell>
          <cell r="M102">
            <v>1.3</v>
          </cell>
          <cell r="N102">
            <v>1.3</v>
          </cell>
          <cell r="O102">
            <v>1.3</v>
          </cell>
          <cell r="P102">
            <v>1.3</v>
          </cell>
          <cell r="T102">
            <v>0</v>
          </cell>
          <cell r="U102">
            <v>15.6</v>
          </cell>
          <cell r="V102">
            <v>13.756609999999998</v>
          </cell>
          <cell r="W102">
            <v>15.471</v>
          </cell>
          <cell r="X102">
            <v>1.8433900000000047</v>
          </cell>
          <cell r="Y102">
            <v>0.12900000000000311</v>
          </cell>
        </row>
        <row r="103">
          <cell r="A103">
            <v>72</v>
          </cell>
          <cell r="B103" t="str">
            <v>Property Taxes</v>
          </cell>
          <cell r="E103">
            <v>0</v>
          </cell>
          <cell r="F103">
            <v>0</v>
          </cell>
          <cell r="G103">
            <v>0</v>
          </cell>
          <cell r="H103">
            <v>0</v>
          </cell>
          <cell r="I103">
            <v>0</v>
          </cell>
          <cell r="J103">
            <v>0</v>
          </cell>
          <cell r="K103">
            <v>0</v>
          </cell>
          <cell r="L103">
            <v>0</v>
          </cell>
          <cell r="M103">
            <v>0</v>
          </cell>
          <cell r="N103">
            <v>0</v>
          </cell>
          <cell r="O103">
            <v>0</v>
          </cell>
          <cell r="P103">
            <v>0</v>
          </cell>
          <cell r="T103">
            <v>0</v>
          </cell>
          <cell r="U103">
            <v>0</v>
          </cell>
          <cell r="V103">
            <v>0</v>
          </cell>
          <cell r="W103">
            <v>0</v>
          </cell>
          <cell r="X103">
            <v>0</v>
          </cell>
          <cell r="Y103">
            <v>0</v>
          </cell>
        </row>
        <row r="104">
          <cell r="A104">
            <v>73</v>
          </cell>
          <cell r="B104" t="str">
            <v>Travel &amp; Entertainment</v>
          </cell>
          <cell r="E104">
            <v>2</v>
          </cell>
          <cell r="F104">
            <v>2</v>
          </cell>
          <cell r="G104">
            <v>2</v>
          </cell>
          <cell r="H104">
            <v>2</v>
          </cell>
          <cell r="I104">
            <v>2</v>
          </cell>
          <cell r="J104">
            <v>2</v>
          </cell>
          <cell r="K104">
            <v>2</v>
          </cell>
          <cell r="L104">
            <v>2</v>
          </cell>
          <cell r="M104">
            <v>2</v>
          </cell>
          <cell r="N104">
            <v>2</v>
          </cell>
          <cell r="O104">
            <v>2</v>
          </cell>
          <cell r="P104">
            <v>2</v>
          </cell>
          <cell r="T104">
            <v>0</v>
          </cell>
          <cell r="U104">
            <v>24</v>
          </cell>
          <cell r="V104">
            <v>23.907093333333329</v>
          </cell>
          <cell r="W104">
            <v>24.76</v>
          </cell>
          <cell r="X104">
            <v>9.2906666666671356E-2</v>
          </cell>
          <cell r="Y104">
            <v>-0.76000000000000156</v>
          </cell>
        </row>
        <row r="105">
          <cell r="A105">
            <v>74</v>
          </cell>
          <cell r="B105" t="str">
            <v>Legal &amp; Professional</v>
          </cell>
          <cell r="E105">
            <v>1</v>
          </cell>
          <cell r="F105">
            <v>1</v>
          </cell>
          <cell r="G105">
            <v>1</v>
          </cell>
          <cell r="H105">
            <v>1</v>
          </cell>
          <cell r="I105">
            <v>1</v>
          </cell>
          <cell r="J105">
            <v>1</v>
          </cell>
          <cell r="K105">
            <v>1</v>
          </cell>
          <cell r="L105">
            <v>1</v>
          </cell>
          <cell r="M105">
            <v>1</v>
          </cell>
          <cell r="N105">
            <v>1</v>
          </cell>
          <cell r="O105">
            <v>1</v>
          </cell>
          <cell r="P105">
            <v>1</v>
          </cell>
          <cell r="T105">
            <v>0</v>
          </cell>
          <cell r="U105">
            <v>12</v>
          </cell>
          <cell r="V105">
            <v>9.5634599999999992</v>
          </cell>
          <cell r="W105">
            <v>11.818</v>
          </cell>
          <cell r="X105">
            <v>2.4365400000000008</v>
          </cell>
          <cell r="Y105">
            <v>0.18200000000000038</v>
          </cell>
        </row>
        <row r="106">
          <cell r="A106">
            <v>75</v>
          </cell>
          <cell r="B106" t="str">
            <v>Credit Card Charges</v>
          </cell>
          <cell r="E106">
            <v>0.5</v>
          </cell>
          <cell r="F106">
            <v>0.5</v>
          </cell>
          <cell r="G106">
            <v>0.5</v>
          </cell>
          <cell r="H106">
            <v>0.5</v>
          </cell>
          <cell r="I106">
            <v>0.5</v>
          </cell>
          <cell r="J106">
            <v>0.5</v>
          </cell>
          <cell r="K106">
            <v>0.5</v>
          </cell>
          <cell r="L106">
            <v>0.5</v>
          </cell>
          <cell r="M106">
            <v>0.5</v>
          </cell>
          <cell r="N106">
            <v>0.5</v>
          </cell>
          <cell r="O106">
            <v>0.5</v>
          </cell>
          <cell r="P106">
            <v>0.5</v>
          </cell>
          <cell r="T106">
            <v>0</v>
          </cell>
          <cell r="U106">
            <v>6</v>
          </cell>
          <cell r="V106">
            <v>3.0898899999999991</v>
          </cell>
          <cell r="W106">
            <v>0</v>
          </cell>
          <cell r="X106">
            <v>2.9101100000000009</v>
          </cell>
          <cell r="Y106">
            <v>6</v>
          </cell>
        </row>
        <row r="107">
          <cell r="A107">
            <v>76</v>
          </cell>
          <cell r="B107" t="str">
            <v>Membership Fees</v>
          </cell>
          <cell r="E107">
            <v>0</v>
          </cell>
          <cell r="F107">
            <v>0</v>
          </cell>
          <cell r="G107">
            <v>0</v>
          </cell>
          <cell r="H107">
            <v>0</v>
          </cell>
          <cell r="I107">
            <v>0</v>
          </cell>
          <cell r="J107">
            <v>0</v>
          </cell>
          <cell r="K107">
            <v>0</v>
          </cell>
          <cell r="L107">
            <v>0</v>
          </cell>
          <cell r="M107">
            <v>0</v>
          </cell>
          <cell r="N107">
            <v>0</v>
          </cell>
          <cell r="O107">
            <v>0</v>
          </cell>
          <cell r="P107">
            <v>0</v>
          </cell>
          <cell r="T107">
            <v>0</v>
          </cell>
          <cell r="U107">
            <v>0</v>
          </cell>
          <cell r="V107">
            <v>0</v>
          </cell>
          <cell r="W107">
            <v>0</v>
          </cell>
          <cell r="X107">
            <v>0</v>
          </cell>
          <cell r="Y107">
            <v>0</v>
          </cell>
        </row>
        <row r="108">
          <cell r="A108">
            <v>77</v>
          </cell>
          <cell r="B108" t="str">
            <v>Taxes &amp; Licences</v>
          </cell>
          <cell r="E108">
            <v>0.35499999999999998</v>
          </cell>
          <cell r="F108">
            <v>0.35499999999999998</v>
          </cell>
          <cell r="G108">
            <v>0.35499999999999998</v>
          </cell>
          <cell r="H108">
            <v>0.35499999999999998</v>
          </cell>
          <cell r="I108">
            <v>0.35499999999999998</v>
          </cell>
          <cell r="J108">
            <v>0.35499999999999998</v>
          </cell>
          <cell r="K108">
            <v>0.35499999999999998</v>
          </cell>
          <cell r="L108">
            <v>0.35499999999999998</v>
          </cell>
          <cell r="M108">
            <v>0.35499999999999998</v>
          </cell>
          <cell r="N108">
            <v>0.35499999999999998</v>
          </cell>
          <cell r="O108">
            <v>0.35499999999999998</v>
          </cell>
          <cell r="P108">
            <v>0.35499999999999998</v>
          </cell>
          <cell r="T108">
            <v>0</v>
          </cell>
          <cell r="U108">
            <v>4.26</v>
          </cell>
          <cell r="V108">
            <v>6.9903329400000018</v>
          </cell>
          <cell r="W108">
            <v>13.173325999999999</v>
          </cell>
          <cell r="X108">
            <v>-2.730332940000002</v>
          </cell>
          <cell r="Y108">
            <v>-8.9133259999999996</v>
          </cell>
        </row>
        <row r="109">
          <cell r="A109">
            <v>78</v>
          </cell>
          <cell r="B109" t="str">
            <v>Convention expense</v>
          </cell>
          <cell r="E109">
            <v>0</v>
          </cell>
          <cell r="F109">
            <v>0</v>
          </cell>
          <cell r="G109">
            <v>0</v>
          </cell>
          <cell r="H109">
            <v>0</v>
          </cell>
          <cell r="I109">
            <v>0</v>
          </cell>
          <cell r="J109">
            <v>0</v>
          </cell>
          <cell r="K109">
            <v>0</v>
          </cell>
          <cell r="L109">
            <v>0</v>
          </cell>
          <cell r="M109">
            <v>0</v>
          </cell>
          <cell r="N109">
            <v>0</v>
          </cell>
          <cell r="O109">
            <v>0</v>
          </cell>
          <cell r="P109">
            <v>0</v>
          </cell>
          <cell r="T109">
            <v>0</v>
          </cell>
          <cell r="U109">
            <v>0</v>
          </cell>
          <cell r="V109">
            <v>0</v>
          </cell>
          <cell r="W109">
            <v>0</v>
          </cell>
          <cell r="X109">
            <v>0</v>
          </cell>
          <cell r="Y109">
            <v>0</v>
          </cell>
        </row>
        <row r="110">
          <cell r="A110">
            <v>79</v>
          </cell>
          <cell r="B110" t="str">
            <v>Contributions</v>
          </cell>
          <cell r="E110">
            <v>0</v>
          </cell>
          <cell r="F110">
            <v>0</v>
          </cell>
          <cell r="G110">
            <v>0</v>
          </cell>
          <cell r="H110">
            <v>0</v>
          </cell>
          <cell r="I110">
            <v>0</v>
          </cell>
          <cell r="J110">
            <v>0</v>
          </cell>
          <cell r="K110">
            <v>0</v>
          </cell>
          <cell r="L110">
            <v>0</v>
          </cell>
          <cell r="M110">
            <v>0</v>
          </cell>
          <cell r="N110">
            <v>0</v>
          </cell>
          <cell r="O110">
            <v>0</v>
          </cell>
          <cell r="P110">
            <v>0</v>
          </cell>
          <cell r="T110">
            <v>0</v>
          </cell>
          <cell r="U110">
            <v>0</v>
          </cell>
          <cell r="V110">
            <v>0</v>
          </cell>
          <cell r="W110">
            <v>0</v>
          </cell>
          <cell r="X110">
            <v>0</v>
          </cell>
          <cell r="Y110">
            <v>0</v>
          </cell>
        </row>
        <row r="111">
          <cell r="A111">
            <v>80</v>
          </cell>
          <cell r="B111" t="str">
            <v>Contract Cleaners</v>
          </cell>
          <cell r="E111">
            <v>4.9004799999999999</v>
          </cell>
          <cell r="F111">
            <v>4.9004799999999999</v>
          </cell>
          <cell r="G111">
            <v>4.7423999999999999</v>
          </cell>
          <cell r="H111">
            <v>4.9004799999999999</v>
          </cell>
          <cell r="I111">
            <v>6.1924000000000001</v>
          </cell>
          <cell r="J111">
            <v>4.9004799999999999</v>
          </cell>
          <cell r="K111">
            <v>4.9004799999999999</v>
          </cell>
          <cell r="L111">
            <v>6.92624</v>
          </cell>
          <cell r="M111">
            <v>4.9004799999999999</v>
          </cell>
          <cell r="N111">
            <v>4.7423999999999999</v>
          </cell>
          <cell r="O111">
            <v>4.9004799999999999</v>
          </cell>
          <cell r="P111">
            <v>4.7423999999999999</v>
          </cell>
          <cell r="T111">
            <v>0</v>
          </cell>
          <cell r="U111">
            <v>61.649200000000008</v>
          </cell>
          <cell r="V111">
            <v>87.973470000000006</v>
          </cell>
          <cell r="W111">
            <v>118.69</v>
          </cell>
          <cell r="X111">
            <v>-26.324269999999999</v>
          </cell>
          <cell r="Y111">
            <v>-57.04079999999999</v>
          </cell>
        </row>
        <row r="112">
          <cell r="A112">
            <v>81</v>
          </cell>
          <cell r="B112" t="str">
            <v>Telephone &amp; Faxes</v>
          </cell>
          <cell r="E112">
            <v>4</v>
          </cell>
          <cell r="F112">
            <v>4</v>
          </cell>
          <cell r="G112">
            <v>4</v>
          </cell>
          <cell r="H112">
            <v>4</v>
          </cell>
          <cell r="I112">
            <v>4</v>
          </cell>
          <cell r="J112">
            <v>4</v>
          </cell>
          <cell r="K112">
            <v>4</v>
          </cell>
          <cell r="L112">
            <v>4</v>
          </cell>
          <cell r="M112">
            <v>4</v>
          </cell>
          <cell r="N112">
            <v>4</v>
          </cell>
          <cell r="O112">
            <v>4</v>
          </cell>
          <cell r="P112">
            <v>4</v>
          </cell>
          <cell r="T112">
            <v>0</v>
          </cell>
          <cell r="U112">
            <v>48</v>
          </cell>
          <cell r="V112">
            <v>53.609690000000001</v>
          </cell>
          <cell r="W112">
            <v>40.445</v>
          </cell>
          <cell r="X112">
            <v>-5.6096900000000005</v>
          </cell>
          <cell r="Y112">
            <v>7.5549999999999997</v>
          </cell>
        </row>
        <row r="113">
          <cell r="A113">
            <v>82</v>
          </cell>
          <cell r="B113" t="str">
            <v>Stationery &amp; Printing</v>
          </cell>
          <cell r="E113">
            <v>0.6</v>
          </cell>
          <cell r="F113">
            <v>0.6</v>
          </cell>
          <cell r="G113">
            <v>0.6</v>
          </cell>
          <cell r="H113">
            <v>0.6</v>
          </cell>
          <cell r="I113">
            <v>0.6</v>
          </cell>
          <cell r="J113">
            <v>0.6</v>
          </cell>
          <cell r="K113">
            <v>0.6</v>
          </cell>
          <cell r="L113">
            <v>0.6</v>
          </cell>
          <cell r="M113">
            <v>0.6</v>
          </cell>
          <cell r="N113">
            <v>0.6</v>
          </cell>
          <cell r="O113">
            <v>0.6</v>
          </cell>
          <cell r="P113">
            <v>0.6</v>
          </cell>
          <cell r="T113">
            <v>0</v>
          </cell>
          <cell r="U113">
            <v>7.2</v>
          </cell>
          <cell r="V113">
            <v>6.8279599999999991</v>
          </cell>
          <cell r="W113">
            <v>8.1020000000000003</v>
          </cell>
          <cell r="X113">
            <v>0.37203999999999926</v>
          </cell>
          <cell r="Y113">
            <v>-0.90200000000000191</v>
          </cell>
        </row>
        <row r="114">
          <cell r="A114">
            <v>83</v>
          </cell>
          <cell r="B114" t="str">
            <v>Uniforms &amp; Laundry</v>
          </cell>
          <cell r="E114">
            <v>0.2</v>
          </cell>
          <cell r="F114">
            <v>0.2</v>
          </cell>
          <cell r="G114">
            <v>0.2</v>
          </cell>
          <cell r="H114">
            <v>0.2</v>
          </cell>
          <cell r="I114">
            <v>0.2</v>
          </cell>
          <cell r="J114">
            <v>0.2</v>
          </cell>
          <cell r="K114">
            <v>0.2</v>
          </cell>
          <cell r="L114">
            <v>0.2</v>
          </cell>
          <cell r="M114">
            <v>0.2</v>
          </cell>
          <cell r="N114">
            <v>0.2</v>
          </cell>
          <cell r="O114">
            <v>0.2</v>
          </cell>
          <cell r="P114">
            <v>0.2</v>
          </cell>
          <cell r="T114">
            <v>0</v>
          </cell>
          <cell r="U114">
            <v>2.4</v>
          </cell>
          <cell r="V114">
            <v>1.075</v>
          </cell>
          <cell r="W114">
            <v>1.8140000000000001</v>
          </cell>
          <cell r="X114">
            <v>1.325</v>
          </cell>
          <cell r="Y114">
            <v>0.58599999999999985</v>
          </cell>
        </row>
        <row r="115">
          <cell r="A115">
            <v>84</v>
          </cell>
          <cell r="B115" t="str">
            <v>Freight</v>
          </cell>
          <cell r="E115">
            <v>0.5</v>
          </cell>
          <cell r="F115">
            <v>0.5</v>
          </cell>
          <cell r="G115">
            <v>0.5</v>
          </cell>
          <cell r="H115">
            <v>0.5</v>
          </cell>
          <cell r="I115">
            <v>0.5</v>
          </cell>
          <cell r="J115">
            <v>0.5</v>
          </cell>
          <cell r="K115">
            <v>0.5</v>
          </cell>
          <cell r="L115">
            <v>0.5</v>
          </cell>
          <cell r="M115">
            <v>0.5</v>
          </cell>
          <cell r="N115">
            <v>0.5</v>
          </cell>
          <cell r="O115">
            <v>0.5</v>
          </cell>
          <cell r="P115">
            <v>0.5</v>
          </cell>
          <cell r="T115">
            <v>0</v>
          </cell>
          <cell r="U115">
            <v>6</v>
          </cell>
          <cell r="V115">
            <v>4.5141099999999996</v>
          </cell>
          <cell r="W115">
            <v>5.0839999999999996</v>
          </cell>
          <cell r="X115">
            <v>1.4858900000000004</v>
          </cell>
          <cell r="Y115">
            <v>0.91600000000000037</v>
          </cell>
        </row>
        <row r="116">
          <cell r="A116">
            <v>85</v>
          </cell>
          <cell r="B116" t="str">
            <v>Data processing</v>
          </cell>
          <cell r="E116">
            <v>0</v>
          </cell>
          <cell r="F116">
            <v>0</v>
          </cell>
          <cell r="G116">
            <v>0</v>
          </cell>
          <cell r="H116">
            <v>0</v>
          </cell>
          <cell r="I116">
            <v>0</v>
          </cell>
          <cell r="J116">
            <v>0</v>
          </cell>
          <cell r="K116">
            <v>0</v>
          </cell>
          <cell r="L116">
            <v>0</v>
          </cell>
          <cell r="M116">
            <v>0</v>
          </cell>
          <cell r="N116">
            <v>0</v>
          </cell>
          <cell r="O116">
            <v>0</v>
          </cell>
          <cell r="P116">
            <v>0</v>
          </cell>
          <cell r="T116">
            <v>0</v>
          </cell>
          <cell r="U116">
            <v>0</v>
          </cell>
          <cell r="V116">
            <v>0</v>
          </cell>
          <cell r="W116">
            <v>0</v>
          </cell>
          <cell r="X116">
            <v>0</v>
          </cell>
          <cell r="Y116">
            <v>0</v>
          </cell>
        </row>
        <row r="117">
          <cell r="A117">
            <v>86</v>
          </cell>
          <cell r="B117" t="str">
            <v>Bank Charges</v>
          </cell>
          <cell r="E117">
            <v>0.25</v>
          </cell>
          <cell r="F117">
            <v>0.25</v>
          </cell>
          <cell r="G117">
            <v>0.25</v>
          </cell>
          <cell r="H117">
            <v>0.25</v>
          </cell>
          <cell r="I117">
            <v>0.25</v>
          </cell>
          <cell r="J117">
            <v>0.25</v>
          </cell>
          <cell r="K117">
            <v>0.25</v>
          </cell>
          <cell r="L117">
            <v>0.25</v>
          </cell>
          <cell r="M117">
            <v>0.25</v>
          </cell>
          <cell r="N117">
            <v>0.25</v>
          </cell>
          <cell r="O117">
            <v>0.25</v>
          </cell>
          <cell r="P117">
            <v>0.25</v>
          </cell>
          <cell r="T117">
            <v>0</v>
          </cell>
          <cell r="U117">
            <v>3</v>
          </cell>
          <cell r="V117">
            <v>2.2673299999999994</v>
          </cell>
          <cell r="W117">
            <v>5.5659999999999998</v>
          </cell>
          <cell r="X117">
            <v>0.7326700000000006</v>
          </cell>
          <cell r="Y117">
            <v>-2.5659999999999998</v>
          </cell>
        </row>
        <row r="118">
          <cell r="A118">
            <v>87</v>
          </cell>
          <cell r="B118" t="str">
            <v>Parking Expenses</v>
          </cell>
          <cell r="E118">
            <v>0</v>
          </cell>
          <cell r="F118">
            <v>0</v>
          </cell>
          <cell r="G118">
            <v>0</v>
          </cell>
          <cell r="H118">
            <v>0</v>
          </cell>
          <cell r="I118">
            <v>0</v>
          </cell>
          <cell r="J118">
            <v>0</v>
          </cell>
          <cell r="K118">
            <v>0</v>
          </cell>
          <cell r="L118">
            <v>0</v>
          </cell>
          <cell r="M118">
            <v>0</v>
          </cell>
          <cell r="N118">
            <v>0</v>
          </cell>
          <cell r="O118">
            <v>0</v>
          </cell>
          <cell r="P118">
            <v>0</v>
          </cell>
          <cell r="T118">
            <v>0</v>
          </cell>
          <cell r="U118">
            <v>0</v>
          </cell>
          <cell r="V118">
            <v>0</v>
          </cell>
          <cell r="W118">
            <v>0</v>
          </cell>
          <cell r="X118">
            <v>0</v>
          </cell>
          <cell r="Y118">
            <v>0</v>
          </cell>
        </row>
        <row r="119">
          <cell r="A119">
            <v>88</v>
          </cell>
          <cell r="B119" t="str">
            <v>Staff training</v>
          </cell>
          <cell r="E119">
            <v>0.45997996330229879</v>
          </cell>
          <cell r="F119">
            <v>0.45997996330229879</v>
          </cell>
          <cell r="G119">
            <v>0.4709799633022988</v>
          </cell>
          <cell r="H119">
            <v>0.45997996330229879</v>
          </cell>
          <cell r="I119">
            <v>0.45997996330229879</v>
          </cell>
          <cell r="J119">
            <v>0.4709799633022988</v>
          </cell>
          <cell r="K119">
            <v>0.46650789093929884</v>
          </cell>
          <cell r="L119">
            <v>0.46650789093929884</v>
          </cell>
          <cell r="M119">
            <v>0.4775078909392988</v>
          </cell>
          <cell r="N119">
            <v>0.46650789093929884</v>
          </cell>
          <cell r="O119">
            <v>0.4775078909392988</v>
          </cell>
          <cell r="P119">
            <v>0.4775078909392988</v>
          </cell>
          <cell r="T119">
            <v>0</v>
          </cell>
          <cell r="U119">
            <v>5.6139271254495853</v>
          </cell>
          <cell r="V119">
            <v>5.7906599999999999</v>
          </cell>
          <cell r="W119">
            <v>9.5779999999999994</v>
          </cell>
          <cell r="X119">
            <v>-0.17673287455041464</v>
          </cell>
          <cell r="Y119">
            <v>-3.9640728745504141</v>
          </cell>
        </row>
        <row r="120">
          <cell r="A120">
            <v>89</v>
          </cell>
          <cell r="B120" t="str">
            <v>Security</v>
          </cell>
          <cell r="E120">
            <v>1.3</v>
          </cell>
          <cell r="F120">
            <v>1.3</v>
          </cell>
          <cell r="G120">
            <v>1.3</v>
          </cell>
          <cell r="H120">
            <v>1.3</v>
          </cell>
          <cell r="I120">
            <v>1.3</v>
          </cell>
          <cell r="J120">
            <v>1.3</v>
          </cell>
          <cell r="K120">
            <v>1.3</v>
          </cell>
          <cell r="L120">
            <v>1.3</v>
          </cell>
          <cell r="M120">
            <v>1.3</v>
          </cell>
          <cell r="N120">
            <v>1.3</v>
          </cell>
          <cell r="O120">
            <v>1.3</v>
          </cell>
          <cell r="P120">
            <v>1.3</v>
          </cell>
          <cell r="U120">
            <v>15.6</v>
          </cell>
          <cell r="V120">
            <v>15.6</v>
          </cell>
          <cell r="W120">
            <v>15.6</v>
          </cell>
          <cell r="X120">
            <v>0</v>
          </cell>
          <cell r="Y120">
            <v>0</v>
          </cell>
        </row>
        <row r="121">
          <cell r="A121">
            <v>90</v>
          </cell>
          <cell r="B121" t="str">
            <v>Postage</v>
          </cell>
          <cell r="E121">
            <v>0</v>
          </cell>
          <cell r="F121">
            <v>0</v>
          </cell>
          <cell r="G121">
            <v>0</v>
          </cell>
          <cell r="H121">
            <v>0</v>
          </cell>
          <cell r="I121">
            <v>0</v>
          </cell>
          <cell r="J121">
            <v>0</v>
          </cell>
          <cell r="K121">
            <v>0</v>
          </cell>
          <cell r="L121">
            <v>0</v>
          </cell>
          <cell r="M121">
            <v>0</v>
          </cell>
          <cell r="N121">
            <v>0</v>
          </cell>
          <cell r="O121">
            <v>0</v>
          </cell>
          <cell r="P121">
            <v>0</v>
          </cell>
          <cell r="U121">
            <v>0</v>
          </cell>
          <cell r="V121">
            <v>0</v>
          </cell>
          <cell r="W121">
            <v>0</v>
          </cell>
          <cell r="X121">
            <v>0</v>
          </cell>
          <cell r="Y121">
            <v>0</v>
          </cell>
        </row>
        <row r="122">
          <cell r="A122">
            <v>91</v>
          </cell>
          <cell r="B122" t="str">
            <v>Chilled Water</v>
          </cell>
          <cell r="E122">
            <v>0</v>
          </cell>
          <cell r="F122">
            <v>0</v>
          </cell>
          <cell r="G122">
            <v>0</v>
          </cell>
          <cell r="H122">
            <v>0</v>
          </cell>
          <cell r="I122">
            <v>0</v>
          </cell>
          <cell r="J122">
            <v>0</v>
          </cell>
          <cell r="K122">
            <v>0</v>
          </cell>
          <cell r="L122">
            <v>0</v>
          </cell>
          <cell r="M122">
            <v>0</v>
          </cell>
          <cell r="N122">
            <v>0</v>
          </cell>
          <cell r="O122">
            <v>0</v>
          </cell>
          <cell r="P122">
            <v>0</v>
          </cell>
          <cell r="U122">
            <v>0</v>
          </cell>
          <cell r="V122">
            <v>0</v>
          </cell>
          <cell r="W122">
            <v>0</v>
          </cell>
          <cell r="X122">
            <v>0</v>
          </cell>
          <cell r="Y122">
            <v>0</v>
          </cell>
        </row>
        <row r="123">
          <cell r="A123">
            <v>92</v>
          </cell>
          <cell r="B123" t="str">
            <v>Admin Fee</v>
          </cell>
          <cell r="E123">
            <v>0</v>
          </cell>
          <cell r="F123">
            <v>0</v>
          </cell>
          <cell r="G123">
            <v>0</v>
          </cell>
          <cell r="H123">
            <v>0</v>
          </cell>
          <cell r="I123">
            <v>0</v>
          </cell>
          <cell r="J123">
            <v>0</v>
          </cell>
          <cell r="K123">
            <v>0</v>
          </cell>
          <cell r="L123">
            <v>0</v>
          </cell>
          <cell r="M123">
            <v>0</v>
          </cell>
          <cell r="N123">
            <v>0</v>
          </cell>
          <cell r="O123">
            <v>0</v>
          </cell>
          <cell r="P123">
            <v>0</v>
          </cell>
          <cell r="U123">
            <v>0</v>
          </cell>
          <cell r="V123">
            <v>0</v>
          </cell>
          <cell r="W123">
            <v>0</v>
          </cell>
          <cell r="X123">
            <v>0</v>
          </cell>
          <cell r="Y123">
            <v>0</v>
          </cell>
        </row>
        <row r="124">
          <cell r="A124">
            <v>93</v>
          </cell>
          <cell r="B124" t="str">
            <v>Miscellaneous</v>
          </cell>
          <cell r="E124">
            <v>0.3</v>
          </cell>
          <cell r="F124">
            <v>0.3</v>
          </cell>
          <cell r="G124">
            <v>0.3</v>
          </cell>
          <cell r="H124">
            <v>0.3</v>
          </cell>
          <cell r="I124">
            <v>0.3</v>
          </cell>
          <cell r="J124">
            <v>0.3</v>
          </cell>
          <cell r="K124">
            <v>0.3</v>
          </cell>
          <cell r="L124">
            <v>0.3</v>
          </cell>
          <cell r="M124">
            <v>0.3</v>
          </cell>
          <cell r="N124">
            <v>0.3</v>
          </cell>
          <cell r="O124">
            <v>0.3</v>
          </cell>
          <cell r="P124">
            <v>0.3</v>
          </cell>
          <cell r="T124">
            <v>0</v>
          </cell>
          <cell r="U124">
            <v>3.6</v>
          </cell>
          <cell r="V124">
            <v>2.5874699999999997</v>
          </cell>
          <cell r="W124">
            <v>4.9189999999999969</v>
          </cell>
          <cell r="X124">
            <v>1.0125299999999995</v>
          </cell>
          <cell r="Y124">
            <v>-1.3189999999999977</v>
          </cell>
        </row>
        <row r="125">
          <cell r="C125">
            <v>0</v>
          </cell>
          <cell r="E125">
            <v>17.665459963302297</v>
          </cell>
          <cell r="F125">
            <v>17.665459963302297</v>
          </cell>
          <cell r="G125">
            <v>17.518379963302298</v>
          </cell>
          <cell r="H125">
            <v>17.665459963302297</v>
          </cell>
          <cell r="I125">
            <v>18.957379963302301</v>
          </cell>
          <cell r="J125">
            <v>17.6764599633023</v>
          </cell>
          <cell r="K125">
            <v>17.671987890939299</v>
          </cell>
          <cell r="L125">
            <v>19.697747890939301</v>
          </cell>
          <cell r="M125">
            <v>17.682987890939298</v>
          </cell>
          <cell r="N125">
            <v>17.513907890939297</v>
          </cell>
          <cell r="O125">
            <v>17.682987890939298</v>
          </cell>
          <cell r="P125">
            <v>17.524907890939296</v>
          </cell>
          <cell r="R125">
            <v>0</v>
          </cell>
          <cell r="S125">
            <v>0</v>
          </cell>
          <cell r="T125">
            <v>0</v>
          </cell>
          <cell r="U125">
            <v>214.92312712544958</v>
          </cell>
          <cell r="V125">
            <v>237.55307627333329</v>
          </cell>
          <cell r="W125">
            <v>275.02032600000001</v>
          </cell>
          <cell r="X125">
            <v>-22.629949147883707</v>
          </cell>
          <cell r="Y125">
            <v>-60.097198874550429</v>
          </cell>
        </row>
        <row r="126">
          <cell r="X126">
            <v>0</v>
          </cell>
          <cell r="Y126">
            <v>0</v>
          </cell>
        </row>
        <row r="127">
          <cell r="A127">
            <v>0</v>
          </cell>
          <cell r="B127" t="str">
            <v>23 Adjustments</v>
          </cell>
          <cell r="X127">
            <v>0</v>
          </cell>
          <cell r="Y127">
            <v>0</v>
          </cell>
        </row>
        <row r="128">
          <cell r="A128">
            <v>97</v>
          </cell>
          <cell r="B128" t="str">
            <v>Miscellaneous (Please Specify)</v>
          </cell>
          <cell r="E128">
            <v>0</v>
          </cell>
          <cell r="F128">
            <v>0</v>
          </cell>
          <cell r="G128">
            <v>0</v>
          </cell>
          <cell r="H128">
            <v>0</v>
          </cell>
          <cell r="I128">
            <v>0</v>
          </cell>
          <cell r="J128">
            <v>0</v>
          </cell>
          <cell r="K128">
            <v>0</v>
          </cell>
          <cell r="L128">
            <v>0</v>
          </cell>
          <cell r="M128">
            <v>0</v>
          </cell>
          <cell r="N128">
            <v>0</v>
          </cell>
          <cell r="O128">
            <v>0</v>
          </cell>
          <cell r="P128">
            <v>0</v>
          </cell>
          <cell r="T128">
            <v>0</v>
          </cell>
          <cell r="U128">
            <v>0</v>
          </cell>
          <cell r="V128">
            <v>0</v>
          </cell>
          <cell r="W128">
            <v>0</v>
          </cell>
          <cell r="X128">
            <v>0</v>
          </cell>
          <cell r="Y128">
            <v>0</v>
          </cell>
        </row>
        <row r="129">
          <cell r="A129">
            <v>98</v>
          </cell>
          <cell r="B129" t="str">
            <v>Mgmt fee income - CGV</v>
          </cell>
          <cell r="E129">
            <v>0</v>
          </cell>
          <cell r="F129">
            <v>0</v>
          </cell>
          <cell r="G129">
            <v>0</v>
          </cell>
          <cell r="H129">
            <v>0</v>
          </cell>
          <cell r="I129">
            <v>0</v>
          </cell>
          <cell r="J129">
            <v>0</v>
          </cell>
          <cell r="K129">
            <v>0</v>
          </cell>
          <cell r="L129">
            <v>0</v>
          </cell>
          <cell r="M129">
            <v>0</v>
          </cell>
          <cell r="N129">
            <v>0</v>
          </cell>
          <cell r="O129">
            <v>0</v>
          </cell>
          <cell r="P129">
            <v>0</v>
          </cell>
          <cell r="U129">
            <v>0</v>
          </cell>
          <cell r="V129">
            <v>0</v>
          </cell>
          <cell r="W129">
            <v>0</v>
          </cell>
          <cell r="X129">
            <v>0</v>
          </cell>
          <cell r="Y129">
            <v>0</v>
          </cell>
        </row>
        <row r="130">
          <cell r="A130">
            <v>99</v>
          </cell>
          <cell r="B130" t="str">
            <v xml:space="preserve">Pre Opening </v>
          </cell>
          <cell r="E130">
            <v>0</v>
          </cell>
          <cell r="F130">
            <v>0</v>
          </cell>
          <cell r="G130">
            <v>0</v>
          </cell>
          <cell r="H130">
            <v>0</v>
          </cell>
          <cell r="I130">
            <v>0</v>
          </cell>
          <cell r="J130">
            <v>0</v>
          </cell>
          <cell r="K130">
            <v>0</v>
          </cell>
          <cell r="L130">
            <v>0</v>
          </cell>
          <cell r="M130">
            <v>0</v>
          </cell>
          <cell r="N130">
            <v>0</v>
          </cell>
          <cell r="O130">
            <v>0</v>
          </cell>
          <cell r="P130">
            <v>0</v>
          </cell>
          <cell r="U130">
            <v>0</v>
          </cell>
          <cell r="V130">
            <v>0</v>
          </cell>
          <cell r="W130">
            <v>0</v>
          </cell>
          <cell r="X130">
            <v>0</v>
          </cell>
          <cell r="Y130">
            <v>0</v>
          </cell>
        </row>
        <row r="131">
          <cell r="A131">
            <v>100</v>
          </cell>
          <cell r="B131" t="str">
            <v>Other</v>
          </cell>
          <cell r="E131">
            <v>0</v>
          </cell>
          <cell r="F131">
            <v>0</v>
          </cell>
          <cell r="G131">
            <v>0</v>
          </cell>
          <cell r="H131">
            <v>0</v>
          </cell>
          <cell r="I131">
            <v>0</v>
          </cell>
          <cell r="J131">
            <v>0</v>
          </cell>
          <cell r="K131">
            <v>0</v>
          </cell>
          <cell r="L131">
            <v>0</v>
          </cell>
          <cell r="M131">
            <v>0</v>
          </cell>
          <cell r="N131">
            <v>0</v>
          </cell>
          <cell r="O131">
            <v>0</v>
          </cell>
          <cell r="P131">
            <v>0</v>
          </cell>
          <cell r="U131">
            <v>0</v>
          </cell>
          <cell r="V131">
            <v>0</v>
          </cell>
          <cell r="W131">
            <v>0</v>
          </cell>
          <cell r="X131">
            <v>0</v>
          </cell>
          <cell r="Y131">
            <v>0</v>
          </cell>
        </row>
        <row r="132">
          <cell r="T132">
            <v>0</v>
          </cell>
          <cell r="X132">
            <v>0</v>
          </cell>
          <cell r="Y132">
            <v>0</v>
          </cell>
        </row>
        <row r="133">
          <cell r="C133">
            <v>0</v>
          </cell>
          <cell r="E133">
            <v>0</v>
          </cell>
          <cell r="F133">
            <v>0</v>
          </cell>
          <cell r="G133">
            <v>0</v>
          </cell>
          <cell r="H133">
            <v>0</v>
          </cell>
          <cell r="I133">
            <v>0</v>
          </cell>
          <cell r="J133">
            <v>0</v>
          </cell>
          <cell r="K133">
            <v>0</v>
          </cell>
          <cell r="L133">
            <v>0</v>
          </cell>
          <cell r="M133">
            <v>0</v>
          </cell>
          <cell r="N133">
            <v>0</v>
          </cell>
          <cell r="O133">
            <v>0</v>
          </cell>
          <cell r="P133">
            <v>0</v>
          </cell>
          <cell r="R133">
            <v>0</v>
          </cell>
          <cell r="S133">
            <v>0</v>
          </cell>
          <cell r="T133">
            <v>0</v>
          </cell>
          <cell r="U133">
            <v>0</v>
          </cell>
          <cell r="V133">
            <v>0</v>
          </cell>
          <cell r="W133">
            <v>0</v>
          </cell>
          <cell r="X133">
            <v>0</v>
          </cell>
          <cell r="Y133">
            <v>0</v>
          </cell>
        </row>
      </sheetData>
      <sheetData sheetId="22" refreshError="1">
        <row r="11">
          <cell r="A11">
            <v>1</v>
          </cell>
          <cell r="B11" t="str">
            <v>Net Film Revenue</v>
          </cell>
          <cell r="E11">
            <v>317.76</v>
          </cell>
          <cell r="F11">
            <v>331</v>
          </cell>
          <cell r="G11">
            <v>423.68</v>
          </cell>
          <cell r="H11">
            <v>297.89999999999998</v>
          </cell>
          <cell r="I11">
            <v>344.24</v>
          </cell>
          <cell r="J11">
            <v>496.5</v>
          </cell>
          <cell r="K11">
            <v>344.24</v>
          </cell>
          <cell r="L11">
            <v>357.48</v>
          </cell>
          <cell r="M11">
            <v>397.2</v>
          </cell>
          <cell r="N11">
            <v>337.62</v>
          </cell>
          <cell r="O11">
            <v>390.58</v>
          </cell>
          <cell r="P11">
            <v>430.3</v>
          </cell>
          <cell r="Q11">
            <v>0</v>
          </cell>
          <cell r="T11">
            <v>0</v>
          </cell>
          <cell r="U11">
            <v>4468.5</v>
          </cell>
          <cell r="V11">
            <v>4654.9493000000002</v>
          </cell>
          <cell r="W11">
            <v>6780.2759999999998</v>
          </cell>
          <cell r="X11">
            <v>-186.44930000000113</v>
          </cell>
          <cell r="Y11">
            <v>-2311.7760000000007</v>
          </cell>
        </row>
        <row r="12">
          <cell r="A12">
            <v>2</v>
          </cell>
          <cell r="B12" t="str">
            <v>Concession Sales</v>
          </cell>
          <cell r="E12">
            <v>57.6</v>
          </cell>
          <cell r="F12">
            <v>60</v>
          </cell>
          <cell r="G12">
            <v>76.8</v>
          </cell>
          <cell r="H12">
            <v>54</v>
          </cell>
          <cell r="I12">
            <v>62.4</v>
          </cell>
          <cell r="J12">
            <v>90</v>
          </cell>
          <cell r="K12">
            <v>62.4</v>
          </cell>
          <cell r="L12">
            <v>64.8</v>
          </cell>
          <cell r="M12">
            <v>72</v>
          </cell>
          <cell r="N12">
            <v>61.2</v>
          </cell>
          <cell r="O12">
            <v>70.8</v>
          </cell>
          <cell r="P12">
            <v>78</v>
          </cell>
          <cell r="T12">
            <v>0</v>
          </cell>
          <cell r="U12">
            <v>810</v>
          </cell>
          <cell r="V12">
            <v>791.82263</v>
          </cell>
          <cell r="W12">
            <v>1057.2180000000001</v>
          </cell>
          <cell r="X12">
            <v>18.177369999999883</v>
          </cell>
          <cell r="Y12">
            <v>-247.21800000000019</v>
          </cell>
        </row>
        <row r="13">
          <cell r="A13">
            <v>3</v>
          </cell>
          <cell r="B13" t="str">
            <v>Rental Income</v>
          </cell>
          <cell r="E13">
            <v>0</v>
          </cell>
          <cell r="F13">
            <v>0</v>
          </cell>
          <cell r="G13">
            <v>0</v>
          </cell>
          <cell r="H13">
            <v>0</v>
          </cell>
          <cell r="I13">
            <v>0</v>
          </cell>
          <cell r="J13">
            <v>0</v>
          </cell>
          <cell r="K13">
            <v>0</v>
          </cell>
          <cell r="L13">
            <v>0</v>
          </cell>
          <cell r="M13">
            <v>0</v>
          </cell>
          <cell r="N13">
            <v>0</v>
          </cell>
          <cell r="O13">
            <v>0</v>
          </cell>
          <cell r="P13">
            <v>0</v>
          </cell>
          <cell r="T13">
            <v>0</v>
          </cell>
          <cell r="U13">
            <v>0</v>
          </cell>
          <cell r="V13">
            <v>0</v>
          </cell>
          <cell r="W13">
            <v>0</v>
          </cell>
          <cell r="X13">
            <v>0</v>
          </cell>
          <cell r="Y13">
            <v>0</v>
          </cell>
        </row>
        <row r="14">
          <cell r="A14">
            <v>4</v>
          </cell>
          <cell r="B14" t="str">
            <v>Electronic Games income</v>
          </cell>
          <cell r="E14">
            <v>12</v>
          </cell>
          <cell r="F14">
            <v>12</v>
          </cell>
          <cell r="G14">
            <v>16</v>
          </cell>
          <cell r="H14">
            <v>10</v>
          </cell>
          <cell r="I14">
            <v>12</v>
          </cell>
          <cell r="J14">
            <v>15</v>
          </cell>
          <cell r="K14">
            <v>10</v>
          </cell>
          <cell r="L14">
            <v>15</v>
          </cell>
          <cell r="M14">
            <v>12</v>
          </cell>
          <cell r="N14">
            <v>10</v>
          </cell>
          <cell r="O14">
            <v>12</v>
          </cell>
          <cell r="P14">
            <v>15</v>
          </cell>
          <cell r="T14">
            <v>0</v>
          </cell>
          <cell r="U14">
            <v>151</v>
          </cell>
          <cell r="V14">
            <v>168.21816999999999</v>
          </cell>
          <cell r="W14">
            <v>200.64500000000001</v>
          </cell>
          <cell r="X14">
            <v>-17.218169999999986</v>
          </cell>
          <cell r="Y14">
            <v>-49.645000000000003</v>
          </cell>
        </row>
        <row r="15">
          <cell r="A15">
            <v>5</v>
          </cell>
          <cell r="B15" t="str">
            <v>Screen Advertising</v>
          </cell>
          <cell r="E15">
            <v>19.5</v>
          </cell>
          <cell r="F15">
            <v>19.5</v>
          </cell>
          <cell r="G15">
            <v>19.5</v>
          </cell>
          <cell r="H15">
            <v>19.5</v>
          </cell>
          <cell r="I15">
            <v>19.5</v>
          </cell>
          <cell r="J15">
            <v>19.5</v>
          </cell>
          <cell r="K15">
            <v>19.5</v>
          </cell>
          <cell r="L15">
            <v>19.5</v>
          </cell>
          <cell r="M15">
            <v>19.5</v>
          </cell>
          <cell r="N15">
            <v>19.5</v>
          </cell>
          <cell r="O15">
            <v>19.5</v>
          </cell>
          <cell r="P15">
            <v>19.5</v>
          </cell>
          <cell r="T15">
            <v>0</v>
          </cell>
          <cell r="U15">
            <v>234</v>
          </cell>
          <cell r="V15">
            <v>288.80450999999999</v>
          </cell>
          <cell r="W15">
            <v>260.94299999999998</v>
          </cell>
          <cell r="X15">
            <v>-54.804509999999993</v>
          </cell>
          <cell r="Y15">
            <v>-26.942999999999984</v>
          </cell>
        </row>
        <row r="16">
          <cell r="A16">
            <v>6</v>
          </cell>
          <cell r="B16" t="str">
            <v>Other Income</v>
          </cell>
          <cell r="C16">
            <v>0</v>
          </cell>
          <cell r="E16">
            <v>6.4376250000000006</v>
          </cell>
          <cell r="F16">
            <v>6.4376250000000006</v>
          </cell>
          <cell r="G16">
            <v>6.4376250000000006</v>
          </cell>
          <cell r="H16">
            <v>6.4376250000000006</v>
          </cell>
          <cell r="I16">
            <v>6.4376250000000006</v>
          </cell>
          <cell r="J16">
            <v>6.4376250000000006</v>
          </cell>
          <cell r="K16">
            <v>6.4376250000000006</v>
          </cell>
          <cell r="L16">
            <v>6.4376250000000006</v>
          </cell>
          <cell r="M16">
            <v>6.4376250000000006</v>
          </cell>
          <cell r="N16">
            <v>6.4376250000000006</v>
          </cell>
          <cell r="O16">
            <v>6.4376250000000006</v>
          </cell>
          <cell r="P16">
            <v>6.4376250000000006</v>
          </cell>
          <cell r="R16">
            <v>0</v>
          </cell>
          <cell r="S16">
            <v>0</v>
          </cell>
          <cell r="T16">
            <v>0</v>
          </cell>
          <cell r="U16">
            <v>77.251499999999979</v>
          </cell>
          <cell r="V16">
            <v>121.23273</v>
          </cell>
          <cell r="W16">
            <v>86.550999999999988</v>
          </cell>
          <cell r="X16">
            <v>-43.981230000000025</v>
          </cell>
          <cell r="Y16">
            <v>-9.299500000000009</v>
          </cell>
        </row>
        <row r="17">
          <cell r="B17" t="str">
            <v>TOTAL REVENUE</v>
          </cell>
          <cell r="C17">
            <v>0</v>
          </cell>
          <cell r="E17">
            <v>413.29762500000004</v>
          </cell>
          <cell r="F17">
            <v>428.93762500000003</v>
          </cell>
          <cell r="G17">
            <v>542.41762500000004</v>
          </cell>
          <cell r="H17">
            <v>387.837625</v>
          </cell>
          <cell r="I17">
            <v>444.57762500000001</v>
          </cell>
          <cell r="J17">
            <v>627.43762500000003</v>
          </cell>
          <cell r="K17">
            <v>442.57762500000001</v>
          </cell>
          <cell r="L17">
            <v>463.21762500000006</v>
          </cell>
          <cell r="M17">
            <v>507.13762500000001</v>
          </cell>
          <cell r="N17">
            <v>434.75762500000002</v>
          </cell>
          <cell r="O17">
            <v>499.31762500000002</v>
          </cell>
          <cell r="P17">
            <v>549.23762499999998</v>
          </cell>
          <cell r="R17">
            <v>0</v>
          </cell>
          <cell r="S17">
            <v>0</v>
          </cell>
          <cell r="T17">
            <v>0</v>
          </cell>
          <cell r="U17">
            <v>5740.7515000000003</v>
          </cell>
          <cell r="V17">
            <v>6025.0273399999996</v>
          </cell>
          <cell r="W17">
            <v>8385.6329999999998</v>
          </cell>
          <cell r="X17">
            <v>-284.27583999999933</v>
          </cell>
          <cell r="Y17">
            <v>-2644.8814999999995</v>
          </cell>
        </row>
        <row r="19">
          <cell r="A19">
            <v>7</v>
          </cell>
          <cell r="B19" t="str">
            <v>Film Hire</v>
          </cell>
          <cell r="E19">
            <v>147.75839999999999</v>
          </cell>
          <cell r="F19">
            <v>153.91499999999999</v>
          </cell>
          <cell r="G19">
            <v>197.0112</v>
          </cell>
          <cell r="H19">
            <v>138.52349999999998</v>
          </cell>
          <cell r="I19">
            <v>160.07160000000002</v>
          </cell>
          <cell r="J19">
            <v>230.8725</v>
          </cell>
          <cell r="K19">
            <v>160.07160000000002</v>
          </cell>
          <cell r="L19">
            <v>166.22820000000002</v>
          </cell>
          <cell r="M19">
            <v>184.69800000000001</v>
          </cell>
          <cell r="N19">
            <v>156.9933</v>
          </cell>
          <cell r="O19">
            <v>181.61969999999999</v>
          </cell>
          <cell r="P19">
            <v>200.08950000000002</v>
          </cell>
          <cell r="U19">
            <v>2077.8525</v>
          </cell>
          <cell r="V19">
            <v>2163.2345749999999</v>
          </cell>
          <cell r="W19">
            <v>3170.377</v>
          </cell>
          <cell r="X19">
            <v>-85.382074999999986</v>
          </cell>
          <cell r="Y19">
            <v>-1092.5245</v>
          </cell>
        </row>
        <row r="20">
          <cell r="A20">
            <v>8</v>
          </cell>
          <cell r="B20" t="str">
            <v>Concession Cost</v>
          </cell>
          <cell r="E20">
            <v>12.671999999999999</v>
          </cell>
          <cell r="F20">
            <v>13.2</v>
          </cell>
          <cell r="G20">
            <v>16.896000000000001</v>
          </cell>
          <cell r="H20">
            <v>11.88</v>
          </cell>
          <cell r="I20">
            <v>13.728</v>
          </cell>
          <cell r="J20">
            <v>19.8</v>
          </cell>
          <cell r="K20">
            <v>13.728</v>
          </cell>
          <cell r="L20">
            <v>14.256</v>
          </cell>
          <cell r="M20">
            <v>15.84</v>
          </cell>
          <cell r="N20">
            <v>13.463999999999999</v>
          </cell>
          <cell r="O20">
            <v>15.575999999999999</v>
          </cell>
          <cell r="P20">
            <v>17.16</v>
          </cell>
          <cell r="T20">
            <v>0</v>
          </cell>
          <cell r="U20">
            <v>178.2</v>
          </cell>
          <cell r="V20">
            <v>166.74259999999998</v>
          </cell>
          <cell r="W20">
            <v>267.28199999999998</v>
          </cell>
          <cell r="X20">
            <v>11.457400000000007</v>
          </cell>
          <cell r="Y20">
            <v>-89.081999999999994</v>
          </cell>
        </row>
        <row r="21">
          <cell r="A21">
            <v>9</v>
          </cell>
          <cell r="B21" t="str">
            <v>Less Concession Rebates</v>
          </cell>
          <cell r="E21">
            <v>-1.44</v>
          </cell>
          <cell r="F21">
            <v>-1.5</v>
          </cell>
          <cell r="G21">
            <v>-1.92</v>
          </cell>
          <cell r="H21">
            <v>-1.35</v>
          </cell>
          <cell r="I21">
            <v>-1.56</v>
          </cell>
          <cell r="J21">
            <v>-2.25</v>
          </cell>
          <cell r="K21">
            <v>-1.56</v>
          </cell>
          <cell r="L21">
            <v>-1.62</v>
          </cell>
          <cell r="M21">
            <v>-1.8</v>
          </cell>
          <cell r="N21">
            <v>-1.53</v>
          </cell>
          <cell r="O21">
            <v>-1.77</v>
          </cell>
          <cell r="P21">
            <v>-1.95</v>
          </cell>
          <cell r="U21">
            <v>-20.25</v>
          </cell>
          <cell r="V21">
            <v>-25.43</v>
          </cell>
          <cell r="W21">
            <v>-48.585000000000001</v>
          </cell>
          <cell r="X21">
            <v>5.18</v>
          </cell>
          <cell r="Y21">
            <v>28.335000000000001</v>
          </cell>
        </row>
        <row r="22">
          <cell r="A22">
            <v>10</v>
          </cell>
          <cell r="B22" t="str">
            <v>Advertising Cost</v>
          </cell>
          <cell r="E22">
            <v>7.3084799999999994</v>
          </cell>
          <cell r="F22">
            <v>7.6129999999999995</v>
          </cell>
          <cell r="G22">
            <v>9.7446400000000004</v>
          </cell>
          <cell r="H22">
            <v>6.8516999999999992</v>
          </cell>
          <cell r="I22">
            <v>7.9175199999999997</v>
          </cell>
          <cell r="J22">
            <v>11.419499999999999</v>
          </cell>
          <cell r="K22">
            <v>7.9175199999999997</v>
          </cell>
          <cell r="L22">
            <v>8.2220399999999998</v>
          </cell>
          <cell r="M22">
            <v>9.1356000000000002</v>
          </cell>
          <cell r="N22">
            <v>7.7652599999999996</v>
          </cell>
          <cell r="O22">
            <v>8.9833400000000001</v>
          </cell>
          <cell r="P22">
            <v>9.8969000000000005</v>
          </cell>
          <cell r="T22">
            <v>0</v>
          </cell>
          <cell r="U22">
            <v>102.77549999999998</v>
          </cell>
          <cell r="V22">
            <v>114.00804500000001</v>
          </cell>
          <cell r="W22">
            <v>147.23500000000001</v>
          </cell>
          <cell r="X22">
            <v>-11.23254500000003</v>
          </cell>
          <cell r="Y22">
            <v>-44.459500000000034</v>
          </cell>
        </row>
        <row r="23">
          <cell r="A23">
            <v>11</v>
          </cell>
          <cell r="B23" t="str">
            <v>Other Cost</v>
          </cell>
          <cell r="C23">
            <v>0</v>
          </cell>
          <cell r="E23">
            <v>0.63551999999999997</v>
          </cell>
          <cell r="F23">
            <v>0.66200000000000003</v>
          </cell>
          <cell r="G23">
            <v>0.84736</v>
          </cell>
          <cell r="H23">
            <v>0.5958</v>
          </cell>
          <cell r="I23">
            <v>0.68847999999999998</v>
          </cell>
          <cell r="J23">
            <v>0.99299999999999999</v>
          </cell>
          <cell r="K23">
            <v>0.68847999999999998</v>
          </cell>
          <cell r="L23">
            <v>0.71496000000000004</v>
          </cell>
          <cell r="M23">
            <v>0.7944</v>
          </cell>
          <cell r="N23">
            <v>0.67524000000000006</v>
          </cell>
          <cell r="O23">
            <v>0.78115999999999997</v>
          </cell>
          <cell r="P23">
            <v>0.86060000000000003</v>
          </cell>
          <cell r="R23">
            <v>0</v>
          </cell>
          <cell r="S23">
            <v>0</v>
          </cell>
          <cell r="T23">
            <v>0</v>
          </cell>
          <cell r="U23">
            <v>8.9370000000000012</v>
          </cell>
          <cell r="V23">
            <v>9.3098986000000004</v>
          </cell>
          <cell r="W23">
            <v>13.560551999999999</v>
          </cell>
          <cell r="X23">
            <v>-0.37289859999999919</v>
          </cell>
          <cell r="Y23">
            <v>-4.6235519999999983</v>
          </cell>
        </row>
        <row r="24">
          <cell r="A24">
            <v>12</v>
          </cell>
          <cell r="B24" t="str">
            <v>Direct Payroll</v>
          </cell>
          <cell r="C24">
            <v>0</v>
          </cell>
          <cell r="E24">
            <v>31.82965695689655</v>
          </cell>
          <cell r="F24">
            <v>31.82965695689655</v>
          </cell>
          <cell r="G24">
            <v>31.82965695689655</v>
          </cell>
          <cell r="H24">
            <v>31.82965695689655</v>
          </cell>
          <cell r="I24">
            <v>31.82965695689655</v>
          </cell>
          <cell r="J24">
            <v>31.82965695689655</v>
          </cell>
          <cell r="K24">
            <v>32.483311881896547</v>
          </cell>
          <cell r="L24">
            <v>32.483311881896547</v>
          </cell>
          <cell r="M24">
            <v>32.483311881896547</v>
          </cell>
          <cell r="N24">
            <v>32.483311881896547</v>
          </cell>
          <cell r="O24">
            <v>32.483311881896547</v>
          </cell>
          <cell r="P24">
            <v>32.483311881896547</v>
          </cell>
          <cell r="R24">
            <v>0</v>
          </cell>
          <cell r="S24">
            <v>0</v>
          </cell>
          <cell r="T24">
            <v>0</v>
          </cell>
          <cell r="U24">
            <v>385.87781303275858</v>
          </cell>
          <cell r="V24">
            <v>467.71003666666684</v>
          </cell>
          <cell r="W24">
            <v>659.72299999999996</v>
          </cell>
          <cell r="X24">
            <v>-81.832223633908256</v>
          </cell>
          <cell r="Y24">
            <v>-273.84518696724137</v>
          </cell>
        </row>
        <row r="25">
          <cell r="B25" t="str">
            <v>TOTAL COST</v>
          </cell>
          <cell r="C25">
            <v>0</v>
          </cell>
          <cell r="E25">
            <v>198.76405695689655</v>
          </cell>
          <cell r="F25">
            <v>205.71965695689656</v>
          </cell>
          <cell r="G25">
            <v>254.40885695689656</v>
          </cell>
          <cell r="H25">
            <v>188.33065695689652</v>
          </cell>
          <cell r="I25">
            <v>212.67525695689656</v>
          </cell>
          <cell r="J25">
            <v>292.66465695689652</v>
          </cell>
          <cell r="K25">
            <v>213.32891188189657</v>
          </cell>
          <cell r="L25">
            <v>220.28451188189655</v>
          </cell>
          <cell r="M25">
            <v>241.15131188189656</v>
          </cell>
          <cell r="N25">
            <v>209.85111188189657</v>
          </cell>
          <cell r="O25">
            <v>237.67351188189653</v>
          </cell>
          <cell r="P25">
            <v>258.54031188189657</v>
          </cell>
          <cell r="R25">
            <v>0</v>
          </cell>
          <cell r="S25">
            <v>0</v>
          </cell>
          <cell r="T25">
            <v>0</v>
          </cell>
          <cell r="U25">
            <v>2733.392813032759</v>
          </cell>
          <cell r="V25">
            <v>2895.575155266667</v>
          </cell>
          <cell r="W25">
            <v>4209.5925520000001</v>
          </cell>
          <cell r="X25">
            <v>-162.182342233908</v>
          </cell>
          <cell r="Y25">
            <v>-1476.199738967241</v>
          </cell>
        </row>
        <row r="27">
          <cell r="B27" t="str">
            <v>GROSS MARGIN</v>
          </cell>
          <cell r="C27">
            <v>0</v>
          </cell>
          <cell r="E27">
            <v>214.53356804310349</v>
          </cell>
          <cell r="F27">
            <v>223.21796804310347</v>
          </cell>
          <cell r="G27">
            <v>288.00876804310349</v>
          </cell>
          <cell r="H27">
            <v>199.50696804310348</v>
          </cell>
          <cell r="I27">
            <v>231.90236804310345</v>
          </cell>
          <cell r="J27">
            <v>334.7729680431035</v>
          </cell>
          <cell r="K27">
            <v>229.24871311810344</v>
          </cell>
          <cell r="L27">
            <v>242.93311311810351</v>
          </cell>
          <cell r="M27">
            <v>265.98631311810345</v>
          </cell>
          <cell r="N27">
            <v>224.90651311810345</v>
          </cell>
          <cell r="O27">
            <v>261.64411311810352</v>
          </cell>
          <cell r="P27">
            <v>290.69731311810341</v>
          </cell>
          <cell r="R27">
            <v>0</v>
          </cell>
          <cell r="S27">
            <v>0</v>
          </cell>
          <cell r="T27">
            <v>0</v>
          </cell>
          <cell r="U27">
            <v>3007.3586869672413</v>
          </cell>
          <cell r="V27">
            <v>3129.4521847333326</v>
          </cell>
          <cell r="W27">
            <v>4176.0404479999997</v>
          </cell>
          <cell r="X27">
            <v>-122.09349776609133</v>
          </cell>
          <cell r="Y27">
            <v>-1168.6817610327585</v>
          </cell>
        </row>
        <row r="28">
          <cell r="X28">
            <v>0</v>
          </cell>
          <cell r="Y28">
            <v>0</v>
          </cell>
        </row>
        <row r="29">
          <cell r="A29">
            <v>13</v>
          </cell>
          <cell r="B29" t="str">
            <v>Direct Rent</v>
          </cell>
          <cell r="E29">
            <v>95.525500000000008</v>
          </cell>
          <cell r="F29">
            <v>95.525500000000008</v>
          </cell>
          <cell r="G29">
            <v>95.525500000000008</v>
          </cell>
          <cell r="H29">
            <v>95.525500000000008</v>
          </cell>
          <cell r="I29">
            <v>95.525500000000008</v>
          </cell>
          <cell r="J29">
            <v>95.525500000000008</v>
          </cell>
          <cell r="K29">
            <v>95.525500000000008</v>
          </cell>
          <cell r="L29">
            <v>95.525500000000008</v>
          </cell>
          <cell r="M29">
            <v>95.525500000000008</v>
          </cell>
          <cell r="N29">
            <v>95.525500000000008</v>
          </cell>
          <cell r="O29">
            <v>95.525500000000008</v>
          </cell>
          <cell r="P29">
            <v>95.525500000000008</v>
          </cell>
          <cell r="T29">
            <v>0</v>
          </cell>
          <cell r="U29">
            <v>1146.3059999999998</v>
          </cell>
          <cell r="V29">
            <v>1146.59656</v>
          </cell>
          <cell r="W29">
            <v>1157.9059999999999</v>
          </cell>
          <cell r="X29">
            <v>-0.29056000000014137</v>
          </cell>
          <cell r="Y29">
            <v>-11.600000000000136</v>
          </cell>
        </row>
        <row r="30">
          <cell r="A30">
            <v>14</v>
          </cell>
          <cell r="B30" t="str">
            <v>Light, Heat and Power</v>
          </cell>
          <cell r="E30">
            <v>13.4</v>
          </cell>
          <cell r="F30">
            <v>13.4</v>
          </cell>
          <cell r="G30">
            <v>13.4</v>
          </cell>
          <cell r="H30">
            <v>13.4</v>
          </cell>
          <cell r="I30">
            <v>13.4</v>
          </cell>
          <cell r="J30">
            <v>13.4</v>
          </cell>
          <cell r="K30">
            <v>13.4</v>
          </cell>
          <cell r="L30">
            <v>13.4</v>
          </cell>
          <cell r="M30">
            <v>13.4</v>
          </cell>
          <cell r="N30">
            <v>13.4</v>
          </cell>
          <cell r="O30">
            <v>13.4</v>
          </cell>
          <cell r="P30">
            <v>13.4</v>
          </cell>
          <cell r="T30">
            <v>0</v>
          </cell>
          <cell r="U30">
            <v>160.80000000000001</v>
          </cell>
          <cell r="V30">
            <v>162.47427999999999</v>
          </cell>
          <cell r="W30">
            <v>187.61699999999999</v>
          </cell>
          <cell r="X30">
            <v>-1.6742799999999534</v>
          </cell>
          <cell r="Y30">
            <v>-26.81699999999995</v>
          </cell>
        </row>
        <row r="31">
          <cell r="A31">
            <v>15</v>
          </cell>
          <cell r="B31" t="str">
            <v>Repair &amp; Maintenance</v>
          </cell>
          <cell r="E31">
            <v>10.536</v>
          </cell>
          <cell r="F31">
            <v>10.536</v>
          </cell>
          <cell r="G31">
            <v>15.536</v>
          </cell>
          <cell r="H31">
            <v>15.536</v>
          </cell>
          <cell r="I31">
            <v>10.536</v>
          </cell>
          <cell r="J31">
            <v>10.536</v>
          </cell>
          <cell r="K31">
            <v>10.536</v>
          </cell>
          <cell r="L31">
            <v>10.536</v>
          </cell>
          <cell r="M31">
            <v>52.536000000000001</v>
          </cell>
          <cell r="N31">
            <v>10.536</v>
          </cell>
          <cell r="O31">
            <v>10.536</v>
          </cell>
          <cell r="P31">
            <v>10.536</v>
          </cell>
          <cell r="T31">
            <v>0</v>
          </cell>
          <cell r="U31">
            <v>178.43200000000002</v>
          </cell>
          <cell r="V31">
            <v>146.07933666666668</v>
          </cell>
          <cell r="W31">
            <v>222.77800000000002</v>
          </cell>
          <cell r="X31">
            <v>32.352663333333339</v>
          </cell>
          <cell r="Y31">
            <v>-44.346000000000004</v>
          </cell>
        </row>
        <row r="32">
          <cell r="A32">
            <v>16</v>
          </cell>
          <cell r="B32" t="str">
            <v>Common Area Maintenance</v>
          </cell>
          <cell r="E32">
            <v>23.380500000000001</v>
          </cell>
          <cell r="F32">
            <v>23.380500000000001</v>
          </cell>
          <cell r="G32">
            <v>23.380500000000001</v>
          </cell>
          <cell r="H32">
            <v>23.380500000000001</v>
          </cell>
          <cell r="I32">
            <v>23.380500000000001</v>
          </cell>
          <cell r="J32">
            <v>23.380500000000001</v>
          </cell>
          <cell r="K32">
            <v>23.380500000000001</v>
          </cell>
          <cell r="L32">
            <v>23.380500000000001</v>
          </cell>
          <cell r="M32">
            <v>23.380500000000001</v>
          </cell>
          <cell r="N32">
            <v>23.380500000000001</v>
          </cell>
          <cell r="O32">
            <v>23.380500000000001</v>
          </cell>
          <cell r="P32">
            <v>23.380500000000001</v>
          </cell>
          <cell r="T32">
            <v>0</v>
          </cell>
          <cell r="U32">
            <v>280.56600000000003</v>
          </cell>
          <cell r="V32">
            <v>280.56414000000007</v>
          </cell>
          <cell r="W32">
            <v>276.94799999999998</v>
          </cell>
          <cell r="X32">
            <v>1.8599999999651118E-3</v>
          </cell>
          <cell r="Y32">
            <v>3.6180000000000518</v>
          </cell>
        </row>
        <row r="33">
          <cell r="A33">
            <v>17</v>
          </cell>
          <cell r="B33" t="str">
            <v>Other Overhead Costs</v>
          </cell>
          <cell r="C33">
            <v>0</v>
          </cell>
          <cell r="E33">
            <v>17.224726569568965</v>
          </cell>
          <cell r="F33">
            <v>17.413206569568967</v>
          </cell>
          <cell r="G33">
            <v>17.255126569568965</v>
          </cell>
          <cell r="H33">
            <v>17.413206569568967</v>
          </cell>
          <cell r="I33">
            <v>20.255126569568969</v>
          </cell>
          <cell r="J33">
            <v>17.413206569568967</v>
          </cell>
          <cell r="K33">
            <v>17.419743118818968</v>
          </cell>
          <cell r="L33">
            <v>19.445503118818966</v>
          </cell>
          <cell r="M33">
            <v>17.419743118818968</v>
          </cell>
          <cell r="N33">
            <v>17.261663118818966</v>
          </cell>
          <cell r="O33">
            <v>17.419743118818968</v>
          </cell>
          <cell r="P33">
            <v>17.261663118818966</v>
          </cell>
          <cell r="R33">
            <v>0</v>
          </cell>
          <cell r="S33">
            <v>0</v>
          </cell>
          <cell r="T33">
            <v>0</v>
          </cell>
          <cell r="U33">
            <v>213.20265813032759</v>
          </cell>
          <cell r="V33">
            <v>253.71766661333336</v>
          </cell>
          <cell r="W33">
            <v>305.630448</v>
          </cell>
          <cell r="X33">
            <v>-40.515008483005772</v>
          </cell>
          <cell r="Y33">
            <v>-92.427789869672409</v>
          </cell>
        </row>
        <row r="35">
          <cell r="B35" t="str">
            <v>Total Overhead Expenses</v>
          </cell>
          <cell r="C35">
            <v>0</v>
          </cell>
          <cell r="E35">
            <v>160.06672656956897</v>
          </cell>
          <cell r="F35">
            <v>160.25520656956897</v>
          </cell>
          <cell r="G35">
            <v>165.09712656956899</v>
          </cell>
          <cell r="H35">
            <v>165.25520656956897</v>
          </cell>
          <cell r="I35">
            <v>163.09712656956899</v>
          </cell>
          <cell r="J35">
            <v>160.25520656956897</v>
          </cell>
          <cell r="K35">
            <v>160.26174311881897</v>
          </cell>
          <cell r="L35">
            <v>162.28750311881899</v>
          </cell>
          <cell r="M35">
            <v>202.26174311881897</v>
          </cell>
          <cell r="N35">
            <v>160.10366311881899</v>
          </cell>
          <cell r="O35">
            <v>160.26174311881897</v>
          </cell>
          <cell r="P35">
            <v>160.10366311881899</v>
          </cell>
          <cell r="R35">
            <v>0</v>
          </cell>
          <cell r="S35">
            <v>0</v>
          </cell>
          <cell r="T35">
            <v>0</v>
          </cell>
          <cell r="U35">
            <v>1979.3066581303276</v>
          </cell>
          <cell r="V35">
            <v>1989.4319832799999</v>
          </cell>
          <cell r="W35">
            <v>2150.8794479999997</v>
          </cell>
          <cell r="X35">
            <v>-10.125325149672335</v>
          </cell>
          <cell r="Y35">
            <v>-171.57278986967208</v>
          </cell>
        </row>
        <row r="37">
          <cell r="B37" t="str">
            <v>E.B.I.T.D.</v>
          </cell>
          <cell r="C37">
            <v>0</v>
          </cell>
          <cell r="E37">
            <v>54.466841473534515</v>
          </cell>
          <cell r="F37">
            <v>62.962761473534499</v>
          </cell>
          <cell r="G37">
            <v>122.9116414735345</v>
          </cell>
          <cell r="H37">
            <v>34.251761473534515</v>
          </cell>
          <cell r="I37">
            <v>68.805241473534466</v>
          </cell>
          <cell r="J37">
            <v>174.51776147353453</v>
          </cell>
          <cell r="K37">
            <v>68.986969999284469</v>
          </cell>
          <cell r="L37">
            <v>80.645609999284517</v>
          </cell>
          <cell r="M37">
            <v>63.724569999284483</v>
          </cell>
          <cell r="N37">
            <v>64.802849999284462</v>
          </cell>
          <cell r="O37">
            <v>101.38236999928455</v>
          </cell>
          <cell r="P37">
            <v>130.59364999928442</v>
          </cell>
          <cell r="R37">
            <v>0</v>
          </cell>
          <cell r="S37">
            <v>0</v>
          </cell>
          <cell r="T37">
            <v>0</v>
          </cell>
          <cell r="U37">
            <v>1028.0520288369137</v>
          </cell>
          <cell r="V37">
            <v>1140.0202014533327</v>
          </cell>
          <cell r="W37">
            <v>2025.1610000000001</v>
          </cell>
          <cell r="X37">
            <v>-111.968172616419</v>
          </cell>
          <cell r="Y37">
            <v>-997.10897116308638</v>
          </cell>
        </row>
        <row r="39">
          <cell r="A39">
            <v>18</v>
          </cell>
          <cell r="B39" t="str">
            <v>Depreciation</v>
          </cell>
          <cell r="E39">
            <v>32.664836111111114</v>
          </cell>
          <cell r="F39">
            <v>32.664836111111114</v>
          </cell>
          <cell r="G39">
            <v>32.664836111111114</v>
          </cell>
          <cell r="H39">
            <v>32.664836111111114</v>
          </cell>
          <cell r="I39">
            <v>32.664836111111114</v>
          </cell>
          <cell r="J39">
            <v>32.664836111111114</v>
          </cell>
          <cell r="K39">
            <v>33.641502777777781</v>
          </cell>
          <cell r="L39">
            <v>33.641502777777781</v>
          </cell>
          <cell r="M39">
            <v>33.641502777777781</v>
          </cell>
          <cell r="N39">
            <v>33.641502777777781</v>
          </cell>
          <cell r="O39">
            <v>33.641502777777781</v>
          </cell>
          <cell r="P39">
            <v>33.641502777777781</v>
          </cell>
          <cell r="T39">
            <v>0</v>
          </cell>
          <cell r="U39">
            <v>397.83803333333333</v>
          </cell>
          <cell r="V39">
            <v>392.34369657407404</v>
          </cell>
          <cell r="W39">
            <v>383.59</v>
          </cell>
          <cell r="X39">
            <v>5.4943367592592836</v>
          </cell>
          <cell r="Y39">
            <v>14.248033333333296</v>
          </cell>
        </row>
        <row r="40">
          <cell r="A40">
            <v>19</v>
          </cell>
          <cell r="B40" t="str">
            <v>Fixed Assets Written Off</v>
          </cell>
          <cell r="E40">
            <v>5.8293400000000002</v>
          </cell>
          <cell r="F40">
            <v>0</v>
          </cell>
          <cell r="G40">
            <v>0</v>
          </cell>
          <cell r="H40">
            <v>0</v>
          </cell>
          <cell r="I40">
            <v>0</v>
          </cell>
          <cell r="J40">
            <v>0</v>
          </cell>
          <cell r="K40">
            <v>0</v>
          </cell>
          <cell r="L40">
            <v>0</v>
          </cell>
          <cell r="M40">
            <v>0</v>
          </cell>
          <cell r="N40">
            <v>0</v>
          </cell>
          <cell r="O40">
            <v>0</v>
          </cell>
          <cell r="P40">
            <v>0</v>
          </cell>
          <cell r="T40">
            <v>0</v>
          </cell>
          <cell r="U40">
            <v>5.8293400000000002</v>
          </cell>
          <cell r="V40">
            <v>22.727</v>
          </cell>
          <cell r="W40">
            <v>183.446</v>
          </cell>
          <cell r="X40">
            <v>-16.897660000000002</v>
          </cell>
          <cell r="Y40">
            <v>-177.61666</v>
          </cell>
        </row>
        <row r="41">
          <cell r="A41">
            <v>20</v>
          </cell>
          <cell r="B41" t="str">
            <v>External Interest</v>
          </cell>
          <cell r="T41">
            <v>0</v>
          </cell>
          <cell r="U41">
            <v>0</v>
          </cell>
          <cell r="V41">
            <v>175.00614948356167</v>
          </cell>
          <cell r="W41">
            <v>197.39400000000001</v>
          </cell>
          <cell r="X41">
            <v>-175.00614948356167</v>
          </cell>
          <cell r="Y41">
            <v>-197.39400000000001</v>
          </cell>
        </row>
        <row r="42">
          <cell r="A42">
            <v>21</v>
          </cell>
          <cell r="B42" t="str">
            <v>Intercompany Interest Income</v>
          </cell>
          <cell r="T42">
            <v>0</v>
          </cell>
          <cell r="U42">
            <v>0</v>
          </cell>
          <cell r="V42">
            <v>0</v>
          </cell>
          <cell r="W42">
            <v>0</v>
          </cell>
          <cell r="X42">
            <v>0</v>
          </cell>
          <cell r="Y42">
            <v>0</v>
          </cell>
        </row>
        <row r="43">
          <cell r="A43">
            <v>22</v>
          </cell>
          <cell r="B43" t="str">
            <v>External Interest Income</v>
          </cell>
          <cell r="T43">
            <v>0</v>
          </cell>
          <cell r="U43">
            <v>0</v>
          </cell>
          <cell r="V43">
            <v>2.7230799999999999</v>
          </cell>
          <cell r="W43">
            <v>0.90700000000000003</v>
          </cell>
          <cell r="X43">
            <v>-2.7230799999999999</v>
          </cell>
          <cell r="Y43">
            <v>-0.90700000000000003</v>
          </cell>
        </row>
        <row r="44">
          <cell r="B44" t="str">
            <v>E.B.T.</v>
          </cell>
          <cell r="C44">
            <v>0</v>
          </cell>
          <cell r="E44">
            <v>15.972665362423401</v>
          </cell>
          <cell r="F44">
            <v>30.297925362423385</v>
          </cell>
          <cell r="G44">
            <v>90.246805362423387</v>
          </cell>
          <cell r="H44">
            <v>1.5869253624234005</v>
          </cell>
          <cell r="I44">
            <v>36.140405362423351</v>
          </cell>
          <cell r="J44">
            <v>141.85292536242343</v>
          </cell>
          <cell r="K44">
            <v>35.345467221506688</v>
          </cell>
          <cell r="L44">
            <v>47.004107221506736</v>
          </cell>
          <cell r="M44">
            <v>30.083067221506703</v>
          </cell>
          <cell r="N44">
            <v>31.161347221506681</v>
          </cell>
          <cell r="O44">
            <v>67.740867221506761</v>
          </cell>
          <cell r="P44">
            <v>96.952147221506635</v>
          </cell>
          <cell r="Q44">
            <v>0</v>
          </cell>
          <cell r="R44">
            <v>0</v>
          </cell>
          <cell r="S44">
            <v>0</v>
          </cell>
          <cell r="T44">
            <v>0</v>
          </cell>
          <cell r="U44">
            <v>624.38465550358035</v>
          </cell>
          <cell r="V44">
            <v>552.66643539569691</v>
          </cell>
          <cell r="W44">
            <v>1261.6379999999999</v>
          </cell>
          <cell r="X44">
            <v>71.71822010788344</v>
          </cell>
          <cell r="Y44">
            <v>-637.25334449641957</v>
          </cell>
        </row>
        <row r="46">
          <cell r="A46">
            <v>23</v>
          </cell>
          <cell r="B46" t="str">
            <v>Taxation</v>
          </cell>
          <cell r="E46">
            <v>0</v>
          </cell>
          <cell r="F46">
            <v>0</v>
          </cell>
          <cell r="G46">
            <v>0</v>
          </cell>
          <cell r="H46">
            <v>0</v>
          </cell>
          <cell r="I46">
            <v>0</v>
          </cell>
          <cell r="J46">
            <v>0</v>
          </cell>
          <cell r="K46">
            <v>0</v>
          </cell>
          <cell r="L46">
            <v>0</v>
          </cell>
          <cell r="M46">
            <v>0</v>
          </cell>
          <cell r="N46">
            <v>0</v>
          </cell>
          <cell r="O46">
            <v>0</v>
          </cell>
          <cell r="P46">
            <v>0</v>
          </cell>
          <cell r="T46">
            <v>0</v>
          </cell>
          <cell r="U46">
            <v>0</v>
          </cell>
          <cell r="V46">
            <v>0</v>
          </cell>
          <cell r="W46">
            <v>0</v>
          </cell>
          <cell r="X46">
            <v>0</v>
          </cell>
          <cell r="Y46">
            <v>0</v>
          </cell>
        </row>
        <row r="47">
          <cell r="A47">
            <v>24</v>
          </cell>
          <cell r="B47" t="str">
            <v>Adjustments</v>
          </cell>
          <cell r="C47">
            <v>0</v>
          </cell>
          <cell r="E47">
            <v>0</v>
          </cell>
          <cell r="F47">
            <v>0</v>
          </cell>
          <cell r="G47">
            <v>0</v>
          </cell>
          <cell r="H47">
            <v>0</v>
          </cell>
          <cell r="I47">
            <v>0</v>
          </cell>
          <cell r="J47">
            <v>0</v>
          </cell>
          <cell r="K47">
            <v>0</v>
          </cell>
          <cell r="L47">
            <v>0</v>
          </cell>
          <cell r="M47">
            <v>0</v>
          </cell>
          <cell r="N47">
            <v>0</v>
          </cell>
          <cell r="O47">
            <v>0</v>
          </cell>
          <cell r="P47">
            <v>0</v>
          </cell>
          <cell r="R47">
            <v>0</v>
          </cell>
          <cell r="S47">
            <v>0</v>
          </cell>
          <cell r="T47">
            <v>0</v>
          </cell>
          <cell r="U47">
            <v>0</v>
          </cell>
          <cell r="V47">
            <v>0</v>
          </cell>
          <cell r="W47">
            <v>0</v>
          </cell>
          <cell r="X47">
            <v>0</v>
          </cell>
          <cell r="Y47">
            <v>0</v>
          </cell>
        </row>
        <row r="48">
          <cell r="A48">
            <v>25</v>
          </cell>
          <cell r="B48" t="str">
            <v>Dividends</v>
          </cell>
          <cell r="E48">
            <v>0</v>
          </cell>
          <cell r="F48">
            <v>0</v>
          </cell>
          <cell r="G48">
            <v>0</v>
          </cell>
          <cell r="H48">
            <v>0</v>
          </cell>
          <cell r="I48">
            <v>0</v>
          </cell>
          <cell r="J48">
            <v>0</v>
          </cell>
          <cell r="K48">
            <v>0</v>
          </cell>
          <cell r="L48">
            <v>0</v>
          </cell>
          <cell r="M48">
            <v>0</v>
          </cell>
          <cell r="N48">
            <v>0</v>
          </cell>
          <cell r="O48">
            <v>0</v>
          </cell>
          <cell r="P48">
            <v>0</v>
          </cell>
          <cell r="T48">
            <v>0</v>
          </cell>
          <cell r="U48">
            <v>0</v>
          </cell>
          <cell r="V48">
            <v>0</v>
          </cell>
          <cell r="W48">
            <v>0</v>
          </cell>
          <cell r="X48">
            <v>0</v>
          </cell>
          <cell r="Y48">
            <v>0</v>
          </cell>
        </row>
        <row r="49">
          <cell r="A49">
            <v>26</v>
          </cell>
          <cell r="B49" t="str">
            <v>Extraordinary Items</v>
          </cell>
          <cell r="E49">
            <v>0</v>
          </cell>
          <cell r="F49">
            <v>0</v>
          </cell>
          <cell r="G49">
            <v>0</v>
          </cell>
          <cell r="H49">
            <v>0</v>
          </cell>
          <cell r="I49">
            <v>0</v>
          </cell>
          <cell r="J49">
            <v>0</v>
          </cell>
          <cell r="K49">
            <v>0</v>
          </cell>
          <cell r="L49">
            <v>0</v>
          </cell>
          <cell r="M49">
            <v>0</v>
          </cell>
          <cell r="N49">
            <v>0</v>
          </cell>
          <cell r="O49">
            <v>0</v>
          </cell>
          <cell r="P49">
            <v>0</v>
          </cell>
          <cell r="T49">
            <v>0</v>
          </cell>
          <cell r="U49">
            <v>0</v>
          </cell>
          <cell r="V49">
            <v>0</v>
          </cell>
          <cell r="W49">
            <v>0</v>
          </cell>
          <cell r="X49">
            <v>0</v>
          </cell>
          <cell r="Y49">
            <v>0</v>
          </cell>
        </row>
        <row r="50">
          <cell r="B50" t="str">
            <v>RETAINED PROFIT(LOSS)</v>
          </cell>
          <cell r="C50">
            <v>0</v>
          </cell>
          <cell r="E50">
            <v>15.972665362423401</v>
          </cell>
          <cell r="F50">
            <v>30.297925362423385</v>
          </cell>
          <cell r="G50">
            <v>90.246805362423387</v>
          </cell>
          <cell r="H50">
            <v>1.5869253624234005</v>
          </cell>
          <cell r="I50">
            <v>36.140405362423351</v>
          </cell>
          <cell r="J50">
            <v>141.85292536242343</v>
          </cell>
          <cell r="K50">
            <v>35.345467221506688</v>
          </cell>
          <cell r="L50">
            <v>47.004107221506736</v>
          </cell>
          <cell r="M50">
            <v>30.083067221506703</v>
          </cell>
          <cell r="N50">
            <v>31.161347221506681</v>
          </cell>
          <cell r="O50">
            <v>67.740867221506761</v>
          </cell>
          <cell r="P50">
            <v>96.952147221506635</v>
          </cell>
          <cell r="Q50">
            <v>0</v>
          </cell>
          <cell r="R50">
            <v>0</v>
          </cell>
          <cell r="S50">
            <v>0</v>
          </cell>
          <cell r="T50">
            <v>0</v>
          </cell>
          <cell r="U50">
            <v>624.38465550358035</v>
          </cell>
          <cell r="V50">
            <v>552.66643539569691</v>
          </cell>
          <cell r="W50">
            <v>1261.6379999999999</v>
          </cell>
          <cell r="X50">
            <v>71.71822010788344</v>
          </cell>
          <cell r="Y50">
            <v>-637.25334449641957</v>
          </cell>
        </row>
        <row r="52">
          <cell r="B52" t="str">
            <v>RATIOS</v>
          </cell>
        </row>
        <row r="53">
          <cell r="B53" t="str">
            <v>No of week</v>
          </cell>
          <cell r="E53">
            <v>4</v>
          </cell>
          <cell r="F53">
            <v>4</v>
          </cell>
          <cell r="G53">
            <v>5</v>
          </cell>
          <cell r="H53">
            <v>4</v>
          </cell>
          <cell r="I53">
            <v>4</v>
          </cell>
          <cell r="J53">
            <v>5</v>
          </cell>
          <cell r="K53">
            <v>4</v>
          </cell>
          <cell r="L53">
            <v>4</v>
          </cell>
          <cell r="M53">
            <v>5</v>
          </cell>
          <cell r="N53">
            <v>4</v>
          </cell>
          <cell r="O53">
            <v>5</v>
          </cell>
          <cell r="P53">
            <v>4</v>
          </cell>
          <cell r="U53">
            <v>52</v>
          </cell>
          <cell r="V53">
            <v>52</v>
          </cell>
          <cell r="W53">
            <v>52</v>
          </cell>
          <cell r="X53">
            <v>0</v>
          </cell>
          <cell r="Y53">
            <v>0</v>
          </cell>
        </row>
        <row r="54">
          <cell r="A54">
            <v>27</v>
          </cell>
          <cell r="B54" t="str">
            <v>Pd Admissions</v>
          </cell>
          <cell r="E54">
            <v>47.04</v>
          </cell>
          <cell r="F54">
            <v>49</v>
          </cell>
          <cell r="G54">
            <v>62.72</v>
          </cell>
          <cell r="H54">
            <v>44.1</v>
          </cell>
          <cell r="I54">
            <v>50.96</v>
          </cell>
          <cell r="J54">
            <v>73.5</v>
          </cell>
          <cell r="K54">
            <v>50.96</v>
          </cell>
          <cell r="L54">
            <v>52.92</v>
          </cell>
          <cell r="M54">
            <v>58.8</v>
          </cell>
          <cell r="N54">
            <v>49.98</v>
          </cell>
          <cell r="O54">
            <v>57.82</v>
          </cell>
          <cell r="P54">
            <v>63.7</v>
          </cell>
          <cell r="T54">
            <v>0</v>
          </cell>
          <cell r="U54">
            <v>661.5</v>
          </cell>
          <cell r="V54">
            <v>701</v>
          </cell>
          <cell r="W54">
            <v>1003.141</v>
          </cell>
          <cell r="X54">
            <v>-39.499999999999886</v>
          </cell>
          <cell r="Y54">
            <v>-341.64099999999985</v>
          </cell>
        </row>
        <row r="55">
          <cell r="A55">
            <v>28</v>
          </cell>
          <cell r="B55" t="str">
            <v>Admissions</v>
          </cell>
          <cell r="E55">
            <v>48</v>
          </cell>
          <cell r="F55">
            <v>50</v>
          </cell>
          <cell r="G55">
            <v>64</v>
          </cell>
          <cell r="H55">
            <v>45</v>
          </cell>
          <cell r="I55">
            <v>52</v>
          </cell>
          <cell r="J55">
            <v>75</v>
          </cell>
          <cell r="K55">
            <v>52</v>
          </cell>
          <cell r="L55">
            <v>54</v>
          </cell>
          <cell r="M55">
            <v>60</v>
          </cell>
          <cell r="N55">
            <v>51</v>
          </cell>
          <cell r="O55">
            <v>59</v>
          </cell>
          <cell r="P55">
            <v>65</v>
          </cell>
          <cell r="T55">
            <v>0</v>
          </cell>
          <cell r="U55">
            <v>675</v>
          </cell>
          <cell r="V55">
            <v>701</v>
          </cell>
          <cell r="W55">
            <v>1003.141</v>
          </cell>
          <cell r="X55">
            <v>-26</v>
          </cell>
          <cell r="Y55">
            <v>-328.14099999999996</v>
          </cell>
        </row>
        <row r="56">
          <cell r="B56" t="str">
            <v>Utilisation Rate</v>
          </cell>
          <cell r="E56">
            <v>0.20748322843903452</v>
          </cell>
          <cell r="F56">
            <v>0.21612836295732762</v>
          </cell>
          <cell r="G56">
            <v>0.22131544366830347</v>
          </cell>
          <cell r="H56">
            <v>0.19451552666159486</v>
          </cell>
          <cell r="I56">
            <v>0.22477349747562073</v>
          </cell>
          <cell r="J56">
            <v>0.25935403554879316</v>
          </cell>
          <cell r="K56">
            <v>0.22477349747562073</v>
          </cell>
          <cell r="L56">
            <v>0.23341863199391383</v>
          </cell>
          <cell r="M56">
            <v>0.20748322843903452</v>
          </cell>
          <cell r="N56">
            <v>0.22045093021647416</v>
          </cell>
          <cell r="O56">
            <v>0.20402517463171727</v>
          </cell>
          <cell r="P56">
            <v>0.2809668718445259</v>
          </cell>
          <cell r="U56">
            <v>0.22444099230184023</v>
          </cell>
          <cell r="V56">
            <v>0.23308612682013333</v>
          </cell>
          <cell r="W56">
            <v>0.31687209390478116</v>
          </cell>
          <cell r="X56">
            <v>-8.6451345182931016E-3</v>
          </cell>
          <cell r="Y56">
            <v>-9.2431101602940935E-2</v>
          </cell>
        </row>
        <row r="57">
          <cell r="B57" t="str">
            <v>Ave. Admission Price (S$)</v>
          </cell>
          <cell r="C57" t="str">
            <v>N.A.</v>
          </cell>
          <cell r="E57">
            <v>6.62</v>
          </cell>
          <cell r="F57">
            <v>6.62</v>
          </cell>
          <cell r="G57">
            <v>6.62</v>
          </cell>
          <cell r="H57">
            <v>6.62</v>
          </cell>
          <cell r="I57">
            <v>6.62</v>
          </cell>
          <cell r="J57">
            <v>6.62</v>
          </cell>
          <cell r="K57">
            <v>6.62</v>
          </cell>
          <cell r="L57">
            <v>6.62</v>
          </cell>
          <cell r="M57">
            <v>6.62</v>
          </cell>
          <cell r="N57">
            <v>6.62</v>
          </cell>
          <cell r="O57">
            <v>6.62</v>
          </cell>
          <cell r="P57">
            <v>6.62</v>
          </cell>
          <cell r="Q57">
            <v>0</v>
          </cell>
          <cell r="R57" t="str">
            <v>N.A.</v>
          </cell>
          <cell r="S57" t="str">
            <v>N.A.</v>
          </cell>
          <cell r="U57">
            <v>6.62</v>
          </cell>
          <cell r="V57">
            <v>6.6404412268188304</v>
          </cell>
          <cell r="W57">
            <v>6.7590458370259014</v>
          </cell>
          <cell r="X57">
            <v>-2.0441226818832092E-2</v>
          </cell>
          <cell r="Y57">
            <v>-0.13904583702590312</v>
          </cell>
        </row>
        <row r="58">
          <cell r="B58" t="str">
            <v>Advert. Cost % of Box</v>
          </cell>
          <cell r="C58" t="str">
            <v>N.A.</v>
          </cell>
          <cell r="E58">
            <v>2.3E-2</v>
          </cell>
          <cell r="F58">
            <v>2.3E-2</v>
          </cell>
          <cell r="G58">
            <v>2.3E-2</v>
          </cell>
          <cell r="H58">
            <v>2.3E-2</v>
          </cell>
          <cell r="I58">
            <v>2.3E-2</v>
          </cell>
          <cell r="J58">
            <v>2.3E-2</v>
          </cell>
          <cell r="K58">
            <v>2.3E-2</v>
          </cell>
          <cell r="L58">
            <v>2.3E-2</v>
          </cell>
          <cell r="M58">
            <v>2.3E-2</v>
          </cell>
          <cell r="N58">
            <v>2.3E-2</v>
          </cell>
          <cell r="O58">
            <v>2.3E-2</v>
          </cell>
          <cell r="P58">
            <v>2.3E-2</v>
          </cell>
          <cell r="R58">
            <v>2.5999999999999999E-2</v>
          </cell>
          <cell r="S58">
            <v>2.5999999999999999E-2</v>
          </cell>
          <cell r="T58">
            <v>2.5999999999999999E-2</v>
          </cell>
          <cell r="U58">
            <v>2.3E-2</v>
          </cell>
          <cell r="V58">
            <v>2.4491790920257713E-2</v>
          </cell>
          <cell r="W58">
            <v>2.1715192714868835E-2</v>
          </cell>
          <cell r="X58">
            <v>-1.4917909202577136E-3</v>
          </cell>
          <cell r="Y58">
            <v>1.2848072851311641E-3</v>
          </cell>
        </row>
        <row r="59">
          <cell r="B59" t="str">
            <v>Concession Cost %</v>
          </cell>
          <cell r="C59" t="str">
            <v>N.A.</v>
          </cell>
          <cell r="E59">
            <v>0.19500000000000001</v>
          </cell>
          <cell r="F59">
            <v>0.19500000000000001</v>
          </cell>
          <cell r="G59">
            <v>0.19500000000000001</v>
          </cell>
          <cell r="H59">
            <v>0.19500000000000001</v>
          </cell>
          <cell r="I59">
            <v>0.19500000000000001</v>
          </cell>
          <cell r="J59">
            <v>0.19500000000000001</v>
          </cell>
          <cell r="K59">
            <v>0.19500000000000001</v>
          </cell>
          <cell r="L59">
            <v>0.19500000000000001</v>
          </cell>
          <cell r="M59">
            <v>0.19500000000000001</v>
          </cell>
          <cell r="N59">
            <v>0.19500000000000001</v>
          </cell>
          <cell r="O59">
            <v>0.19500000000000001</v>
          </cell>
          <cell r="P59">
            <v>0.19500000000000001</v>
          </cell>
          <cell r="R59" t="str">
            <v>N.A.</v>
          </cell>
          <cell r="S59" t="str">
            <v>N.A.</v>
          </cell>
          <cell r="U59">
            <v>0.19500000000000001</v>
          </cell>
          <cell r="V59">
            <v>0.17846496759002703</v>
          </cell>
          <cell r="W59">
            <v>0.20686083664863819</v>
          </cell>
          <cell r="X59">
            <v>1.6535032409972977E-2</v>
          </cell>
          <cell r="Y59">
            <v>-1.1860836648638184E-2</v>
          </cell>
        </row>
        <row r="60">
          <cell r="B60" t="str">
            <v>Concess. Rev per Patron (S$)</v>
          </cell>
          <cell r="C60" t="str">
            <v>N.A.</v>
          </cell>
          <cell r="E60">
            <v>1.2</v>
          </cell>
          <cell r="F60">
            <v>1.2</v>
          </cell>
          <cell r="G60">
            <v>1.2</v>
          </cell>
          <cell r="H60">
            <v>1.2</v>
          </cell>
          <cell r="I60">
            <v>1.2</v>
          </cell>
          <cell r="J60">
            <v>1.2</v>
          </cell>
          <cell r="K60">
            <v>1.2</v>
          </cell>
          <cell r="L60">
            <v>1.2</v>
          </cell>
          <cell r="M60">
            <v>1.2</v>
          </cell>
          <cell r="N60">
            <v>1.2</v>
          </cell>
          <cell r="O60">
            <v>1.2</v>
          </cell>
          <cell r="P60">
            <v>1.2</v>
          </cell>
          <cell r="R60" t="str">
            <v>N.A.</v>
          </cell>
          <cell r="S60" t="str">
            <v>N.A.</v>
          </cell>
          <cell r="U60">
            <v>1.2</v>
          </cell>
          <cell r="V60">
            <v>1.1295615263908703</v>
          </cell>
          <cell r="W60">
            <v>1.0539076759897164</v>
          </cell>
          <cell r="X60">
            <v>7.0438473609129471E-2</v>
          </cell>
          <cell r="Y60">
            <v>0.14609232401028338</v>
          </cell>
        </row>
        <row r="61">
          <cell r="B61" t="str">
            <v>Film Hire : % of Net Box</v>
          </cell>
          <cell r="C61" t="str">
            <v>N.A.</v>
          </cell>
          <cell r="E61">
            <v>0.46500000000000002</v>
          </cell>
          <cell r="F61">
            <v>0.46500000000000002</v>
          </cell>
          <cell r="G61">
            <v>0.46500000000000002</v>
          </cell>
          <cell r="H61">
            <v>0.46500000000000002</v>
          </cell>
          <cell r="I61">
            <v>0.46500000000000002</v>
          </cell>
          <cell r="J61">
            <v>0.46500000000000002</v>
          </cell>
          <cell r="K61">
            <v>0.46500000000000002</v>
          </cell>
          <cell r="L61">
            <v>0.46500000000000002</v>
          </cell>
          <cell r="M61">
            <v>0.46500000000000002</v>
          </cell>
          <cell r="N61">
            <v>0.46500000000000002</v>
          </cell>
          <cell r="O61">
            <v>0.46500000000000002</v>
          </cell>
          <cell r="P61">
            <v>0.46500000000000002</v>
          </cell>
          <cell r="R61" t="str">
            <v>N.A.</v>
          </cell>
          <cell r="S61" t="str">
            <v>N.A.</v>
          </cell>
          <cell r="U61">
            <v>0.46500000000000002</v>
          </cell>
          <cell r="V61">
            <v>0.46471710766001251</v>
          </cell>
          <cell r="W61">
            <v>0.46758819257505152</v>
          </cell>
          <cell r="X61">
            <v>2.8289233998757268E-4</v>
          </cell>
          <cell r="Y61">
            <v>-2.5881925750514401E-3</v>
          </cell>
        </row>
        <row r="62">
          <cell r="B62" t="str">
            <v>Direct Payroll : Net Box</v>
          </cell>
          <cell r="C62" t="str">
            <v>N.A.</v>
          </cell>
          <cell r="E62">
            <v>0.10016886001037434</v>
          </cell>
          <cell r="F62">
            <v>9.6162105609959359E-2</v>
          </cell>
          <cell r="G62">
            <v>7.5126645007780754E-2</v>
          </cell>
          <cell r="H62">
            <v>0.10684678401106597</v>
          </cell>
          <cell r="I62">
            <v>9.246356308649939E-2</v>
          </cell>
          <cell r="J62">
            <v>6.4108070406639572E-2</v>
          </cell>
          <cell r="K62">
            <v>9.4362397983664151E-2</v>
          </cell>
          <cell r="L62">
            <v>9.0867494354639547E-2</v>
          </cell>
          <cell r="M62">
            <v>8.1780744919175599E-2</v>
          </cell>
          <cell r="N62">
            <v>9.6212641081383055E-2</v>
          </cell>
          <cell r="O62">
            <v>8.3166859239839588E-2</v>
          </cell>
          <cell r="P62">
            <v>7.5489918386931323E-2</v>
          </cell>
          <cell r="R62" t="str">
            <v>N.A.</v>
          </cell>
          <cell r="S62" t="str">
            <v>N.A.</v>
          </cell>
          <cell r="U62">
            <v>8.6355110894653392E-2</v>
          </cell>
          <cell r="V62">
            <v>0.10047586053550933</v>
          </cell>
          <cell r="W62">
            <v>9.7300316388300417E-2</v>
          </cell>
          <cell r="X62">
            <v>-1.412074964085594E-2</v>
          </cell>
          <cell r="Y62">
            <v>-1.0945205493647026E-2</v>
          </cell>
        </row>
        <row r="63">
          <cell r="B63" t="str">
            <v>Direct Payroll : Net Box &amp; Conc.</v>
          </cell>
          <cell r="C63" t="str">
            <v>N.A.</v>
          </cell>
          <cell r="E63">
            <v>8.4797679446122515E-2</v>
          </cell>
          <cell r="F63">
            <v>8.1405772268277624E-2</v>
          </cell>
          <cell r="G63">
            <v>6.3598259584591893E-2</v>
          </cell>
          <cell r="H63">
            <v>9.0450858075864032E-2</v>
          </cell>
          <cell r="I63">
            <v>7.8274781027190016E-2</v>
          </cell>
          <cell r="J63">
            <v>5.4270514845518411E-2</v>
          </cell>
          <cell r="K63">
            <v>7.988223461021185E-2</v>
          </cell>
          <cell r="L63">
            <v>7.6923633328352142E-2</v>
          </cell>
          <cell r="M63">
            <v>6.9231269995516945E-2</v>
          </cell>
          <cell r="N63">
            <v>8.144855293590228E-2</v>
          </cell>
          <cell r="O63">
            <v>7.0404681351373163E-2</v>
          </cell>
          <cell r="P63">
            <v>6.3905787688169485E-2</v>
          </cell>
          <cell r="Q63">
            <v>0</v>
          </cell>
          <cell r="R63" t="str">
            <v>N.A.</v>
          </cell>
          <cell r="S63" t="str">
            <v>N.A.</v>
          </cell>
          <cell r="T63" t="str">
            <v>N.A.</v>
          </cell>
          <cell r="U63">
            <v>7.3103687227954656E-2</v>
          </cell>
          <cell r="V63">
            <v>8.5869216239914573E-2</v>
          </cell>
          <cell r="W63">
            <v>8.4175247853459284E-2</v>
          </cell>
          <cell r="X63">
            <v>-1.2765529011959917E-2</v>
          </cell>
          <cell r="Y63">
            <v>-1.1071560625504628E-2</v>
          </cell>
        </row>
        <row r="64">
          <cell r="B64" t="str">
            <v>Direct Payroll of Admissions (S$)</v>
          </cell>
          <cell r="C64" t="str">
            <v>N.A.</v>
          </cell>
          <cell r="E64">
            <v>0.66311785326867811</v>
          </cell>
          <cell r="F64">
            <v>0.63659313913793103</v>
          </cell>
          <cell r="G64">
            <v>0.49733838995150859</v>
          </cell>
          <cell r="H64">
            <v>0.70732571015325663</v>
          </cell>
          <cell r="I64">
            <v>0.61210878763262599</v>
          </cell>
          <cell r="J64">
            <v>0.42439542609195402</v>
          </cell>
          <cell r="K64">
            <v>0.62467907465185668</v>
          </cell>
          <cell r="L64">
            <v>0.60154281262771381</v>
          </cell>
          <cell r="M64">
            <v>0.54138853136494247</v>
          </cell>
          <cell r="N64">
            <v>0.63692768395875587</v>
          </cell>
          <cell r="O64">
            <v>0.55056460816773811</v>
          </cell>
          <cell r="P64">
            <v>0.49974325972148537</v>
          </cell>
          <cell r="Q64">
            <v>0</v>
          </cell>
          <cell r="R64" t="str">
            <v>N.A.</v>
          </cell>
          <cell r="S64" t="str">
            <v>N.A.</v>
          </cell>
          <cell r="T64" t="str">
            <v>N.A.</v>
          </cell>
          <cell r="U64">
            <v>0.57167083412260533</v>
          </cell>
          <cell r="V64">
            <v>0.66720404660009536</v>
          </cell>
          <cell r="W64">
            <v>0.65765729842564502</v>
          </cell>
          <cell r="X64">
            <v>-9.5533212477490026E-2</v>
          </cell>
          <cell r="Y64">
            <v>-8.5986464303039689E-2</v>
          </cell>
        </row>
        <row r="65">
          <cell r="B65" t="str">
            <v>Gross Margin :Total Rev</v>
          </cell>
          <cell r="C65" t="str">
            <v>N.A.</v>
          </cell>
          <cell r="E65">
            <v>0.51907766961666779</v>
          </cell>
          <cell r="F65">
            <v>0.52039726765191896</v>
          </cell>
          <cell r="G65">
            <v>0.53097236293364081</v>
          </cell>
          <cell r="H65">
            <v>0.51440849258269739</v>
          </cell>
          <cell r="I65">
            <v>0.52162402019917997</v>
          </cell>
          <cell r="J65">
            <v>0.53355577463672743</v>
          </cell>
          <cell r="K65">
            <v>0.5179853209210552</v>
          </cell>
          <cell r="L65">
            <v>0.52444704175084766</v>
          </cell>
          <cell r="M65">
            <v>0.52448546510053051</v>
          </cell>
          <cell r="N65">
            <v>0.51731470636795263</v>
          </cell>
          <cell r="O65">
            <v>0.52400335982152346</v>
          </cell>
          <cell r="P65">
            <v>0.5292742155421406</v>
          </cell>
          <cell r="Q65">
            <v>0</v>
          </cell>
          <cell r="R65" t="str">
            <v>N.A.</v>
          </cell>
          <cell r="S65" t="str">
            <v>N.A.</v>
          </cell>
          <cell r="T65" t="str">
            <v>N.A.</v>
          </cell>
          <cell r="U65">
            <v>0.52386149913774205</v>
          </cell>
          <cell r="V65">
            <v>0.51940879404097984</v>
          </cell>
          <cell r="W65">
            <v>0.49799942926192931</v>
          </cell>
          <cell r="X65">
            <v>4.4527050967622106E-3</v>
          </cell>
          <cell r="Y65">
            <v>2.5862069875812743E-2</v>
          </cell>
        </row>
        <row r="66">
          <cell r="B66" t="str">
            <v>G&amp;A % of total revenue</v>
          </cell>
          <cell r="C66" t="str">
            <v>N.A.</v>
          </cell>
          <cell r="E66">
            <v>4.1676326036398016E-2</v>
          </cell>
          <cell r="F66">
            <v>4.0596127629440218E-2</v>
          </cell>
          <cell r="G66">
            <v>3.1811515286895339E-2</v>
          </cell>
          <cell r="H66">
            <v>4.4898187919671192E-2</v>
          </cell>
          <cell r="I66">
            <v>4.5560382328213141E-2</v>
          </cell>
          <cell r="J66">
            <v>2.7752888694822796E-2</v>
          </cell>
          <cell r="K66">
            <v>3.9359746482481951E-2</v>
          </cell>
          <cell r="L66">
            <v>4.1979195240722897E-2</v>
          </cell>
          <cell r="M66">
            <v>3.4349143625103676E-2</v>
          </cell>
          <cell r="N66">
            <v>3.9704106670513176E-2</v>
          </cell>
          <cell r="O66">
            <v>3.4887098405186411E-2</v>
          </cell>
          <cell r="P66">
            <v>3.1428406090749823E-2</v>
          </cell>
          <cell r="Q66">
            <v>0</v>
          </cell>
          <cell r="R66" t="e">
            <v>#DIV/0!</v>
          </cell>
          <cell r="S66" t="e">
            <v>#DIV/0!</v>
          </cell>
          <cell r="T66" t="e">
            <v>#DIV/0!</v>
          </cell>
          <cell r="U66">
            <v>3.7138457940624599E-2</v>
          </cell>
          <cell r="V66">
            <v>4.2110624947526522E-2</v>
          </cell>
          <cell r="W66">
            <v>3.6446914383207567E-2</v>
          </cell>
          <cell r="X66">
            <v>-4.972167006901923E-3</v>
          </cell>
          <cell r="Y66">
            <v>6.91543557417032E-4</v>
          </cell>
        </row>
        <row r="67">
          <cell r="B67" t="str">
            <v>E.B.I.T.D. : Total Rev</v>
          </cell>
          <cell r="C67" t="str">
            <v>N.A.</v>
          </cell>
          <cell r="E67">
            <v>0.13178600160969836</v>
          </cell>
          <cell r="F67">
            <v>0.14678768614325799</v>
          </cell>
          <cell r="G67">
            <v>0.22659964538124014</v>
          </cell>
          <cell r="H67">
            <v>8.8314694773449359E-2</v>
          </cell>
          <cell r="I67">
            <v>0.15476541689099729</v>
          </cell>
          <cell r="J67">
            <v>0.27814360267848859</v>
          </cell>
          <cell r="K67">
            <v>0.15587541281438361</v>
          </cell>
          <cell r="L67">
            <v>0.17409875109843781</v>
          </cell>
          <cell r="M67">
            <v>0.12565537806287688</v>
          </cell>
          <cell r="N67">
            <v>0.14905512007819174</v>
          </cell>
          <cell r="O67">
            <v>0.20304184135155362</v>
          </cell>
          <cell r="P67">
            <v>0.23777258522535566</v>
          </cell>
          <cell r="Q67">
            <v>0</v>
          </cell>
          <cell r="R67" t="str">
            <v>N.A.</v>
          </cell>
          <cell r="S67" t="str">
            <v>N.A.</v>
          </cell>
          <cell r="T67" t="str">
            <v>N.A.</v>
          </cell>
          <cell r="U67">
            <v>0.17907969519964653</v>
          </cell>
          <cell r="V67">
            <v>0.18921411258746798</v>
          </cell>
          <cell r="W67">
            <v>0.24150365273557764</v>
          </cell>
          <cell r="X67">
            <v>-1.0134417387821448E-2</v>
          </cell>
          <cell r="Y67">
            <v>-6.2423957535931107E-2</v>
          </cell>
        </row>
        <row r="68">
          <cell r="B68" t="str">
            <v>No of Concession Transactions</v>
          </cell>
          <cell r="E68">
            <v>15</v>
          </cell>
          <cell r="F68">
            <v>12</v>
          </cell>
          <cell r="G68">
            <v>18</v>
          </cell>
          <cell r="H68">
            <v>12</v>
          </cell>
          <cell r="I68">
            <v>14</v>
          </cell>
          <cell r="J68">
            <v>17.253</v>
          </cell>
          <cell r="K68">
            <v>13</v>
          </cell>
          <cell r="L68">
            <v>15</v>
          </cell>
          <cell r="M68">
            <v>16</v>
          </cell>
          <cell r="N68">
            <v>15</v>
          </cell>
          <cell r="O68">
            <v>13</v>
          </cell>
          <cell r="P68">
            <v>17</v>
          </cell>
          <cell r="U68">
            <v>177.25299999999999</v>
          </cell>
          <cell r="V68">
            <v>188</v>
          </cell>
          <cell r="W68">
            <v>0</v>
          </cell>
          <cell r="X68">
            <v>-10.747000000000014</v>
          </cell>
          <cell r="Y68">
            <v>177.25299999999999</v>
          </cell>
        </row>
        <row r="69">
          <cell r="B69" t="str">
            <v>Strike Rate %(No of Trans/Adm)</v>
          </cell>
          <cell r="E69">
            <v>0.3125</v>
          </cell>
          <cell r="F69">
            <v>0.24</v>
          </cell>
          <cell r="G69">
            <v>0.28125</v>
          </cell>
          <cell r="H69">
            <v>0.26666666666666666</v>
          </cell>
          <cell r="I69">
            <v>0.26923076923076922</v>
          </cell>
          <cell r="J69">
            <v>0.23003999999999999</v>
          </cell>
          <cell r="K69">
            <v>0.25</v>
          </cell>
          <cell r="L69">
            <v>0.27777777777777779</v>
          </cell>
          <cell r="M69">
            <v>0.26666666666666666</v>
          </cell>
          <cell r="N69">
            <v>0.29411764705882354</v>
          </cell>
          <cell r="O69">
            <v>0.22033898305084745</v>
          </cell>
          <cell r="P69">
            <v>0.26153846153846155</v>
          </cell>
          <cell r="U69">
            <v>0.26259703703703702</v>
          </cell>
          <cell r="V69">
            <v>0.26818830242510699</v>
          </cell>
          <cell r="W69">
            <v>0</v>
          </cell>
          <cell r="X69">
            <v>-5.591265388069977E-3</v>
          </cell>
          <cell r="Y69">
            <v>0.26259703703703702</v>
          </cell>
        </row>
        <row r="70">
          <cell r="B70" t="str">
            <v>Ave Sales (Total Sale/No of Trans) (S$)</v>
          </cell>
          <cell r="E70">
            <v>3.84</v>
          </cell>
          <cell r="F70">
            <v>5</v>
          </cell>
          <cell r="G70">
            <v>4.2666666666666666</v>
          </cell>
          <cell r="H70">
            <v>4.5</v>
          </cell>
          <cell r="I70">
            <v>4.4571428571428573</v>
          </cell>
          <cell r="J70">
            <v>5.2164840897235267</v>
          </cell>
          <cell r="K70">
            <v>4.8</v>
          </cell>
          <cell r="L70">
            <v>4.32</v>
          </cell>
          <cell r="M70">
            <v>4.5</v>
          </cell>
          <cell r="N70">
            <v>4.08</v>
          </cell>
          <cell r="O70">
            <v>5.4461538461538463</v>
          </cell>
          <cell r="P70">
            <v>4.5882352941176467</v>
          </cell>
          <cell r="U70">
            <v>4.5697392991938077</v>
          </cell>
          <cell r="V70">
            <v>4.2118225000000002</v>
          </cell>
          <cell r="W70" t="str">
            <v>N.A.</v>
          </cell>
          <cell r="X70">
            <v>0.35791679919380748</v>
          </cell>
          <cell r="Y70" t="str">
            <v>N.A.</v>
          </cell>
        </row>
        <row r="71">
          <cell r="B71" t="str">
            <v xml:space="preserve">Total Concession Combo Sales </v>
          </cell>
          <cell r="E71">
            <v>26</v>
          </cell>
          <cell r="F71">
            <v>28</v>
          </cell>
          <cell r="G71">
            <v>32</v>
          </cell>
          <cell r="H71">
            <v>27</v>
          </cell>
          <cell r="I71">
            <v>26</v>
          </cell>
          <cell r="J71">
            <v>38</v>
          </cell>
          <cell r="K71">
            <v>28</v>
          </cell>
          <cell r="L71">
            <v>30</v>
          </cell>
          <cell r="M71">
            <v>37</v>
          </cell>
          <cell r="N71">
            <v>28</v>
          </cell>
          <cell r="O71">
            <v>35</v>
          </cell>
          <cell r="P71">
            <v>31</v>
          </cell>
          <cell r="U71">
            <v>366</v>
          </cell>
          <cell r="V71">
            <v>381</v>
          </cell>
          <cell r="W71">
            <v>0</v>
          </cell>
          <cell r="X71">
            <v>-15</v>
          </cell>
          <cell r="Y71">
            <v>366</v>
          </cell>
        </row>
        <row r="72">
          <cell r="B72" t="str">
            <v>Combo Sales as % of Total Sales</v>
          </cell>
          <cell r="E72">
            <v>0.45138888888888895</v>
          </cell>
          <cell r="F72">
            <v>0.46666666666666667</v>
          </cell>
          <cell r="G72">
            <v>0.41666666666666669</v>
          </cell>
          <cell r="H72">
            <v>0.5</v>
          </cell>
          <cell r="I72">
            <v>0.41666666666666669</v>
          </cell>
          <cell r="J72">
            <v>0.42222222222222222</v>
          </cell>
          <cell r="K72">
            <v>0.44871794871794873</v>
          </cell>
          <cell r="L72">
            <v>0.46296296296296297</v>
          </cell>
          <cell r="M72">
            <v>0.51388888888888884</v>
          </cell>
          <cell r="N72">
            <v>0.45751633986928109</v>
          </cell>
          <cell r="O72">
            <v>0.4943502824858757</v>
          </cell>
          <cell r="P72">
            <v>0.39743589743589741</v>
          </cell>
          <cell r="U72">
            <v>0.45185185185185189</v>
          </cell>
          <cell r="V72">
            <v>0.48116836468793522</v>
          </cell>
          <cell r="W72">
            <v>0</v>
          </cell>
          <cell r="X72">
            <v>-2.931651283608333E-2</v>
          </cell>
          <cell r="Y72">
            <v>0.45185185185185189</v>
          </cell>
        </row>
        <row r="73">
          <cell r="B73" t="str">
            <v>No of Payroll hours Paid</v>
          </cell>
          <cell r="E73">
            <v>4</v>
          </cell>
          <cell r="F73">
            <v>3</v>
          </cell>
          <cell r="G73">
            <v>4</v>
          </cell>
          <cell r="H73">
            <v>3</v>
          </cell>
          <cell r="I73">
            <v>4</v>
          </cell>
          <cell r="J73">
            <v>4</v>
          </cell>
          <cell r="K73">
            <v>3</v>
          </cell>
          <cell r="L73">
            <v>3</v>
          </cell>
          <cell r="M73">
            <v>4</v>
          </cell>
          <cell r="N73">
            <v>3</v>
          </cell>
          <cell r="O73">
            <v>4</v>
          </cell>
          <cell r="P73">
            <v>4</v>
          </cell>
          <cell r="U73">
            <v>76.131</v>
          </cell>
          <cell r="V73">
            <v>58</v>
          </cell>
          <cell r="W73">
            <v>0</v>
          </cell>
          <cell r="X73">
            <v>18.131</v>
          </cell>
          <cell r="Y73">
            <v>76.131</v>
          </cell>
        </row>
        <row r="74">
          <cell r="B74" t="str">
            <v>Admissions/labour hour paid</v>
          </cell>
          <cell r="E74">
            <v>9.9979171006040399</v>
          </cell>
          <cell r="F74">
            <v>7.1428571428571432</v>
          </cell>
          <cell r="G74">
            <v>9.0014064697608998</v>
          </cell>
          <cell r="H74">
            <v>9</v>
          </cell>
          <cell r="I74">
            <v>8.6666666666666661</v>
          </cell>
          <cell r="J74">
            <v>10.548523206751055</v>
          </cell>
          <cell r="K74">
            <v>8.6666666666666661</v>
          </cell>
          <cell r="L74">
            <v>9</v>
          </cell>
          <cell r="M74">
            <v>8.4388185654008439</v>
          </cell>
          <cell r="N74">
            <v>8.5</v>
          </cell>
          <cell r="O74">
            <v>8.4285714285714288</v>
          </cell>
          <cell r="P74">
            <v>9.2857142857142865</v>
          </cell>
          <cell r="U74">
            <v>8.8662962525121181</v>
          </cell>
          <cell r="V74">
            <v>12.086206896551724</v>
          </cell>
          <cell r="W74" t="str">
            <v>N.A.</v>
          </cell>
          <cell r="X74">
            <v>-3.2199106440396061</v>
          </cell>
          <cell r="Y74" t="str">
            <v>N.A.</v>
          </cell>
        </row>
        <row r="75">
          <cell r="A75">
            <v>0</v>
          </cell>
        </row>
        <row r="76">
          <cell r="A76">
            <v>0</v>
          </cell>
          <cell r="B76" t="str">
            <v>6 Other Income</v>
          </cell>
        </row>
        <row r="77">
          <cell r="A77">
            <v>52</v>
          </cell>
          <cell r="B77" t="str">
            <v>Booking Fee</v>
          </cell>
          <cell r="E77">
            <v>2.265625</v>
          </cell>
          <cell r="F77">
            <v>2.265625</v>
          </cell>
          <cell r="G77">
            <v>2.265625</v>
          </cell>
          <cell r="H77">
            <v>2.265625</v>
          </cell>
          <cell r="I77">
            <v>2.265625</v>
          </cell>
          <cell r="J77">
            <v>2.265625</v>
          </cell>
          <cell r="K77">
            <v>2.265625</v>
          </cell>
          <cell r="L77">
            <v>2.265625</v>
          </cell>
          <cell r="M77">
            <v>2.265625</v>
          </cell>
          <cell r="N77">
            <v>2.265625</v>
          </cell>
          <cell r="O77">
            <v>2.265625</v>
          </cell>
          <cell r="P77">
            <v>2.265625</v>
          </cell>
          <cell r="T77">
            <v>0</v>
          </cell>
          <cell r="U77">
            <v>27.1875</v>
          </cell>
          <cell r="V77">
            <v>47.228229999999996</v>
          </cell>
          <cell r="W77">
            <v>3.8690000000000002</v>
          </cell>
          <cell r="X77">
            <v>-20.040729999999996</v>
          </cell>
          <cell r="Y77">
            <v>23.3185</v>
          </cell>
        </row>
        <row r="78">
          <cell r="A78">
            <v>53</v>
          </cell>
          <cell r="B78" t="str">
            <v>Auditorium Rentals</v>
          </cell>
          <cell r="E78">
            <v>1</v>
          </cell>
          <cell r="F78">
            <v>1</v>
          </cell>
          <cell r="G78">
            <v>1</v>
          </cell>
          <cell r="H78">
            <v>1</v>
          </cell>
          <cell r="I78">
            <v>1</v>
          </cell>
          <cell r="J78">
            <v>1</v>
          </cell>
          <cell r="K78">
            <v>1</v>
          </cell>
          <cell r="L78">
            <v>1</v>
          </cell>
          <cell r="M78">
            <v>1</v>
          </cell>
          <cell r="N78">
            <v>1</v>
          </cell>
          <cell r="O78">
            <v>1</v>
          </cell>
          <cell r="P78">
            <v>1</v>
          </cell>
          <cell r="T78">
            <v>0</v>
          </cell>
          <cell r="U78">
            <v>12</v>
          </cell>
          <cell r="V78">
            <v>23.534500000000001</v>
          </cell>
          <cell r="W78">
            <v>29.521999999999998</v>
          </cell>
          <cell r="X78">
            <v>-11.534500000000001</v>
          </cell>
          <cell r="Y78">
            <v>-17.521999999999998</v>
          </cell>
        </row>
        <row r="79">
          <cell r="A79">
            <v>54</v>
          </cell>
          <cell r="B79" t="str">
            <v>Parking Revenue</v>
          </cell>
          <cell r="E79">
            <v>0</v>
          </cell>
          <cell r="F79">
            <v>0</v>
          </cell>
          <cell r="G79">
            <v>0</v>
          </cell>
          <cell r="H79">
            <v>0</v>
          </cell>
          <cell r="I79">
            <v>0</v>
          </cell>
          <cell r="J79">
            <v>0</v>
          </cell>
          <cell r="K79">
            <v>0</v>
          </cell>
          <cell r="L79">
            <v>0</v>
          </cell>
          <cell r="M79">
            <v>0</v>
          </cell>
          <cell r="N79">
            <v>0</v>
          </cell>
          <cell r="O79">
            <v>0</v>
          </cell>
          <cell r="P79">
            <v>0</v>
          </cell>
          <cell r="T79">
            <v>0</v>
          </cell>
          <cell r="U79">
            <v>0</v>
          </cell>
          <cell r="V79">
            <v>0</v>
          </cell>
          <cell r="W79">
            <v>0</v>
          </cell>
          <cell r="X79">
            <v>0</v>
          </cell>
          <cell r="Y79">
            <v>0</v>
          </cell>
        </row>
        <row r="80">
          <cell r="A80">
            <v>55</v>
          </cell>
          <cell r="B80" t="str">
            <v>Ticket Advertising</v>
          </cell>
          <cell r="E80">
            <v>0</v>
          </cell>
          <cell r="F80">
            <v>0</v>
          </cell>
          <cell r="G80">
            <v>0</v>
          </cell>
          <cell r="H80">
            <v>0</v>
          </cell>
          <cell r="I80">
            <v>0</v>
          </cell>
          <cell r="J80">
            <v>0</v>
          </cell>
          <cell r="K80">
            <v>0</v>
          </cell>
          <cell r="L80">
            <v>0</v>
          </cell>
          <cell r="M80">
            <v>0</v>
          </cell>
          <cell r="N80">
            <v>0</v>
          </cell>
          <cell r="O80">
            <v>0</v>
          </cell>
          <cell r="P80">
            <v>0</v>
          </cell>
          <cell r="T80">
            <v>0</v>
          </cell>
          <cell r="U80">
            <v>0</v>
          </cell>
          <cell r="V80">
            <v>0</v>
          </cell>
          <cell r="W80">
            <v>0</v>
          </cell>
          <cell r="X80">
            <v>0</v>
          </cell>
          <cell r="Y80">
            <v>0</v>
          </cell>
        </row>
        <row r="81">
          <cell r="A81">
            <v>56</v>
          </cell>
          <cell r="B81" t="str">
            <v>Participating</v>
          </cell>
          <cell r="E81">
            <v>0</v>
          </cell>
          <cell r="F81">
            <v>0</v>
          </cell>
          <cell r="G81">
            <v>0</v>
          </cell>
          <cell r="H81">
            <v>0</v>
          </cell>
          <cell r="I81">
            <v>0</v>
          </cell>
          <cell r="J81">
            <v>0</v>
          </cell>
          <cell r="K81">
            <v>0</v>
          </cell>
          <cell r="L81">
            <v>0</v>
          </cell>
          <cell r="M81">
            <v>0</v>
          </cell>
          <cell r="N81">
            <v>0</v>
          </cell>
          <cell r="O81">
            <v>0</v>
          </cell>
          <cell r="P81">
            <v>0</v>
          </cell>
          <cell r="T81">
            <v>0</v>
          </cell>
          <cell r="U81">
            <v>0</v>
          </cell>
          <cell r="V81">
            <v>0</v>
          </cell>
          <cell r="W81">
            <v>0</v>
          </cell>
          <cell r="X81">
            <v>0</v>
          </cell>
          <cell r="Y81">
            <v>0</v>
          </cell>
        </row>
        <row r="82">
          <cell r="A82">
            <v>57</v>
          </cell>
          <cell r="B82" t="str">
            <v>Miscellaneous</v>
          </cell>
          <cell r="E82">
            <v>3.1720000000000002</v>
          </cell>
          <cell r="F82">
            <v>3.1720000000000002</v>
          </cell>
          <cell r="G82">
            <v>3.1720000000000002</v>
          </cell>
          <cell r="H82">
            <v>3.1720000000000002</v>
          </cell>
          <cell r="I82">
            <v>3.1720000000000002</v>
          </cell>
          <cell r="J82">
            <v>3.1720000000000002</v>
          </cell>
          <cell r="K82">
            <v>3.1720000000000002</v>
          </cell>
          <cell r="L82">
            <v>3.1720000000000002</v>
          </cell>
          <cell r="M82">
            <v>3.1720000000000002</v>
          </cell>
          <cell r="N82">
            <v>3.1720000000000002</v>
          </cell>
          <cell r="O82">
            <v>3.1720000000000002</v>
          </cell>
          <cell r="P82">
            <v>3.1720000000000002</v>
          </cell>
          <cell r="T82">
            <v>0</v>
          </cell>
          <cell r="U82">
            <v>38.064</v>
          </cell>
          <cell r="V82">
            <v>50.47</v>
          </cell>
          <cell r="W82">
            <v>53.16</v>
          </cell>
          <cell r="X82">
            <v>-12.405999999999999</v>
          </cell>
          <cell r="Y82">
            <v>-15.095999999999997</v>
          </cell>
        </row>
        <row r="83">
          <cell r="C83">
            <v>0</v>
          </cell>
          <cell r="E83">
            <v>6.4376250000000006</v>
          </cell>
          <cell r="F83">
            <v>6.4376250000000006</v>
          </cell>
          <cell r="G83">
            <v>6.4376250000000006</v>
          </cell>
          <cell r="H83">
            <v>6.4376250000000006</v>
          </cell>
          <cell r="I83">
            <v>6.4376250000000006</v>
          </cell>
          <cell r="J83">
            <v>6.4376250000000006</v>
          </cell>
          <cell r="K83">
            <v>6.4376250000000006</v>
          </cell>
          <cell r="L83">
            <v>6.4376250000000006</v>
          </cell>
          <cell r="M83">
            <v>6.4376250000000006</v>
          </cell>
          <cell r="N83">
            <v>6.4376250000000006</v>
          </cell>
          <cell r="O83">
            <v>6.4376250000000006</v>
          </cell>
          <cell r="P83">
            <v>6.4376250000000006</v>
          </cell>
          <cell r="R83">
            <v>0</v>
          </cell>
          <cell r="S83">
            <v>0</v>
          </cell>
          <cell r="T83">
            <v>0</v>
          </cell>
          <cell r="U83">
            <v>77.251499999999993</v>
          </cell>
          <cell r="V83">
            <v>121.23273</v>
          </cell>
          <cell r="W83">
            <v>86.550999999999988</v>
          </cell>
          <cell r="X83">
            <v>-43.981230000000011</v>
          </cell>
          <cell r="Y83">
            <v>-9.2994999999999948</v>
          </cell>
        </row>
        <row r="84">
          <cell r="X84">
            <v>0</v>
          </cell>
          <cell r="Y84">
            <v>0</v>
          </cell>
        </row>
        <row r="85">
          <cell r="B85" t="str">
            <v>10 Other Cost</v>
          </cell>
          <cell r="X85">
            <v>0</v>
          </cell>
          <cell r="Y85">
            <v>0</v>
          </cell>
        </row>
        <row r="86">
          <cell r="A86">
            <v>61</v>
          </cell>
          <cell r="B86" t="str">
            <v>Authors Rights</v>
          </cell>
          <cell r="E86">
            <v>0.63551999999999997</v>
          </cell>
          <cell r="F86">
            <v>0.66200000000000003</v>
          </cell>
          <cell r="G86">
            <v>0.84736</v>
          </cell>
          <cell r="H86">
            <v>0.5958</v>
          </cell>
          <cell r="I86">
            <v>0.68847999999999998</v>
          </cell>
          <cell r="J86">
            <v>0.99299999999999999</v>
          </cell>
          <cell r="K86">
            <v>0.68847999999999998</v>
          </cell>
          <cell r="L86">
            <v>0.71496000000000004</v>
          </cell>
          <cell r="M86">
            <v>0.7944</v>
          </cell>
          <cell r="N86">
            <v>0.67524000000000006</v>
          </cell>
          <cell r="O86">
            <v>0.78115999999999997</v>
          </cell>
          <cell r="P86">
            <v>0.86060000000000003</v>
          </cell>
          <cell r="U86">
            <v>8.9370000000000012</v>
          </cell>
          <cell r="V86">
            <v>9.3098986000000004</v>
          </cell>
          <cell r="W86">
            <v>13.560551999999999</v>
          </cell>
          <cell r="X86">
            <v>-0.37289859999999919</v>
          </cell>
          <cell r="Y86">
            <v>-4.6235519999999983</v>
          </cell>
        </row>
        <row r="87">
          <cell r="A87">
            <v>62</v>
          </cell>
          <cell r="B87" t="str">
            <v>Film Levies</v>
          </cell>
          <cell r="E87">
            <v>0</v>
          </cell>
          <cell r="F87">
            <v>0</v>
          </cell>
          <cell r="G87">
            <v>0</v>
          </cell>
          <cell r="H87">
            <v>0</v>
          </cell>
          <cell r="I87">
            <v>0</v>
          </cell>
          <cell r="J87">
            <v>0</v>
          </cell>
          <cell r="K87">
            <v>0</v>
          </cell>
          <cell r="L87">
            <v>0</v>
          </cell>
          <cell r="M87">
            <v>0</v>
          </cell>
          <cell r="N87">
            <v>0</v>
          </cell>
          <cell r="O87">
            <v>0</v>
          </cell>
          <cell r="P87">
            <v>0</v>
          </cell>
          <cell r="U87">
            <v>0</v>
          </cell>
          <cell r="V87">
            <v>0</v>
          </cell>
          <cell r="W87">
            <v>0</v>
          </cell>
          <cell r="X87">
            <v>0</v>
          </cell>
          <cell r="Y87">
            <v>0</v>
          </cell>
        </row>
        <row r="88">
          <cell r="A88">
            <v>63</v>
          </cell>
          <cell r="B88" t="str">
            <v>Cultural Fees</v>
          </cell>
          <cell r="E88">
            <v>0</v>
          </cell>
          <cell r="F88">
            <v>0</v>
          </cell>
          <cell r="G88">
            <v>0</v>
          </cell>
          <cell r="H88">
            <v>0</v>
          </cell>
          <cell r="I88">
            <v>0</v>
          </cell>
          <cell r="J88">
            <v>0</v>
          </cell>
          <cell r="K88">
            <v>0</v>
          </cell>
          <cell r="L88">
            <v>0</v>
          </cell>
          <cell r="M88">
            <v>0</v>
          </cell>
          <cell r="N88">
            <v>0</v>
          </cell>
          <cell r="O88">
            <v>0</v>
          </cell>
          <cell r="P88">
            <v>0</v>
          </cell>
          <cell r="U88">
            <v>0</v>
          </cell>
          <cell r="V88">
            <v>0</v>
          </cell>
          <cell r="W88">
            <v>0</v>
          </cell>
          <cell r="X88">
            <v>0</v>
          </cell>
          <cell r="Y88">
            <v>0</v>
          </cell>
        </row>
        <row r="89">
          <cell r="A89">
            <v>64</v>
          </cell>
          <cell r="B89" t="str">
            <v>Municipal Taxes</v>
          </cell>
          <cell r="E89">
            <v>0</v>
          </cell>
          <cell r="F89">
            <v>0</v>
          </cell>
          <cell r="G89">
            <v>0</v>
          </cell>
          <cell r="H89">
            <v>0</v>
          </cell>
          <cell r="I89">
            <v>0</v>
          </cell>
          <cell r="J89">
            <v>0</v>
          </cell>
          <cell r="K89">
            <v>0</v>
          </cell>
          <cell r="L89">
            <v>0</v>
          </cell>
          <cell r="M89">
            <v>0</v>
          </cell>
          <cell r="N89">
            <v>0</v>
          </cell>
          <cell r="O89">
            <v>0</v>
          </cell>
          <cell r="P89">
            <v>0</v>
          </cell>
          <cell r="U89">
            <v>0</v>
          </cell>
          <cell r="V89">
            <v>0</v>
          </cell>
          <cell r="W89">
            <v>0</v>
          </cell>
          <cell r="X89">
            <v>0</v>
          </cell>
          <cell r="Y89">
            <v>0</v>
          </cell>
        </row>
        <row r="90">
          <cell r="A90">
            <v>65</v>
          </cell>
          <cell r="B90" t="str">
            <v>Other</v>
          </cell>
          <cell r="E90">
            <v>0</v>
          </cell>
          <cell r="F90">
            <v>0</v>
          </cell>
          <cell r="G90">
            <v>0</v>
          </cell>
          <cell r="H90">
            <v>0</v>
          </cell>
          <cell r="I90">
            <v>0</v>
          </cell>
          <cell r="J90">
            <v>0</v>
          </cell>
          <cell r="K90">
            <v>0</v>
          </cell>
          <cell r="L90">
            <v>0</v>
          </cell>
          <cell r="M90">
            <v>0</v>
          </cell>
          <cell r="N90">
            <v>0</v>
          </cell>
          <cell r="O90">
            <v>0</v>
          </cell>
          <cell r="P90">
            <v>0</v>
          </cell>
          <cell r="U90">
            <v>0</v>
          </cell>
          <cell r="V90">
            <v>0</v>
          </cell>
          <cell r="W90">
            <v>0</v>
          </cell>
          <cell r="X90">
            <v>0</v>
          </cell>
          <cell r="Y90">
            <v>0</v>
          </cell>
        </row>
        <row r="91">
          <cell r="E91">
            <v>0.63551999999999997</v>
          </cell>
          <cell r="F91">
            <v>0.66200000000000003</v>
          </cell>
          <cell r="G91">
            <v>0.84736</v>
          </cell>
          <cell r="H91">
            <v>0.5958</v>
          </cell>
          <cell r="I91">
            <v>0.68847999999999998</v>
          </cell>
          <cell r="J91">
            <v>0.99299999999999999</v>
          </cell>
          <cell r="K91">
            <v>0.68847999999999998</v>
          </cell>
          <cell r="L91">
            <v>0.71496000000000004</v>
          </cell>
          <cell r="M91">
            <v>0.7944</v>
          </cell>
          <cell r="N91">
            <v>0.67524000000000006</v>
          </cell>
          <cell r="O91">
            <v>0.78115999999999997</v>
          </cell>
          <cell r="P91">
            <v>0.86060000000000003</v>
          </cell>
          <cell r="U91">
            <v>8.9370000000000012</v>
          </cell>
          <cell r="V91">
            <v>9.3098986000000004</v>
          </cell>
          <cell r="W91">
            <v>13.560551999999999</v>
          </cell>
          <cell r="X91">
            <v>-0.37289859999999919</v>
          </cell>
          <cell r="Y91">
            <v>-4.6235519999999983</v>
          </cell>
        </row>
        <row r="92">
          <cell r="X92">
            <v>0</v>
          </cell>
          <cell r="Y92">
            <v>0</v>
          </cell>
        </row>
        <row r="93">
          <cell r="B93" t="str">
            <v>11 Direct Payroll</v>
          </cell>
          <cell r="X93">
            <v>0</v>
          </cell>
          <cell r="Y93">
            <v>0</v>
          </cell>
        </row>
        <row r="94">
          <cell r="A94">
            <v>66</v>
          </cell>
          <cell r="B94" t="str">
            <v>Salaries</v>
          </cell>
          <cell r="E94">
            <v>29.346519456896548</v>
          </cell>
          <cell r="F94">
            <v>29.346519456896548</v>
          </cell>
          <cell r="G94">
            <v>29.346519456896548</v>
          </cell>
          <cell r="H94">
            <v>29.346519456896548</v>
          </cell>
          <cell r="I94">
            <v>29.346519456896548</v>
          </cell>
          <cell r="J94">
            <v>29.346519456896548</v>
          </cell>
          <cell r="K94">
            <v>30.000174381896549</v>
          </cell>
          <cell r="L94">
            <v>30.000174381896549</v>
          </cell>
          <cell r="M94">
            <v>30.000174381896549</v>
          </cell>
          <cell r="N94">
            <v>30.000174381896549</v>
          </cell>
          <cell r="O94">
            <v>30.000174381896549</v>
          </cell>
          <cell r="P94">
            <v>30.000174381896549</v>
          </cell>
          <cell r="T94">
            <v>0</v>
          </cell>
          <cell r="U94">
            <v>356.08016303275861</v>
          </cell>
          <cell r="V94">
            <v>423.9189550000001</v>
          </cell>
          <cell r="W94">
            <v>579.53499999999997</v>
          </cell>
          <cell r="X94">
            <v>-67.838791967241491</v>
          </cell>
          <cell r="Y94">
            <v>-223.45483696724136</v>
          </cell>
        </row>
        <row r="95">
          <cell r="A95">
            <v>67</v>
          </cell>
          <cell r="B95" t="str">
            <v>Bonus/Commission</v>
          </cell>
          <cell r="E95">
            <v>1.3021374999999997</v>
          </cell>
          <cell r="F95">
            <v>1.3021374999999997</v>
          </cell>
          <cell r="G95">
            <v>1.3021374999999997</v>
          </cell>
          <cell r="H95">
            <v>1.3021374999999997</v>
          </cell>
          <cell r="I95">
            <v>1.3021374999999997</v>
          </cell>
          <cell r="J95">
            <v>1.3021374999999997</v>
          </cell>
          <cell r="K95">
            <v>1.3021374999999997</v>
          </cell>
          <cell r="L95">
            <v>1.3021374999999997</v>
          </cell>
          <cell r="M95">
            <v>1.3021374999999997</v>
          </cell>
          <cell r="N95">
            <v>1.3021374999999997</v>
          </cell>
          <cell r="O95">
            <v>1.3021374999999997</v>
          </cell>
          <cell r="P95">
            <v>1.3021374999999997</v>
          </cell>
          <cell r="T95">
            <v>0</v>
          </cell>
          <cell r="U95">
            <v>15.62565</v>
          </cell>
          <cell r="V95">
            <v>20.073341666666664</v>
          </cell>
          <cell r="W95">
            <v>44.957999999999998</v>
          </cell>
          <cell r="X95">
            <v>-4.4476916666666639</v>
          </cell>
          <cell r="Y95">
            <v>-29.332349999999998</v>
          </cell>
        </row>
        <row r="96">
          <cell r="A96">
            <v>68</v>
          </cell>
          <cell r="B96" t="str">
            <v>Payroll Tax</v>
          </cell>
          <cell r="E96">
            <v>0</v>
          </cell>
          <cell r="F96">
            <v>0</v>
          </cell>
          <cell r="G96">
            <v>0</v>
          </cell>
          <cell r="H96">
            <v>0</v>
          </cell>
          <cell r="I96">
            <v>0</v>
          </cell>
          <cell r="J96">
            <v>0</v>
          </cell>
          <cell r="K96">
            <v>0</v>
          </cell>
          <cell r="L96">
            <v>0</v>
          </cell>
          <cell r="M96">
            <v>0</v>
          </cell>
          <cell r="N96">
            <v>0</v>
          </cell>
          <cell r="O96">
            <v>0</v>
          </cell>
          <cell r="P96">
            <v>0</v>
          </cell>
          <cell r="T96">
            <v>0</v>
          </cell>
          <cell r="U96">
            <v>0</v>
          </cell>
          <cell r="V96">
            <v>0</v>
          </cell>
          <cell r="W96">
            <v>0</v>
          </cell>
          <cell r="X96">
            <v>0</v>
          </cell>
          <cell r="Y96">
            <v>0</v>
          </cell>
        </row>
        <row r="97">
          <cell r="A97">
            <v>69</v>
          </cell>
          <cell r="B97" t="str">
            <v>Welfare &amp; Pension</v>
          </cell>
          <cell r="E97">
            <v>0.55300000000000005</v>
          </cell>
          <cell r="F97">
            <v>0.55300000000000005</v>
          </cell>
          <cell r="G97">
            <v>0.55300000000000005</v>
          </cell>
          <cell r="H97">
            <v>0.55300000000000005</v>
          </cell>
          <cell r="I97">
            <v>0.55300000000000005</v>
          </cell>
          <cell r="J97">
            <v>0.55300000000000005</v>
          </cell>
          <cell r="K97">
            <v>0.55300000000000005</v>
          </cell>
          <cell r="L97">
            <v>0.55300000000000005</v>
          </cell>
          <cell r="M97">
            <v>0.55300000000000005</v>
          </cell>
          <cell r="N97">
            <v>0.55300000000000005</v>
          </cell>
          <cell r="O97">
            <v>0.55300000000000005</v>
          </cell>
          <cell r="P97">
            <v>0.55300000000000005</v>
          </cell>
          <cell r="T97">
            <v>0</v>
          </cell>
          <cell r="U97">
            <v>6.6360000000000001</v>
          </cell>
          <cell r="V97">
            <v>11.695999999999998</v>
          </cell>
          <cell r="W97">
            <v>24.59</v>
          </cell>
          <cell r="X97">
            <v>-5.0599999999999996</v>
          </cell>
          <cell r="Y97">
            <v>-17.954000000000001</v>
          </cell>
        </row>
        <row r="98">
          <cell r="A98">
            <v>70</v>
          </cell>
          <cell r="B98" t="str">
            <v>Miscellaneous</v>
          </cell>
          <cell r="E98">
            <v>0.628</v>
          </cell>
          <cell r="F98">
            <v>0.628</v>
          </cell>
          <cell r="G98">
            <v>0.628</v>
          </cell>
          <cell r="H98">
            <v>0.628</v>
          </cell>
          <cell r="I98">
            <v>0.628</v>
          </cell>
          <cell r="J98">
            <v>0.628</v>
          </cell>
          <cell r="K98">
            <v>0.628</v>
          </cell>
          <cell r="L98">
            <v>0.628</v>
          </cell>
          <cell r="M98">
            <v>0.628</v>
          </cell>
          <cell r="N98">
            <v>0.628</v>
          </cell>
          <cell r="O98">
            <v>0.628</v>
          </cell>
          <cell r="P98">
            <v>0.628</v>
          </cell>
          <cell r="T98">
            <v>0</v>
          </cell>
          <cell r="U98">
            <v>7.5360000000000005</v>
          </cell>
          <cell r="V98">
            <v>12.021739999999998</v>
          </cell>
          <cell r="W98">
            <v>10.64</v>
          </cell>
          <cell r="X98">
            <v>-4.4857399999999972</v>
          </cell>
          <cell r="Y98">
            <v>-3.1040000000000001</v>
          </cell>
        </row>
        <row r="99">
          <cell r="C99">
            <v>0</v>
          </cell>
          <cell r="E99">
            <v>31.82965695689655</v>
          </cell>
          <cell r="F99">
            <v>31.82965695689655</v>
          </cell>
          <cell r="G99">
            <v>31.82965695689655</v>
          </cell>
          <cell r="H99">
            <v>31.82965695689655</v>
          </cell>
          <cell r="I99">
            <v>31.82965695689655</v>
          </cell>
          <cell r="J99">
            <v>31.82965695689655</v>
          </cell>
          <cell r="K99">
            <v>32.483311881896547</v>
          </cell>
          <cell r="L99">
            <v>32.483311881896547</v>
          </cell>
          <cell r="M99">
            <v>32.483311881896547</v>
          </cell>
          <cell r="N99">
            <v>32.483311881896547</v>
          </cell>
          <cell r="O99">
            <v>32.483311881896547</v>
          </cell>
          <cell r="P99">
            <v>32.483311881896547</v>
          </cell>
          <cell r="R99">
            <v>0</v>
          </cell>
          <cell r="S99">
            <v>0</v>
          </cell>
          <cell r="T99">
            <v>0</v>
          </cell>
          <cell r="U99">
            <v>385.87781303275864</v>
          </cell>
          <cell r="V99">
            <v>467.71003666666684</v>
          </cell>
          <cell r="W99">
            <v>659.72299999999996</v>
          </cell>
          <cell r="X99">
            <v>-81.8322236339082</v>
          </cell>
          <cell r="Y99">
            <v>-273.84518696724132</v>
          </cell>
        </row>
        <row r="100">
          <cell r="X100">
            <v>0</v>
          </cell>
          <cell r="Y100">
            <v>0</v>
          </cell>
        </row>
        <row r="101">
          <cell r="B101" t="str">
            <v>16 Other Overhead Costs</v>
          </cell>
          <cell r="X101">
            <v>0</v>
          </cell>
          <cell r="Y101">
            <v>0</v>
          </cell>
        </row>
        <row r="102">
          <cell r="A102">
            <v>71</v>
          </cell>
          <cell r="B102" t="str">
            <v>Insurance (Other than employee)</v>
          </cell>
          <cell r="E102">
            <v>1.3</v>
          </cell>
          <cell r="F102">
            <v>1.3</v>
          </cell>
          <cell r="G102">
            <v>1.3</v>
          </cell>
          <cell r="H102">
            <v>1.3</v>
          </cell>
          <cell r="I102">
            <v>1.3</v>
          </cell>
          <cell r="J102">
            <v>1.3</v>
          </cell>
          <cell r="K102">
            <v>1.3</v>
          </cell>
          <cell r="L102">
            <v>1.3</v>
          </cell>
          <cell r="M102">
            <v>1.3</v>
          </cell>
          <cell r="N102">
            <v>1.3</v>
          </cell>
          <cell r="O102">
            <v>1.3</v>
          </cell>
          <cell r="P102">
            <v>1.3</v>
          </cell>
          <cell r="T102">
            <v>0</v>
          </cell>
          <cell r="U102">
            <v>15.6</v>
          </cell>
          <cell r="V102">
            <v>13.375180000000002</v>
          </cell>
          <cell r="W102">
            <v>15.44</v>
          </cell>
          <cell r="X102">
            <v>2.2248200000000011</v>
          </cell>
          <cell r="Y102">
            <v>0.16000000000000369</v>
          </cell>
        </row>
        <row r="103">
          <cell r="A103">
            <v>72</v>
          </cell>
          <cell r="B103" t="str">
            <v>Property Taxes</v>
          </cell>
          <cell r="E103">
            <v>0</v>
          </cell>
          <cell r="F103">
            <v>0</v>
          </cell>
          <cell r="G103">
            <v>0</v>
          </cell>
          <cell r="H103">
            <v>0</v>
          </cell>
          <cell r="I103">
            <v>0</v>
          </cell>
          <cell r="J103">
            <v>0</v>
          </cell>
          <cell r="K103">
            <v>0</v>
          </cell>
          <cell r="L103">
            <v>0</v>
          </cell>
          <cell r="M103">
            <v>0</v>
          </cell>
          <cell r="N103">
            <v>0</v>
          </cell>
          <cell r="O103">
            <v>0</v>
          </cell>
          <cell r="P103">
            <v>0</v>
          </cell>
          <cell r="T103">
            <v>0</v>
          </cell>
          <cell r="U103">
            <v>0</v>
          </cell>
          <cell r="V103">
            <v>0</v>
          </cell>
          <cell r="W103">
            <v>0</v>
          </cell>
          <cell r="X103">
            <v>0</v>
          </cell>
          <cell r="Y103">
            <v>0</v>
          </cell>
        </row>
        <row r="104">
          <cell r="A104">
            <v>73</v>
          </cell>
          <cell r="B104" t="str">
            <v>Travel &amp; Entertainment</v>
          </cell>
          <cell r="E104">
            <v>2</v>
          </cell>
          <cell r="F104">
            <v>2</v>
          </cell>
          <cell r="G104">
            <v>2</v>
          </cell>
          <cell r="H104">
            <v>2</v>
          </cell>
          <cell r="I104">
            <v>2</v>
          </cell>
          <cell r="J104">
            <v>2</v>
          </cell>
          <cell r="K104">
            <v>2</v>
          </cell>
          <cell r="L104">
            <v>2</v>
          </cell>
          <cell r="M104">
            <v>2</v>
          </cell>
          <cell r="N104">
            <v>2</v>
          </cell>
          <cell r="O104">
            <v>2</v>
          </cell>
          <cell r="P104">
            <v>2</v>
          </cell>
          <cell r="T104">
            <v>0</v>
          </cell>
          <cell r="U104">
            <v>24</v>
          </cell>
          <cell r="V104">
            <v>27.455693333333336</v>
          </cell>
          <cell r="W104">
            <v>29.145</v>
          </cell>
          <cell r="X104">
            <v>-3.4556933333333362</v>
          </cell>
          <cell r="Y104">
            <v>-5.1449999999999996</v>
          </cell>
        </row>
        <row r="105">
          <cell r="A105">
            <v>74</v>
          </cell>
          <cell r="B105" t="str">
            <v>Legal &amp; Professional</v>
          </cell>
          <cell r="E105">
            <v>1</v>
          </cell>
          <cell r="F105">
            <v>1</v>
          </cell>
          <cell r="G105">
            <v>1</v>
          </cell>
          <cell r="H105">
            <v>1</v>
          </cell>
          <cell r="I105">
            <v>1</v>
          </cell>
          <cell r="J105">
            <v>1</v>
          </cell>
          <cell r="K105">
            <v>1</v>
          </cell>
          <cell r="L105">
            <v>1</v>
          </cell>
          <cell r="M105">
            <v>1</v>
          </cell>
          <cell r="N105">
            <v>1</v>
          </cell>
          <cell r="O105">
            <v>1</v>
          </cell>
          <cell r="P105">
            <v>1</v>
          </cell>
          <cell r="T105">
            <v>0</v>
          </cell>
          <cell r="U105">
            <v>12</v>
          </cell>
          <cell r="V105">
            <v>9.746789999999999</v>
          </cell>
          <cell r="W105">
            <v>11.818</v>
          </cell>
          <cell r="X105">
            <v>2.253210000000001</v>
          </cell>
          <cell r="Y105">
            <v>0.18200000000000038</v>
          </cell>
        </row>
        <row r="106">
          <cell r="A106">
            <v>75</v>
          </cell>
          <cell r="B106" t="str">
            <v>Credit Card Charges</v>
          </cell>
          <cell r="E106">
            <v>0.5</v>
          </cell>
          <cell r="F106">
            <v>0.5</v>
          </cell>
          <cell r="G106">
            <v>0.5</v>
          </cell>
          <cell r="H106">
            <v>0.5</v>
          </cell>
          <cell r="I106">
            <v>0.5</v>
          </cell>
          <cell r="J106">
            <v>0.5</v>
          </cell>
          <cell r="K106">
            <v>0.5</v>
          </cell>
          <cell r="L106">
            <v>0.5</v>
          </cell>
          <cell r="M106">
            <v>0.5</v>
          </cell>
          <cell r="N106">
            <v>0.5</v>
          </cell>
          <cell r="O106">
            <v>0.5</v>
          </cell>
          <cell r="P106">
            <v>0.5</v>
          </cell>
          <cell r="T106">
            <v>0</v>
          </cell>
          <cell r="U106">
            <v>6</v>
          </cell>
          <cell r="V106">
            <v>3.2664300000000011</v>
          </cell>
          <cell r="W106">
            <v>0</v>
          </cell>
          <cell r="X106">
            <v>2.7335699999999989</v>
          </cell>
          <cell r="Y106">
            <v>6</v>
          </cell>
        </row>
        <row r="107">
          <cell r="A107">
            <v>76</v>
          </cell>
          <cell r="B107" t="str">
            <v>Membership Fees</v>
          </cell>
          <cell r="E107">
            <v>0</v>
          </cell>
          <cell r="F107">
            <v>0</v>
          </cell>
          <cell r="G107">
            <v>0</v>
          </cell>
          <cell r="H107">
            <v>0</v>
          </cell>
          <cell r="I107">
            <v>0</v>
          </cell>
          <cell r="J107">
            <v>0</v>
          </cell>
          <cell r="K107">
            <v>0</v>
          </cell>
          <cell r="L107">
            <v>0</v>
          </cell>
          <cell r="M107">
            <v>0</v>
          </cell>
          <cell r="N107">
            <v>0</v>
          </cell>
          <cell r="O107">
            <v>0</v>
          </cell>
          <cell r="P107">
            <v>0</v>
          </cell>
          <cell r="T107">
            <v>0</v>
          </cell>
          <cell r="U107">
            <v>0</v>
          </cell>
          <cell r="V107">
            <v>0</v>
          </cell>
          <cell r="W107">
            <v>0</v>
          </cell>
          <cell r="X107">
            <v>0</v>
          </cell>
          <cell r="Y107">
            <v>0</v>
          </cell>
        </row>
        <row r="108">
          <cell r="A108">
            <v>77</v>
          </cell>
          <cell r="B108" t="str">
            <v>Taxes &amp; Licences</v>
          </cell>
          <cell r="E108">
            <v>0.57099999999999995</v>
          </cell>
          <cell r="F108">
            <v>0.57099999999999995</v>
          </cell>
          <cell r="G108">
            <v>0.57099999999999995</v>
          </cell>
          <cell r="H108">
            <v>0.57099999999999995</v>
          </cell>
          <cell r="I108">
            <v>0.57099999999999995</v>
          </cell>
          <cell r="J108">
            <v>0.57099999999999995</v>
          </cell>
          <cell r="K108">
            <v>0.57099999999999995</v>
          </cell>
          <cell r="L108">
            <v>0.57099999999999995</v>
          </cell>
          <cell r="M108">
            <v>0.57099999999999995</v>
          </cell>
          <cell r="N108">
            <v>0.57099999999999995</v>
          </cell>
          <cell r="O108">
            <v>0.57099999999999995</v>
          </cell>
          <cell r="P108">
            <v>0.57099999999999995</v>
          </cell>
          <cell r="T108">
            <v>0</v>
          </cell>
          <cell r="U108">
            <v>6.8519999999999976</v>
          </cell>
          <cell r="V108">
            <v>8.6278332800000008</v>
          </cell>
          <cell r="W108">
            <v>18.860448000000002</v>
          </cell>
          <cell r="X108">
            <v>-1.7758332800000032</v>
          </cell>
          <cell r="Y108">
            <v>-12.008448000000005</v>
          </cell>
        </row>
        <row r="109">
          <cell r="A109">
            <v>78</v>
          </cell>
          <cell r="B109" t="str">
            <v>Convention expense</v>
          </cell>
          <cell r="E109">
            <v>0</v>
          </cell>
          <cell r="F109">
            <v>0</v>
          </cell>
          <cell r="G109">
            <v>0</v>
          </cell>
          <cell r="H109">
            <v>0</v>
          </cell>
          <cell r="I109">
            <v>0</v>
          </cell>
          <cell r="J109">
            <v>0</v>
          </cell>
          <cell r="K109">
            <v>0</v>
          </cell>
          <cell r="L109">
            <v>0</v>
          </cell>
          <cell r="M109">
            <v>0</v>
          </cell>
          <cell r="N109">
            <v>0</v>
          </cell>
          <cell r="O109">
            <v>0</v>
          </cell>
          <cell r="P109">
            <v>0</v>
          </cell>
          <cell r="T109">
            <v>0</v>
          </cell>
          <cell r="U109">
            <v>0</v>
          </cell>
          <cell r="V109">
            <v>0</v>
          </cell>
          <cell r="W109">
            <v>0</v>
          </cell>
          <cell r="X109">
            <v>0</v>
          </cell>
          <cell r="Y109">
            <v>0</v>
          </cell>
        </row>
        <row r="110">
          <cell r="A110">
            <v>79</v>
          </cell>
          <cell r="B110" t="str">
            <v>Contributions</v>
          </cell>
          <cell r="E110">
            <v>0</v>
          </cell>
          <cell r="F110">
            <v>0</v>
          </cell>
          <cell r="G110">
            <v>0</v>
          </cell>
          <cell r="H110">
            <v>0</v>
          </cell>
          <cell r="I110">
            <v>0</v>
          </cell>
          <cell r="J110">
            <v>0</v>
          </cell>
          <cell r="K110">
            <v>0</v>
          </cell>
          <cell r="L110">
            <v>0</v>
          </cell>
          <cell r="M110">
            <v>0</v>
          </cell>
          <cell r="N110">
            <v>0</v>
          </cell>
          <cell r="O110">
            <v>0</v>
          </cell>
          <cell r="P110">
            <v>0</v>
          </cell>
          <cell r="T110">
            <v>0</v>
          </cell>
          <cell r="U110">
            <v>0</v>
          </cell>
          <cell r="V110">
            <v>0</v>
          </cell>
          <cell r="W110">
            <v>0</v>
          </cell>
          <cell r="X110">
            <v>0</v>
          </cell>
          <cell r="Y110">
            <v>0</v>
          </cell>
        </row>
        <row r="111">
          <cell r="A111">
            <v>80</v>
          </cell>
          <cell r="B111" t="str">
            <v>Contract Cleaners</v>
          </cell>
          <cell r="E111">
            <v>4.7119999999999997</v>
          </cell>
          <cell r="F111">
            <v>4.9004799999999999</v>
          </cell>
          <cell r="G111">
            <v>4.7423999999999999</v>
          </cell>
          <cell r="H111">
            <v>4.9004799999999999</v>
          </cell>
          <cell r="I111">
            <v>7.7423999999999999</v>
          </cell>
          <cell r="J111">
            <v>4.9004799999999999</v>
          </cell>
          <cell r="K111">
            <v>4.9004799999999999</v>
          </cell>
          <cell r="L111">
            <v>6.92624</v>
          </cell>
          <cell r="M111">
            <v>4.9004799999999999</v>
          </cell>
          <cell r="N111">
            <v>4.7423999999999999</v>
          </cell>
          <cell r="O111">
            <v>4.9004799999999999</v>
          </cell>
          <cell r="P111">
            <v>4.7423999999999999</v>
          </cell>
          <cell r="T111">
            <v>0</v>
          </cell>
          <cell r="U111">
            <v>63.010720000000006</v>
          </cell>
          <cell r="V111">
            <v>96.328870000000009</v>
          </cell>
          <cell r="W111">
            <v>133.678</v>
          </cell>
          <cell r="X111">
            <v>-33.318150000000003</v>
          </cell>
          <cell r="Y111">
            <v>-70.667279999999991</v>
          </cell>
        </row>
        <row r="112">
          <cell r="A112">
            <v>81</v>
          </cell>
          <cell r="B112" t="str">
            <v>Telephone &amp; Faxes</v>
          </cell>
          <cell r="E112">
            <v>4</v>
          </cell>
          <cell r="F112">
            <v>4</v>
          </cell>
          <cell r="G112">
            <v>4</v>
          </cell>
          <cell r="H112">
            <v>4</v>
          </cell>
          <cell r="I112">
            <v>4</v>
          </cell>
          <cell r="J112">
            <v>4</v>
          </cell>
          <cell r="K112">
            <v>4</v>
          </cell>
          <cell r="L112">
            <v>4</v>
          </cell>
          <cell r="M112">
            <v>4</v>
          </cell>
          <cell r="N112">
            <v>4</v>
          </cell>
          <cell r="O112">
            <v>4</v>
          </cell>
          <cell r="P112">
            <v>4</v>
          </cell>
          <cell r="T112">
            <v>0</v>
          </cell>
          <cell r="U112">
            <v>48</v>
          </cell>
          <cell r="V112">
            <v>53.842350000000003</v>
          </cell>
          <cell r="W112">
            <v>39.466000000000001</v>
          </cell>
          <cell r="X112">
            <v>-5.8423500000000033</v>
          </cell>
          <cell r="Y112">
            <v>8.5339999999999989</v>
          </cell>
        </row>
        <row r="113">
          <cell r="A113">
            <v>82</v>
          </cell>
          <cell r="B113" t="str">
            <v>Stationery &amp; Printing</v>
          </cell>
          <cell r="E113">
            <v>0.6</v>
          </cell>
          <cell r="F113">
            <v>0.6</v>
          </cell>
          <cell r="G113">
            <v>0.6</v>
          </cell>
          <cell r="H113">
            <v>0.6</v>
          </cell>
          <cell r="I113">
            <v>0.6</v>
          </cell>
          <cell r="J113">
            <v>0.6</v>
          </cell>
          <cell r="K113">
            <v>0.6</v>
          </cell>
          <cell r="L113">
            <v>0.6</v>
          </cell>
          <cell r="M113">
            <v>0.6</v>
          </cell>
          <cell r="N113">
            <v>0.6</v>
          </cell>
          <cell r="O113">
            <v>0.6</v>
          </cell>
          <cell r="P113">
            <v>0.6</v>
          </cell>
          <cell r="T113">
            <v>0</v>
          </cell>
          <cell r="U113">
            <v>7.2</v>
          </cell>
          <cell r="V113">
            <v>8.3141499999999979</v>
          </cell>
          <cell r="W113">
            <v>8.1039999999999992</v>
          </cell>
          <cell r="X113">
            <v>-1.1141499999999995</v>
          </cell>
          <cell r="Y113">
            <v>-0.9040000000000008</v>
          </cell>
        </row>
        <row r="114">
          <cell r="A114">
            <v>83</v>
          </cell>
          <cell r="B114" t="str">
            <v>Uniforms &amp; Laundry</v>
          </cell>
          <cell r="E114">
            <v>0.2</v>
          </cell>
          <cell r="F114">
            <v>0.2</v>
          </cell>
          <cell r="G114">
            <v>0.2</v>
          </cell>
          <cell r="H114">
            <v>0.2</v>
          </cell>
          <cell r="I114">
            <v>0.2</v>
          </cell>
          <cell r="J114">
            <v>0.2</v>
          </cell>
          <cell r="K114">
            <v>0.2</v>
          </cell>
          <cell r="L114">
            <v>0.2</v>
          </cell>
          <cell r="M114">
            <v>0.2</v>
          </cell>
          <cell r="N114">
            <v>0.2</v>
          </cell>
          <cell r="O114">
            <v>0.2</v>
          </cell>
          <cell r="P114">
            <v>0.2</v>
          </cell>
          <cell r="T114">
            <v>0</v>
          </cell>
          <cell r="U114">
            <v>2.4</v>
          </cell>
          <cell r="V114">
            <v>0.96699999999999919</v>
          </cell>
          <cell r="W114">
            <v>6.101</v>
          </cell>
          <cell r="X114">
            <v>1.4330000000000007</v>
          </cell>
          <cell r="Y114">
            <v>-3.7010000000000001</v>
          </cell>
        </row>
        <row r="115">
          <cell r="A115">
            <v>84</v>
          </cell>
          <cell r="B115" t="str">
            <v>Freight</v>
          </cell>
          <cell r="E115">
            <v>0</v>
          </cell>
          <cell r="F115">
            <v>0</v>
          </cell>
          <cell r="G115">
            <v>0</v>
          </cell>
          <cell r="H115">
            <v>0</v>
          </cell>
          <cell r="I115">
            <v>0</v>
          </cell>
          <cell r="J115">
            <v>0</v>
          </cell>
          <cell r="K115">
            <v>0</v>
          </cell>
          <cell r="L115">
            <v>0</v>
          </cell>
          <cell r="M115">
            <v>0</v>
          </cell>
          <cell r="N115">
            <v>0</v>
          </cell>
          <cell r="O115">
            <v>0</v>
          </cell>
          <cell r="P115">
            <v>0</v>
          </cell>
          <cell r="T115">
            <v>0</v>
          </cell>
          <cell r="U115">
            <v>0</v>
          </cell>
          <cell r="V115">
            <v>5.4541099999999982</v>
          </cell>
          <cell r="W115">
            <v>4.351</v>
          </cell>
          <cell r="X115">
            <v>-5.4541099999999982</v>
          </cell>
          <cell r="Y115">
            <v>-4.351</v>
          </cell>
        </row>
        <row r="116">
          <cell r="A116">
            <v>85</v>
          </cell>
          <cell r="B116" t="str">
            <v>Data processing</v>
          </cell>
          <cell r="E116">
            <v>0</v>
          </cell>
          <cell r="F116">
            <v>0</v>
          </cell>
          <cell r="G116">
            <v>0</v>
          </cell>
          <cell r="H116">
            <v>0</v>
          </cell>
          <cell r="I116">
            <v>0</v>
          </cell>
          <cell r="J116">
            <v>0</v>
          </cell>
          <cell r="K116">
            <v>0</v>
          </cell>
          <cell r="L116">
            <v>0</v>
          </cell>
          <cell r="M116">
            <v>0</v>
          </cell>
          <cell r="N116">
            <v>0</v>
          </cell>
          <cell r="O116">
            <v>0</v>
          </cell>
          <cell r="P116">
            <v>0</v>
          </cell>
          <cell r="T116">
            <v>0</v>
          </cell>
          <cell r="U116">
            <v>0</v>
          </cell>
          <cell r="V116">
            <v>0</v>
          </cell>
          <cell r="W116">
            <v>0</v>
          </cell>
          <cell r="X116">
            <v>0</v>
          </cell>
          <cell r="Y116">
            <v>0</v>
          </cell>
        </row>
        <row r="117">
          <cell r="A117">
            <v>86</v>
          </cell>
          <cell r="B117" t="str">
            <v>Bank Charges</v>
          </cell>
          <cell r="E117">
            <v>0.3</v>
          </cell>
          <cell r="F117">
            <v>0.3</v>
          </cell>
          <cell r="G117">
            <v>0.3</v>
          </cell>
          <cell r="H117">
            <v>0.3</v>
          </cell>
          <cell r="I117">
            <v>0.3</v>
          </cell>
          <cell r="J117">
            <v>0.3</v>
          </cell>
          <cell r="K117">
            <v>0.3</v>
          </cell>
          <cell r="L117">
            <v>0.3</v>
          </cell>
          <cell r="M117">
            <v>0.3</v>
          </cell>
          <cell r="N117">
            <v>0.3</v>
          </cell>
          <cell r="O117">
            <v>0.3</v>
          </cell>
          <cell r="P117">
            <v>0.3</v>
          </cell>
          <cell r="T117">
            <v>0</v>
          </cell>
          <cell r="U117">
            <v>3.6</v>
          </cell>
          <cell r="V117">
            <v>1.7220299999999997</v>
          </cell>
          <cell r="W117">
            <v>6.7359999999999998</v>
          </cell>
          <cell r="X117">
            <v>1.8779699999999995</v>
          </cell>
          <cell r="Y117">
            <v>-3.1360000000000006</v>
          </cell>
        </row>
        <row r="118">
          <cell r="A118">
            <v>87</v>
          </cell>
          <cell r="B118" t="str">
            <v>Parking Expenses</v>
          </cell>
          <cell r="E118">
            <v>0</v>
          </cell>
          <cell r="F118">
            <v>0</v>
          </cell>
          <cell r="G118">
            <v>0</v>
          </cell>
          <cell r="H118">
            <v>0</v>
          </cell>
          <cell r="I118">
            <v>0</v>
          </cell>
          <cell r="J118">
            <v>0</v>
          </cell>
          <cell r="K118">
            <v>0</v>
          </cell>
          <cell r="L118">
            <v>0</v>
          </cell>
          <cell r="M118">
            <v>0</v>
          </cell>
          <cell r="N118">
            <v>0</v>
          </cell>
          <cell r="O118">
            <v>0</v>
          </cell>
          <cell r="P118">
            <v>0</v>
          </cell>
          <cell r="T118">
            <v>0</v>
          </cell>
          <cell r="U118">
            <v>0</v>
          </cell>
          <cell r="V118">
            <v>0</v>
          </cell>
          <cell r="W118">
            <v>0</v>
          </cell>
          <cell r="X118">
            <v>0</v>
          </cell>
          <cell r="Y118">
            <v>0</v>
          </cell>
        </row>
        <row r="119">
          <cell r="A119">
            <v>88</v>
          </cell>
          <cell r="B119" t="str">
            <v>Staff training</v>
          </cell>
          <cell r="E119">
            <v>0.4417265695689655</v>
          </cell>
          <cell r="F119">
            <v>0.4417265695689655</v>
          </cell>
          <cell r="G119">
            <v>0.4417265695689655</v>
          </cell>
          <cell r="H119">
            <v>0.4417265695689655</v>
          </cell>
          <cell r="I119">
            <v>0.4417265695689655</v>
          </cell>
          <cell r="J119">
            <v>0.4417265695689655</v>
          </cell>
          <cell r="K119">
            <v>0.44826311881896552</v>
          </cell>
          <cell r="L119">
            <v>0.44826311881896552</v>
          </cell>
          <cell r="M119">
            <v>0.44826311881896552</v>
          </cell>
          <cell r="N119">
            <v>0.44826311881896552</v>
          </cell>
          <cell r="O119">
            <v>0.44826311881896552</v>
          </cell>
          <cell r="P119">
            <v>0.44826311881896552</v>
          </cell>
          <cell r="T119">
            <v>0</v>
          </cell>
          <cell r="U119">
            <v>5.3399381303275852</v>
          </cell>
          <cell r="V119">
            <v>6.2772299999999994</v>
          </cell>
          <cell r="W119">
            <v>9.3019999999999996</v>
          </cell>
          <cell r="X119">
            <v>-0.93729186967241418</v>
          </cell>
          <cell r="Y119">
            <v>-3.9620618696724144</v>
          </cell>
        </row>
        <row r="120">
          <cell r="A120">
            <v>89</v>
          </cell>
          <cell r="B120" t="str">
            <v>Security</v>
          </cell>
          <cell r="E120">
            <v>1.3</v>
          </cell>
          <cell r="F120">
            <v>1.3</v>
          </cell>
          <cell r="G120">
            <v>1.3</v>
          </cell>
          <cell r="H120">
            <v>1.3</v>
          </cell>
          <cell r="I120">
            <v>1.3</v>
          </cell>
          <cell r="J120">
            <v>1.3</v>
          </cell>
          <cell r="K120">
            <v>1.3</v>
          </cell>
          <cell r="L120">
            <v>1.3</v>
          </cell>
          <cell r="M120">
            <v>1.3</v>
          </cell>
          <cell r="N120">
            <v>1.3</v>
          </cell>
          <cell r="O120">
            <v>1.3</v>
          </cell>
          <cell r="P120">
            <v>1.3</v>
          </cell>
          <cell r="U120">
            <v>15.6</v>
          </cell>
          <cell r="V120">
            <v>15.6</v>
          </cell>
          <cell r="W120">
            <v>15.6</v>
          </cell>
          <cell r="X120">
            <v>0</v>
          </cell>
          <cell r="Y120">
            <v>0</v>
          </cell>
        </row>
        <row r="121">
          <cell r="A121">
            <v>90</v>
          </cell>
          <cell r="B121" t="str">
            <v>Postage</v>
          </cell>
          <cell r="E121">
            <v>0</v>
          </cell>
          <cell r="F121">
            <v>0</v>
          </cell>
          <cell r="G121">
            <v>0</v>
          </cell>
          <cell r="H121">
            <v>0</v>
          </cell>
          <cell r="I121">
            <v>0</v>
          </cell>
          <cell r="J121">
            <v>0</v>
          </cell>
          <cell r="K121">
            <v>0</v>
          </cell>
          <cell r="L121">
            <v>0</v>
          </cell>
          <cell r="M121">
            <v>0</v>
          </cell>
          <cell r="N121">
            <v>0</v>
          </cell>
          <cell r="O121">
            <v>0</v>
          </cell>
          <cell r="P121">
            <v>0</v>
          </cell>
          <cell r="U121">
            <v>0</v>
          </cell>
          <cell r="V121">
            <v>0</v>
          </cell>
          <cell r="W121">
            <v>0</v>
          </cell>
          <cell r="X121">
            <v>0</v>
          </cell>
          <cell r="Y121">
            <v>0</v>
          </cell>
        </row>
        <row r="122">
          <cell r="A122">
            <v>91</v>
          </cell>
          <cell r="B122" t="str">
            <v>Chilled Water</v>
          </cell>
          <cell r="E122">
            <v>0</v>
          </cell>
          <cell r="F122">
            <v>0</v>
          </cell>
          <cell r="G122">
            <v>0</v>
          </cell>
          <cell r="H122">
            <v>0</v>
          </cell>
          <cell r="I122">
            <v>0</v>
          </cell>
          <cell r="J122">
            <v>0</v>
          </cell>
          <cell r="K122">
            <v>0</v>
          </cell>
          <cell r="L122">
            <v>0</v>
          </cell>
          <cell r="M122">
            <v>0</v>
          </cell>
          <cell r="N122">
            <v>0</v>
          </cell>
          <cell r="O122">
            <v>0</v>
          </cell>
          <cell r="P122">
            <v>0</v>
          </cell>
          <cell r="U122">
            <v>0</v>
          </cell>
          <cell r="V122">
            <v>0</v>
          </cell>
          <cell r="W122">
            <v>0</v>
          </cell>
          <cell r="X122">
            <v>0</v>
          </cell>
          <cell r="Y122">
            <v>0</v>
          </cell>
        </row>
        <row r="123">
          <cell r="A123">
            <v>92</v>
          </cell>
          <cell r="B123" t="str">
            <v>Admin Fee</v>
          </cell>
          <cell r="E123">
            <v>0</v>
          </cell>
          <cell r="F123">
            <v>0</v>
          </cell>
          <cell r="G123">
            <v>0</v>
          </cell>
          <cell r="H123">
            <v>0</v>
          </cell>
          <cell r="I123">
            <v>0</v>
          </cell>
          <cell r="J123">
            <v>0</v>
          </cell>
          <cell r="K123">
            <v>0</v>
          </cell>
          <cell r="L123">
            <v>0</v>
          </cell>
          <cell r="M123">
            <v>0</v>
          </cell>
          <cell r="N123">
            <v>0</v>
          </cell>
          <cell r="O123">
            <v>0</v>
          </cell>
          <cell r="P123">
            <v>0</v>
          </cell>
          <cell r="U123">
            <v>0</v>
          </cell>
          <cell r="V123">
            <v>0</v>
          </cell>
          <cell r="W123">
            <v>0</v>
          </cell>
          <cell r="X123">
            <v>0</v>
          </cell>
          <cell r="Y123">
            <v>0</v>
          </cell>
        </row>
        <row r="124">
          <cell r="A124">
            <v>93</v>
          </cell>
          <cell r="B124" t="str">
            <v>Miscellaneous</v>
          </cell>
          <cell r="E124">
            <v>0.3</v>
          </cell>
          <cell r="F124">
            <v>0.3</v>
          </cell>
          <cell r="G124">
            <v>0.3</v>
          </cell>
          <cell r="H124">
            <v>0.3</v>
          </cell>
          <cell r="I124">
            <v>0.3</v>
          </cell>
          <cell r="J124">
            <v>0.3</v>
          </cell>
          <cell r="K124">
            <v>0.3</v>
          </cell>
          <cell r="L124">
            <v>0.3</v>
          </cell>
          <cell r="M124">
            <v>0.3</v>
          </cell>
          <cell r="N124">
            <v>0.3</v>
          </cell>
          <cell r="O124">
            <v>0.3</v>
          </cell>
          <cell r="P124">
            <v>0.3</v>
          </cell>
          <cell r="T124">
            <v>0</v>
          </cell>
          <cell r="U124">
            <v>3.6</v>
          </cell>
          <cell r="V124">
            <v>2.74</v>
          </cell>
          <cell r="W124">
            <v>7.0289999999999981</v>
          </cell>
          <cell r="X124">
            <v>0.86000000000000076</v>
          </cell>
          <cell r="Y124">
            <v>-3.4289999999999989</v>
          </cell>
        </row>
        <row r="125">
          <cell r="C125">
            <v>0</v>
          </cell>
          <cell r="E125">
            <v>17.224726569568965</v>
          </cell>
          <cell r="F125">
            <v>17.413206569568967</v>
          </cell>
          <cell r="G125">
            <v>17.255126569568965</v>
          </cell>
          <cell r="H125">
            <v>17.413206569568967</v>
          </cell>
          <cell r="I125">
            <v>20.255126569568969</v>
          </cell>
          <cell r="J125">
            <v>17.413206569568967</v>
          </cell>
          <cell r="K125">
            <v>17.419743118818968</v>
          </cell>
          <cell r="L125">
            <v>19.445503118818966</v>
          </cell>
          <cell r="M125">
            <v>17.419743118818968</v>
          </cell>
          <cell r="N125">
            <v>17.261663118818966</v>
          </cell>
          <cell r="O125">
            <v>17.419743118818968</v>
          </cell>
          <cell r="P125">
            <v>17.261663118818966</v>
          </cell>
          <cell r="R125">
            <v>0</v>
          </cell>
          <cell r="S125">
            <v>0</v>
          </cell>
          <cell r="T125">
            <v>0</v>
          </cell>
          <cell r="U125">
            <v>213.20265813032756</v>
          </cell>
          <cell r="V125">
            <v>253.71766661333336</v>
          </cell>
          <cell r="W125">
            <v>305.630448</v>
          </cell>
          <cell r="X125">
            <v>-40.515008483005801</v>
          </cell>
          <cell r="Y125">
            <v>-92.427789869672438</v>
          </cell>
        </row>
        <row r="126">
          <cell r="X126">
            <v>0</v>
          </cell>
          <cell r="Y126">
            <v>0</v>
          </cell>
        </row>
        <row r="127">
          <cell r="A127">
            <v>0</v>
          </cell>
          <cell r="B127" t="str">
            <v>23 Adjustments</v>
          </cell>
          <cell r="X127">
            <v>0</v>
          </cell>
          <cell r="Y127">
            <v>0</v>
          </cell>
        </row>
        <row r="128">
          <cell r="A128">
            <v>97</v>
          </cell>
          <cell r="B128" t="str">
            <v>Miscellaneous (Please Specify)</v>
          </cell>
          <cell r="E128">
            <v>0</v>
          </cell>
          <cell r="F128">
            <v>0</v>
          </cell>
          <cell r="G128">
            <v>0</v>
          </cell>
          <cell r="H128">
            <v>0</v>
          </cell>
          <cell r="I128">
            <v>0</v>
          </cell>
          <cell r="J128">
            <v>0</v>
          </cell>
          <cell r="K128">
            <v>0</v>
          </cell>
          <cell r="L128">
            <v>0</v>
          </cell>
          <cell r="M128">
            <v>0</v>
          </cell>
          <cell r="N128">
            <v>0</v>
          </cell>
          <cell r="O128">
            <v>0</v>
          </cell>
          <cell r="P128">
            <v>0</v>
          </cell>
          <cell r="T128">
            <v>0</v>
          </cell>
          <cell r="U128">
            <v>0</v>
          </cell>
          <cell r="V128">
            <v>0</v>
          </cell>
          <cell r="W128">
            <v>0</v>
          </cell>
          <cell r="X128">
            <v>0</v>
          </cell>
          <cell r="Y128">
            <v>0</v>
          </cell>
        </row>
        <row r="129">
          <cell r="A129">
            <v>98</v>
          </cell>
          <cell r="B129" t="str">
            <v>Mgmt fee income - CGV</v>
          </cell>
          <cell r="E129">
            <v>0</v>
          </cell>
          <cell r="F129">
            <v>0</v>
          </cell>
          <cell r="G129">
            <v>0</v>
          </cell>
          <cell r="H129">
            <v>0</v>
          </cell>
          <cell r="I129">
            <v>0</v>
          </cell>
          <cell r="J129">
            <v>0</v>
          </cell>
          <cell r="K129">
            <v>0</v>
          </cell>
          <cell r="L129">
            <v>0</v>
          </cell>
          <cell r="M129">
            <v>0</v>
          </cell>
          <cell r="N129">
            <v>0</v>
          </cell>
          <cell r="O129">
            <v>0</v>
          </cell>
          <cell r="P129">
            <v>0</v>
          </cell>
          <cell r="U129">
            <v>0</v>
          </cell>
          <cell r="V129">
            <v>0</v>
          </cell>
          <cell r="W129">
            <v>0</v>
          </cell>
          <cell r="X129">
            <v>0</v>
          </cell>
          <cell r="Y129">
            <v>0</v>
          </cell>
        </row>
        <row r="130">
          <cell r="A130">
            <v>99</v>
          </cell>
          <cell r="B130" t="str">
            <v xml:space="preserve">Pre Opening </v>
          </cell>
          <cell r="E130">
            <v>0</v>
          </cell>
          <cell r="F130">
            <v>0</v>
          </cell>
          <cell r="G130">
            <v>0</v>
          </cell>
          <cell r="H130">
            <v>0</v>
          </cell>
          <cell r="I130">
            <v>0</v>
          </cell>
          <cell r="J130">
            <v>0</v>
          </cell>
          <cell r="K130">
            <v>0</v>
          </cell>
          <cell r="L130">
            <v>0</v>
          </cell>
          <cell r="M130">
            <v>0</v>
          </cell>
          <cell r="N130">
            <v>0</v>
          </cell>
          <cell r="O130">
            <v>0</v>
          </cell>
          <cell r="P130">
            <v>0</v>
          </cell>
          <cell r="U130">
            <v>0</v>
          </cell>
          <cell r="V130">
            <v>0</v>
          </cell>
          <cell r="W130">
            <v>0</v>
          </cell>
          <cell r="X130">
            <v>0</v>
          </cell>
          <cell r="Y130">
            <v>0</v>
          </cell>
        </row>
        <row r="131">
          <cell r="A131">
            <v>100</v>
          </cell>
          <cell r="B131" t="str">
            <v>Other</v>
          </cell>
          <cell r="E131">
            <v>0</v>
          </cell>
          <cell r="F131">
            <v>0</v>
          </cell>
          <cell r="G131">
            <v>0</v>
          </cell>
          <cell r="H131">
            <v>0</v>
          </cell>
          <cell r="I131">
            <v>0</v>
          </cell>
          <cell r="J131">
            <v>0</v>
          </cell>
          <cell r="K131">
            <v>0</v>
          </cell>
          <cell r="L131">
            <v>0</v>
          </cell>
          <cell r="M131">
            <v>0</v>
          </cell>
          <cell r="N131">
            <v>0</v>
          </cell>
          <cell r="O131">
            <v>0</v>
          </cell>
          <cell r="P131">
            <v>0</v>
          </cell>
          <cell r="U131">
            <v>0</v>
          </cell>
          <cell r="V131">
            <v>0</v>
          </cell>
          <cell r="W131">
            <v>0</v>
          </cell>
          <cell r="X131">
            <v>0</v>
          </cell>
          <cell r="Y131">
            <v>0</v>
          </cell>
        </row>
        <row r="132">
          <cell r="T132">
            <v>0</v>
          </cell>
          <cell r="X132">
            <v>0</v>
          </cell>
          <cell r="Y132">
            <v>0</v>
          </cell>
        </row>
        <row r="133">
          <cell r="C133">
            <v>0</v>
          </cell>
          <cell r="E133">
            <v>0</v>
          </cell>
          <cell r="F133">
            <v>0</v>
          </cell>
          <cell r="G133">
            <v>0</v>
          </cell>
          <cell r="H133">
            <v>0</v>
          </cell>
          <cell r="I133">
            <v>0</v>
          </cell>
          <cell r="J133">
            <v>0</v>
          </cell>
          <cell r="K133">
            <v>0</v>
          </cell>
          <cell r="L133">
            <v>0</v>
          </cell>
          <cell r="M133">
            <v>0</v>
          </cell>
          <cell r="N133">
            <v>0</v>
          </cell>
          <cell r="O133">
            <v>0</v>
          </cell>
          <cell r="P133">
            <v>0</v>
          </cell>
          <cell r="R133">
            <v>0</v>
          </cell>
          <cell r="S133">
            <v>0</v>
          </cell>
          <cell r="T133">
            <v>0</v>
          </cell>
          <cell r="U133">
            <v>0</v>
          </cell>
          <cell r="V133">
            <v>0</v>
          </cell>
          <cell r="W133">
            <v>0</v>
          </cell>
          <cell r="X133">
            <v>0</v>
          </cell>
          <cell r="Y133">
            <v>0</v>
          </cell>
        </row>
      </sheetData>
      <sheetData sheetId="23" refreshError="1">
        <row r="11">
          <cell r="A11">
            <v>1</v>
          </cell>
          <cell r="B11" t="str">
            <v>Net Film Revenue</v>
          </cell>
          <cell r="E11">
            <v>291.27999999999997</v>
          </cell>
          <cell r="F11">
            <v>297.89999999999998</v>
          </cell>
          <cell r="G11">
            <v>397.2</v>
          </cell>
          <cell r="H11">
            <v>317.76</v>
          </cell>
          <cell r="I11">
            <v>344.24</v>
          </cell>
          <cell r="J11">
            <v>470.02</v>
          </cell>
          <cell r="K11">
            <v>317.76</v>
          </cell>
          <cell r="L11">
            <v>364.1</v>
          </cell>
          <cell r="M11">
            <v>430.3</v>
          </cell>
          <cell r="N11">
            <v>331</v>
          </cell>
          <cell r="O11">
            <v>436.92</v>
          </cell>
          <cell r="P11">
            <v>430.3</v>
          </cell>
          <cell r="Q11">
            <v>0</v>
          </cell>
          <cell r="T11">
            <v>0</v>
          </cell>
          <cell r="U11">
            <v>4428.78</v>
          </cell>
          <cell r="V11">
            <v>4165.1659399999999</v>
          </cell>
          <cell r="W11">
            <v>5826.2250000000004</v>
          </cell>
          <cell r="X11">
            <v>263.61405999999988</v>
          </cell>
          <cell r="Y11">
            <v>-1397.4449999999999</v>
          </cell>
        </row>
        <row r="12">
          <cell r="A12">
            <v>2</v>
          </cell>
          <cell r="B12" t="str">
            <v>Concession Sales</v>
          </cell>
          <cell r="E12">
            <v>47.08</v>
          </cell>
          <cell r="F12">
            <v>48.15</v>
          </cell>
          <cell r="G12">
            <v>64.2</v>
          </cell>
          <cell r="H12">
            <v>51.36</v>
          </cell>
          <cell r="I12">
            <v>55.64</v>
          </cell>
          <cell r="J12">
            <v>75.97</v>
          </cell>
          <cell r="K12">
            <v>51.36</v>
          </cell>
          <cell r="L12">
            <v>58.85</v>
          </cell>
          <cell r="M12">
            <v>69.55</v>
          </cell>
          <cell r="N12">
            <v>53.5</v>
          </cell>
          <cell r="O12">
            <v>70.62</v>
          </cell>
          <cell r="P12">
            <v>69.55</v>
          </cell>
          <cell r="T12">
            <v>0</v>
          </cell>
          <cell r="U12">
            <v>715.83</v>
          </cell>
          <cell r="V12">
            <v>655.6629999999999</v>
          </cell>
          <cell r="W12">
            <v>781</v>
          </cell>
          <cell r="X12">
            <v>60.16700000000003</v>
          </cell>
          <cell r="Y12">
            <v>-65.170000000000073</v>
          </cell>
        </row>
        <row r="13">
          <cell r="A13">
            <v>3</v>
          </cell>
          <cell r="B13" t="str">
            <v>Rental Income</v>
          </cell>
          <cell r="E13">
            <v>0</v>
          </cell>
          <cell r="F13">
            <v>0</v>
          </cell>
          <cell r="G13">
            <v>0</v>
          </cell>
          <cell r="H13">
            <v>0</v>
          </cell>
          <cell r="I13">
            <v>0</v>
          </cell>
          <cell r="J13">
            <v>0</v>
          </cell>
          <cell r="K13">
            <v>0</v>
          </cell>
          <cell r="L13">
            <v>0</v>
          </cell>
          <cell r="M13">
            <v>0</v>
          </cell>
          <cell r="N13">
            <v>0</v>
          </cell>
          <cell r="O13">
            <v>0</v>
          </cell>
          <cell r="P13">
            <v>0</v>
          </cell>
          <cell r="T13">
            <v>0</v>
          </cell>
          <cell r="U13">
            <v>0</v>
          </cell>
          <cell r="V13">
            <v>0</v>
          </cell>
          <cell r="W13">
            <v>0</v>
          </cell>
          <cell r="X13">
            <v>0</v>
          </cell>
          <cell r="Y13">
            <v>0</v>
          </cell>
        </row>
        <row r="14">
          <cell r="A14">
            <v>4</v>
          </cell>
          <cell r="B14" t="str">
            <v>Electronic Games income</v>
          </cell>
          <cell r="E14">
            <v>11</v>
          </cell>
          <cell r="F14">
            <v>11</v>
          </cell>
          <cell r="G14">
            <v>13</v>
          </cell>
          <cell r="H14">
            <v>11</v>
          </cell>
          <cell r="I14">
            <v>11</v>
          </cell>
          <cell r="J14">
            <v>14</v>
          </cell>
          <cell r="K14">
            <v>11</v>
          </cell>
          <cell r="L14">
            <v>13</v>
          </cell>
          <cell r="M14">
            <v>13</v>
          </cell>
          <cell r="N14">
            <v>11</v>
          </cell>
          <cell r="O14">
            <v>12</v>
          </cell>
          <cell r="P14">
            <v>13</v>
          </cell>
          <cell r="T14">
            <v>0</v>
          </cell>
          <cell r="U14">
            <v>144</v>
          </cell>
          <cell r="V14">
            <v>131.45067</v>
          </cell>
          <cell r="W14">
            <v>209.11</v>
          </cell>
          <cell r="X14">
            <v>12.549329999999998</v>
          </cell>
          <cell r="Y14">
            <v>-65.11</v>
          </cell>
        </row>
        <row r="15">
          <cell r="A15">
            <v>5</v>
          </cell>
          <cell r="B15" t="str">
            <v>Screen Advertising</v>
          </cell>
          <cell r="E15">
            <v>19.5</v>
          </cell>
          <cell r="F15">
            <v>19.5</v>
          </cell>
          <cell r="G15">
            <v>19.5</v>
          </cell>
          <cell r="H15">
            <v>19.5</v>
          </cell>
          <cell r="I15">
            <v>19.5</v>
          </cell>
          <cell r="J15">
            <v>19.5</v>
          </cell>
          <cell r="K15">
            <v>19.5</v>
          </cell>
          <cell r="L15">
            <v>19.5</v>
          </cell>
          <cell r="M15">
            <v>19.5</v>
          </cell>
          <cell r="N15">
            <v>19.5</v>
          </cell>
          <cell r="O15">
            <v>19.5</v>
          </cell>
          <cell r="P15">
            <v>19.5</v>
          </cell>
          <cell r="T15">
            <v>0</v>
          </cell>
          <cell r="U15">
            <v>234</v>
          </cell>
          <cell r="V15">
            <v>242.03953999999999</v>
          </cell>
          <cell r="W15">
            <v>135.60499999999999</v>
          </cell>
          <cell r="X15">
            <v>-8.0395399999999881</v>
          </cell>
          <cell r="Y15">
            <v>98.394999999999996</v>
          </cell>
        </row>
        <row r="16">
          <cell r="A16">
            <v>6</v>
          </cell>
          <cell r="B16" t="str">
            <v>Other Income</v>
          </cell>
          <cell r="C16">
            <v>0</v>
          </cell>
          <cell r="E16">
            <v>9.4376250000000006</v>
          </cell>
          <cell r="F16">
            <v>9.4376250000000006</v>
          </cell>
          <cell r="G16">
            <v>9.4376250000000006</v>
          </cell>
          <cell r="H16">
            <v>9.4376250000000006</v>
          </cell>
          <cell r="I16">
            <v>9.4376250000000006</v>
          </cell>
          <cell r="J16">
            <v>9.4376250000000006</v>
          </cell>
          <cell r="K16">
            <v>9.4376250000000006</v>
          </cell>
          <cell r="L16">
            <v>9.4376250000000006</v>
          </cell>
          <cell r="M16">
            <v>9.4376250000000006</v>
          </cell>
          <cell r="N16">
            <v>9.4376250000000006</v>
          </cell>
          <cell r="O16">
            <v>9.4376250000000006</v>
          </cell>
          <cell r="P16">
            <v>9.4376250000000006</v>
          </cell>
          <cell r="R16">
            <v>0</v>
          </cell>
          <cell r="S16">
            <v>0</v>
          </cell>
          <cell r="T16">
            <v>0</v>
          </cell>
          <cell r="U16">
            <v>113.25149999999998</v>
          </cell>
          <cell r="V16">
            <v>129.18393</v>
          </cell>
          <cell r="W16">
            <v>57.073</v>
          </cell>
          <cell r="X16">
            <v>-15.932430000000025</v>
          </cell>
          <cell r="Y16">
            <v>56.178499999999978</v>
          </cell>
        </row>
        <row r="17">
          <cell r="B17" t="str">
            <v>TOTAL REVENUE</v>
          </cell>
          <cell r="C17">
            <v>0</v>
          </cell>
          <cell r="E17">
            <v>378.29762500000004</v>
          </cell>
          <cell r="F17">
            <v>385.98762499999998</v>
          </cell>
          <cell r="G17">
            <v>503.337625</v>
          </cell>
          <cell r="H17">
            <v>409.05762500000003</v>
          </cell>
          <cell r="I17">
            <v>439.81762500000002</v>
          </cell>
          <cell r="J17">
            <v>588.92762500000003</v>
          </cell>
          <cell r="K17">
            <v>409.05762500000003</v>
          </cell>
          <cell r="L17">
            <v>464.88762500000007</v>
          </cell>
          <cell r="M17">
            <v>541.78762500000005</v>
          </cell>
          <cell r="N17">
            <v>424.43762500000003</v>
          </cell>
          <cell r="O17">
            <v>548.47762499999999</v>
          </cell>
          <cell r="P17">
            <v>541.78762500000005</v>
          </cell>
          <cell r="R17">
            <v>0</v>
          </cell>
          <cell r="S17">
            <v>0</v>
          </cell>
          <cell r="T17">
            <v>0</v>
          </cell>
          <cell r="U17">
            <v>5635.8615</v>
          </cell>
          <cell r="V17">
            <v>5323.5030799999995</v>
          </cell>
          <cell r="W17">
            <v>7009.0129999999999</v>
          </cell>
          <cell r="X17">
            <v>312.35842000000048</v>
          </cell>
          <cell r="Y17">
            <v>-1373.1514999999999</v>
          </cell>
        </row>
        <row r="19">
          <cell r="A19">
            <v>7</v>
          </cell>
          <cell r="B19" t="str">
            <v>Film Hire</v>
          </cell>
          <cell r="E19">
            <v>135.44520000000003</v>
          </cell>
          <cell r="F19">
            <v>138.52349999999998</v>
          </cell>
          <cell r="G19">
            <v>184.69800000000001</v>
          </cell>
          <cell r="H19">
            <v>147.75839999999999</v>
          </cell>
          <cell r="I19">
            <v>160.07160000000002</v>
          </cell>
          <cell r="J19">
            <v>218.55930000000001</v>
          </cell>
          <cell r="K19">
            <v>147.75839999999999</v>
          </cell>
          <cell r="L19">
            <v>169.30650000000003</v>
          </cell>
          <cell r="M19">
            <v>200.08950000000002</v>
          </cell>
          <cell r="N19">
            <v>153.91499999999999</v>
          </cell>
          <cell r="O19">
            <v>203.16780000000003</v>
          </cell>
          <cell r="P19">
            <v>200.08950000000002</v>
          </cell>
          <cell r="U19">
            <v>2059.3826999999997</v>
          </cell>
          <cell r="V19">
            <v>1947.7115999999999</v>
          </cell>
          <cell r="W19">
            <v>2722.3969999999999</v>
          </cell>
          <cell r="X19">
            <v>111.6710999999998</v>
          </cell>
          <cell r="Y19">
            <v>-663.01430000000028</v>
          </cell>
        </row>
        <row r="20">
          <cell r="A20">
            <v>8</v>
          </cell>
          <cell r="B20" t="str">
            <v>Concession Cost</v>
          </cell>
          <cell r="E20">
            <v>10.357600000000001</v>
          </cell>
          <cell r="F20">
            <v>10.593000000000002</v>
          </cell>
          <cell r="G20">
            <v>14.124000000000001</v>
          </cell>
          <cell r="H20">
            <v>11.299200000000001</v>
          </cell>
          <cell r="I20">
            <v>12.2408</v>
          </cell>
          <cell r="J20">
            <v>16.7134</v>
          </cell>
          <cell r="K20">
            <v>11.299200000000001</v>
          </cell>
          <cell r="L20">
            <v>12.947000000000001</v>
          </cell>
          <cell r="M20">
            <v>15.301</v>
          </cell>
          <cell r="N20">
            <v>11.77</v>
          </cell>
          <cell r="O20">
            <v>15.5364</v>
          </cell>
          <cell r="P20">
            <v>15.301</v>
          </cell>
          <cell r="T20">
            <v>0</v>
          </cell>
          <cell r="U20">
            <v>157.48259999999999</v>
          </cell>
          <cell r="V20">
            <v>138.25742000000002</v>
          </cell>
          <cell r="W20">
            <v>207.95099999999999</v>
          </cell>
          <cell r="X20">
            <v>19.225179999999966</v>
          </cell>
          <cell r="Y20">
            <v>-50.468400000000003</v>
          </cell>
        </row>
        <row r="21">
          <cell r="A21">
            <v>9</v>
          </cell>
          <cell r="B21" t="str">
            <v>Less Concession Rebates</v>
          </cell>
          <cell r="E21">
            <v>-1.1770000000000003</v>
          </cell>
          <cell r="F21">
            <v>-1.2037500000000001</v>
          </cell>
          <cell r="G21">
            <v>-1.605</v>
          </cell>
          <cell r="H21">
            <v>-1.284</v>
          </cell>
          <cell r="I21">
            <v>-1.391</v>
          </cell>
          <cell r="J21">
            <v>-1.8992500000000001</v>
          </cell>
          <cell r="K21">
            <v>-1.284</v>
          </cell>
          <cell r="L21">
            <v>-1.4712499999999999</v>
          </cell>
          <cell r="M21">
            <v>-1.73875</v>
          </cell>
          <cell r="N21">
            <v>-1.3374999999999999</v>
          </cell>
          <cell r="O21">
            <v>-1.7655000000000003</v>
          </cell>
          <cell r="P21">
            <v>-1.73875</v>
          </cell>
          <cell r="U21">
            <v>-17.89575</v>
          </cell>
          <cell r="V21">
            <v>-22.54</v>
          </cell>
          <cell r="W21">
            <v>-37.252000000000002</v>
          </cell>
          <cell r="X21">
            <v>4.6442499999999995</v>
          </cell>
          <cell r="Y21">
            <v>19.356249999999999</v>
          </cell>
        </row>
        <row r="22">
          <cell r="A22">
            <v>10</v>
          </cell>
          <cell r="B22" t="str">
            <v>Advertising Cost</v>
          </cell>
          <cell r="E22">
            <v>6.6994400000000009</v>
          </cell>
          <cell r="F22">
            <v>6.8516999999999992</v>
          </cell>
          <cell r="G22">
            <v>9.1356000000000002</v>
          </cell>
          <cell r="H22">
            <v>7.3084799999999994</v>
          </cell>
          <cell r="I22">
            <v>7.9175199999999997</v>
          </cell>
          <cell r="J22">
            <v>10.810459999999999</v>
          </cell>
          <cell r="K22">
            <v>7.3084799999999994</v>
          </cell>
          <cell r="L22">
            <v>8.3742999999999999</v>
          </cell>
          <cell r="M22">
            <v>9.8969000000000005</v>
          </cell>
          <cell r="N22">
            <v>7.6129999999999995</v>
          </cell>
          <cell r="O22">
            <v>10.049160000000001</v>
          </cell>
          <cell r="P22">
            <v>9.8969000000000005</v>
          </cell>
          <cell r="T22">
            <v>0</v>
          </cell>
          <cell r="U22">
            <v>101.86194</v>
          </cell>
          <cell r="V22">
            <v>105.82353999999998</v>
          </cell>
          <cell r="W22">
            <v>137.756</v>
          </cell>
          <cell r="X22">
            <v>-3.9615999999999758</v>
          </cell>
          <cell r="Y22">
            <v>-35.894059999999996</v>
          </cell>
        </row>
        <row r="23">
          <cell r="A23">
            <v>11</v>
          </cell>
          <cell r="B23" t="str">
            <v>Other Cost</v>
          </cell>
          <cell r="C23">
            <v>0</v>
          </cell>
          <cell r="E23">
            <v>0.58256000000000008</v>
          </cell>
          <cell r="F23">
            <v>0.5958</v>
          </cell>
          <cell r="G23">
            <v>0.7944</v>
          </cell>
          <cell r="H23">
            <v>0.63551999999999997</v>
          </cell>
          <cell r="I23">
            <v>0.68847999999999998</v>
          </cell>
          <cell r="J23">
            <v>0.94003999999999999</v>
          </cell>
          <cell r="K23">
            <v>0.63551999999999997</v>
          </cell>
          <cell r="L23">
            <v>0.72820000000000007</v>
          </cell>
          <cell r="M23">
            <v>0.86060000000000003</v>
          </cell>
          <cell r="N23">
            <v>0.66200000000000003</v>
          </cell>
          <cell r="O23">
            <v>0.87384000000000006</v>
          </cell>
          <cell r="P23">
            <v>0.86060000000000003</v>
          </cell>
          <cell r="R23">
            <v>0</v>
          </cell>
          <cell r="S23">
            <v>0</v>
          </cell>
          <cell r="T23">
            <v>0</v>
          </cell>
          <cell r="U23">
            <v>8.8575599999999994</v>
          </cell>
          <cell r="V23">
            <v>8.3303318799999992</v>
          </cell>
          <cell r="W23">
            <v>11.652450000000002</v>
          </cell>
          <cell r="X23">
            <v>0.52722812000000019</v>
          </cell>
          <cell r="Y23">
            <v>-2.7948900000000023</v>
          </cell>
        </row>
        <row r="24">
          <cell r="A24">
            <v>12</v>
          </cell>
          <cell r="B24" t="str">
            <v>Direct Payroll</v>
          </cell>
          <cell r="C24">
            <v>0</v>
          </cell>
          <cell r="E24">
            <v>28.146414076896551</v>
          </cell>
          <cell r="F24">
            <v>28.146414076896551</v>
          </cell>
          <cell r="G24">
            <v>29.246414076896553</v>
          </cell>
          <cell r="H24">
            <v>28.146414076896551</v>
          </cell>
          <cell r="I24">
            <v>28.146414076896551</v>
          </cell>
          <cell r="J24">
            <v>29.246414076896553</v>
          </cell>
          <cell r="K24">
            <v>28.681991757996553</v>
          </cell>
          <cell r="L24">
            <v>28.681991757996553</v>
          </cell>
          <cell r="M24">
            <v>29.781991757996554</v>
          </cell>
          <cell r="N24">
            <v>28.681991757996553</v>
          </cell>
          <cell r="O24">
            <v>29.781991757996554</v>
          </cell>
          <cell r="P24">
            <v>29.781991757996554</v>
          </cell>
          <cell r="R24">
            <v>0</v>
          </cell>
          <cell r="S24">
            <v>0</v>
          </cell>
          <cell r="T24">
            <v>0</v>
          </cell>
          <cell r="U24">
            <v>346.4704350093586</v>
          </cell>
          <cell r="V24">
            <v>437.46495666666669</v>
          </cell>
          <cell r="W24">
            <v>559.02800000000002</v>
          </cell>
          <cell r="X24">
            <v>-90.994521657308098</v>
          </cell>
          <cell r="Y24">
            <v>-212.55756499064142</v>
          </cell>
        </row>
        <row r="25">
          <cell r="B25" t="str">
            <v>TOTAL COST</v>
          </cell>
          <cell r="C25">
            <v>0</v>
          </cell>
          <cell r="E25">
            <v>180.05421407689659</v>
          </cell>
          <cell r="F25">
            <v>183.5066640768965</v>
          </cell>
          <cell r="G25">
            <v>236.39341407689656</v>
          </cell>
          <cell r="H25">
            <v>193.86401407689658</v>
          </cell>
          <cell r="I25">
            <v>207.67381407689658</v>
          </cell>
          <cell r="J25">
            <v>274.37036407689658</v>
          </cell>
          <cell r="K25">
            <v>194.39959175799657</v>
          </cell>
          <cell r="L25">
            <v>218.56674175799657</v>
          </cell>
          <cell r="M25">
            <v>254.19124175799655</v>
          </cell>
          <cell r="N25">
            <v>201.30449175799657</v>
          </cell>
          <cell r="O25">
            <v>257.64369175799658</v>
          </cell>
          <cell r="P25">
            <v>254.19124175799655</v>
          </cell>
          <cell r="R25">
            <v>0</v>
          </cell>
          <cell r="S25">
            <v>0</v>
          </cell>
          <cell r="T25">
            <v>0</v>
          </cell>
          <cell r="U25">
            <v>2656.1594850093588</v>
          </cell>
          <cell r="V25">
            <v>2615.0478485466665</v>
          </cell>
          <cell r="W25">
            <v>3601.5324499999997</v>
          </cell>
          <cell r="X25">
            <v>41.111636462692331</v>
          </cell>
          <cell r="Y25">
            <v>-945.37296499064087</v>
          </cell>
        </row>
        <row r="27">
          <cell r="B27" t="str">
            <v>GROSS MARGIN</v>
          </cell>
          <cell r="C27">
            <v>0</v>
          </cell>
          <cell r="E27">
            <v>198.24341092310345</v>
          </cell>
          <cell r="F27">
            <v>202.48096092310348</v>
          </cell>
          <cell r="G27">
            <v>266.94421092310347</v>
          </cell>
          <cell r="H27">
            <v>215.19361092310345</v>
          </cell>
          <cell r="I27">
            <v>232.14381092310344</v>
          </cell>
          <cell r="J27">
            <v>314.55726092310346</v>
          </cell>
          <cell r="K27">
            <v>214.65803324200346</v>
          </cell>
          <cell r="L27">
            <v>246.3208832420035</v>
          </cell>
          <cell r="M27">
            <v>287.59638324200353</v>
          </cell>
          <cell r="N27">
            <v>223.13313324200345</v>
          </cell>
          <cell r="O27">
            <v>290.83393324200341</v>
          </cell>
          <cell r="P27">
            <v>287.59638324200353</v>
          </cell>
          <cell r="R27">
            <v>0</v>
          </cell>
          <cell r="S27">
            <v>0</v>
          </cell>
          <cell r="T27">
            <v>0</v>
          </cell>
          <cell r="U27">
            <v>2979.7020149906416</v>
          </cell>
          <cell r="V27">
            <v>2708.455231453333</v>
          </cell>
          <cell r="W27">
            <v>3407.4805500000002</v>
          </cell>
          <cell r="X27">
            <v>271.2467835373086</v>
          </cell>
          <cell r="Y27">
            <v>-427.77853500935862</v>
          </cell>
        </row>
        <row r="28">
          <cell r="X28">
            <v>0</v>
          </cell>
          <cell r="Y28">
            <v>0</v>
          </cell>
        </row>
        <row r="29">
          <cell r="A29">
            <v>13</v>
          </cell>
          <cell r="B29" t="str">
            <v>Direct Rent</v>
          </cell>
          <cell r="E29">
            <v>0.15</v>
          </cell>
          <cell r="F29">
            <v>0</v>
          </cell>
          <cell r="G29">
            <v>0</v>
          </cell>
          <cell r="H29">
            <v>0</v>
          </cell>
          <cell r="I29">
            <v>0</v>
          </cell>
          <cell r="J29">
            <v>0</v>
          </cell>
          <cell r="K29">
            <v>0</v>
          </cell>
          <cell r="L29">
            <v>0</v>
          </cell>
          <cell r="M29">
            <v>0</v>
          </cell>
          <cell r="N29">
            <v>0</v>
          </cell>
          <cell r="O29">
            <v>0</v>
          </cell>
          <cell r="P29">
            <v>0</v>
          </cell>
          <cell r="T29">
            <v>0</v>
          </cell>
          <cell r="U29">
            <v>0.15</v>
          </cell>
          <cell r="V29">
            <v>0.15</v>
          </cell>
          <cell r="W29">
            <v>1.8</v>
          </cell>
          <cell r="X29">
            <v>0</v>
          </cell>
          <cell r="Y29">
            <v>-1.65</v>
          </cell>
        </row>
        <row r="30">
          <cell r="A30">
            <v>14</v>
          </cell>
          <cell r="B30" t="str">
            <v>Light, Heat and Power</v>
          </cell>
          <cell r="E30">
            <v>15.3</v>
          </cell>
          <cell r="F30">
            <v>15.3</v>
          </cell>
          <cell r="G30">
            <v>15.3</v>
          </cell>
          <cell r="H30">
            <v>15.3</v>
          </cell>
          <cell r="I30">
            <v>15.3</v>
          </cell>
          <cell r="J30">
            <v>15.3</v>
          </cell>
          <cell r="K30">
            <v>15.3</v>
          </cell>
          <cell r="L30">
            <v>15.3</v>
          </cell>
          <cell r="M30">
            <v>15.3</v>
          </cell>
          <cell r="N30">
            <v>15.3</v>
          </cell>
          <cell r="O30">
            <v>15.3</v>
          </cell>
          <cell r="P30">
            <v>15.3</v>
          </cell>
          <cell r="Q30">
            <v>0</v>
          </cell>
          <cell r="R30">
            <v>19</v>
          </cell>
          <cell r="S30">
            <v>19</v>
          </cell>
          <cell r="T30">
            <v>0</v>
          </cell>
          <cell r="U30">
            <v>183.6</v>
          </cell>
          <cell r="V30">
            <v>195.09496000000001</v>
          </cell>
          <cell r="W30">
            <v>238.048</v>
          </cell>
          <cell r="X30">
            <v>-11.494959999999992</v>
          </cell>
          <cell r="Y30">
            <v>-54.447999999999979</v>
          </cell>
        </row>
        <row r="31">
          <cell r="A31">
            <v>15</v>
          </cell>
          <cell r="B31" t="str">
            <v>Repair &amp; Maintenance</v>
          </cell>
          <cell r="E31">
            <v>13.007</v>
          </cell>
          <cell r="F31">
            <v>13.007</v>
          </cell>
          <cell r="G31">
            <v>13.007</v>
          </cell>
          <cell r="H31">
            <v>18.006999999999998</v>
          </cell>
          <cell r="I31">
            <v>13.007</v>
          </cell>
          <cell r="J31">
            <v>13.007</v>
          </cell>
          <cell r="K31">
            <v>13.007</v>
          </cell>
          <cell r="L31">
            <v>13.007</v>
          </cell>
          <cell r="M31">
            <v>13.007</v>
          </cell>
          <cell r="N31">
            <v>13.007</v>
          </cell>
          <cell r="O31">
            <v>13.007</v>
          </cell>
          <cell r="P31">
            <v>13.007</v>
          </cell>
          <cell r="Q31">
            <v>0</v>
          </cell>
          <cell r="R31">
            <v>10.95</v>
          </cell>
          <cell r="S31">
            <v>10.95</v>
          </cell>
          <cell r="T31">
            <v>0</v>
          </cell>
          <cell r="U31">
            <v>161.08400000000003</v>
          </cell>
          <cell r="V31">
            <v>167.58857666666665</v>
          </cell>
          <cell r="W31">
            <v>234.62100000000001</v>
          </cell>
          <cell r="X31">
            <v>-6.5045766666666225</v>
          </cell>
          <cell r="Y31">
            <v>-73.536999999999978</v>
          </cell>
        </row>
        <row r="32">
          <cell r="A32">
            <v>16</v>
          </cell>
          <cell r="B32" t="str">
            <v>Common Area Maintenance</v>
          </cell>
          <cell r="E32">
            <v>18.853999999999999</v>
          </cell>
          <cell r="F32">
            <v>18.853999999999999</v>
          </cell>
          <cell r="G32">
            <v>18.853999999999999</v>
          </cell>
          <cell r="H32">
            <v>18.853999999999999</v>
          </cell>
          <cell r="I32">
            <v>18.853999999999999</v>
          </cell>
          <cell r="J32">
            <v>18.853999999999999</v>
          </cell>
          <cell r="K32">
            <v>18.853999999999999</v>
          </cell>
          <cell r="L32">
            <v>18.853999999999999</v>
          </cell>
          <cell r="M32">
            <v>18.853999999999999</v>
          </cell>
          <cell r="N32">
            <v>18.853999999999999</v>
          </cell>
          <cell r="O32">
            <v>18.853999999999999</v>
          </cell>
          <cell r="P32">
            <v>18.853999999999999</v>
          </cell>
          <cell r="T32">
            <v>0</v>
          </cell>
          <cell r="U32">
            <v>226.24799999999993</v>
          </cell>
          <cell r="V32">
            <v>228.36</v>
          </cell>
          <cell r="W32">
            <v>226.24799999999999</v>
          </cell>
          <cell r="X32">
            <v>-2.11200000000008</v>
          </cell>
          <cell r="Y32">
            <v>0</v>
          </cell>
        </row>
        <row r="33">
          <cell r="A33">
            <v>17</v>
          </cell>
          <cell r="B33" t="str">
            <v>Other Overhead Costs</v>
          </cell>
          <cell r="C33">
            <v>0</v>
          </cell>
          <cell r="E33">
            <v>21.498704140768968</v>
          </cell>
          <cell r="F33">
            <v>21.687184140768967</v>
          </cell>
          <cell r="G33">
            <v>21.540104140768971</v>
          </cell>
          <cell r="H33">
            <v>21.687184140768967</v>
          </cell>
          <cell r="I33">
            <v>21.529104140768968</v>
          </cell>
          <cell r="J33">
            <v>21.698184140768969</v>
          </cell>
          <cell r="K33">
            <v>21.692539917579968</v>
          </cell>
          <cell r="L33">
            <v>44.319299917579961</v>
          </cell>
          <cell r="M33">
            <v>23.203539917579967</v>
          </cell>
          <cell r="N33">
            <v>21.534459917579969</v>
          </cell>
          <cell r="O33">
            <v>21.703539917579967</v>
          </cell>
          <cell r="P33">
            <v>21.545459917579969</v>
          </cell>
          <cell r="R33">
            <v>0</v>
          </cell>
          <cell r="S33">
            <v>0</v>
          </cell>
          <cell r="T33">
            <v>0</v>
          </cell>
          <cell r="U33">
            <v>283.63930435009365</v>
          </cell>
          <cell r="V33">
            <v>303.58615905333329</v>
          </cell>
          <cell r="W33">
            <v>397.10354999999998</v>
          </cell>
          <cell r="X33">
            <v>-19.946854703239637</v>
          </cell>
          <cell r="Y33">
            <v>-113.46424564990633</v>
          </cell>
        </row>
        <row r="35">
          <cell r="B35" t="str">
            <v>Total Overhead Expenses</v>
          </cell>
          <cell r="C35">
            <v>0</v>
          </cell>
          <cell r="E35">
            <v>68.809704140768972</v>
          </cell>
          <cell r="F35">
            <v>68.848184140768964</v>
          </cell>
          <cell r="G35">
            <v>68.701104140768976</v>
          </cell>
          <cell r="H35">
            <v>73.848184140768964</v>
          </cell>
          <cell r="I35">
            <v>68.690104140768966</v>
          </cell>
          <cell r="J35">
            <v>68.859184140768974</v>
          </cell>
          <cell r="K35">
            <v>68.853539917579965</v>
          </cell>
          <cell r="L35">
            <v>91.48029991757997</v>
          </cell>
          <cell r="M35">
            <v>70.364539917579975</v>
          </cell>
          <cell r="N35">
            <v>68.695459917579967</v>
          </cell>
          <cell r="O35">
            <v>68.864539917579975</v>
          </cell>
          <cell r="P35">
            <v>68.706459917579963</v>
          </cell>
          <cell r="R35">
            <v>0</v>
          </cell>
          <cell r="S35">
            <v>0</v>
          </cell>
          <cell r="T35">
            <v>0</v>
          </cell>
          <cell r="U35">
            <v>854.72130435009365</v>
          </cell>
          <cell r="V35">
            <v>894.77969571999995</v>
          </cell>
          <cell r="W35">
            <v>1097.8205500000001</v>
          </cell>
          <cell r="X35">
            <v>-40.058391369906303</v>
          </cell>
          <cell r="Y35">
            <v>-243.09924564990649</v>
          </cell>
        </row>
        <row r="37">
          <cell r="B37" t="str">
            <v>E.B.I.T.D.</v>
          </cell>
          <cell r="C37">
            <v>0</v>
          </cell>
          <cell r="E37">
            <v>129.43370678233447</v>
          </cell>
          <cell r="F37">
            <v>133.63277678233453</v>
          </cell>
          <cell r="G37">
            <v>198.24310678233451</v>
          </cell>
          <cell r="H37">
            <v>141.34542678233447</v>
          </cell>
          <cell r="I37">
            <v>163.45370678233448</v>
          </cell>
          <cell r="J37">
            <v>245.69807678233448</v>
          </cell>
          <cell r="K37">
            <v>145.8044933244235</v>
          </cell>
          <cell r="L37">
            <v>154.84058332442353</v>
          </cell>
          <cell r="M37">
            <v>217.23184332442355</v>
          </cell>
          <cell r="N37">
            <v>154.43767332442349</v>
          </cell>
          <cell r="O37">
            <v>221.96939332442344</v>
          </cell>
          <cell r="P37">
            <v>218.88992332442356</v>
          </cell>
          <cell r="R37">
            <v>0</v>
          </cell>
          <cell r="S37">
            <v>0</v>
          </cell>
          <cell r="T37">
            <v>0</v>
          </cell>
          <cell r="U37">
            <v>2124.9807106405478</v>
          </cell>
          <cell r="V37">
            <v>1813.6755357333332</v>
          </cell>
          <cell r="W37">
            <v>2309.66</v>
          </cell>
          <cell r="X37">
            <v>311.30517490721491</v>
          </cell>
          <cell r="Y37">
            <v>-184.67928935945213</v>
          </cell>
        </row>
        <row r="39">
          <cell r="A39">
            <v>18</v>
          </cell>
          <cell r="B39" t="str">
            <v>Depreciation</v>
          </cell>
          <cell r="E39">
            <v>28.535173611111112</v>
          </cell>
          <cell r="F39">
            <v>28.535173611111112</v>
          </cell>
          <cell r="G39">
            <v>28.535173611111112</v>
          </cell>
          <cell r="H39">
            <v>32.851840277777775</v>
          </cell>
          <cell r="I39">
            <v>32.851840277777775</v>
          </cell>
          <cell r="J39">
            <v>32.851840277777775</v>
          </cell>
          <cell r="K39">
            <v>32.851840277777775</v>
          </cell>
          <cell r="L39">
            <v>32.851840277777775</v>
          </cell>
          <cell r="M39">
            <v>32.851840277777775</v>
          </cell>
          <cell r="N39">
            <v>32.851840277777775</v>
          </cell>
          <cell r="O39">
            <v>32.851840277777775</v>
          </cell>
          <cell r="P39">
            <v>32.851840277777775</v>
          </cell>
          <cell r="Q39">
            <v>0</v>
          </cell>
          <cell r="R39" t="e">
            <v>#REF!</v>
          </cell>
          <cell r="S39" t="e">
            <v>#REF!</v>
          </cell>
          <cell r="T39">
            <v>0</v>
          </cell>
          <cell r="U39">
            <v>381.27208333333334</v>
          </cell>
          <cell r="V39">
            <v>336.86984990740746</v>
          </cell>
          <cell r="W39">
            <v>304.35500000000002</v>
          </cell>
          <cell r="X39">
            <v>44.402233425925886</v>
          </cell>
          <cell r="Y39">
            <v>76.917083333333323</v>
          </cell>
        </row>
        <row r="40">
          <cell r="A40">
            <v>19</v>
          </cell>
          <cell r="B40" t="str">
            <v>Fixed Assets Written Off</v>
          </cell>
          <cell r="E40">
            <v>0</v>
          </cell>
          <cell r="F40">
            <v>0</v>
          </cell>
          <cell r="G40">
            <v>0</v>
          </cell>
          <cell r="H40">
            <v>0</v>
          </cell>
          <cell r="I40">
            <v>0</v>
          </cell>
          <cell r="J40">
            <v>0</v>
          </cell>
          <cell r="K40">
            <v>0</v>
          </cell>
          <cell r="L40">
            <v>0</v>
          </cell>
          <cell r="M40">
            <v>0</v>
          </cell>
          <cell r="N40">
            <v>0</v>
          </cell>
          <cell r="O40">
            <v>0</v>
          </cell>
          <cell r="P40">
            <v>0</v>
          </cell>
          <cell r="T40">
            <v>0</v>
          </cell>
          <cell r="U40">
            <v>0</v>
          </cell>
          <cell r="V40">
            <v>2.63</v>
          </cell>
          <cell r="W40">
            <v>25.629000000000001</v>
          </cell>
          <cell r="X40">
            <v>-2.63</v>
          </cell>
          <cell r="Y40">
            <v>-25.629000000000001</v>
          </cell>
        </row>
        <row r="41">
          <cell r="A41">
            <v>20</v>
          </cell>
          <cell r="B41" t="str">
            <v>External Interest</v>
          </cell>
          <cell r="T41">
            <v>0</v>
          </cell>
          <cell r="U41">
            <v>0</v>
          </cell>
          <cell r="V41">
            <v>691.80187095890415</v>
          </cell>
          <cell r="W41">
            <v>828.08799999999997</v>
          </cell>
          <cell r="X41">
            <v>-691.80187095890415</v>
          </cell>
          <cell r="Y41">
            <v>-828.08799999999997</v>
          </cell>
        </row>
        <row r="42">
          <cell r="A42">
            <v>21</v>
          </cell>
          <cell r="B42" t="str">
            <v>Intercompany Interest Income</v>
          </cell>
          <cell r="T42">
            <v>0</v>
          </cell>
          <cell r="U42">
            <v>0</v>
          </cell>
          <cell r="V42">
            <v>0</v>
          </cell>
          <cell r="W42">
            <v>0</v>
          </cell>
          <cell r="X42">
            <v>0</v>
          </cell>
          <cell r="Y42">
            <v>0</v>
          </cell>
        </row>
        <row r="43">
          <cell r="A43">
            <v>22</v>
          </cell>
          <cell r="B43" t="str">
            <v>External Interest Income</v>
          </cell>
          <cell r="T43">
            <v>0</v>
          </cell>
          <cell r="U43">
            <v>0</v>
          </cell>
          <cell r="V43">
            <v>10.766209999999997</v>
          </cell>
          <cell r="W43">
            <v>19.210999999999999</v>
          </cell>
          <cell r="X43">
            <v>-10.766209999999997</v>
          </cell>
          <cell r="Y43">
            <v>-19.210999999999999</v>
          </cell>
        </row>
        <row r="44">
          <cell r="B44" t="str">
            <v>E.B.T.</v>
          </cell>
          <cell r="C44">
            <v>0</v>
          </cell>
          <cell r="E44">
            <v>100.89853317122336</v>
          </cell>
          <cell r="F44">
            <v>105.09760317122343</v>
          </cell>
          <cell r="G44">
            <v>169.7079331712234</v>
          </cell>
          <cell r="H44">
            <v>108.4935865045567</v>
          </cell>
          <cell r="I44">
            <v>130.60186650455671</v>
          </cell>
          <cell r="J44">
            <v>212.84623650455671</v>
          </cell>
          <cell r="K44">
            <v>112.95265304664574</v>
          </cell>
          <cell r="L44">
            <v>121.98874304664577</v>
          </cell>
          <cell r="M44">
            <v>184.38000304664578</v>
          </cell>
          <cell r="N44">
            <v>121.58583304664572</v>
          </cell>
          <cell r="O44">
            <v>189.11755304664567</v>
          </cell>
          <cell r="P44">
            <v>186.0380830466458</v>
          </cell>
          <cell r="Q44">
            <v>0</v>
          </cell>
          <cell r="R44">
            <v>0</v>
          </cell>
          <cell r="S44">
            <v>0</v>
          </cell>
          <cell r="T44">
            <v>0</v>
          </cell>
          <cell r="U44">
            <v>1743.7086273072146</v>
          </cell>
          <cell r="V44">
            <v>793.14002486702134</v>
          </cell>
          <cell r="W44">
            <v>1170.799</v>
          </cell>
          <cell r="X44">
            <v>950.56860244019322</v>
          </cell>
          <cell r="Y44">
            <v>572.90962730721458</v>
          </cell>
        </row>
        <row r="46">
          <cell r="A46">
            <v>23</v>
          </cell>
          <cell r="B46" t="str">
            <v>Taxation</v>
          </cell>
          <cell r="E46">
            <v>0</v>
          </cell>
          <cell r="F46">
            <v>0</v>
          </cell>
          <cell r="G46">
            <v>0</v>
          </cell>
          <cell r="H46">
            <v>0</v>
          </cell>
          <cell r="I46">
            <v>0</v>
          </cell>
          <cell r="J46">
            <v>0</v>
          </cell>
          <cell r="K46">
            <v>0</v>
          </cell>
          <cell r="L46">
            <v>0</v>
          </cell>
          <cell r="M46">
            <v>0</v>
          </cell>
          <cell r="N46">
            <v>0</v>
          </cell>
          <cell r="O46">
            <v>0</v>
          </cell>
          <cell r="P46">
            <v>0</v>
          </cell>
          <cell r="T46">
            <v>0</v>
          </cell>
          <cell r="U46">
            <v>0</v>
          </cell>
          <cell r="V46">
            <v>0</v>
          </cell>
          <cell r="W46">
            <v>0</v>
          </cell>
          <cell r="X46">
            <v>0</v>
          </cell>
          <cell r="Y46">
            <v>0</v>
          </cell>
        </row>
        <row r="47">
          <cell r="A47">
            <v>24</v>
          </cell>
          <cell r="B47" t="str">
            <v>Adjustments</v>
          </cell>
          <cell r="C47">
            <v>0</v>
          </cell>
          <cell r="E47">
            <v>0</v>
          </cell>
          <cell r="F47">
            <v>0</v>
          </cell>
          <cell r="G47">
            <v>0</v>
          </cell>
          <cell r="H47">
            <v>0</v>
          </cell>
          <cell r="I47">
            <v>0</v>
          </cell>
          <cell r="J47">
            <v>0</v>
          </cell>
          <cell r="K47">
            <v>0</v>
          </cell>
          <cell r="L47">
            <v>0</v>
          </cell>
          <cell r="M47">
            <v>0</v>
          </cell>
          <cell r="N47">
            <v>0</v>
          </cell>
          <cell r="O47">
            <v>0</v>
          </cell>
          <cell r="P47">
            <v>0</v>
          </cell>
          <cell r="R47">
            <v>0</v>
          </cell>
          <cell r="S47">
            <v>0</v>
          </cell>
          <cell r="T47">
            <v>0</v>
          </cell>
          <cell r="U47">
            <v>0</v>
          </cell>
          <cell r="V47">
            <v>0</v>
          </cell>
          <cell r="W47">
            <v>0</v>
          </cell>
          <cell r="X47">
            <v>0</v>
          </cell>
          <cell r="Y47">
            <v>0</v>
          </cell>
        </row>
        <row r="48">
          <cell r="A48">
            <v>25</v>
          </cell>
          <cell r="B48" t="str">
            <v>Dividends</v>
          </cell>
          <cell r="E48">
            <v>0</v>
          </cell>
          <cell r="F48">
            <v>0</v>
          </cell>
          <cell r="G48">
            <v>0</v>
          </cell>
          <cell r="H48">
            <v>0</v>
          </cell>
          <cell r="I48">
            <v>0</v>
          </cell>
          <cell r="J48">
            <v>0</v>
          </cell>
          <cell r="K48">
            <v>0</v>
          </cell>
          <cell r="L48">
            <v>0</v>
          </cell>
          <cell r="M48">
            <v>0</v>
          </cell>
          <cell r="N48">
            <v>0</v>
          </cell>
          <cell r="O48">
            <v>0</v>
          </cell>
          <cell r="P48">
            <v>0</v>
          </cell>
          <cell r="T48">
            <v>0</v>
          </cell>
          <cell r="U48">
            <v>0</v>
          </cell>
          <cell r="V48">
            <v>0</v>
          </cell>
          <cell r="W48">
            <v>0</v>
          </cell>
          <cell r="X48">
            <v>0</v>
          </cell>
          <cell r="Y48">
            <v>0</v>
          </cell>
        </row>
        <row r="49">
          <cell r="A49">
            <v>26</v>
          </cell>
          <cell r="B49" t="str">
            <v>Extraordinary Items</v>
          </cell>
          <cell r="E49">
            <v>0</v>
          </cell>
          <cell r="F49">
            <v>0</v>
          </cell>
          <cell r="G49">
            <v>0</v>
          </cell>
          <cell r="H49">
            <v>0</v>
          </cell>
          <cell r="I49">
            <v>0</v>
          </cell>
          <cell r="J49">
            <v>0</v>
          </cell>
          <cell r="K49">
            <v>0</v>
          </cell>
          <cell r="L49">
            <v>0</v>
          </cell>
          <cell r="M49">
            <v>0</v>
          </cell>
          <cell r="N49">
            <v>0</v>
          </cell>
          <cell r="O49">
            <v>0</v>
          </cell>
          <cell r="P49">
            <v>0</v>
          </cell>
          <cell r="T49">
            <v>0</v>
          </cell>
          <cell r="U49">
            <v>0</v>
          </cell>
          <cell r="V49">
            <v>0</v>
          </cell>
          <cell r="W49">
            <v>0</v>
          </cell>
          <cell r="X49">
            <v>0</v>
          </cell>
          <cell r="Y49">
            <v>0</v>
          </cell>
        </row>
        <row r="50">
          <cell r="B50" t="str">
            <v>RETAINED PROFIT(LOSS)</v>
          </cell>
          <cell r="C50">
            <v>0</v>
          </cell>
          <cell r="E50">
            <v>100.89853317122336</v>
          </cell>
          <cell r="F50">
            <v>105.09760317122343</v>
          </cell>
          <cell r="G50">
            <v>169.7079331712234</v>
          </cell>
          <cell r="H50">
            <v>108.4935865045567</v>
          </cell>
          <cell r="I50">
            <v>130.60186650455671</v>
          </cell>
          <cell r="J50">
            <v>212.84623650455671</v>
          </cell>
          <cell r="K50">
            <v>112.95265304664574</v>
          </cell>
          <cell r="L50">
            <v>121.98874304664577</v>
          </cell>
          <cell r="M50">
            <v>184.38000304664578</v>
          </cell>
          <cell r="N50">
            <v>121.58583304664572</v>
          </cell>
          <cell r="O50">
            <v>189.11755304664567</v>
          </cell>
          <cell r="P50">
            <v>186.0380830466458</v>
          </cell>
          <cell r="Q50">
            <v>0</v>
          </cell>
          <cell r="R50">
            <v>0</v>
          </cell>
          <cell r="S50">
            <v>0</v>
          </cell>
          <cell r="T50">
            <v>0</v>
          </cell>
          <cell r="U50">
            <v>1743.7086273072146</v>
          </cell>
          <cell r="V50">
            <v>793.14002486702134</v>
          </cell>
          <cell r="W50">
            <v>1170.799</v>
          </cell>
          <cell r="X50">
            <v>950.56860244019322</v>
          </cell>
          <cell r="Y50">
            <v>572.90962730721458</v>
          </cell>
        </row>
        <row r="52">
          <cell r="B52" t="str">
            <v>RATIOS</v>
          </cell>
        </row>
        <row r="53">
          <cell r="B53" t="str">
            <v>No of week</v>
          </cell>
          <cell r="E53">
            <v>4</v>
          </cell>
          <cell r="F53">
            <v>4</v>
          </cell>
          <cell r="G53">
            <v>5</v>
          </cell>
          <cell r="H53">
            <v>4</v>
          </cell>
          <cell r="I53">
            <v>4</v>
          </cell>
          <cell r="J53">
            <v>5</v>
          </cell>
          <cell r="K53">
            <v>4</v>
          </cell>
          <cell r="L53">
            <v>4</v>
          </cell>
          <cell r="M53">
            <v>5</v>
          </cell>
          <cell r="N53">
            <v>4</v>
          </cell>
          <cell r="O53">
            <v>5</v>
          </cell>
          <cell r="P53">
            <v>4</v>
          </cell>
          <cell r="U53">
            <v>52</v>
          </cell>
          <cell r="V53">
            <v>52</v>
          </cell>
          <cell r="W53">
            <v>52</v>
          </cell>
          <cell r="X53">
            <v>0</v>
          </cell>
          <cell r="Y53">
            <v>0</v>
          </cell>
        </row>
        <row r="54">
          <cell r="A54">
            <v>27</v>
          </cell>
          <cell r="B54" t="str">
            <v>Pd Admissions</v>
          </cell>
          <cell r="E54">
            <v>43.12</v>
          </cell>
          <cell r="F54">
            <v>44.1</v>
          </cell>
          <cell r="G54">
            <v>58.8</v>
          </cell>
          <cell r="H54">
            <v>47.04</v>
          </cell>
          <cell r="I54">
            <v>50.96</v>
          </cell>
          <cell r="J54">
            <v>69.58</v>
          </cell>
          <cell r="K54">
            <v>47.04</v>
          </cell>
          <cell r="L54">
            <v>53.9</v>
          </cell>
          <cell r="M54">
            <v>63.7</v>
          </cell>
          <cell r="N54">
            <v>49</v>
          </cell>
          <cell r="O54">
            <v>64.680000000000007</v>
          </cell>
          <cell r="P54">
            <v>63.7</v>
          </cell>
          <cell r="T54">
            <v>0</v>
          </cell>
          <cell r="U54">
            <v>655.62</v>
          </cell>
          <cell r="V54">
            <v>627.029</v>
          </cell>
          <cell r="W54">
            <v>859.61300000000006</v>
          </cell>
          <cell r="X54">
            <v>28.591000000000008</v>
          </cell>
          <cell r="Y54">
            <v>-203.99300000000005</v>
          </cell>
        </row>
        <row r="55">
          <cell r="A55">
            <v>28</v>
          </cell>
          <cell r="B55" t="str">
            <v>Admissions</v>
          </cell>
          <cell r="E55">
            <v>44</v>
          </cell>
          <cell r="F55">
            <v>45</v>
          </cell>
          <cell r="G55">
            <v>60</v>
          </cell>
          <cell r="H55">
            <v>48</v>
          </cell>
          <cell r="I55">
            <v>52</v>
          </cell>
          <cell r="J55">
            <v>71</v>
          </cell>
          <cell r="K55">
            <v>48</v>
          </cell>
          <cell r="L55">
            <v>55</v>
          </cell>
          <cell r="M55">
            <v>65</v>
          </cell>
          <cell r="N55">
            <v>50</v>
          </cell>
          <cell r="O55">
            <v>66</v>
          </cell>
          <cell r="P55">
            <v>65</v>
          </cell>
          <cell r="T55">
            <v>0</v>
          </cell>
          <cell r="U55">
            <v>669</v>
          </cell>
          <cell r="V55">
            <v>627.029</v>
          </cell>
          <cell r="W55">
            <v>859.61300000000006</v>
          </cell>
          <cell r="X55">
            <v>41.971000000000004</v>
          </cell>
          <cell r="Y55">
            <v>-190.61300000000006</v>
          </cell>
        </row>
        <row r="56">
          <cell r="B56" t="str">
            <v>Utilisation Rate</v>
          </cell>
          <cell r="E56">
            <v>0.20299697349966783</v>
          </cell>
          <cell r="F56">
            <v>0.20761054107920573</v>
          </cell>
          <cell r="G56">
            <v>0.22145124381781944</v>
          </cell>
          <cell r="H56">
            <v>0.22145124381781944</v>
          </cell>
          <cell r="I56">
            <v>0.23990551413597105</v>
          </cell>
          <cell r="J56">
            <v>0.26205063851775301</v>
          </cell>
          <cell r="K56">
            <v>0.22145124381781944</v>
          </cell>
          <cell r="L56">
            <v>0.25374621687458476</v>
          </cell>
          <cell r="M56">
            <v>0.23990551413597105</v>
          </cell>
          <cell r="N56">
            <v>0.23067837897689525</v>
          </cell>
          <cell r="O56">
            <v>0.2435963681996014</v>
          </cell>
          <cell r="P56">
            <v>0.29988189266996385</v>
          </cell>
          <cell r="Q56">
            <v>0</v>
          </cell>
          <cell r="R56" t="e">
            <v>#DIV/0!</v>
          </cell>
          <cell r="S56" t="e">
            <v>#DIV/0!</v>
          </cell>
          <cell r="T56" t="e">
            <v>#DIV/0!</v>
          </cell>
          <cell r="U56">
            <v>0.2374212854392968</v>
          </cell>
          <cell r="V56">
            <v>0.22252620506385176</v>
          </cell>
          <cell r="W56">
            <v>0.28884243675030963</v>
          </cell>
          <cell r="X56">
            <v>1.4895080375445041E-2</v>
          </cell>
          <cell r="Y56">
            <v>-5.1421151311012825E-2</v>
          </cell>
        </row>
        <row r="57">
          <cell r="B57" t="str">
            <v>Ave. Admission Price (S$)</v>
          </cell>
          <cell r="C57" t="str">
            <v>N.A.</v>
          </cell>
          <cell r="E57">
            <v>6.62</v>
          </cell>
          <cell r="F57">
            <v>6.62</v>
          </cell>
          <cell r="G57">
            <v>6.62</v>
          </cell>
          <cell r="H57">
            <v>6.62</v>
          </cell>
          <cell r="I57">
            <v>6.62</v>
          </cell>
          <cell r="J57">
            <v>6.62</v>
          </cell>
          <cell r="K57">
            <v>6.62</v>
          </cell>
          <cell r="L57">
            <v>6.62</v>
          </cell>
          <cell r="M57">
            <v>6.62</v>
          </cell>
          <cell r="N57">
            <v>6.62</v>
          </cell>
          <cell r="O57">
            <v>6.62</v>
          </cell>
          <cell r="P57">
            <v>6.62</v>
          </cell>
          <cell r="R57" t="str">
            <v>N.A.</v>
          </cell>
          <cell r="S57" t="str">
            <v>N.A.</v>
          </cell>
          <cell r="U57">
            <v>6.62</v>
          </cell>
          <cell r="V57">
            <v>6.6427006406402258</v>
          </cell>
          <cell r="W57">
            <v>6.7777302111531581</v>
          </cell>
          <cell r="X57">
            <v>-2.2700640640226588E-2</v>
          </cell>
          <cell r="Y57">
            <v>-0.15773021115315888</v>
          </cell>
        </row>
        <row r="58">
          <cell r="B58" t="str">
            <v>Advert. Cost % of Box</v>
          </cell>
          <cell r="C58" t="str">
            <v>N.A.</v>
          </cell>
          <cell r="E58">
            <v>2.3E-2</v>
          </cell>
          <cell r="F58">
            <v>2.3E-2</v>
          </cell>
          <cell r="G58">
            <v>2.3E-2</v>
          </cell>
          <cell r="H58">
            <v>2.3E-2</v>
          </cell>
          <cell r="I58">
            <v>2.3E-2</v>
          </cell>
          <cell r="J58">
            <v>2.3E-2</v>
          </cell>
          <cell r="K58">
            <v>2.3E-2</v>
          </cell>
          <cell r="L58">
            <v>2.3E-2</v>
          </cell>
          <cell r="M58">
            <v>2.3E-2</v>
          </cell>
          <cell r="N58">
            <v>2.3E-2</v>
          </cell>
          <cell r="O58">
            <v>2.3E-2</v>
          </cell>
          <cell r="P58">
            <v>2.3E-2</v>
          </cell>
          <cell r="R58">
            <v>2.5999999999999999E-2</v>
          </cell>
          <cell r="S58">
            <v>2.5999999999999999E-2</v>
          </cell>
          <cell r="T58">
            <v>2.5999999999999999E-2</v>
          </cell>
          <cell r="U58">
            <v>2.3000000000000003E-2</v>
          </cell>
          <cell r="V58">
            <v>2.5406800479118481E-2</v>
          </cell>
          <cell r="W58">
            <v>2.3644126342528823E-2</v>
          </cell>
          <cell r="X58">
            <v>-2.4068004791184781E-3</v>
          </cell>
          <cell r="Y58">
            <v>-6.4412634252881962E-4</v>
          </cell>
        </row>
        <row r="59">
          <cell r="B59" t="str">
            <v>Concession Cost %</v>
          </cell>
          <cell r="C59" t="str">
            <v>N.A.</v>
          </cell>
          <cell r="E59">
            <v>0.19500000000000001</v>
          </cell>
          <cell r="F59">
            <v>0.19500000000000001</v>
          </cell>
          <cell r="G59">
            <v>0.19500000000000001</v>
          </cell>
          <cell r="H59">
            <v>0.19500000000000001</v>
          </cell>
          <cell r="I59">
            <v>0.19500000000000001</v>
          </cell>
          <cell r="J59">
            <v>0.19500000000000001</v>
          </cell>
          <cell r="K59">
            <v>0.19500000000000001</v>
          </cell>
          <cell r="L59">
            <v>0.19500000000000001</v>
          </cell>
          <cell r="M59">
            <v>0.19500000000000001</v>
          </cell>
          <cell r="N59">
            <v>0.19500000000000001</v>
          </cell>
          <cell r="O59">
            <v>0.19500000000000001</v>
          </cell>
          <cell r="P59">
            <v>0.19500000000000001</v>
          </cell>
          <cell r="Q59">
            <v>0</v>
          </cell>
          <cell r="R59" t="str">
            <v>N.A.</v>
          </cell>
          <cell r="S59" t="str">
            <v>N.A.</v>
          </cell>
          <cell r="U59">
            <v>0.19500000000000001</v>
          </cell>
          <cell r="V59">
            <v>0.17648917202892347</v>
          </cell>
          <cell r="W59">
            <v>0.21856466069142125</v>
          </cell>
          <cell r="X59">
            <v>1.8510827971076532E-2</v>
          </cell>
          <cell r="Y59">
            <v>-2.3564660691421241E-2</v>
          </cell>
        </row>
        <row r="60">
          <cell r="B60" t="str">
            <v>Concess. Rev per Patron (S$)</v>
          </cell>
          <cell r="C60" t="str">
            <v>N.A.</v>
          </cell>
          <cell r="E60">
            <v>1.07</v>
          </cell>
          <cell r="F60">
            <v>1.07</v>
          </cell>
          <cell r="G60">
            <v>1.07</v>
          </cell>
          <cell r="H60">
            <v>1.07</v>
          </cell>
          <cell r="I60">
            <v>1.07</v>
          </cell>
          <cell r="J60">
            <v>1.07</v>
          </cell>
          <cell r="K60">
            <v>1.07</v>
          </cell>
          <cell r="L60">
            <v>1.07</v>
          </cell>
          <cell r="M60">
            <v>1.07</v>
          </cell>
          <cell r="N60">
            <v>1.07</v>
          </cell>
          <cell r="O60">
            <v>1.07</v>
          </cell>
          <cell r="P60">
            <v>1.07</v>
          </cell>
          <cell r="R60" t="str">
            <v>N.A.</v>
          </cell>
          <cell r="S60" t="str">
            <v>N.A.</v>
          </cell>
          <cell r="U60">
            <v>1.07</v>
          </cell>
          <cell r="V60">
            <v>1.045666149412547</v>
          </cell>
          <cell r="W60">
            <v>0.90854838165546581</v>
          </cell>
          <cell r="X60">
            <v>2.4333850587452854E-2</v>
          </cell>
          <cell r="Y60">
            <v>0.16145161834453403</v>
          </cell>
        </row>
        <row r="61">
          <cell r="B61" t="str">
            <v>Film Hire : % of Net Box</v>
          </cell>
          <cell r="C61" t="str">
            <v>N.A.</v>
          </cell>
          <cell r="E61">
            <v>0.46500000000000002</v>
          </cell>
          <cell r="F61">
            <v>0.46500000000000002</v>
          </cell>
          <cell r="G61">
            <v>0.46500000000000002</v>
          </cell>
          <cell r="H61">
            <v>0.46500000000000002</v>
          </cell>
          <cell r="I61">
            <v>0.46500000000000002</v>
          </cell>
          <cell r="J61">
            <v>0.46500000000000002</v>
          </cell>
          <cell r="K61">
            <v>0.46500000000000002</v>
          </cell>
          <cell r="L61">
            <v>0.46500000000000002</v>
          </cell>
          <cell r="M61">
            <v>0.46500000000000002</v>
          </cell>
          <cell r="N61">
            <v>0.46500000000000002</v>
          </cell>
          <cell r="O61">
            <v>0.46500000000000002</v>
          </cell>
          <cell r="P61">
            <v>0.46500000000000002</v>
          </cell>
          <cell r="R61" t="str">
            <v>N.A.</v>
          </cell>
          <cell r="S61" t="str">
            <v>N.A.</v>
          </cell>
          <cell r="U61">
            <v>0.46500000000000002</v>
          </cell>
          <cell r="V61">
            <v>0.46761920846783839</v>
          </cell>
          <cell r="W61">
            <v>0.46726602559976654</v>
          </cell>
          <cell r="X61">
            <v>-2.6192084678384187E-3</v>
          </cell>
          <cell r="Y61">
            <v>-2.2660255997665746E-3</v>
          </cell>
        </row>
        <row r="62">
          <cell r="B62" t="str">
            <v>Direct Payroll : Net Box</v>
          </cell>
          <cell r="C62" t="str">
            <v>N.A.</v>
          </cell>
          <cell r="E62">
            <v>9.6630095018183704E-2</v>
          </cell>
          <cell r="F62">
            <v>9.4482759573335198E-2</v>
          </cell>
          <cell r="G62">
            <v>7.3631455379900693E-2</v>
          </cell>
          <cell r="H62">
            <v>8.8577587100001742E-2</v>
          </cell>
          <cell r="I62">
            <v>8.176392655384776E-2</v>
          </cell>
          <cell r="J62">
            <v>6.2223765109775231E-2</v>
          </cell>
          <cell r="K62">
            <v>9.026306570366488E-2</v>
          </cell>
          <cell r="L62">
            <v>7.8775039159562077E-2</v>
          </cell>
          <cell r="M62">
            <v>6.9212158396459569E-2</v>
          </cell>
          <cell r="N62">
            <v>8.6652543075518285E-2</v>
          </cell>
          <cell r="O62">
            <v>6.8163489329846547E-2</v>
          </cell>
          <cell r="P62">
            <v>6.9212158396459569E-2</v>
          </cell>
          <cell r="Q62">
            <v>0</v>
          </cell>
          <cell r="R62" t="str">
            <v>N.A.</v>
          </cell>
          <cell r="S62" t="str">
            <v>N.A.</v>
          </cell>
          <cell r="T62" t="str">
            <v>N.A.</v>
          </cell>
          <cell r="U62">
            <v>7.82315750634167E-2</v>
          </cell>
          <cell r="V62">
            <v>0.1050294185077934</v>
          </cell>
          <cell r="W62">
            <v>9.5950293715055632E-2</v>
          </cell>
          <cell r="X62">
            <v>-2.6797843444376704E-2</v>
          </cell>
          <cell r="Y62">
            <v>-1.7718718651638932E-2</v>
          </cell>
        </row>
        <row r="63">
          <cell r="B63" t="str">
            <v>Direct Payroll : Net Box &amp; Conc.</v>
          </cell>
          <cell r="C63" t="str">
            <v>N.A.</v>
          </cell>
          <cell r="E63">
            <v>8.3184815217214061E-2</v>
          </cell>
          <cell r="F63">
            <v>8.133626376794266E-2</v>
          </cell>
          <cell r="G63">
            <v>6.3386246373854691E-2</v>
          </cell>
          <cell r="H63">
            <v>7.6252747282446229E-2</v>
          </cell>
          <cell r="I63">
            <v>7.0387151337642673E-2</v>
          </cell>
          <cell r="J63">
            <v>5.356584200607438E-2</v>
          </cell>
          <cell r="K63">
            <v>7.7703705456210859E-2</v>
          </cell>
          <cell r="L63">
            <v>6.7814142943602204E-2</v>
          </cell>
          <cell r="M63">
            <v>5.958185807341513E-2</v>
          </cell>
          <cell r="N63">
            <v>7.459555723796242E-2</v>
          </cell>
          <cell r="O63">
            <v>5.8679102648060352E-2</v>
          </cell>
          <cell r="P63">
            <v>5.958185807341513E-2</v>
          </cell>
          <cell r="Q63">
            <v>0</v>
          </cell>
          <cell r="R63" t="str">
            <v>N.A.</v>
          </cell>
          <cell r="S63" t="str">
            <v>N.A.</v>
          </cell>
          <cell r="T63" t="str">
            <v>N.A.</v>
          </cell>
          <cell r="U63">
            <v>6.7346297388793053E-2</v>
          </cell>
          <cell r="V63">
            <v>9.0744758237919707E-2</v>
          </cell>
          <cell r="W63">
            <v>8.4608591352648047E-2</v>
          </cell>
          <cell r="X63">
            <v>-2.3398460849126654E-2</v>
          </cell>
          <cell r="Y63">
            <v>-1.7262293963854994E-2</v>
          </cell>
        </row>
        <row r="64">
          <cell r="B64" t="str">
            <v>Direct Payroll of Admissions (S$)</v>
          </cell>
          <cell r="C64" t="str">
            <v>N.A.</v>
          </cell>
          <cell r="E64">
            <v>0.63969122902037612</v>
          </cell>
          <cell r="F64">
            <v>0.62547586837547897</v>
          </cell>
          <cell r="G64">
            <v>0.48744023461494257</v>
          </cell>
          <cell r="H64">
            <v>0.58638362660201149</v>
          </cell>
          <cell r="I64">
            <v>0.5412771937864721</v>
          </cell>
          <cell r="J64">
            <v>0.41192132502671203</v>
          </cell>
          <cell r="K64">
            <v>0.59754149495826148</v>
          </cell>
          <cell r="L64">
            <v>0.52149075923630095</v>
          </cell>
          <cell r="M64">
            <v>0.45818448858456234</v>
          </cell>
          <cell r="N64">
            <v>0.573639835159931</v>
          </cell>
          <cell r="O64">
            <v>0.45124229936358418</v>
          </cell>
          <cell r="P64">
            <v>0.45818448858456234</v>
          </cell>
          <cell r="Q64">
            <v>0</v>
          </cell>
          <cell r="R64" t="str">
            <v>N.A.</v>
          </cell>
          <cell r="S64" t="str">
            <v>N.A.</v>
          </cell>
          <cell r="T64" t="str">
            <v>N.A.</v>
          </cell>
          <cell r="U64">
            <v>0.51789302691981853</v>
          </cell>
          <cell r="V64">
            <v>0.69767898560778963</v>
          </cell>
          <cell r="W64">
            <v>0.65032520448155151</v>
          </cell>
          <cell r="X64">
            <v>-0.17978595868797109</v>
          </cell>
          <cell r="Y64">
            <v>-0.13243217756173298</v>
          </cell>
        </row>
        <row r="65">
          <cell r="B65" t="str">
            <v>Gross Margin :Total Rev</v>
          </cell>
          <cell r="C65" t="str">
            <v>N.A.</v>
          </cell>
          <cell r="E65">
            <v>0.52404085519464583</v>
          </cell>
          <cell r="F65">
            <v>0.52457889271217828</v>
          </cell>
          <cell r="G65">
            <v>0.53034821492453199</v>
          </cell>
          <cell r="H65">
            <v>0.52607162847313615</v>
          </cell>
          <cell r="I65">
            <v>0.52781834498584146</v>
          </cell>
          <cell r="J65">
            <v>0.53411870588190435</v>
          </cell>
          <cell r="K65">
            <v>0.52476233206019185</v>
          </cell>
          <cell r="L65">
            <v>0.52985037672707136</v>
          </cell>
          <cell r="M65">
            <v>0.53082863094557298</v>
          </cell>
          <cell r="N65">
            <v>0.52571478139338712</v>
          </cell>
          <cell r="O65">
            <v>0.53025669596276315</v>
          </cell>
          <cell r="P65">
            <v>0.53082863094557298</v>
          </cell>
          <cell r="Q65">
            <v>0</v>
          </cell>
          <cell r="R65" t="str">
            <v>N.A.</v>
          </cell>
          <cell r="S65" t="str">
            <v>N.A.</v>
          </cell>
          <cell r="T65" t="str">
            <v>N.A.</v>
          </cell>
          <cell r="U65">
            <v>0.52870391066044498</v>
          </cell>
          <cell r="V65">
            <v>0.50877311250721269</v>
          </cell>
          <cell r="W65">
            <v>0.4861569738849108</v>
          </cell>
          <cell r="X65">
            <v>1.9930798153232288E-2</v>
          </cell>
          <cell r="Y65">
            <v>4.2546936775534172E-2</v>
          </cell>
        </row>
        <row r="66">
          <cell r="B66" t="str">
            <v>G&amp;A % of total revenue</v>
          </cell>
          <cell r="C66" t="str">
            <v>N.A.</v>
          </cell>
          <cell r="E66">
            <v>5.6830132467178364E-2</v>
          </cell>
          <cell r="F66">
            <v>5.6186216179259549E-2</v>
          </cell>
          <cell r="G66">
            <v>4.2794544001690658E-2</v>
          </cell>
          <cell r="H66">
            <v>5.3017430345587528E-2</v>
          </cell>
          <cell r="I66">
            <v>4.8950071386450161E-2</v>
          </cell>
          <cell r="J66">
            <v>3.684354956310458E-2</v>
          </cell>
          <cell r="K66">
            <v>5.3030523309716977E-2</v>
          </cell>
          <cell r="L66">
            <v>9.5333361299045016E-2</v>
          </cell>
          <cell r="M66">
            <v>4.2827740699282239E-2</v>
          </cell>
          <cell r="N66">
            <v>5.0736453719389202E-2</v>
          </cell>
          <cell r="O66">
            <v>3.9570511044238074E-2</v>
          </cell>
          <cell r="P66">
            <v>3.9767353338090672E-2</v>
          </cell>
          <cell r="Q66">
            <v>0</v>
          </cell>
          <cell r="R66" t="e">
            <v>#DIV/0!</v>
          </cell>
          <cell r="S66" t="e">
            <v>#DIV/0!</v>
          </cell>
          <cell r="T66" t="e">
            <v>#DIV/0!</v>
          </cell>
          <cell r="U66">
            <v>5.0327586004392348E-2</v>
          </cell>
          <cell r="V66">
            <v>5.7027516372420942E-2</v>
          </cell>
          <cell r="W66">
            <v>5.6656129757499375E-2</v>
          </cell>
          <cell r="X66">
            <v>-6.6999303680285935E-3</v>
          </cell>
          <cell r="Y66">
            <v>-6.3285437531070271E-3</v>
          </cell>
        </row>
        <row r="67">
          <cell r="B67" t="str">
            <v>E.B.I.T.D. : Total Rev</v>
          </cell>
          <cell r="C67" t="str">
            <v>N.A.</v>
          </cell>
          <cell r="E67">
            <v>0.34214781756119789</v>
          </cell>
          <cell r="F67">
            <v>0.34621000293036475</v>
          </cell>
          <cell r="G67">
            <v>0.39385711883218449</v>
          </cell>
          <cell r="H67">
            <v>0.34553915669542762</v>
          </cell>
          <cell r="I67">
            <v>0.37163973768066816</v>
          </cell>
          <cell r="J67">
            <v>0.41719570682787122</v>
          </cell>
          <cell r="K67">
            <v>0.3564399840350696</v>
          </cell>
          <cell r="L67">
            <v>0.33307099392982015</v>
          </cell>
          <cell r="M67">
            <v>0.40095386697771757</v>
          </cell>
          <cell r="N67">
            <v>0.36386423876635227</v>
          </cell>
          <cell r="O67">
            <v>0.40470090885553162</v>
          </cell>
          <cell r="P67">
            <v>0.4040142543389092</v>
          </cell>
          <cell r="Q67">
            <v>0</v>
          </cell>
          <cell r="R67" t="str">
            <v>N.A.</v>
          </cell>
          <cell r="S67" t="str">
            <v>N.A.</v>
          </cell>
          <cell r="T67" t="str">
            <v>N.A.</v>
          </cell>
          <cell r="U67">
            <v>0.37704629729466344</v>
          </cell>
          <cell r="V67">
            <v>0.34069211729155857</v>
          </cell>
          <cell r="W67">
            <v>0.32952713884251605</v>
          </cell>
          <cell r="X67">
            <v>3.6354180003104863E-2</v>
          </cell>
          <cell r="Y67">
            <v>4.7519158452147381E-2</v>
          </cell>
        </row>
        <row r="68">
          <cell r="B68" t="str">
            <v>No of Concession Transactions</v>
          </cell>
          <cell r="E68">
            <v>10</v>
          </cell>
          <cell r="F68">
            <v>12</v>
          </cell>
          <cell r="G68">
            <v>13</v>
          </cell>
          <cell r="H68">
            <v>11</v>
          </cell>
          <cell r="I68">
            <v>13</v>
          </cell>
          <cell r="J68">
            <v>18</v>
          </cell>
          <cell r="K68">
            <v>10</v>
          </cell>
          <cell r="L68">
            <v>13</v>
          </cell>
          <cell r="M68">
            <v>15.744</v>
          </cell>
          <cell r="N68">
            <v>13</v>
          </cell>
          <cell r="O68">
            <v>16</v>
          </cell>
          <cell r="P68">
            <v>15</v>
          </cell>
          <cell r="Q68">
            <v>0</v>
          </cell>
          <cell r="R68">
            <v>20.744</v>
          </cell>
          <cell r="S68">
            <v>21.744</v>
          </cell>
          <cell r="T68">
            <v>22.744</v>
          </cell>
          <cell r="U68">
            <v>159.744</v>
          </cell>
          <cell r="V68">
            <v>149.744</v>
          </cell>
          <cell r="W68">
            <v>0</v>
          </cell>
          <cell r="X68">
            <v>10</v>
          </cell>
          <cell r="Y68">
            <v>159.744</v>
          </cell>
        </row>
        <row r="69">
          <cell r="B69" t="str">
            <v>Strike Rate %(No of Trans/Adm)</v>
          </cell>
          <cell r="E69">
            <v>0.22727272727272727</v>
          </cell>
          <cell r="F69">
            <v>0.26666666666666666</v>
          </cell>
          <cell r="G69">
            <v>0.21666666666666667</v>
          </cell>
          <cell r="H69">
            <v>0.22916666666666666</v>
          </cell>
          <cell r="I69">
            <v>0.25</v>
          </cell>
          <cell r="J69">
            <v>0.25352112676056338</v>
          </cell>
          <cell r="K69">
            <v>0.20833333333333334</v>
          </cell>
          <cell r="L69">
            <v>0.23636363636363636</v>
          </cell>
          <cell r="M69">
            <v>0.24221538461538461</v>
          </cell>
          <cell r="N69">
            <v>0.26</v>
          </cell>
          <cell r="O69">
            <v>0.24242424242424243</v>
          </cell>
          <cell r="P69">
            <v>0.23076923076923078</v>
          </cell>
          <cell r="Q69">
            <v>0</v>
          </cell>
          <cell r="R69" t="e">
            <v>#DIV/0!</v>
          </cell>
          <cell r="S69" t="e">
            <v>#DIV/0!</v>
          </cell>
          <cell r="T69" t="e">
            <v>#DIV/0!</v>
          </cell>
          <cell r="U69">
            <v>0.23878026905829597</v>
          </cell>
          <cell r="V69">
            <v>0.23881511062486743</v>
          </cell>
          <cell r="W69">
            <v>0</v>
          </cell>
          <cell r="X69">
            <v>-3.4841566571464089E-5</v>
          </cell>
          <cell r="Y69">
            <v>0.23878026905829597</v>
          </cell>
        </row>
        <row r="70">
          <cell r="B70" t="str">
            <v>Ave Sales (Total Sale/No of Trans) (S$)</v>
          </cell>
          <cell r="E70">
            <v>4.7080000000000002</v>
          </cell>
          <cell r="F70">
            <v>4.0125000000000002</v>
          </cell>
          <cell r="G70">
            <v>4.9384615384615387</v>
          </cell>
          <cell r="H70">
            <v>4.669090909090909</v>
          </cell>
          <cell r="I70">
            <v>4.28</v>
          </cell>
          <cell r="J70">
            <v>4.2205555555555554</v>
          </cell>
          <cell r="K70">
            <v>5.1360000000000001</v>
          </cell>
          <cell r="L70">
            <v>4.5269230769230768</v>
          </cell>
          <cell r="M70">
            <v>4.4175558943089426</v>
          </cell>
          <cell r="N70">
            <v>4.115384615384615</v>
          </cell>
          <cell r="O70">
            <v>4.4137500000000003</v>
          </cell>
          <cell r="P70">
            <v>4.6366666666666667</v>
          </cell>
          <cell r="Q70">
            <v>0</v>
          </cell>
          <cell r="R70">
            <v>0</v>
          </cell>
          <cell r="S70">
            <v>0</v>
          </cell>
          <cell r="T70">
            <v>0</v>
          </cell>
          <cell r="U70">
            <v>4.481107271634615</v>
          </cell>
          <cell r="V70">
            <v>4.3785594080564154</v>
          </cell>
          <cell r="W70" t="str">
            <v>N.A.</v>
          </cell>
          <cell r="X70">
            <v>0.10254786357819956</v>
          </cell>
          <cell r="Y70" t="str">
            <v>N.A.</v>
          </cell>
        </row>
        <row r="71">
          <cell r="B71" t="str">
            <v xml:space="preserve">Total Concession Combo Sales </v>
          </cell>
          <cell r="E71">
            <v>21</v>
          </cell>
          <cell r="F71">
            <v>21</v>
          </cell>
          <cell r="G71">
            <v>28</v>
          </cell>
          <cell r="H71">
            <v>23</v>
          </cell>
          <cell r="I71">
            <v>24</v>
          </cell>
          <cell r="J71">
            <v>34</v>
          </cell>
          <cell r="K71">
            <v>20</v>
          </cell>
          <cell r="L71">
            <v>24</v>
          </cell>
          <cell r="M71">
            <v>30</v>
          </cell>
          <cell r="N71">
            <v>22</v>
          </cell>
          <cell r="O71">
            <v>30</v>
          </cell>
          <cell r="P71">
            <v>30</v>
          </cell>
          <cell r="Q71">
            <v>0</v>
          </cell>
          <cell r="R71">
            <v>43.881999999999998</v>
          </cell>
          <cell r="S71">
            <v>44.881999999999998</v>
          </cell>
          <cell r="T71">
            <v>45.881999999999998</v>
          </cell>
          <cell r="U71">
            <v>307</v>
          </cell>
          <cell r="V71">
            <v>286</v>
          </cell>
          <cell r="W71">
            <v>0</v>
          </cell>
          <cell r="X71">
            <v>21</v>
          </cell>
          <cell r="Y71">
            <v>307</v>
          </cell>
        </row>
        <row r="72">
          <cell r="B72" t="str">
            <v>Combo Sales as % of Total Sales</v>
          </cell>
          <cell r="E72">
            <v>0.44604927782497872</v>
          </cell>
          <cell r="F72">
            <v>0.43613707165109028</v>
          </cell>
          <cell r="G72">
            <v>0.43613707165109034</v>
          </cell>
          <cell r="H72">
            <v>0.44781931464174457</v>
          </cell>
          <cell r="I72">
            <v>0.43134435657800141</v>
          </cell>
          <cell r="J72">
            <v>0.44754508358562589</v>
          </cell>
          <cell r="K72">
            <v>0.38940809968847351</v>
          </cell>
          <cell r="L72">
            <v>0.4078164825828377</v>
          </cell>
          <cell r="M72">
            <v>0.43134435657800146</v>
          </cell>
          <cell r="N72">
            <v>0.41121495327102803</v>
          </cell>
          <cell r="O72">
            <v>0.42480883602378927</v>
          </cell>
          <cell r="P72">
            <v>0.43134435657800146</v>
          </cell>
          <cell r="Q72">
            <v>0</v>
          </cell>
          <cell r="R72" t="e">
            <v>#DIV/0!</v>
          </cell>
          <cell r="S72" t="e">
            <v>#DIV/0!</v>
          </cell>
          <cell r="T72" t="e">
            <v>#DIV/0!</v>
          </cell>
          <cell r="U72">
            <v>0.42887277705600496</v>
          </cell>
          <cell r="V72">
            <v>0.43619969405014475</v>
          </cell>
          <cell r="W72">
            <v>0</v>
          </cell>
          <cell r="X72">
            <v>-7.3269169941397871E-3</v>
          </cell>
          <cell r="Y72">
            <v>0.42887277705600496</v>
          </cell>
        </row>
        <row r="73">
          <cell r="B73" t="str">
            <v>No of Payroll hours Paid</v>
          </cell>
          <cell r="E73">
            <v>4</v>
          </cell>
          <cell r="F73">
            <v>3</v>
          </cell>
          <cell r="G73">
            <v>4</v>
          </cell>
          <cell r="H73">
            <v>3</v>
          </cell>
          <cell r="I73">
            <v>4</v>
          </cell>
          <cell r="J73">
            <v>4</v>
          </cell>
          <cell r="K73">
            <v>3</v>
          </cell>
          <cell r="L73">
            <v>3</v>
          </cell>
          <cell r="M73">
            <v>4</v>
          </cell>
          <cell r="N73">
            <v>3</v>
          </cell>
          <cell r="O73">
            <v>4</v>
          </cell>
          <cell r="P73">
            <v>4</v>
          </cell>
          <cell r="Q73">
            <v>0</v>
          </cell>
          <cell r="R73">
            <v>4.5860000000000003</v>
          </cell>
          <cell r="S73">
            <v>4.5860000000000003</v>
          </cell>
          <cell r="T73">
            <v>4.5860000000000003</v>
          </cell>
          <cell r="U73">
            <v>69.319999999999993</v>
          </cell>
          <cell r="V73">
            <v>64.545000000000002</v>
          </cell>
          <cell r="W73">
            <v>0</v>
          </cell>
          <cell r="X73">
            <v>4.7749999999999915</v>
          </cell>
          <cell r="Y73">
            <v>69.319999999999993</v>
          </cell>
        </row>
        <row r="74">
          <cell r="B74" t="str">
            <v>Admissions/labour hour paid</v>
          </cell>
          <cell r="E74">
            <v>9.2146596858638734</v>
          </cell>
          <cell r="F74">
            <v>9.4260578131545874</v>
          </cell>
          <cell r="G74">
            <v>8.3507306889352826</v>
          </cell>
          <cell r="H74">
            <v>9.6</v>
          </cell>
          <cell r="I74">
            <v>10.4</v>
          </cell>
          <cell r="J74">
            <v>10.142857142857142</v>
          </cell>
          <cell r="K74">
            <v>9.6</v>
          </cell>
          <cell r="L74">
            <v>9.1666666666666661</v>
          </cell>
          <cell r="M74">
            <v>9.2857142857142865</v>
          </cell>
          <cell r="N74">
            <v>10.902747492368077</v>
          </cell>
          <cell r="O74">
            <v>9.4285714285714288</v>
          </cell>
          <cell r="P74">
            <v>10.833333333333334</v>
          </cell>
          <cell r="Q74">
            <v>0</v>
          </cell>
          <cell r="R74">
            <v>0</v>
          </cell>
          <cell r="S74">
            <v>0</v>
          </cell>
          <cell r="T74">
            <v>0</v>
          </cell>
          <cell r="U74">
            <v>9.6508944027697652</v>
          </cell>
          <cell r="V74">
            <v>9.7146022155085596</v>
          </cell>
          <cell r="W74" t="str">
            <v>N.A.</v>
          </cell>
          <cell r="X74">
            <v>-6.3707812738794445E-2</v>
          </cell>
          <cell r="Y74" t="str">
            <v>N.A.</v>
          </cell>
        </row>
        <row r="75">
          <cell r="A75">
            <v>0</v>
          </cell>
        </row>
        <row r="76">
          <cell r="A76">
            <v>0</v>
          </cell>
          <cell r="B76" t="str">
            <v>6 Other Income</v>
          </cell>
        </row>
        <row r="77">
          <cell r="A77">
            <v>52</v>
          </cell>
          <cell r="B77" t="str">
            <v>Booking Fee</v>
          </cell>
          <cell r="E77">
            <v>2.265625</v>
          </cell>
          <cell r="F77">
            <v>2.265625</v>
          </cell>
          <cell r="G77">
            <v>2.265625</v>
          </cell>
          <cell r="H77">
            <v>2.265625</v>
          </cell>
          <cell r="I77">
            <v>2.265625</v>
          </cell>
          <cell r="J77">
            <v>2.265625</v>
          </cell>
          <cell r="K77">
            <v>2.265625</v>
          </cell>
          <cell r="L77">
            <v>2.265625</v>
          </cell>
          <cell r="M77">
            <v>2.265625</v>
          </cell>
          <cell r="N77">
            <v>2.265625</v>
          </cell>
          <cell r="O77">
            <v>2.265625</v>
          </cell>
          <cell r="P77">
            <v>2.265625</v>
          </cell>
          <cell r="T77">
            <v>0</v>
          </cell>
          <cell r="U77">
            <v>27.1875</v>
          </cell>
          <cell r="V77">
            <v>45.376930000000002</v>
          </cell>
          <cell r="W77">
            <v>3.8690000000000002</v>
          </cell>
          <cell r="X77">
            <v>-18.189430000000002</v>
          </cell>
          <cell r="Y77">
            <v>23.3185</v>
          </cell>
        </row>
        <row r="78">
          <cell r="A78">
            <v>53</v>
          </cell>
          <cell r="B78" t="str">
            <v>Auditorium Rentals</v>
          </cell>
          <cell r="E78">
            <v>4</v>
          </cell>
          <cell r="F78">
            <v>4</v>
          </cell>
          <cell r="G78">
            <v>4</v>
          </cell>
          <cell r="H78">
            <v>4</v>
          </cell>
          <cell r="I78">
            <v>4</v>
          </cell>
          <cell r="J78">
            <v>4</v>
          </cell>
          <cell r="K78">
            <v>4</v>
          </cell>
          <cell r="L78">
            <v>4</v>
          </cell>
          <cell r="M78">
            <v>4</v>
          </cell>
          <cell r="N78">
            <v>4</v>
          </cell>
          <cell r="O78">
            <v>4</v>
          </cell>
          <cell r="P78">
            <v>4</v>
          </cell>
          <cell r="T78">
            <v>0</v>
          </cell>
          <cell r="U78">
            <v>48</v>
          </cell>
          <cell r="V78">
            <v>32.137</v>
          </cell>
          <cell r="W78">
            <v>0</v>
          </cell>
          <cell r="X78">
            <v>15.863</v>
          </cell>
          <cell r="Y78">
            <v>48</v>
          </cell>
        </row>
        <row r="79">
          <cell r="A79">
            <v>54</v>
          </cell>
          <cell r="B79" t="str">
            <v>Parking Revenue</v>
          </cell>
          <cell r="E79">
            <v>0</v>
          </cell>
          <cell r="F79">
            <v>0</v>
          </cell>
          <cell r="G79">
            <v>0</v>
          </cell>
          <cell r="H79">
            <v>0</v>
          </cell>
          <cell r="I79">
            <v>0</v>
          </cell>
          <cell r="J79">
            <v>0</v>
          </cell>
          <cell r="K79">
            <v>0</v>
          </cell>
          <cell r="L79">
            <v>0</v>
          </cell>
          <cell r="M79">
            <v>0</v>
          </cell>
          <cell r="N79">
            <v>0</v>
          </cell>
          <cell r="O79">
            <v>0</v>
          </cell>
          <cell r="P79">
            <v>0</v>
          </cell>
          <cell r="T79">
            <v>0</v>
          </cell>
          <cell r="U79">
            <v>0</v>
          </cell>
          <cell r="V79">
            <v>0</v>
          </cell>
          <cell r="W79">
            <v>0</v>
          </cell>
          <cell r="X79">
            <v>0</v>
          </cell>
          <cell r="Y79">
            <v>0</v>
          </cell>
        </row>
        <row r="80">
          <cell r="A80">
            <v>55</v>
          </cell>
          <cell r="B80" t="str">
            <v>Ticket Advertising</v>
          </cell>
          <cell r="E80">
            <v>0</v>
          </cell>
          <cell r="F80">
            <v>0</v>
          </cell>
          <cell r="G80">
            <v>0</v>
          </cell>
          <cell r="H80">
            <v>0</v>
          </cell>
          <cell r="I80">
            <v>0</v>
          </cell>
          <cell r="J80">
            <v>0</v>
          </cell>
          <cell r="K80">
            <v>0</v>
          </cell>
          <cell r="L80">
            <v>0</v>
          </cell>
          <cell r="M80">
            <v>0</v>
          </cell>
          <cell r="N80">
            <v>0</v>
          </cell>
          <cell r="O80">
            <v>0</v>
          </cell>
          <cell r="P80">
            <v>0</v>
          </cell>
          <cell r="T80">
            <v>0</v>
          </cell>
          <cell r="U80">
            <v>0</v>
          </cell>
          <cell r="V80">
            <v>0</v>
          </cell>
          <cell r="W80">
            <v>0</v>
          </cell>
          <cell r="X80">
            <v>0</v>
          </cell>
          <cell r="Y80">
            <v>0</v>
          </cell>
        </row>
        <row r="81">
          <cell r="A81">
            <v>56</v>
          </cell>
          <cell r="B81" t="str">
            <v>Participating</v>
          </cell>
          <cell r="E81">
            <v>0</v>
          </cell>
          <cell r="F81">
            <v>0</v>
          </cell>
          <cell r="G81">
            <v>0</v>
          </cell>
          <cell r="H81">
            <v>0</v>
          </cell>
          <cell r="I81">
            <v>0</v>
          </cell>
          <cell r="J81">
            <v>0</v>
          </cell>
          <cell r="K81">
            <v>0</v>
          </cell>
          <cell r="L81">
            <v>0</v>
          </cell>
          <cell r="M81">
            <v>0</v>
          </cell>
          <cell r="N81">
            <v>0</v>
          </cell>
          <cell r="O81">
            <v>0</v>
          </cell>
          <cell r="P81">
            <v>0</v>
          </cell>
          <cell r="T81">
            <v>0</v>
          </cell>
          <cell r="U81">
            <v>0</v>
          </cell>
          <cell r="V81">
            <v>0</v>
          </cell>
          <cell r="W81">
            <v>0</v>
          </cell>
          <cell r="X81">
            <v>0</v>
          </cell>
          <cell r="Y81">
            <v>0</v>
          </cell>
        </row>
        <row r="82">
          <cell r="A82">
            <v>57</v>
          </cell>
          <cell r="B82" t="str">
            <v>Miscellaneous</v>
          </cell>
          <cell r="E82">
            <v>3.1720000000000002</v>
          </cell>
          <cell r="F82">
            <v>3.1720000000000002</v>
          </cell>
          <cell r="G82">
            <v>3.1720000000000002</v>
          </cell>
          <cell r="H82">
            <v>3.1720000000000002</v>
          </cell>
          <cell r="I82">
            <v>3.1720000000000002</v>
          </cell>
          <cell r="J82">
            <v>3.1720000000000002</v>
          </cell>
          <cell r="K82">
            <v>3.1720000000000002</v>
          </cell>
          <cell r="L82">
            <v>3.1720000000000002</v>
          </cell>
          <cell r="M82">
            <v>3.1720000000000002</v>
          </cell>
          <cell r="N82">
            <v>3.1720000000000002</v>
          </cell>
          <cell r="O82">
            <v>3.1720000000000002</v>
          </cell>
          <cell r="P82">
            <v>3.1720000000000002</v>
          </cell>
          <cell r="T82">
            <v>0</v>
          </cell>
          <cell r="U82">
            <v>38.064</v>
          </cell>
          <cell r="V82">
            <v>51.67</v>
          </cell>
          <cell r="W82">
            <v>53.204000000000001</v>
          </cell>
          <cell r="X82">
            <v>-13.606000000000002</v>
          </cell>
          <cell r="Y82">
            <v>-15.14</v>
          </cell>
        </row>
        <row r="83">
          <cell r="C83">
            <v>0</v>
          </cell>
          <cell r="E83">
            <v>9.4376250000000006</v>
          </cell>
          <cell r="F83">
            <v>9.4376250000000006</v>
          </cell>
          <cell r="G83">
            <v>9.4376250000000006</v>
          </cell>
          <cell r="H83">
            <v>9.4376250000000006</v>
          </cell>
          <cell r="I83">
            <v>9.4376250000000006</v>
          </cell>
          <cell r="J83">
            <v>9.4376250000000006</v>
          </cell>
          <cell r="K83">
            <v>9.4376250000000006</v>
          </cell>
          <cell r="L83">
            <v>9.4376250000000006</v>
          </cell>
          <cell r="M83">
            <v>9.4376250000000006</v>
          </cell>
          <cell r="N83">
            <v>9.4376250000000006</v>
          </cell>
          <cell r="O83">
            <v>9.4376250000000006</v>
          </cell>
          <cell r="P83">
            <v>9.4376250000000006</v>
          </cell>
          <cell r="R83">
            <v>0</v>
          </cell>
          <cell r="S83">
            <v>0</v>
          </cell>
          <cell r="T83">
            <v>0</v>
          </cell>
          <cell r="U83">
            <v>113.25149999999999</v>
          </cell>
          <cell r="V83">
            <v>129.18393</v>
          </cell>
          <cell r="W83">
            <v>57.073</v>
          </cell>
          <cell r="X83">
            <v>-15.932430000000011</v>
          </cell>
          <cell r="Y83">
            <v>56.178499999999993</v>
          </cell>
        </row>
        <row r="84">
          <cell r="X84">
            <v>0</v>
          </cell>
          <cell r="Y84">
            <v>0</v>
          </cell>
        </row>
        <row r="85">
          <cell r="B85" t="str">
            <v>10 Other Cost</v>
          </cell>
          <cell r="X85">
            <v>0</v>
          </cell>
          <cell r="Y85">
            <v>0</v>
          </cell>
        </row>
        <row r="86">
          <cell r="A86">
            <v>61</v>
          </cell>
          <cell r="B86" t="str">
            <v>Authors Rights</v>
          </cell>
          <cell r="E86">
            <v>0.58256000000000008</v>
          </cell>
          <cell r="F86">
            <v>0.5958</v>
          </cell>
          <cell r="G86">
            <v>0.7944</v>
          </cell>
          <cell r="H86">
            <v>0.63551999999999997</v>
          </cell>
          <cell r="I86">
            <v>0.68847999999999998</v>
          </cell>
          <cell r="J86">
            <v>0.94003999999999999</v>
          </cell>
          <cell r="K86">
            <v>0.63551999999999997</v>
          </cell>
          <cell r="L86">
            <v>0.72820000000000007</v>
          </cell>
          <cell r="M86">
            <v>0.86060000000000003</v>
          </cell>
          <cell r="N86">
            <v>0.66200000000000003</v>
          </cell>
          <cell r="O86">
            <v>0.87384000000000006</v>
          </cell>
          <cell r="P86">
            <v>0.86060000000000003</v>
          </cell>
          <cell r="U86">
            <v>8.8575599999999994</v>
          </cell>
          <cell r="V86">
            <v>8.3303318799999992</v>
          </cell>
          <cell r="W86">
            <v>11.652450000000002</v>
          </cell>
          <cell r="X86">
            <v>0.52722812000000019</v>
          </cell>
          <cell r="Y86">
            <v>-2.7948900000000023</v>
          </cell>
        </row>
        <row r="87">
          <cell r="A87">
            <v>62</v>
          </cell>
          <cell r="B87" t="str">
            <v>Film Levies</v>
          </cell>
          <cell r="E87">
            <v>0</v>
          </cell>
          <cell r="F87">
            <v>0</v>
          </cell>
          <cell r="G87">
            <v>0</v>
          </cell>
          <cell r="H87">
            <v>0</v>
          </cell>
          <cell r="I87">
            <v>0</v>
          </cell>
          <cell r="J87">
            <v>0</v>
          </cell>
          <cell r="K87">
            <v>0</v>
          </cell>
          <cell r="L87">
            <v>0</v>
          </cell>
          <cell r="M87">
            <v>0</v>
          </cell>
          <cell r="N87">
            <v>0</v>
          </cell>
          <cell r="O87">
            <v>0</v>
          </cell>
          <cell r="P87">
            <v>0</v>
          </cell>
          <cell r="U87">
            <v>0</v>
          </cell>
          <cell r="V87">
            <v>0</v>
          </cell>
          <cell r="W87">
            <v>0</v>
          </cell>
          <cell r="X87">
            <v>0</v>
          </cell>
          <cell r="Y87">
            <v>0</v>
          </cell>
        </row>
        <row r="88">
          <cell r="A88">
            <v>63</v>
          </cell>
          <cell r="B88" t="str">
            <v>Cultural Fees</v>
          </cell>
          <cell r="E88">
            <v>0</v>
          </cell>
          <cell r="F88">
            <v>0</v>
          </cell>
          <cell r="G88">
            <v>0</v>
          </cell>
          <cell r="H88">
            <v>0</v>
          </cell>
          <cell r="I88">
            <v>0</v>
          </cell>
          <cell r="J88">
            <v>0</v>
          </cell>
          <cell r="K88">
            <v>0</v>
          </cell>
          <cell r="L88">
            <v>0</v>
          </cell>
          <cell r="M88">
            <v>0</v>
          </cell>
          <cell r="N88">
            <v>0</v>
          </cell>
          <cell r="O88">
            <v>0</v>
          </cell>
          <cell r="P88">
            <v>0</v>
          </cell>
          <cell r="U88">
            <v>0</v>
          </cell>
          <cell r="V88">
            <v>0</v>
          </cell>
          <cell r="W88">
            <v>0</v>
          </cell>
          <cell r="X88">
            <v>0</v>
          </cell>
          <cell r="Y88">
            <v>0</v>
          </cell>
        </row>
        <row r="89">
          <cell r="A89">
            <v>64</v>
          </cell>
          <cell r="B89" t="str">
            <v>Municipal Taxes</v>
          </cell>
          <cell r="E89">
            <v>0</v>
          </cell>
          <cell r="F89">
            <v>0</v>
          </cell>
          <cell r="G89">
            <v>0</v>
          </cell>
          <cell r="H89">
            <v>0</v>
          </cell>
          <cell r="I89">
            <v>0</v>
          </cell>
          <cell r="J89">
            <v>0</v>
          </cell>
          <cell r="K89">
            <v>0</v>
          </cell>
          <cell r="L89">
            <v>0</v>
          </cell>
          <cell r="M89">
            <v>0</v>
          </cell>
          <cell r="N89">
            <v>0</v>
          </cell>
          <cell r="O89">
            <v>0</v>
          </cell>
          <cell r="P89">
            <v>0</v>
          </cell>
          <cell r="U89">
            <v>0</v>
          </cell>
          <cell r="V89">
            <v>0</v>
          </cell>
          <cell r="W89">
            <v>0</v>
          </cell>
          <cell r="X89">
            <v>0</v>
          </cell>
          <cell r="Y89">
            <v>0</v>
          </cell>
        </row>
        <row r="90">
          <cell r="A90">
            <v>65</v>
          </cell>
          <cell r="B90" t="str">
            <v>Other</v>
          </cell>
          <cell r="E90">
            <v>0</v>
          </cell>
          <cell r="F90">
            <v>0</v>
          </cell>
          <cell r="G90">
            <v>0</v>
          </cell>
          <cell r="H90">
            <v>0</v>
          </cell>
          <cell r="I90">
            <v>0</v>
          </cell>
          <cell r="J90">
            <v>0</v>
          </cell>
          <cell r="K90">
            <v>0</v>
          </cell>
          <cell r="L90">
            <v>0</v>
          </cell>
          <cell r="M90">
            <v>0</v>
          </cell>
          <cell r="N90">
            <v>0</v>
          </cell>
          <cell r="O90">
            <v>0</v>
          </cell>
          <cell r="P90">
            <v>0</v>
          </cell>
          <cell r="U90">
            <v>0</v>
          </cell>
          <cell r="V90">
            <v>0</v>
          </cell>
          <cell r="W90">
            <v>0</v>
          </cell>
          <cell r="X90">
            <v>0</v>
          </cell>
          <cell r="Y90">
            <v>0</v>
          </cell>
        </row>
        <row r="91">
          <cell r="E91">
            <v>0.58256000000000008</v>
          </cell>
          <cell r="F91">
            <v>0.5958</v>
          </cell>
          <cell r="G91">
            <v>0.7944</v>
          </cell>
          <cell r="H91">
            <v>0.63551999999999997</v>
          </cell>
          <cell r="I91">
            <v>0.68847999999999998</v>
          </cell>
          <cell r="J91">
            <v>0.94003999999999999</v>
          </cell>
          <cell r="K91">
            <v>0.63551999999999997</v>
          </cell>
          <cell r="L91">
            <v>0.72820000000000007</v>
          </cell>
          <cell r="M91">
            <v>0.86060000000000003</v>
          </cell>
          <cell r="N91">
            <v>0.66200000000000003</v>
          </cell>
          <cell r="O91">
            <v>0.87384000000000006</v>
          </cell>
          <cell r="P91">
            <v>0.86060000000000003</v>
          </cell>
          <cell r="U91">
            <v>8.8575599999999994</v>
          </cell>
          <cell r="V91">
            <v>8.3303318799999992</v>
          </cell>
          <cell r="W91">
            <v>11.652450000000002</v>
          </cell>
          <cell r="X91">
            <v>0.52722812000000019</v>
          </cell>
          <cell r="Y91">
            <v>-2.7948900000000023</v>
          </cell>
        </row>
        <row r="92">
          <cell r="X92">
            <v>0</v>
          </cell>
          <cell r="Y92">
            <v>0</v>
          </cell>
        </row>
        <row r="93">
          <cell r="B93" t="str">
            <v>11 Direct Payroll</v>
          </cell>
          <cell r="X93">
            <v>0</v>
          </cell>
          <cell r="Y93">
            <v>0</v>
          </cell>
        </row>
        <row r="94">
          <cell r="A94">
            <v>66</v>
          </cell>
          <cell r="B94" t="str">
            <v>Salaries</v>
          </cell>
          <cell r="E94">
            <v>26.039009076896551</v>
          </cell>
          <cell r="F94">
            <v>26.039009076896551</v>
          </cell>
          <cell r="G94">
            <v>27.139009076896553</v>
          </cell>
          <cell r="H94">
            <v>26.039009076896551</v>
          </cell>
          <cell r="I94">
            <v>26.039009076896551</v>
          </cell>
          <cell r="J94">
            <v>27.139009076896553</v>
          </cell>
          <cell r="K94">
            <v>26.574586757996553</v>
          </cell>
          <cell r="L94">
            <v>26.574586757996553</v>
          </cell>
          <cell r="M94">
            <v>27.674586757996554</v>
          </cell>
          <cell r="N94">
            <v>26.574586757996553</v>
          </cell>
          <cell r="O94">
            <v>27.674586757996554</v>
          </cell>
          <cell r="P94">
            <v>27.674586757996554</v>
          </cell>
          <cell r="T94">
            <v>0</v>
          </cell>
          <cell r="U94">
            <v>321.18157500935865</v>
          </cell>
          <cell r="V94">
            <v>402.18689499999999</v>
          </cell>
          <cell r="W94">
            <v>496.024</v>
          </cell>
          <cell r="X94">
            <v>-81.00531999064134</v>
          </cell>
          <cell r="Y94">
            <v>-174.84242499064135</v>
          </cell>
        </row>
        <row r="95">
          <cell r="A95">
            <v>67</v>
          </cell>
          <cell r="B95" t="str">
            <v>Bonus/Commission</v>
          </cell>
          <cell r="E95">
            <v>1.0834049999999997</v>
          </cell>
          <cell r="F95">
            <v>1.0834049999999997</v>
          </cell>
          <cell r="G95">
            <v>1.0834049999999997</v>
          </cell>
          <cell r="H95">
            <v>1.0834049999999997</v>
          </cell>
          <cell r="I95">
            <v>1.0834049999999997</v>
          </cell>
          <cell r="J95">
            <v>1.0834049999999997</v>
          </cell>
          <cell r="K95">
            <v>1.0834049999999997</v>
          </cell>
          <cell r="L95">
            <v>1.0834049999999997</v>
          </cell>
          <cell r="M95">
            <v>1.0834049999999997</v>
          </cell>
          <cell r="N95">
            <v>1.0834049999999997</v>
          </cell>
          <cell r="O95">
            <v>1.0834049999999997</v>
          </cell>
          <cell r="P95">
            <v>1.0834049999999997</v>
          </cell>
          <cell r="T95">
            <v>0</v>
          </cell>
          <cell r="U95">
            <v>13.000859999999994</v>
          </cell>
          <cell r="V95">
            <v>19.007021666666667</v>
          </cell>
          <cell r="W95">
            <v>32.884</v>
          </cell>
          <cell r="X95">
            <v>-6.0061616666666726</v>
          </cell>
          <cell r="Y95">
            <v>-19.883140000000004</v>
          </cell>
        </row>
        <row r="96">
          <cell r="A96">
            <v>68</v>
          </cell>
          <cell r="B96" t="str">
            <v>Payroll Tax</v>
          </cell>
          <cell r="E96">
            <v>0</v>
          </cell>
          <cell r="F96">
            <v>0</v>
          </cell>
          <cell r="G96">
            <v>0</v>
          </cell>
          <cell r="H96">
            <v>0</v>
          </cell>
          <cell r="I96">
            <v>0</v>
          </cell>
          <cell r="J96">
            <v>0</v>
          </cell>
          <cell r="K96">
            <v>0</v>
          </cell>
          <cell r="L96">
            <v>0</v>
          </cell>
          <cell r="M96">
            <v>0</v>
          </cell>
          <cell r="N96">
            <v>0</v>
          </cell>
          <cell r="O96">
            <v>0</v>
          </cell>
          <cell r="P96">
            <v>0</v>
          </cell>
          <cell r="T96">
            <v>0</v>
          </cell>
          <cell r="U96">
            <v>0</v>
          </cell>
          <cell r="V96">
            <v>0</v>
          </cell>
          <cell r="W96">
            <v>0</v>
          </cell>
          <cell r="X96">
            <v>0</v>
          </cell>
          <cell r="Y96">
            <v>0</v>
          </cell>
        </row>
        <row r="97">
          <cell r="A97">
            <v>69</v>
          </cell>
          <cell r="B97" t="str">
            <v>Welfare &amp; Pension</v>
          </cell>
          <cell r="E97">
            <v>0.55300000000000005</v>
          </cell>
          <cell r="F97">
            <v>0.55300000000000005</v>
          </cell>
          <cell r="G97">
            <v>0.55300000000000005</v>
          </cell>
          <cell r="H97">
            <v>0.55300000000000005</v>
          </cell>
          <cell r="I97">
            <v>0.55300000000000005</v>
          </cell>
          <cell r="J97">
            <v>0.55300000000000005</v>
          </cell>
          <cell r="K97">
            <v>0.55300000000000005</v>
          </cell>
          <cell r="L97">
            <v>0.55300000000000005</v>
          </cell>
          <cell r="M97">
            <v>0.55300000000000005</v>
          </cell>
          <cell r="N97">
            <v>0.55300000000000005</v>
          </cell>
          <cell r="O97">
            <v>0.55300000000000005</v>
          </cell>
          <cell r="P97">
            <v>0.55300000000000005</v>
          </cell>
          <cell r="T97">
            <v>0</v>
          </cell>
          <cell r="U97">
            <v>6.6360000000000001</v>
          </cell>
          <cell r="V97">
            <v>10.016299999999998</v>
          </cell>
          <cell r="W97">
            <v>18.571000000000002</v>
          </cell>
          <cell r="X97">
            <v>-3.3802999999999974</v>
          </cell>
          <cell r="Y97">
            <v>-11.935</v>
          </cell>
        </row>
        <row r="98">
          <cell r="A98">
            <v>70</v>
          </cell>
          <cell r="B98" t="str">
            <v>Miscellaneous</v>
          </cell>
          <cell r="E98">
            <v>0.47099999999999997</v>
          </cell>
          <cell r="F98">
            <v>0.47099999999999997</v>
          </cell>
          <cell r="G98">
            <v>0.47099999999999997</v>
          </cell>
          <cell r="H98">
            <v>0.47099999999999997</v>
          </cell>
          <cell r="I98">
            <v>0.47099999999999997</v>
          </cell>
          <cell r="J98">
            <v>0.47099999999999997</v>
          </cell>
          <cell r="K98">
            <v>0.47099999999999997</v>
          </cell>
          <cell r="L98">
            <v>0.47099999999999997</v>
          </cell>
          <cell r="M98">
            <v>0.47099999999999997</v>
          </cell>
          <cell r="N98">
            <v>0.47099999999999997</v>
          </cell>
          <cell r="O98">
            <v>0.47099999999999997</v>
          </cell>
          <cell r="P98">
            <v>0.47099999999999997</v>
          </cell>
          <cell r="T98">
            <v>0</v>
          </cell>
          <cell r="U98">
            <v>5.6520000000000001</v>
          </cell>
          <cell r="V98">
            <v>6.2547400000000017</v>
          </cell>
          <cell r="W98">
            <v>11.548999999999999</v>
          </cell>
          <cell r="X98">
            <v>-0.60274000000000161</v>
          </cell>
          <cell r="Y98">
            <v>-5.8969999999999994</v>
          </cell>
        </row>
        <row r="99">
          <cell r="C99">
            <v>0</v>
          </cell>
          <cell r="E99">
            <v>28.146414076896551</v>
          </cell>
          <cell r="F99">
            <v>28.146414076896551</v>
          </cell>
          <cell r="G99">
            <v>29.246414076896553</v>
          </cell>
          <cell r="H99">
            <v>28.146414076896551</v>
          </cell>
          <cell r="I99">
            <v>28.146414076896551</v>
          </cell>
          <cell r="J99">
            <v>29.246414076896553</v>
          </cell>
          <cell r="K99">
            <v>28.681991757996553</v>
          </cell>
          <cell r="L99">
            <v>28.681991757996553</v>
          </cell>
          <cell r="M99">
            <v>29.781991757996554</v>
          </cell>
          <cell r="N99">
            <v>28.681991757996553</v>
          </cell>
          <cell r="O99">
            <v>29.781991757996554</v>
          </cell>
          <cell r="P99">
            <v>29.781991757996554</v>
          </cell>
          <cell r="R99">
            <v>0</v>
          </cell>
          <cell r="S99">
            <v>0</v>
          </cell>
          <cell r="T99">
            <v>0</v>
          </cell>
          <cell r="U99">
            <v>346.47043500935865</v>
          </cell>
          <cell r="V99">
            <v>437.46495666666669</v>
          </cell>
          <cell r="W99">
            <v>559.02800000000002</v>
          </cell>
          <cell r="X99">
            <v>-90.994521657308042</v>
          </cell>
          <cell r="Y99">
            <v>-212.55756499064137</v>
          </cell>
        </row>
        <row r="100">
          <cell r="X100">
            <v>0</v>
          </cell>
          <cell r="Y100">
            <v>0</v>
          </cell>
        </row>
        <row r="101">
          <cell r="B101" t="str">
            <v>16 Other Overhead Costs</v>
          </cell>
          <cell r="X101">
            <v>0</v>
          </cell>
          <cell r="Y101">
            <v>0</v>
          </cell>
        </row>
        <row r="102">
          <cell r="A102">
            <v>71</v>
          </cell>
          <cell r="B102" t="str">
            <v>Insurance (Other than employee)</v>
          </cell>
          <cell r="E102">
            <v>1.38124</v>
          </cell>
          <cell r="F102">
            <v>1.38124</v>
          </cell>
          <cell r="G102">
            <v>1.38124</v>
          </cell>
          <cell r="H102">
            <v>1.38124</v>
          </cell>
          <cell r="I102">
            <v>1.38124</v>
          </cell>
          <cell r="J102">
            <v>1.38124</v>
          </cell>
          <cell r="K102">
            <v>1.38124</v>
          </cell>
          <cell r="L102">
            <v>1.38124</v>
          </cell>
          <cell r="M102">
            <v>1.38124</v>
          </cell>
          <cell r="N102">
            <v>1.38124</v>
          </cell>
          <cell r="O102">
            <v>1.38124</v>
          </cell>
          <cell r="P102">
            <v>1.38124</v>
          </cell>
          <cell r="T102">
            <v>0</v>
          </cell>
          <cell r="U102">
            <v>16.57488</v>
          </cell>
          <cell r="V102">
            <v>16.582999999999995</v>
          </cell>
          <cell r="W102">
            <v>18.888000000000002</v>
          </cell>
          <cell r="X102">
            <v>-8.119999999994576E-3</v>
          </cell>
          <cell r="Y102">
            <v>-2.3131200000000014</v>
          </cell>
        </row>
        <row r="103">
          <cell r="A103">
            <v>72</v>
          </cell>
          <cell r="B103" t="str">
            <v>Property Taxes</v>
          </cell>
          <cell r="E103">
            <v>3.8340000000000001</v>
          </cell>
          <cell r="F103">
            <v>3.8340000000000001</v>
          </cell>
          <cell r="G103">
            <v>3.8340000000000001</v>
          </cell>
          <cell r="H103">
            <v>3.8340000000000001</v>
          </cell>
          <cell r="I103">
            <v>3.8340000000000001</v>
          </cell>
          <cell r="J103">
            <v>3.8340000000000001</v>
          </cell>
          <cell r="K103">
            <v>3.8340000000000001</v>
          </cell>
          <cell r="L103">
            <v>3.8340000000000001</v>
          </cell>
          <cell r="M103">
            <v>3.8340000000000001</v>
          </cell>
          <cell r="N103">
            <v>3.8340000000000001</v>
          </cell>
          <cell r="O103">
            <v>3.8340000000000001</v>
          </cell>
          <cell r="P103">
            <v>3.8340000000000001</v>
          </cell>
          <cell r="T103">
            <v>0</v>
          </cell>
          <cell r="U103">
            <v>46.00800000000001</v>
          </cell>
          <cell r="V103">
            <v>45.558000000000014</v>
          </cell>
          <cell r="W103">
            <v>102.239</v>
          </cell>
          <cell r="X103">
            <v>0.44999999999999574</v>
          </cell>
          <cell r="Y103">
            <v>-56.230999999999995</v>
          </cell>
        </row>
        <row r="104">
          <cell r="A104">
            <v>73</v>
          </cell>
          <cell r="B104" t="str">
            <v>Travel &amp; Entertainment</v>
          </cell>
          <cell r="E104">
            <v>2</v>
          </cell>
          <cell r="F104">
            <v>2</v>
          </cell>
          <cell r="G104">
            <v>2</v>
          </cell>
          <cell r="H104">
            <v>2</v>
          </cell>
          <cell r="I104">
            <v>2</v>
          </cell>
          <cell r="J104">
            <v>2</v>
          </cell>
          <cell r="K104">
            <v>2</v>
          </cell>
          <cell r="L104">
            <v>2</v>
          </cell>
          <cell r="M104">
            <v>2</v>
          </cell>
          <cell r="N104">
            <v>2</v>
          </cell>
          <cell r="O104">
            <v>2</v>
          </cell>
          <cell r="P104">
            <v>2</v>
          </cell>
          <cell r="T104">
            <v>0</v>
          </cell>
          <cell r="U104">
            <v>24</v>
          </cell>
          <cell r="V104">
            <v>25.35393333333333</v>
          </cell>
          <cell r="W104">
            <v>24.881</v>
          </cell>
          <cell r="X104">
            <v>-1.3539333333333303</v>
          </cell>
          <cell r="Y104">
            <v>-0.88100000000000023</v>
          </cell>
        </row>
        <row r="105">
          <cell r="A105">
            <v>74</v>
          </cell>
          <cell r="B105" t="str">
            <v>Legal &amp; Professional</v>
          </cell>
          <cell r="E105">
            <v>1</v>
          </cell>
          <cell r="F105">
            <v>1</v>
          </cell>
          <cell r="G105">
            <v>1</v>
          </cell>
          <cell r="H105">
            <v>1</v>
          </cell>
          <cell r="I105">
            <v>1</v>
          </cell>
          <cell r="J105">
            <v>1</v>
          </cell>
          <cell r="K105">
            <v>1</v>
          </cell>
          <cell r="L105">
            <v>1</v>
          </cell>
          <cell r="M105">
            <v>1</v>
          </cell>
          <cell r="N105">
            <v>1</v>
          </cell>
          <cell r="O105">
            <v>1</v>
          </cell>
          <cell r="P105">
            <v>1</v>
          </cell>
          <cell r="T105">
            <v>0</v>
          </cell>
          <cell r="U105">
            <v>12</v>
          </cell>
          <cell r="V105">
            <v>12.682220000000003</v>
          </cell>
          <cell r="W105">
            <v>14.42</v>
          </cell>
          <cell r="X105">
            <v>-0.68222000000000271</v>
          </cell>
          <cell r="Y105">
            <v>-2.42</v>
          </cell>
        </row>
        <row r="106">
          <cell r="A106">
            <v>75</v>
          </cell>
          <cell r="B106" t="str">
            <v>Credit Card Charges</v>
          </cell>
          <cell r="E106">
            <v>0.5</v>
          </cell>
          <cell r="F106">
            <v>0.5</v>
          </cell>
          <cell r="G106">
            <v>0.5</v>
          </cell>
          <cell r="H106">
            <v>0.5</v>
          </cell>
          <cell r="I106">
            <v>0.5</v>
          </cell>
          <cell r="J106">
            <v>0.5</v>
          </cell>
          <cell r="K106">
            <v>0.5</v>
          </cell>
          <cell r="L106">
            <v>0.5</v>
          </cell>
          <cell r="M106">
            <v>0.5</v>
          </cell>
          <cell r="N106">
            <v>0.5</v>
          </cell>
          <cell r="O106">
            <v>0.5</v>
          </cell>
          <cell r="P106">
            <v>0.5</v>
          </cell>
          <cell r="T106">
            <v>0</v>
          </cell>
          <cell r="U106">
            <v>6</v>
          </cell>
          <cell r="V106">
            <v>2.806280000000001</v>
          </cell>
          <cell r="W106">
            <v>0</v>
          </cell>
          <cell r="X106">
            <v>3.193719999999999</v>
          </cell>
          <cell r="Y106">
            <v>6</v>
          </cell>
        </row>
        <row r="107">
          <cell r="A107">
            <v>76</v>
          </cell>
          <cell r="B107" t="str">
            <v>Membership Fees</v>
          </cell>
          <cell r="E107">
            <v>0</v>
          </cell>
          <cell r="F107">
            <v>0</v>
          </cell>
          <cell r="G107">
            <v>0</v>
          </cell>
          <cell r="H107">
            <v>0</v>
          </cell>
          <cell r="I107">
            <v>0</v>
          </cell>
          <cell r="J107">
            <v>0</v>
          </cell>
          <cell r="K107">
            <v>0</v>
          </cell>
          <cell r="L107">
            <v>0</v>
          </cell>
          <cell r="M107">
            <v>0</v>
          </cell>
          <cell r="N107">
            <v>0</v>
          </cell>
          <cell r="O107">
            <v>0</v>
          </cell>
          <cell r="P107">
            <v>0</v>
          </cell>
          <cell r="T107">
            <v>0</v>
          </cell>
          <cell r="U107">
            <v>0</v>
          </cell>
          <cell r="V107">
            <v>0</v>
          </cell>
          <cell r="W107">
            <v>0</v>
          </cell>
          <cell r="X107">
            <v>0</v>
          </cell>
          <cell r="Y107">
            <v>0</v>
          </cell>
        </row>
        <row r="108">
          <cell r="A108">
            <v>77</v>
          </cell>
          <cell r="B108" t="str">
            <v>Taxes &amp; Licences</v>
          </cell>
          <cell r="E108">
            <v>0.71499999999999997</v>
          </cell>
          <cell r="F108">
            <v>0.71499999999999997</v>
          </cell>
          <cell r="G108">
            <v>0.71499999999999997</v>
          </cell>
          <cell r="H108">
            <v>0.71499999999999997</v>
          </cell>
          <cell r="I108">
            <v>0.71499999999999997</v>
          </cell>
          <cell r="J108">
            <v>0.71499999999999997</v>
          </cell>
          <cell r="K108">
            <v>0.71499999999999997</v>
          </cell>
          <cell r="L108">
            <v>0.71499999999999997</v>
          </cell>
          <cell r="M108">
            <v>0.71499999999999997</v>
          </cell>
          <cell r="N108">
            <v>0.71499999999999997</v>
          </cell>
          <cell r="O108">
            <v>0.71499999999999997</v>
          </cell>
          <cell r="P108">
            <v>0.71499999999999997</v>
          </cell>
          <cell r="T108">
            <v>0</v>
          </cell>
          <cell r="U108">
            <v>8.58</v>
          </cell>
          <cell r="V108">
            <v>11.235595719999999</v>
          </cell>
          <cell r="W108">
            <v>19.821549999999998</v>
          </cell>
          <cell r="X108">
            <v>-2.6555957199999991</v>
          </cell>
          <cell r="Y108">
            <v>-11.241549999999998</v>
          </cell>
        </row>
        <row r="109">
          <cell r="A109">
            <v>78</v>
          </cell>
          <cell r="B109" t="str">
            <v>Convention expense</v>
          </cell>
          <cell r="E109">
            <v>0</v>
          </cell>
          <cell r="F109">
            <v>0</v>
          </cell>
          <cell r="G109">
            <v>0</v>
          </cell>
          <cell r="H109">
            <v>0</v>
          </cell>
          <cell r="I109">
            <v>0</v>
          </cell>
          <cell r="J109">
            <v>0</v>
          </cell>
          <cell r="K109">
            <v>0</v>
          </cell>
          <cell r="L109">
            <v>0</v>
          </cell>
          <cell r="M109">
            <v>0</v>
          </cell>
          <cell r="N109">
            <v>0</v>
          </cell>
          <cell r="O109">
            <v>0</v>
          </cell>
          <cell r="P109">
            <v>0</v>
          </cell>
          <cell r="T109">
            <v>0</v>
          </cell>
          <cell r="U109">
            <v>0</v>
          </cell>
          <cell r="V109">
            <v>0</v>
          </cell>
          <cell r="W109">
            <v>0</v>
          </cell>
          <cell r="X109">
            <v>0</v>
          </cell>
          <cell r="Y109">
            <v>0</v>
          </cell>
        </row>
        <row r="110">
          <cell r="A110">
            <v>79</v>
          </cell>
          <cell r="B110" t="str">
            <v>Contributions</v>
          </cell>
          <cell r="E110">
            <v>0</v>
          </cell>
          <cell r="F110">
            <v>0</v>
          </cell>
          <cell r="G110">
            <v>0</v>
          </cell>
          <cell r="H110">
            <v>0</v>
          </cell>
          <cell r="I110">
            <v>0</v>
          </cell>
          <cell r="J110">
            <v>0</v>
          </cell>
          <cell r="K110">
            <v>0</v>
          </cell>
          <cell r="L110">
            <v>0</v>
          </cell>
          <cell r="M110">
            <v>0</v>
          </cell>
          <cell r="N110">
            <v>0</v>
          </cell>
          <cell r="O110">
            <v>0</v>
          </cell>
          <cell r="P110">
            <v>0</v>
          </cell>
          <cell r="T110">
            <v>0</v>
          </cell>
          <cell r="U110">
            <v>0</v>
          </cell>
          <cell r="V110">
            <v>0</v>
          </cell>
          <cell r="W110">
            <v>0</v>
          </cell>
          <cell r="X110">
            <v>0</v>
          </cell>
          <cell r="Y110">
            <v>0</v>
          </cell>
        </row>
        <row r="111">
          <cell r="A111">
            <v>80</v>
          </cell>
          <cell r="B111" t="str">
            <v>Contract Cleaners</v>
          </cell>
          <cell r="E111">
            <v>4.7119999999999997</v>
          </cell>
          <cell r="F111">
            <v>4.9004799999999999</v>
          </cell>
          <cell r="G111">
            <v>4.7423999999999999</v>
          </cell>
          <cell r="H111">
            <v>4.9004799999999999</v>
          </cell>
          <cell r="I111">
            <v>4.7423999999999999</v>
          </cell>
          <cell r="J111">
            <v>4.9004799999999999</v>
          </cell>
          <cell r="K111">
            <v>4.9004799999999999</v>
          </cell>
          <cell r="L111">
            <v>27.527239999999999</v>
          </cell>
          <cell r="M111">
            <v>6.4004799999999999</v>
          </cell>
          <cell r="N111">
            <v>4.7423999999999999</v>
          </cell>
          <cell r="O111">
            <v>4.9004799999999999</v>
          </cell>
          <cell r="P111">
            <v>4.7423999999999999</v>
          </cell>
          <cell r="T111">
            <v>0</v>
          </cell>
          <cell r="U111">
            <v>82.111720000000005</v>
          </cell>
          <cell r="V111">
            <v>98.715360000000004</v>
          </cell>
          <cell r="W111">
            <v>129.697</v>
          </cell>
          <cell r="X111">
            <v>-16.603639999999999</v>
          </cell>
          <cell r="Y111">
            <v>-47.585279999999997</v>
          </cell>
        </row>
        <row r="112">
          <cell r="A112">
            <v>81</v>
          </cell>
          <cell r="B112" t="str">
            <v>Telephone &amp; Faxes</v>
          </cell>
          <cell r="E112">
            <v>4</v>
          </cell>
          <cell r="F112">
            <v>4</v>
          </cell>
          <cell r="G112">
            <v>4</v>
          </cell>
          <cell r="H112">
            <v>4</v>
          </cell>
          <cell r="I112">
            <v>4</v>
          </cell>
          <cell r="J112">
            <v>4</v>
          </cell>
          <cell r="K112">
            <v>4</v>
          </cell>
          <cell r="L112">
            <v>4</v>
          </cell>
          <cell r="M112">
            <v>4</v>
          </cell>
          <cell r="N112">
            <v>4</v>
          </cell>
          <cell r="O112">
            <v>4</v>
          </cell>
          <cell r="P112">
            <v>4</v>
          </cell>
          <cell r="T112">
            <v>0</v>
          </cell>
          <cell r="U112">
            <v>48</v>
          </cell>
          <cell r="V112">
            <v>53.321359999999999</v>
          </cell>
          <cell r="W112">
            <v>35.734000000000002</v>
          </cell>
          <cell r="X112">
            <v>-5.3213599999999985</v>
          </cell>
          <cell r="Y112">
            <v>12.265999999999998</v>
          </cell>
        </row>
        <row r="113">
          <cell r="A113">
            <v>82</v>
          </cell>
          <cell r="B113" t="str">
            <v>Stationery &amp; Printing</v>
          </cell>
          <cell r="E113">
            <v>0.6</v>
          </cell>
          <cell r="F113">
            <v>0.6</v>
          </cell>
          <cell r="G113">
            <v>0.6</v>
          </cell>
          <cell r="H113">
            <v>0.6</v>
          </cell>
          <cell r="I113">
            <v>0.6</v>
          </cell>
          <cell r="J113">
            <v>0.6</v>
          </cell>
          <cell r="K113">
            <v>0.6</v>
          </cell>
          <cell r="L113">
            <v>0.6</v>
          </cell>
          <cell r="M113">
            <v>0.6</v>
          </cell>
          <cell r="N113">
            <v>0.6</v>
          </cell>
          <cell r="O113">
            <v>0.6</v>
          </cell>
          <cell r="P113">
            <v>0.6</v>
          </cell>
          <cell r="T113">
            <v>0</v>
          </cell>
          <cell r="U113">
            <v>7.2</v>
          </cell>
          <cell r="V113">
            <v>7.118990000000001</v>
          </cell>
          <cell r="W113">
            <v>8.7919999999999998</v>
          </cell>
          <cell r="X113">
            <v>8.1009999999997362E-2</v>
          </cell>
          <cell r="Y113">
            <v>-1.5920000000000014</v>
          </cell>
        </row>
        <row r="114">
          <cell r="A114">
            <v>83</v>
          </cell>
          <cell r="B114" t="str">
            <v>Uniforms &amp; Laundry</v>
          </cell>
          <cell r="E114">
            <v>0.2</v>
          </cell>
          <cell r="F114">
            <v>0.2</v>
          </cell>
          <cell r="G114">
            <v>0.2</v>
          </cell>
          <cell r="H114">
            <v>0.2</v>
          </cell>
          <cell r="I114">
            <v>0.2</v>
          </cell>
          <cell r="J114">
            <v>0.2</v>
          </cell>
          <cell r="K114">
            <v>0.2</v>
          </cell>
          <cell r="L114">
            <v>0.2</v>
          </cell>
          <cell r="M114">
            <v>0.2</v>
          </cell>
          <cell r="N114">
            <v>0.2</v>
          </cell>
          <cell r="O114">
            <v>0.2</v>
          </cell>
          <cell r="P114">
            <v>0.2</v>
          </cell>
          <cell r="T114">
            <v>0</v>
          </cell>
          <cell r="U114">
            <v>2.4</v>
          </cell>
          <cell r="V114">
            <v>1.02</v>
          </cell>
          <cell r="W114">
            <v>4.26</v>
          </cell>
          <cell r="X114">
            <v>1.38</v>
          </cell>
          <cell r="Y114">
            <v>-1.86</v>
          </cell>
        </row>
        <row r="115">
          <cell r="A115">
            <v>84</v>
          </cell>
          <cell r="B115" t="str">
            <v>Freight</v>
          </cell>
          <cell r="E115">
            <v>0.25</v>
          </cell>
          <cell r="F115">
            <v>0.25</v>
          </cell>
          <cell r="G115">
            <v>0.25</v>
          </cell>
          <cell r="H115">
            <v>0.25</v>
          </cell>
          <cell r="I115">
            <v>0.25</v>
          </cell>
          <cell r="J115">
            <v>0.25</v>
          </cell>
          <cell r="K115">
            <v>0.25</v>
          </cell>
          <cell r="L115">
            <v>0.25</v>
          </cell>
          <cell r="M115">
            <v>0.25</v>
          </cell>
          <cell r="N115">
            <v>0.25</v>
          </cell>
          <cell r="O115">
            <v>0.25</v>
          </cell>
          <cell r="P115">
            <v>0.25</v>
          </cell>
          <cell r="T115">
            <v>0</v>
          </cell>
          <cell r="U115">
            <v>3</v>
          </cell>
          <cell r="V115">
            <v>4.1071099999999996</v>
          </cell>
          <cell r="W115">
            <v>4.5830000000000002</v>
          </cell>
          <cell r="X115">
            <v>-1.1071099999999996</v>
          </cell>
          <cell r="Y115">
            <v>-1.5830000000000002</v>
          </cell>
        </row>
        <row r="116">
          <cell r="A116">
            <v>85</v>
          </cell>
          <cell r="B116" t="str">
            <v>Data processing</v>
          </cell>
          <cell r="E116">
            <v>0</v>
          </cell>
          <cell r="F116">
            <v>0</v>
          </cell>
          <cell r="G116">
            <v>0</v>
          </cell>
          <cell r="H116">
            <v>0</v>
          </cell>
          <cell r="I116">
            <v>0</v>
          </cell>
          <cell r="J116">
            <v>0</v>
          </cell>
          <cell r="K116">
            <v>0</v>
          </cell>
          <cell r="L116">
            <v>0</v>
          </cell>
          <cell r="M116">
            <v>0</v>
          </cell>
          <cell r="N116">
            <v>0</v>
          </cell>
          <cell r="O116">
            <v>0</v>
          </cell>
          <cell r="P116">
            <v>0</v>
          </cell>
          <cell r="T116">
            <v>0</v>
          </cell>
          <cell r="U116">
            <v>0</v>
          </cell>
          <cell r="V116">
            <v>0</v>
          </cell>
          <cell r="W116">
            <v>0</v>
          </cell>
          <cell r="X116">
            <v>0</v>
          </cell>
          <cell r="Y116">
            <v>0</v>
          </cell>
        </row>
        <row r="117">
          <cell r="A117">
            <v>86</v>
          </cell>
          <cell r="B117" t="str">
            <v>Bank Charges</v>
          </cell>
          <cell r="E117">
            <v>0.3</v>
          </cell>
          <cell r="F117">
            <v>0.3</v>
          </cell>
          <cell r="G117">
            <v>0.3</v>
          </cell>
          <cell r="H117">
            <v>0.3</v>
          </cell>
          <cell r="I117">
            <v>0.3</v>
          </cell>
          <cell r="J117">
            <v>0.3</v>
          </cell>
          <cell r="K117">
            <v>0.3</v>
          </cell>
          <cell r="L117">
            <v>0.3</v>
          </cell>
          <cell r="M117">
            <v>0.3</v>
          </cell>
          <cell r="N117">
            <v>0.3</v>
          </cell>
          <cell r="O117">
            <v>0.3</v>
          </cell>
          <cell r="P117">
            <v>0.3</v>
          </cell>
          <cell r="T117">
            <v>0</v>
          </cell>
          <cell r="U117">
            <v>3.6</v>
          </cell>
          <cell r="V117">
            <v>1.8329299999999997</v>
          </cell>
          <cell r="W117">
            <v>3.387</v>
          </cell>
          <cell r="X117">
            <v>1.7670699999999995</v>
          </cell>
          <cell r="Y117">
            <v>0.21299999999999919</v>
          </cell>
        </row>
        <row r="118">
          <cell r="A118">
            <v>87</v>
          </cell>
          <cell r="B118" t="str">
            <v>Parking Expenses</v>
          </cell>
          <cell r="E118">
            <v>0</v>
          </cell>
          <cell r="F118">
            <v>0</v>
          </cell>
          <cell r="G118">
            <v>0</v>
          </cell>
          <cell r="H118">
            <v>0</v>
          </cell>
          <cell r="I118">
            <v>0</v>
          </cell>
          <cell r="J118">
            <v>0</v>
          </cell>
          <cell r="K118">
            <v>0</v>
          </cell>
          <cell r="L118">
            <v>0</v>
          </cell>
          <cell r="M118">
            <v>0</v>
          </cell>
          <cell r="N118">
            <v>0</v>
          </cell>
          <cell r="O118">
            <v>0</v>
          </cell>
          <cell r="P118">
            <v>0</v>
          </cell>
          <cell r="T118">
            <v>0</v>
          </cell>
          <cell r="U118">
            <v>0</v>
          </cell>
          <cell r="V118">
            <v>0</v>
          </cell>
          <cell r="W118">
            <v>0</v>
          </cell>
          <cell r="X118">
            <v>0</v>
          </cell>
          <cell r="Y118">
            <v>0</v>
          </cell>
        </row>
        <row r="119">
          <cell r="A119">
            <v>88</v>
          </cell>
          <cell r="B119" t="str">
            <v>Staff training</v>
          </cell>
          <cell r="E119">
            <v>0.40646414076896553</v>
          </cell>
          <cell r="F119">
            <v>0.40646414076896553</v>
          </cell>
          <cell r="G119">
            <v>0.41746414076896554</v>
          </cell>
          <cell r="H119">
            <v>0.40646414076896553</v>
          </cell>
          <cell r="I119">
            <v>0.40646414076896553</v>
          </cell>
          <cell r="J119">
            <v>0.41746414076896554</v>
          </cell>
          <cell r="K119">
            <v>0.41181991757996556</v>
          </cell>
          <cell r="L119">
            <v>0.41181991757996556</v>
          </cell>
          <cell r="M119">
            <v>0.42281991757996551</v>
          </cell>
          <cell r="N119">
            <v>0.41181991757996556</v>
          </cell>
          <cell r="O119">
            <v>0.42281991757996551</v>
          </cell>
          <cell r="P119">
            <v>0.42281991757996551</v>
          </cell>
          <cell r="T119">
            <v>0</v>
          </cell>
          <cell r="U119">
            <v>4.9647043500935863</v>
          </cell>
          <cell r="V119">
            <v>5.7293799999999999</v>
          </cell>
          <cell r="W119">
            <v>11.51</v>
          </cell>
          <cell r="X119">
            <v>-0.76467564990641357</v>
          </cell>
          <cell r="Y119">
            <v>-6.5452956499064134</v>
          </cell>
        </row>
        <row r="120">
          <cell r="A120">
            <v>89</v>
          </cell>
          <cell r="B120" t="str">
            <v>Security</v>
          </cell>
          <cell r="E120">
            <v>1.3</v>
          </cell>
          <cell r="F120">
            <v>1.3</v>
          </cell>
          <cell r="G120">
            <v>1.3</v>
          </cell>
          <cell r="H120">
            <v>1.3</v>
          </cell>
          <cell r="I120">
            <v>1.3</v>
          </cell>
          <cell r="J120">
            <v>1.3</v>
          </cell>
          <cell r="K120">
            <v>1.3</v>
          </cell>
          <cell r="L120">
            <v>1.3</v>
          </cell>
          <cell r="M120">
            <v>1.3</v>
          </cell>
          <cell r="N120">
            <v>1.3</v>
          </cell>
          <cell r="O120">
            <v>1.3</v>
          </cell>
          <cell r="P120">
            <v>1.3</v>
          </cell>
          <cell r="U120">
            <v>15.6</v>
          </cell>
          <cell r="V120">
            <v>15.6</v>
          </cell>
          <cell r="W120">
            <v>15.6</v>
          </cell>
          <cell r="X120">
            <v>0</v>
          </cell>
          <cell r="Y120">
            <v>0</v>
          </cell>
        </row>
        <row r="121">
          <cell r="A121">
            <v>90</v>
          </cell>
          <cell r="B121" t="str">
            <v>Postage</v>
          </cell>
          <cell r="E121">
            <v>0</v>
          </cell>
          <cell r="F121">
            <v>0</v>
          </cell>
          <cell r="G121">
            <v>0</v>
          </cell>
          <cell r="H121">
            <v>0</v>
          </cell>
          <cell r="I121">
            <v>0</v>
          </cell>
          <cell r="J121">
            <v>0</v>
          </cell>
          <cell r="K121">
            <v>0</v>
          </cell>
          <cell r="L121">
            <v>0</v>
          </cell>
          <cell r="M121">
            <v>0</v>
          </cell>
          <cell r="N121">
            <v>0</v>
          </cell>
          <cell r="O121">
            <v>0</v>
          </cell>
          <cell r="P121">
            <v>0</v>
          </cell>
          <cell r="U121">
            <v>0</v>
          </cell>
          <cell r="V121">
            <v>0</v>
          </cell>
          <cell r="W121">
            <v>0</v>
          </cell>
          <cell r="X121">
            <v>0</v>
          </cell>
          <cell r="Y121">
            <v>0</v>
          </cell>
        </row>
        <row r="122">
          <cell r="A122">
            <v>91</v>
          </cell>
          <cell r="B122" t="str">
            <v>Chilled Water</v>
          </cell>
          <cell r="E122">
            <v>0</v>
          </cell>
          <cell r="F122">
            <v>0</v>
          </cell>
          <cell r="G122">
            <v>0</v>
          </cell>
          <cell r="H122">
            <v>0</v>
          </cell>
          <cell r="I122">
            <v>0</v>
          </cell>
          <cell r="J122">
            <v>0</v>
          </cell>
          <cell r="K122">
            <v>0</v>
          </cell>
          <cell r="L122">
            <v>0</v>
          </cell>
          <cell r="M122">
            <v>0</v>
          </cell>
          <cell r="N122">
            <v>0</v>
          </cell>
          <cell r="O122">
            <v>0</v>
          </cell>
          <cell r="P122">
            <v>0</v>
          </cell>
          <cell r="U122">
            <v>0</v>
          </cell>
          <cell r="V122">
            <v>0</v>
          </cell>
          <cell r="W122">
            <v>0</v>
          </cell>
          <cell r="X122">
            <v>0</v>
          </cell>
          <cell r="Y122">
            <v>0</v>
          </cell>
        </row>
        <row r="123">
          <cell r="A123">
            <v>92</v>
          </cell>
          <cell r="B123" t="str">
            <v>Admin Fee</v>
          </cell>
          <cell r="E123">
            <v>0</v>
          </cell>
          <cell r="F123">
            <v>0</v>
          </cell>
          <cell r="G123">
            <v>0</v>
          </cell>
          <cell r="H123">
            <v>0</v>
          </cell>
          <cell r="I123">
            <v>0</v>
          </cell>
          <cell r="J123">
            <v>0</v>
          </cell>
          <cell r="K123">
            <v>0</v>
          </cell>
          <cell r="L123">
            <v>0</v>
          </cell>
          <cell r="M123">
            <v>0</v>
          </cell>
          <cell r="N123">
            <v>0</v>
          </cell>
          <cell r="O123">
            <v>0</v>
          </cell>
          <cell r="P123">
            <v>0</v>
          </cell>
          <cell r="U123">
            <v>0</v>
          </cell>
          <cell r="V123">
            <v>0</v>
          </cell>
          <cell r="W123">
            <v>0</v>
          </cell>
          <cell r="X123">
            <v>0</v>
          </cell>
          <cell r="Y123">
            <v>0</v>
          </cell>
        </row>
        <row r="124">
          <cell r="A124">
            <v>93</v>
          </cell>
          <cell r="B124" t="str">
            <v>Miscellaneous</v>
          </cell>
          <cell r="E124">
            <v>0.3</v>
          </cell>
          <cell r="F124">
            <v>0.3</v>
          </cell>
          <cell r="G124">
            <v>0.3</v>
          </cell>
          <cell r="H124">
            <v>0.3</v>
          </cell>
          <cell r="I124">
            <v>0.3</v>
          </cell>
          <cell r="J124">
            <v>0.3</v>
          </cell>
          <cell r="K124">
            <v>0.3</v>
          </cell>
          <cell r="L124">
            <v>0.3</v>
          </cell>
          <cell r="M124">
            <v>0.3</v>
          </cell>
          <cell r="N124">
            <v>0.3</v>
          </cell>
          <cell r="O124">
            <v>0.3</v>
          </cell>
          <cell r="P124">
            <v>0.3</v>
          </cell>
          <cell r="T124">
            <v>0</v>
          </cell>
          <cell r="U124">
            <v>3.6</v>
          </cell>
          <cell r="V124">
            <v>1.921999999999997</v>
          </cell>
          <cell r="W124">
            <v>3.2909999999999986</v>
          </cell>
          <cell r="X124">
            <v>1.6780000000000022</v>
          </cell>
          <cell r="Y124">
            <v>0.30900000000000061</v>
          </cell>
        </row>
        <row r="125">
          <cell r="C125">
            <v>0</v>
          </cell>
          <cell r="E125">
            <v>21.498704140768968</v>
          </cell>
          <cell r="F125">
            <v>21.687184140768967</v>
          </cell>
          <cell r="G125">
            <v>21.540104140768971</v>
          </cell>
          <cell r="H125">
            <v>21.687184140768967</v>
          </cell>
          <cell r="I125">
            <v>21.529104140768968</v>
          </cell>
          <cell r="J125">
            <v>21.698184140768969</v>
          </cell>
          <cell r="K125">
            <v>21.692539917579968</v>
          </cell>
          <cell r="L125">
            <v>44.319299917579961</v>
          </cell>
          <cell r="M125">
            <v>23.203539917579967</v>
          </cell>
          <cell r="N125">
            <v>21.534459917579969</v>
          </cell>
          <cell r="O125">
            <v>21.703539917579967</v>
          </cell>
          <cell r="P125">
            <v>21.545459917579969</v>
          </cell>
          <cell r="R125">
            <v>0</v>
          </cell>
          <cell r="S125">
            <v>0</v>
          </cell>
          <cell r="T125">
            <v>0</v>
          </cell>
          <cell r="U125">
            <v>283.63930435009365</v>
          </cell>
          <cell r="V125">
            <v>303.58615905333329</v>
          </cell>
          <cell r="W125">
            <v>397.10354999999998</v>
          </cell>
          <cell r="X125">
            <v>-19.946854703239637</v>
          </cell>
          <cell r="Y125">
            <v>-113.46424564990633</v>
          </cell>
        </row>
        <row r="126">
          <cell r="X126">
            <v>0</v>
          </cell>
          <cell r="Y126">
            <v>0</v>
          </cell>
        </row>
        <row r="127">
          <cell r="A127">
            <v>0</v>
          </cell>
          <cell r="B127" t="str">
            <v>23 Adjustments</v>
          </cell>
          <cell r="X127">
            <v>0</v>
          </cell>
          <cell r="Y127">
            <v>0</v>
          </cell>
        </row>
        <row r="128">
          <cell r="A128">
            <v>97</v>
          </cell>
          <cell r="B128" t="str">
            <v>Miscellaneous (Please Specify)</v>
          </cell>
          <cell r="E128">
            <v>0</v>
          </cell>
          <cell r="F128">
            <v>0</v>
          </cell>
          <cell r="G128">
            <v>0</v>
          </cell>
          <cell r="H128">
            <v>0</v>
          </cell>
          <cell r="I128">
            <v>0</v>
          </cell>
          <cell r="J128">
            <v>0</v>
          </cell>
          <cell r="K128">
            <v>0</v>
          </cell>
          <cell r="L128">
            <v>0</v>
          </cell>
          <cell r="M128">
            <v>0</v>
          </cell>
          <cell r="N128">
            <v>0</v>
          </cell>
          <cell r="O128">
            <v>0</v>
          </cell>
          <cell r="P128">
            <v>0</v>
          </cell>
          <cell r="T128">
            <v>0</v>
          </cell>
          <cell r="U128">
            <v>0</v>
          </cell>
          <cell r="V128">
            <v>0</v>
          </cell>
          <cell r="W128">
            <v>0</v>
          </cell>
          <cell r="X128">
            <v>0</v>
          </cell>
          <cell r="Y128">
            <v>0</v>
          </cell>
        </row>
        <row r="129">
          <cell r="A129">
            <v>98</v>
          </cell>
          <cell r="B129" t="str">
            <v>Mgmt fee income - CGV</v>
          </cell>
          <cell r="E129">
            <v>0</v>
          </cell>
          <cell r="F129">
            <v>0</v>
          </cell>
          <cell r="G129">
            <v>0</v>
          </cell>
          <cell r="H129">
            <v>0</v>
          </cell>
          <cell r="I129">
            <v>0</v>
          </cell>
          <cell r="J129">
            <v>0</v>
          </cell>
          <cell r="K129">
            <v>0</v>
          </cell>
          <cell r="L129">
            <v>0</v>
          </cell>
          <cell r="M129">
            <v>0</v>
          </cell>
          <cell r="N129">
            <v>0</v>
          </cell>
          <cell r="O129">
            <v>0</v>
          </cell>
          <cell r="P129">
            <v>0</v>
          </cell>
          <cell r="U129">
            <v>0</v>
          </cell>
          <cell r="V129">
            <v>0</v>
          </cell>
          <cell r="W129">
            <v>0</v>
          </cell>
          <cell r="X129">
            <v>0</v>
          </cell>
          <cell r="Y129">
            <v>0</v>
          </cell>
        </row>
        <row r="130">
          <cell r="A130">
            <v>99</v>
          </cell>
          <cell r="B130" t="str">
            <v xml:space="preserve">Pre Opening </v>
          </cell>
          <cell r="E130">
            <v>0</v>
          </cell>
          <cell r="F130">
            <v>0</v>
          </cell>
          <cell r="G130">
            <v>0</v>
          </cell>
          <cell r="H130">
            <v>0</v>
          </cell>
          <cell r="I130">
            <v>0</v>
          </cell>
          <cell r="J130">
            <v>0</v>
          </cell>
          <cell r="K130">
            <v>0</v>
          </cell>
          <cell r="L130">
            <v>0</v>
          </cell>
          <cell r="M130">
            <v>0</v>
          </cell>
          <cell r="N130">
            <v>0</v>
          </cell>
          <cell r="O130">
            <v>0</v>
          </cell>
          <cell r="P130">
            <v>0</v>
          </cell>
          <cell r="U130">
            <v>0</v>
          </cell>
          <cell r="V130">
            <v>0</v>
          </cell>
          <cell r="W130">
            <v>0</v>
          </cell>
          <cell r="X130">
            <v>0</v>
          </cell>
          <cell r="Y130">
            <v>0</v>
          </cell>
        </row>
        <row r="131">
          <cell r="A131">
            <v>100</v>
          </cell>
          <cell r="B131" t="str">
            <v>Other</v>
          </cell>
          <cell r="E131">
            <v>0</v>
          </cell>
          <cell r="F131">
            <v>0</v>
          </cell>
          <cell r="G131">
            <v>0</v>
          </cell>
          <cell r="H131">
            <v>0</v>
          </cell>
          <cell r="I131">
            <v>0</v>
          </cell>
          <cell r="J131">
            <v>0</v>
          </cell>
          <cell r="K131">
            <v>0</v>
          </cell>
          <cell r="L131">
            <v>0</v>
          </cell>
          <cell r="M131">
            <v>0</v>
          </cell>
          <cell r="N131">
            <v>0</v>
          </cell>
          <cell r="O131">
            <v>0</v>
          </cell>
          <cell r="P131">
            <v>0</v>
          </cell>
          <cell r="U131">
            <v>0</v>
          </cell>
          <cell r="V131">
            <v>0</v>
          </cell>
          <cell r="W131">
            <v>0</v>
          </cell>
          <cell r="X131">
            <v>0</v>
          </cell>
          <cell r="Y131">
            <v>0</v>
          </cell>
        </row>
        <row r="132">
          <cell r="T132">
            <v>0</v>
          </cell>
          <cell r="W132">
            <v>0</v>
          </cell>
          <cell r="X132">
            <v>0</v>
          </cell>
          <cell r="Y132" t="e">
            <v>#REF!</v>
          </cell>
        </row>
        <row r="133">
          <cell r="C133">
            <v>0</v>
          </cell>
          <cell r="E133">
            <v>0</v>
          </cell>
          <cell r="F133">
            <v>0</v>
          </cell>
          <cell r="G133">
            <v>0</v>
          </cell>
          <cell r="H133">
            <v>0</v>
          </cell>
          <cell r="I133">
            <v>0</v>
          </cell>
          <cell r="J133">
            <v>0</v>
          </cell>
          <cell r="K133">
            <v>0</v>
          </cell>
          <cell r="L133">
            <v>0</v>
          </cell>
          <cell r="M133">
            <v>0</v>
          </cell>
          <cell r="N133">
            <v>0</v>
          </cell>
          <cell r="O133">
            <v>0</v>
          </cell>
          <cell r="P133">
            <v>0</v>
          </cell>
          <cell r="R133">
            <v>0</v>
          </cell>
          <cell r="S133">
            <v>0</v>
          </cell>
          <cell r="T133">
            <v>0</v>
          </cell>
          <cell r="U133">
            <v>0</v>
          </cell>
          <cell r="V133">
            <v>0</v>
          </cell>
          <cell r="W133">
            <v>0</v>
          </cell>
          <cell r="X133">
            <v>0</v>
          </cell>
          <cell r="Y133">
            <v>0</v>
          </cell>
        </row>
      </sheetData>
      <sheetData sheetId="24" refreshError="1">
        <row r="11">
          <cell r="A11">
            <v>1</v>
          </cell>
          <cell r="B11" t="str">
            <v>Net Film Revenue</v>
          </cell>
          <cell r="E11">
            <v>410.44</v>
          </cell>
          <cell r="F11">
            <v>423.68</v>
          </cell>
          <cell r="G11">
            <v>542.84</v>
          </cell>
          <cell r="H11">
            <v>410.44</v>
          </cell>
          <cell r="I11">
            <v>436.92</v>
          </cell>
          <cell r="J11">
            <v>622.28</v>
          </cell>
          <cell r="K11">
            <v>410.44</v>
          </cell>
          <cell r="L11">
            <v>503.12</v>
          </cell>
          <cell r="M11">
            <v>556.08000000000004</v>
          </cell>
          <cell r="N11">
            <v>423.68</v>
          </cell>
          <cell r="O11">
            <v>589.17999999999995</v>
          </cell>
          <cell r="P11">
            <v>529.6</v>
          </cell>
          <cell r="Q11">
            <v>0</v>
          </cell>
          <cell r="T11">
            <v>0</v>
          </cell>
          <cell r="U11">
            <v>5858.7</v>
          </cell>
          <cell r="V11">
            <v>5447.2133200000007</v>
          </cell>
          <cell r="W11">
            <v>6875.9660000000003</v>
          </cell>
          <cell r="X11">
            <v>411.48668000000089</v>
          </cell>
          <cell r="Y11">
            <v>-1017.2659999999987</v>
          </cell>
        </row>
        <row r="12">
          <cell r="A12">
            <v>2</v>
          </cell>
          <cell r="B12" t="str">
            <v>Concession Sales</v>
          </cell>
          <cell r="E12">
            <v>77.5</v>
          </cell>
          <cell r="F12">
            <v>80</v>
          </cell>
          <cell r="G12">
            <v>102.5</v>
          </cell>
          <cell r="H12">
            <v>77.5</v>
          </cell>
          <cell r="I12">
            <v>82.5</v>
          </cell>
          <cell r="J12">
            <v>117.5</v>
          </cell>
          <cell r="K12">
            <v>77.5</v>
          </cell>
          <cell r="L12">
            <v>95</v>
          </cell>
          <cell r="M12">
            <v>105</v>
          </cell>
          <cell r="N12">
            <v>80</v>
          </cell>
          <cell r="O12">
            <v>111.25</v>
          </cell>
          <cell r="P12">
            <v>100</v>
          </cell>
          <cell r="T12">
            <v>0</v>
          </cell>
          <cell r="U12">
            <v>1106.25</v>
          </cell>
          <cell r="V12">
            <v>1058.65578</v>
          </cell>
          <cell r="W12">
            <v>1093.7619999999999</v>
          </cell>
          <cell r="X12">
            <v>47.59421999999995</v>
          </cell>
          <cell r="Y12">
            <v>12.488000000000056</v>
          </cell>
        </row>
        <row r="13">
          <cell r="A13">
            <v>3</v>
          </cell>
          <cell r="B13" t="str">
            <v>Rental Income</v>
          </cell>
          <cell r="E13">
            <v>0</v>
          </cell>
          <cell r="F13">
            <v>0</v>
          </cell>
          <cell r="G13">
            <v>0</v>
          </cell>
          <cell r="H13">
            <v>0</v>
          </cell>
          <cell r="I13">
            <v>0</v>
          </cell>
          <cell r="J13">
            <v>0</v>
          </cell>
          <cell r="K13">
            <v>0</v>
          </cell>
          <cell r="L13">
            <v>0</v>
          </cell>
          <cell r="M13">
            <v>0</v>
          </cell>
          <cell r="N13">
            <v>0</v>
          </cell>
          <cell r="O13">
            <v>0</v>
          </cell>
          <cell r="P13">
            <v>0</v>
          </cell>
          <cell r="T13">
            <v>0</v>
          </cell>
          <cell r="U13">
            <v>0</v>
          </cell>
          <cell r="V13">
            <v>0</v>
          </cell>
          <cell r="W13">
            <v>0</v>
          </cell>
          <cell r="X13">
            <v>0</v>
          </cell>
          <cell r="Y13">
            <v>0</v>
          </cell>
        </row>
        <row r="14">
          <cell r="A14">
            <v>4</v>
          </cell>
          <cell r="B14" t="str">
            <v>Electronic Games income</v>
          </cell>
          <cell r="E14">
            <v>0</v>
          </cell>
          <cell r="F14">
            <v>0</v>
          </cell>
          <cell r="G14">
            <v>0</v>
          </cell>
          <cell r="H14">
            <v>0</v>
          </cell>
          <cell r="I14">
            <v>0</v>
          </cell>
          <cell r="J14">
            <v>0</v>
          </cell>
          <cell r="K14">
            <v>0</v>
          </cell>
          <cell r="L14">
            <v>0</v>
          </cell>
          <cell r="M14">
            <v>0</v>
          </cell>
          <cell r="N14">
            <v>0</v>
          </cell>
          <cell r="O14">
            <v>0</v>
          </cell>
          <cell r="P14">
            <v>0</v>
          </cell>
          <cell r="T14">
            <v>0</v>
          </cell>
          <cell r="U14">
            <v>0</v>
          </cell>
          <cell r="V14">
            <v>0</v>
          </cell>
          <cell r="W14">
            <v>0</v>
          </cell>
          <cell r="X14">
            <v>0</v>
          </cell>
          <cell r="Y14">
            <v>0</v>
          </cell>
        </row>
        <row r="15">
          <cell r="A15">
            <v>5</v>
          </cell>
          <cell r="B15" t="str">
            <v>Screen Advertising</v>
          </cell>
          <cell r="E15">
            <v>26</v>
          </cell>
          <cell r="F15">
            <v>26</v>
          </cell>
          <cell r="G15">
            <v>26</v>
          </cell>
          <cell r="H15">
            <v>26</v>
          </cell>
          <cell r="I15">
            <v>26</v>
          </cell>
          <cell r="J15">
            <v>26</v>
          </cell>
          <cell r="K15">
            <v>26</v>
          </cell>
          <cell r="L15">
            <v>26</v>
          </cell>
          <cell r="M15">
            <v>26</v>
          </cell>
          <cell r="N15">
            <v>26</v>
          </cell>
          <cell r="O15">
            <v>26</v>
          </cell>
          <cell r="P15">
            <v>26</v>
          </cell>
          <cell r="T15">
            <v>0</v>
          </cell>
          <cell r="U15">
            <v>312</v>
          </cell>
          <cell r="V15">
            <v>328.11124000000001</v>
          </cell>
          <cell r="W15">
            <v>250.84800000000001</v>
          </cell>
          <cell r="X15">
            <v>-16.111240000000009</v>
          </cell>
          <cell r="Y15">
            <v>61.151999999999987</v>
          </cell>
        </row>
        <row r="16">
          <cell r="A16">
            <v>6</v>
          </cell>
          <cell r="B16" t="str">
            <v>Other Income</v>
          </cell>
          <cell r="C16">
            <v>0</v>
          </cell>
          <cell r="E16">
            <v>7.9376250000000006</v>
          </cell>
          <cell r="F16">
            <v>7.9376250000000006</v>
          </cell>
          <cell r="G16">
            <v>7.9376250000000006</v>
          </cell>
          <cell r="H16">
            <v>7.9376250000000006</v>
          </cell>
          <cell r="I16">
            <v>7.9376250000000006</v>
          </cell>
          <cell r="J16">
            <v>7.9376250000000006</v>
          </cell>
          <cell r="K16">
            <v>7.9376250000000006</v>
          </cell>
          <cell r="L16">
            <v>7.9376250000000006</v>
          </cell>
          <cell r="M16">
            <v>7.9376250000000006</v>
          </cell>
          <cell r="N16">
            <v>7.9376250000000006</v>
          </cell>
          <cell r="O16">
            <v>7.9376250000000006</v>
          </cell>
          <cell r="P16">
            <v>7.9376250000000006</v>
          </cell>
          <cell r="R16">
            <v>0</v>
          </cell>
          <cell r="S16">
            <v>0</v>
          </cell>
          <cell r="T16">
            <v>0</v>
          </cell>
          <cell r="U16">
            <v>95.251499999999979</v>
          </cell>
          <cell r="V16">
            <v>129.14752999999999</v>
          </cell>
          <cell r="W16">
            <v>61.19</v>
          </cell>
          <cell r="X16">
            <v>-33.89603000000001</v>
          </cell>
          <cell r="Y16">
            <v>34.061499999999981</v>
          </cell>
        </row>
        <row r="17">
          <cell r="B17" t="str">
            <v>TOTAL REVENUE</v>
          </cell>
          <cell r="C17">
            <v>0</v>
          </cell>
          <cell r="E17">
            <v>521.87762500000008</v>
          </cell>
          <cell r="F17">
            <v>537.61762500000009</v>
          </cell>
          <cell r="G17">
            <v>679.27762500000006</v>
          </cell>
          <cell r="H17">
            <v>521.87762500000008</v>
          </cell>
          <cell r="I17">
            <v>553.3576250000001</v>
          </cell>
          <cell r="J17">
            <v>773.717625</v>
          </cell>
          <cell r="K17">
            <v>521.87762500000008</v>
          </cell>
          <cell r="L17">
            <v>632.05762500000003</v>
          </cell>
          <cell r="M17">
            <v>695.01762500000007</v>
          </cell>
          <cell r="N17">
            <v>537.61762500000009</v>
          </cell>
          <cell r="O17">
            <v>734.36762500000009</v>
          </cell>
          <cell r="P17">
            <v>663.53762500000005</v>
          </cell>
          <cell r="R17">
            <v>0</v>
          </cell>
          <cell r="S17">
            <v>0</v>
          </cell>
          <cell r="T17">
            <v>0</v>
          </cell>
          <cell r="U17">
            <v>7372.201500000001</v>
          </cell>
          <cell r="V17">
            <v>6963.1278700000012</v>
          </cell>
          <cell r="W17">
            <v>8281.7660000000014</v>
          </cell>
          <cell r="X17">
            <v>409.07362999999987</v>
          </cell>
          <cell r="Y17">
            <v>-909.56450000000041</v>
          </cell>
        </row>
        <row r="19">
          <cell r="A19">
            <v>7</v>
          </cell>
          <cell r="B19" t="str">
            <v>Film Hire</v>
          </cell>
          <cell r="E19">
            <v>190.8546</v>
          </cell>
          <cell r="F19">
            <v>197.0112</v>
          </cell>
          <cell r="G19">
            <v>252.42060000000004</v>
          </cell>
          <cell r="H19">
            <v>190.8546</v>
          </cell>
          <cell r="I19">
            <v>203.16780000000003</v>
          </cell>
          <cell r="J19">
            <v>289.36020000000002</v>
          </cell>
          <cell r="K19">
            <v>190.8546</v>
          </cell>
          <cell r="L19">
            <v>233.95080000000002</v>
          </cell>
          <cell r="M19">
            <v>258.5772</v>
          </cell>
          <cell r="N19">
            <v>197.0112</v>
          </cell>
          <cell r="O19">
            <v>273.96870000000007</v>
          </cell>
          <cell r="P19">
            <v>246.26400000000001</v>
          </cell>
          <cell r="U19">
            <v>2724.2955000000002</v>
          </cell>
          <cell r="V19">
            <v>2526.9412400000006</v>
          </cell>
          <cell r="W19">
            <v>3150.1010000000001</v>
          </cell>
          <cell r="X19">
            <v>197.35425999999961</v>
          </cell>
          <cell r="Y19">
            <v>-425.80549999999994</v>
          </cell>
        </row>
        <row r="20">
          <cell r="A20">
            <v>8</v>
          </cell>
          <cell r="B20" t="str">
            <v>Concession Cost</v>
          </cell>
          <cell r="E20">
            <v>17.05</v>
          </cell>
          <cell r="F20">
            <v>17.600000000000001</v>
          </cell>
          <cell r="G20">
            <v>22.55</v>
          </cell>
          <cell r="H20">
            <v>17.05</v>
          </cell>
          <cell r="I20">
            <v>18.149999999999999</v>
          </cell>
          <cell r="J20">
            <v>25.85</v>
          </cell>
          <cell r="K20">
            <v>17.05</v>
          </cell>
          <cell r="L20">
            <v>20.9</v>
          </cell>
          <cell r="M20">
            <v>23.1</v>
          </cell>
          <cell r="N20">
            <v>17.600000000000001</v>
          </cell>
          <cell r="O20">
            <v>24.475000000000001</v>
          </cell>
          <cell r="P20">
            <v>22</v>
          </cell>
          <cell r="T20">
            <v>0</v>
          </cell>
          <cell r="U20">
            <v>243.375</v>
          </cell>
          <cell r="V20">
            <v>212.72319999999999</v>
          </cell>
          <cell r="W20">
            <v>296.96600000000001</v>
          </cell>
          <cell r="X20">
            <v>30.651800000000009</v>
          </cell>
          <cell r="Y20">
            <v>-53.591000000000008</v>
          </cell>
        </row>
        <row r="21">
          <cell r="A21">
            <v>9</v>
          </cell>
          <cell r="B21" t="str">
            <v>Less Concession Rebates</v>
          </cell>
          <cell r="E21">
            <v>-1.9375</v>
          </cell>
          <cell r="F21">
            <v>-2</v>
          </cell>
          <cell r="G21">
            <v>-2.5625</v>
          </cell>
          <cell r="H21">
            <v>-1.9375</v>
          </cell>
          <cell r="I21">
            <v>-2.0625</v>
          </cell>
          <cell r="J21">
            <v>-2.9375</v>
          </cell>
          <cell r="K21">
            <v>-1.9375</v>
          </cell>
          <cell r="L21">
            <v>-2.375</v>
          </cell>
          <cell r="M21">
            <v>-2.625</v>
          </cell>
          <cell r="N21">
            <v>-2</v>
          </cell>
          <cell r="O21">
            <v>-2.78125</v>
          </cell>
          <cell r="P21">
            <v>-2.5</v>
          </cell>
          <cell r="U21">
            <v>-27.65625</v>
          </cell>
          <cell r="V21">
            <v>-31.79</v>
          </cell>
          <cell r="W21">
            <v>-49.798999999999999</v>
          </cell>
          <cell r="X21">
            <v>4.13375</v>
          </cell>
          <cell r="Y21">
            <v>22.142749999999999</v>
          </cell>
        </row>
        <row r="22">
          <cell r="A22">
            <v>10</v>
          </cell>
          <cell r="B22" t="str">
            <v>Advertising Cost</v>
          </cell>
          <cell r="E22">
            <v>9.4401200000000003</v>
          </cell>
          <cell r="F22">
            <v>9.7446400000000004</v>
          </cell>
          <cell r="G22">
            <v>12.48532</v>
          </cell>
          <cell r="H22">
            <v>9.4401200000000003</v>
          </cell>
          <cell r="I22">
            <v>10.049160000000001</v>
          </cell>
          <cell r="J22">
            <v>14.312439999999999</v>
          </cell>
          <cell r="K22">
            <v>9.4401200000000003</v>
          </cell>
          <cell r="L22">
            <v>11.571759999999999</v>
          </cell>
          <cell r="M22">
            <v>12.78984</v>
          </cell>
          <cell r="N22">
            <v>9.7446400000000004</v>
          </cell>
          <cell r="O22">
            <v>13.551140000000002</v>
          </cell>
          <cell r="P22">
            <v>12.1808</v>
          </cell>
          <cell r="T22">
            <v>0</v>
          </cell>
          <cell r="U22">
            <v>134.7501</v>
          </cell>
          <cell r="V22">
            <v>133.23182499999999</v>
          </cell>
          <cell r="W22">
            <v>170.59299999999999</v>
          </cell>
          <cell r="X22">
            <v>1.5182750000000169</v>
          </cell>
          <cell r="Y22">
            <v>-35.842899999999986</v>
          </cell>
        </row>
        <row r="23">
          <cell r="A23">
            <v>11</v>
          </cell>
          <cell r="B23" t="str">
            <v>Other Cost</v>
          </cell>
          <cell r="C23">
            <v>0</v>
          </cell>
          <cell r="E23">
            <v>0.82088000000000005</v>
          </cell>
          <cell r="F23">
            <v>0.84736</v>
          </cell>
          <cell r="G23">
            <v>1.08568</v>
          </cell>
          <cell r="H23">
            <v>0.82088000000000005</v>
          </cell>
          <cell r="I23">
            <v>0.87384000000000006</v>
          </cell>
          <cell r="J23">
            <v>1.2445599999999999</v>
          </cell>
          <cell r="K23">
            <v>0.82088000000000005</v>
          </cell>
          <cell r="L23">
            <v>1.00624</v>
          </cell>
          <cell r="M23">
            <v>1.11216</v>
          </cell>
          <cell r="N23">
            <v>0.84736</v>
          </cell>
          <cell r="O23">
            <v>1.1783600000000001</v>
          </cell>
          <cell r="P23">
            <v>1.0592000000000001</v>
          </cell>
          <cell r="R23">
            <v>0</v>
          </cell>
          <cell r="S23">
            <v>0</v>
          </cell>
          <cell r="T23">
            <v>0</v>
          </cell>
          <cell r="U23">
            <v>11.7174</v>
          </cell>
          <cell r="V23">
            <v>10.894426640000002</v>
          </cell>
          <cell r="W23">
            <v>13.751932000000002</v>
          </cell>
          <cell r="X23">
            <v>0.8229733599999971</v>
          </cell>
          <cell r="Y23">
            <v>-2.0345320000000022</v>
          </cell>
        </row>
        <row r="24">
          <cell r="A24">
            <v>12</v>
          </cell>
          <cell r="B24" t="str">
            <v>Direct Payroll</v>
          </cell>
          <cell r="C24">
            <v>0</v>
          </cell>
          <cell r="E24">
            <v>38.387453579195395</v>
          </cell>
          <cell r="F24">
            <v>38.387453579195395</v>
          </cell>
          <cell r="G24">
            <v>39.487453579195396</v>
          </cell>
          <cell r="H24">
            <v>38.387453579195395</v>
          </cell>
          <cell r="I24">
            <v>38.387453579195395</v>
          </cell>
          <cell r="J24">
            <v>39.487453579195396</v>
          </cell>
          <cell r="K24">
            <v>39.099739157045398</v>
          </cell>
          <cell r="L24">
            <v>39.099739157045398</v>
          </cell>
          <cell r="M24">
            <v>40.1997391570454</v>
          </cell>
          <cell r="N24">
            <v>39.099739157045398</v>
          </cell>
          <cell r="O24">
            <v>40.1997391570454</v>
          </cell>
          <cell r="P24">
            <v>40.1997391570454</v>
          </cell>
          <cell r="R24">
            <v>0</v>
          </cell>
          <cell r="S24">
            <v>0</v>
          </cell>
          <cell r="T24">
            <v>0</v>
          </cell>
          <cell r="U24">
            <v>470.42315641744483</v>
          </cell>
          <cell r="V24">
            <v>545.15700500000003</v>
          </cell>
          <cell r="W24">
            <v>713.63300000000004</v>
          </cell>
          <cell r="X24">
            <v>-74.733848582555197</v>
          </cell>
          <cell r="Y24">
            <v>-243.20984358255521</v>
          </cell>
        </row>
        <row r="25">
          <cell r="B25" t="str">
            <v>TOTAL COST</v>
          </cell>
          <cell r="C25">
            <v>0</v>
          </cell>
          <cell r="E25">
            <v>254.61555357919542</v>
          </cell>
          <cell r="F25">
            <v>261.59065357919542</v>
          </cell>
          <cell r="G25">
            <v>325.46655357919548</v>
          </cell>
          <cell r="H25">
            <v>254.61555357919542</v>
          </cell>
          <cell r="I25">
            <v>268.56575357919542</v>
          </cell>
          <cell r="J25">
            <v>367.31715357919541</v>
          </cell>
          <cell r="K25">
            <v>255.32783915704542</v>
          </cell>
          <cell r="L25">
            <v>304.15353915704543</v>
          </cell>
          <cell r="M25">
            <v>333.15393915704544</v>
          </cell>
          <cell r="N25">
            <v>262.30293915704539</v>
          </cell>
          <cell r="O25">
            <v>350.59168915704549</v>
          </cell>
          <cell r="P25">
            <v>319.20373915704533</v>
          </cell>
          <cell r="R25">
            <v>0</v>
          </cell>
          <cell r="S25">
            <v>0</v>
          </cell>
          <cell r="T25">
            <v>0</v>
          </cell>
          <cell r="U25">
            <v>3556.9049064174446</v>
          </cell>
          <cell r="V25">
            <v>3397.1576966400003</v>
          </cell>
          <cell r="W25">
            <v>4295.2459319999998</v>
          </cell>
          <cell r="X25">
            <v>159.74720977744437</v>
          </cell>
          <cell r="Y25">
            <v>-738.34102558255518</v>
          </cell>
        </row>
        <row r="27">
          <cell r="B27" t="str">
            <v>GROSS MARGIN</v>
          </cell>
          <cell r="C27">
            <v>0</v>
          </cell>
          <cell r="E27">
            <v>267.26207142080466</v>
          </cell>
          <cell r="F27">
            <v>276.02697142080467</v>
          </cell>
          <cell r="G27">
            <v>353.81107142080458</v>
          </cell>
          <cell r="H27">
            <v>267.26207142080466</v>
          </cell>
          <cell r="I27">
            <v>284.79187142080468</v>
          </cell>
          <cell r="J27">
            <v>406.40047142080459</v>
          </cell>
          <cell r="K27">
            <v>266.54978584295463</v>
          </cell>
          <cell r="L27">
            <v>327.9040858429546</v>
          </cell>
          <cell r="M27">
            <v>361.86368584295462</v>
          </cell>
          <cell r="N27">
            <v>275.3146858429547</v>
          </cell>
          <cell r="O27">
            <v>383.7759358429546</v>
          </cell>
          <cell r="P27">
            <v>344.33388584295471</v>
          </cell>
          <cell r="R27">
            <v>0</v>
          </cell>
          <cell r="S27">
            <v>0</v>
          </cell>
          <cell r="T27">
            <v>0</v>
          </cell>
          <cell r="U27">
            <v>3815.2965935825555</v>
          </cell>
          <cell r="V27">
            <v>3565.9701733600009</v>
          </cell>
          <cell r="W27">
            <v>3986.5200680000016</v>
          </cell>
          <cell r="X27">
            <v>249.32642022255459</v>
          </cell>
          <cell r="Y27">
            <v>-171.22347441744614</v>
          </cell>
        </row>
        <row r="28">
          <cell r="X28">
            <v>0</v>
          </cell>
          <cell r="Y28">
            <v>0</v>
          </cell>
        </row>
        <row r="29">
          <cell r="A29">
            <v>13</v>
          </cell>
          <cell r="B29" t="str">
            <v>Direct Rent</v>
          </cell>
          <cell r="E29">
            <v>158.66038</v>
          </cell>
          <cell r="F29">
            <v>158.66038</v>
          </cell>
          <cell r="G29">
            <v>158.66038</v>
          </cell>
          <cell r="H29">
            <v>158.66038</v>
          </cell>
          <cell r="I29">
            <v>158.66038</v>
          </cell>
          <cell r="J29">
            <v>158.66038</v>
          </cell>
          <cell r="K29">
            <v>158.66038</v>
          </cell>
          <cell r="L29">
            <v>158.66038</v>
          </cell>
          <cell r="M29">
            <v>158.66038</v>
          </cell>
          <cell r="N29">
            <v>158.66038</v>
          </cell>
          <cell r="O29">
            <v>158.66038</v>
          </cell>
          <cell r="P29">
            <v>158.66038</v>
          </cell>
          <cell r="T29">
            <v>0</v>
          </cell>
          <cell r="U29">
            <v>1903.9245600000002</v>
          </cell>
          <cell r="V29">
            <v>1797.2759500000004</v>
          </cell>
          <cell r="W29">
            <v>1848.47</v>
          </cell>
          <cell r="X29">
            <v>106.64860999999974</v>
          </cell>
          <cell r="Y29">
            <v>55.454560000000129</v>
          </cell>
        </row>
        <row r="30">
          <cell r="A30">
            <v>14</v>
          </cell>
          <cell r="B30" t="str">
            <v>Light, Heat and Power</v>
          </cell>
          <cell r="E30">
            <v>15</v>
          </cell>
          <cell r="F30">
            <v>15</v>
          </cell>
          <cell r="G30">
            <v>15</v>
          </cell>
          <cell r="H30">
            <v>15</v>
          </cell>
          <cell r="I30">
            <v>15</v>
          </cell>
          <cell r="J30">
            <v>15</v>
          </cell>
          <cell r="K30">
            <v>15</v>
          </cell>
          <cell r="L30">
            <v>15</v>
          </cell>
          <cell r="M30">
            <v>15</v>
          </cell>
          <cell r="N30">
            <v>15</v>
          </cell>
          <cell r="O30">
            <v>15</v>
          </cell>
          <cell r="P30">
            <v>15</v>
          </cell>
          <cell r="T30">
            <v>0</v>
          </cell>
          <cell r="U30">
            <v>180</v>
          </cell>
          <cell r="V30">
            <v>200.88871</v>
          </cell>
          <cell r="W30">
            <v>233.072</v>
          </cell>
          <cell r="X30">
            <v>-20.888710000000003</v>
          </cell>
          <cell r="Y30">
            <v>-53.072000000000003</v>
          </cell>
        </row>
        <row r="31">
          <cell r="A31">
            <v>15</v>
          </cell>
          <cell r="B31" t="str">
            <v>Repair &amp; Maintenance</v>
          </cell>
          <cell r="E31">
            <v>12.25</v>
          </cell>
          <cell r="F31">
            <v>12.25</v>
          </cell>
          <cell r="G31">
            <v>12.25</v>
          </cell>
          <cell r="H31">
            <v>17.25</v>
          </cell>
          <cell r="I31">
            <v>12.25</v>
          </cell>
          <cell r="J31">
            <v>12.25</v>
          </cell>
          <cell r="K31">
            <v>12.25</v>
          </cell>
          <cell r="L31">
            <v>12.25</v>
          </cell>
          <cell r="M31">
            <v>37.25</v>
          </cell>
          <cell r="N31">
            <v>12.25</v>
          </cell>
          <cell r="O31">
            <v>12.25</v>
          </cell>
          <cell r="P31">
            <v>12.25</v>
          </cell>
          <cell r="T31">
            <v>0</v>
          </cell>
          <cell r="U31">
            <v>177</v>
          </cell>
          <cell r="V31">
            <v>171.74321666666668</v>
          </cell>
          <cell r="W31">
            <v>271.601</v>
          </cell>
          <cell r="X31">
            <v>5.2567833333333169</v>
          </cell>
          <cell r="Y31">
            <v>-94.600999999999999</v>
          </cell>
        </row>
        <row r="32">
          <cell r="A32">
            <v>16</v>
          </cell>
          <cell r="B32" t="str">
            <v>Common Area Maintenance</v>
          </cell>
          <cell r="E32">
            <v>0</v>
          </cell>
          <cell r="F32">
            <v>0</v>
          </cell>
          <cell r="G32">
            <v>0</v>
          </cell>
          <cell r="H32">
            <v>0</v>
          </cell>
          <cell r="I32">
            <v>0</v>
          </cell>
          <cell r="J32">
            <v>0</v>
          </cell>
          <cell r="K32">
            <v>0</v>
          </cell>
          <cell r="L32">
            <v>0</v>
          </cell>
          <cell r="M32">
            <v>0</v>
          </cell>
          <cell r="N32">
            <v>0</v>
          </cell>
          <cell r="O32">
            <v>0</v>
          </cell>
          <cell r="P32">
            <v>0</v>
          </cell>
          <cell r="T32">
            <v>0</v>
          </cell>
          <cell r="U32">
            <v>0</v>
          </cell>
          <cell r="V32">
            <v>0</v>
          </cell>
          <cell r="W32">
            <v>0</v>
          </cell>
          <cell r="X32">
            <v>0</v>
          </cell>
          <cell r="Y32">
            <v>0</v>
          </cell>
        </row>
        <row r="33">
          <cell r="A33">
            <v>17</v>
          </cell>
          <cell r="B33" t="str">
            <v>Other Overhead Costs</v>
          </cell>
          <cell r="C33">
            <v>0</v>
          </cell>
          <cell r="E33">
            <v>20.645654535791955</v>
          </cell>
          <cell r="F33">
            <v>20.645654535791955</v>
          </cell>
          <cell r="G33">
            <v>20.441374535791955</v>
          </cell>
          <cell r="H33">
            <v>20.645654535791955</v>
          </cell>
          <cell r="I33">
            <v>20.430374535791955</v>
          </cell>
          <cell r="J33">
            <v>20.656654535791954</v>
          </cell>
          <cell r="K33">
            <v>20.652777391570456</v>
          </cell>
          <cell r="L33">
            <v>22.506937391570457</v>
          </cell>
          <cell r="M33">
            <v>20.663777391570456</v>
          </cell>
          <cell r="N33">
            <v>20.437497391570457</v>
          </cell>
          <cell r="O33">
            <v>20.663777391570456</v>
          </cell>
          <cell r="P33">
            <v>20.448497391570456</v>
          </cell>
          <cell r="R33">
            <v>0</v>
          </cell>
          <cell r="S33">
            <v>0</v>
          </cell>
          <cell r="T33">
            <v>0</v>
          </cell>
          <cell r="U33">
            <v>248.83863156417442</v>
          </cell>
          <cell r="V33">
            <v>288.56553573333338</v>
          </cell>
          <cell r="W33">
            <v>348.07306800000003</v>
          </cell>
          <cell r="X33">
            <v>-39.726904169158956</v>
          </cell>
          <cell r="Y33">
            <v>-99.234436435825614</v>
          </cell>
        </row>
        <row r="35">
          <cell r="B35" t="str">
            <v>Total Overhead Expenses</v>
          </cell>
          <cell r="C35">
            <v>0</v>
          </cell>
          <cell r="E35">
            <v>206.55603453579195</v>
          </cell>
          <cell r="F35">
            <v>206.55603453579195</v>
          </cell>
          <cell r="G35">
            <v>206.35175453579197</v>
          </cell>
          <cell r="H35">
            <v>211.55603453579195</v>
          </cell>
          <cell r="I35">
            <v>206.34075453579197</v>
          </cell>
          <cell r="J35">
            <v>206.56703453579195</v>
          </cell>
          <cell r="K35">
            <v>206.56315739157046</v>
          </cell>
          <cell r="L35">
            <v>208.41731739157046</v>
          </cell>
          <cell r="M35">
            <v>231.57415739157045</v>
          </cell>
          <cell r="N35">
            <v>206.34787739157045</v>
          </cell>
          <cell r="O35">
            <v>206.57415739157045</v>
          </cell>
          <cell r="P35">
            <v>206.35887739157045</v>
          </cell>
          <cell r="R35">
            <v>0</v>
          </cell>
          <cell r="S35">
            <v>0</v>
          </cell>
          <cell r="T35">
            <v>0</v>
          </cell>
          <cell r="U35">
            <v>2509.7631915641746</v>
          </cell>
          <cell r="V35">
            <v>2458.4734124000006</v>
          </cell>
          <cell r="W35">
            <v>2701.2160680000002</v>
          </cell>
          <cell r="X35">
            <v>51.289779164173979</v>
          </cell>
          <cell r="Y35">
            <v>-191.4528764358256</v>
          </cell>
        </row>
        <row r="37">
          <cell r="B37" t="str">
            <v>E.B.I.T.D.</v>
          </cell>
          <cell r="C37">
            <v>0</v>
          </cell>
          <cell r="E37">
            <v>60.706036885012708</v>
          </cell>
          <cell r="F37">
            <v>69.470936885012719</v>
          </cell>
          <cell r="G37">
            <v>147.45931688501261</v>
          </cell>
          <cell r="H37">
            <v>55.706036885012708</v>
          </cell>
          <cell r="I37">
            <v>78.451116885012709</v>
          </cell>
          <cell r="J37">
            <v>199.83343688501265</v>
          </cell>
          <cell r="K37">
            <v>59.986628451384178</v>
          </cell>
          <cell r="L37">
            <v>119.48676845138414</v>
          </cell>
          <cell r="M37">
            <v>130.28952845138417</v>
          </cell>
          <cell r="N37">
            <v>68.966808451384253</v>
          </cell>
          <cell r="O37">
            <v>177.20177845138414</v>
          </cell>
          <cell r="P37">
            <v>137.97500845138427</v>
          </cell>
          <cell r="R37">
            <v>0</v>
          </cell>
          <cell r="S37">
            <v>0</v>
          </cell>
          <cell r="T37">
            <v>0</v>
          </cell>
          <cell r="U37">
            <v>1305.5334020183809</v>
          </cell>
          <cell r="V37">
            <v>1107.4967609600003</v>
          </cell>
          <cell r="W37">
            <v>1285.3040000000015</v>
          </cell>
          <cell r="X37">
            <v>198.03664105838061</v>
          </cell>
          <cell r="Y37">
            <v>20.22940201837946</v>
          </cell>
        </row>
        <row r="39">
          <cell r="A39">
            <v>18</v>
          </cell>
          <cell r="B39" t="str">
            <v>Depreciation</v>
          </cell>
          <cell r="E39">
            <v>37.618506944444448</v>
          </cell>
          <cell r="F39">
            <v>37.618506944444448</v>
          </cell>
          <cell r="G39">
            <v>37.618506944444448</v>
          </cell>
          <cell r="H39">
            <v>37.618506944444448</v>
          </cell>
          <cell r="I39">
            <v>37.618506944444448</v>
          </cell>
          <cell r="J39">
            <v>37.618506944444448</v>
          </cell>
          <cell r="K39">
            <v>38.201840277777784</v>
          </cell>
          <cell r="L39">
            <v>38.201840277777784</v>
          </cell>
          <cell r="M39">
            <v>38.201840277777784</v>
          </cell>
          <cell r="N39">
            <v>38.201840277777784</v>
          </cell>
          <cell r="O39">
            <v>38.201840277777784</v>
          </cell>
          <cell r="P39">
            <v>38.201840277777784</v>
          </cell>
          <cell r="T39">
            <v>0</v>
          </cell>
          <cell r="U39">
            <v>454.92208333333326</v>
          </cell>
          <cell r="V39">
            <v>449.09136115740739</v>
          </cell>
          <cell r="W39">
            <v>419.072</v>
          </cell>
          <cell r="X39">
            <v>5.8307221759258709</v>
          </cell>
          <cell r="Y39">
            <v>35.850083333333259</v>
          </cell>
        </row>
        <row r="40">
          <cell r="A40">
            <v>19</v>
          </cell>
          <cell r="B40" t="str">
            <v>Fixed Assets Written Off</v>
          </cell>
          <cell r="E40">
            <v>0</v>
          </cell>
          <cell r="F40">
            <v>0</v>
          </cell>
          <cell r="G40">
            <v>0</v>
          </cell>
          <cell r="H40">
            <v>0</v>
          </cell>
          <cell r="I40">
            <v>0</v>
          </cell>
          <cell r="J40">
            <v>0</v>
          </cell>
          <cell r="K40">
            <v>0</v>
          </cell>
          <cell r="L40">
            <v>0</v>
          </cell>
          <cell r="M40">
            <v>0</v>
          </cell>
          <cell r="N40">
            <v>0</v>
          </cell>
          <cell r="O40">
            <v>0</v>
          </cell>
          <cell r="P40">
            <v>0</v>
          </cell>
          <cell r="T40">
            <v>0</v>
          </cell>
          <cell r="U40">
            <v>0</v>
          </cell>
          <cell r="V40">
            <v>2.63</v>
          </cell>
          <cell r="W40">
            <v>19.963999999999999</v>
          </cell>
          <cell r="X40">
            <v>-2.63</v>
          </cell>
          <cell r="Y40">
            <v>-19.963999999999999</v>
          </cell>
        </row>
        <row r="41">
          <cell r="A41">
            <v>20</v>
          </cell>
          <cell r="B41" t="str">
            <v>External Interest</v>
          </cell>
          <cell r="T41">
            <v>0</v>
          </cell>
          <cell r="U41">
            <v>0</v>
          </cell>
          <cell r="V41">
            <v>195.98373809452056</v>
          </cell>
          <cell r="W41">
            <v>221.048</v>
          </cell>
          <cell r="X41">
            <v>-195.98373809452056</v>
          </cell>
          <cell r="Y41">
            <v>-221.048</v>
          </cell>
        </row>
        <row r="42">
          <cell r="A42">
            <v>21</v>
          </cell>
          <cell r="B42" t="str">
            <v>Intercompany Interest Income</v>
          </cell>
          <cell r="T42">
            <v>0</v>
          </cell>
          <cell r="U42">
            <v>0</v>
          </cell>
          <cell r="V42">
            <v>0</v>
          </cell>
          <cell r="W42">
            <v>0</v>
          </cell>
          <cell r="X42">
            <v>0</v>
          </cell>
          <cell r="Y42">
            <v>0</v>
          </cell>
        </row>
        <row r="43">
          <cell r="A43">
            <v>22</v>
          </cell>
          <cell r="B43" t="str">
            <v>External Interest Income</v>
          </cell>
          <cell r="T43">
            <v>0</v>
          </cell>
          <cell r="U43">
            <v>0</v>
          </cell>
          <cell r="V43">
            <v>2.72343</v>
          </cell>
          <cell r="W43">
            <v>0.90700000000000003</v>
          </cell>
          <cell r="X43">
            <v>-2.72343</v>
          </cell>
          <cell r="Y43">
            <v>-0.90700000000000003</v>
          </cell>
        </row>
        <row r="44">
          <cell r="B44" t="str">
            <v>E.B.T.</v>
          </cell>
          <cell r="C44">
            <v>0</v>
          </cell>
          <cell r="E44">
            <v>23.08752994056826</v>
          </cell>
          <cell r="F44">
            <v>31.852429940568271</v>
          </cell>
          <cell r="G44">
            <v>109.84080994056816</v>
          </cell>
          <cell r="H44">
            <v>18.08752994056826</v>
          </cell>
          <cell r="I44">
            <v>40.832609940568261</v>
          </cell>
          <cell r="J44">
            <v>162.2149299405682</v>
          </cell>
          <cell r="K44">
            <v>21.784788173606394</v>
          </cell>
          <cell r="L44">
            <v>81.284928173606346</v>
          </cell>
          <cell r="M44">
            <v>92.087688173606381</v>
          </cell>
          <cell r="N44">
            <v>30.764968173606469</v>
          </cell>
          <cell r="O44">
            <v>138.99993817360635</v>
          </cell>
          <cell r="P44">
            <v>99.773168173606479</v>
          </cell>
          <cell r="Q44">
            <v>0</v>
          </cell>
          <cell r="R44">
            <v>0</v>
          </cell>
          <cell r="S44">
            <v>0</v>
          </cell>
          <cell r="T44">
            <v>0</v>
          </cell>
          <cell r="U44">
            <v>850.61131868504765</v>
          </cell>
          <cell r="V44">
            <v>462.51509170807236</v>
          </cell>
          <cell r="W44">
            <v>626.12700000000143</v>
          </cell>
          <cell r="X44">
            <v>388.09622697697529</v>
          </cell>
          <cell r="Y44">
            <v>224.48431868504622</v>
          </cell>
        </row>
        <row r="46">
          <cell r="A46">
            <v>23</v>
          </cell>
          <cell r="B46" t="str">
            <v>Taxation</v>
          </cell>
          <cell r="E46">
            <v>0</v>
          </cell>
          <cell r="F46">
            <v>0</v>
          </cell>
          <cell r="G46">
            <v>0</v>
          </cell>
          <cell r="H46">
            <v>0</v>
          </cell>
          <cell r="I46">
            <v>0</v>
          </cell>
          <cell r="J46">
            <v>0</v>
          </cell>
          <cell r="K46">
            <v>0</v>
          </cell>
          <cell r="L46">
            <v>0</v>
          </cell>
          <cell r="M46">
            <v>0</v>
          </cell>
          <cell r="N46">
            <v>0</v>
          </cell>
          <cell r="O46">
            <v>0</v>
          </cell>
          <cell r="P46">
            <v>0</v>
          </cell>
          <cell r="T46">
            <v>0</v>
          </cell>
          <cell r="U46">
            <v>0</v>
          </cell>
          <cell r="V46">
            <v>0</v>
          </cell>
          <cell r="W46">
            <v>0</v>
          </cell>
          <cell r="X46">
            <v>0</v>
          </cell>
          <cell r="Y46">
            <v>0</v>
          </cell>
        </row>
        <row r="47">
          <cell r="A47">
            <v>24</v>
          </cell>
          <cell r="B47" t="str">
            <v>Adjustments</v>
          </cell>
          <cell r="C47">
            <v>0</v>
          </cell>
          <cell r="E47">
            <v>0</v>
          </cell>
          <cell r="F47">
            <v>0</v>
          </cell>
          <cell r="G47">
            <v>0</v>
          </cell>
          <cell r="H47">
            <v>0</v>
          </cell>
          <cell r="I47">
            <v>0</v>
          </cell>
          <cell r="J47">
            <v>0</v>
          </cell>
          <cell r="K47">
            <v>0</v>
          </cell>
          <cell r="L47">
            <v>0</v>
          </cell>
          <cell r="M47">
            <v>0</v>
          </cell>
          <cell r="N47">
            <v>0</v>
          </cell>
          <cell r="O47">
            <v>0</v>
          </cell>
          <cell r="P47">
            <v>0</v>
          </cell>
          <cell r="R47">
            <v>0</v>
          </cell>
          <cell r="S47">
            <v>0</v>
          </cell>
          <cell r="T47">
            <v>0</v>
          </cell>
          <cell r="U47">
            <v>0</v>
          </cell>
          <cell r="V47">
            <v>0</v>
          </cell>
          <cell r="W47">
            <v>0</v>
          </cell>
          <cell r="X47">
            <v>0</v>
          </cell>
          <cell r="Y47">
            <v>0</v>
          </cell>
        </row>
        <row r="48">
          <cell r="A48">
            <v>25</v>
          </cell>
          <cell r="B48" t="str">
            <v>Dividends</v>
          </cell>
          <cell r="E48">
            <v>0</v>
          </cell>
          <cell r="F48">
            <v>0</v>
          </cell>
          <cell r="G48">
            <v>0</v>
          </cell>
          <cell r="H48">
            <v>0</v>
          </cell>
          <cell r="I48">
            <v>0</v>
          </cell>
          <cell r="J48">
            <v>0</v>
          </cell>
          <cell r="K48">
            <v>0</v>
          </cell>
          <cell r="L48">
            <v>0</v>
          </cell>
          <cell r="M48">
            <v>0</v>
          </cell>
          <cell r="N48">
            <v>0</v>
          </cell>
          <cell r="O48">
            <v>0</v>
          </cell>
          <cell r="P48">
            <v>0</v>
          </cell>
          <cell r="T48">
            <v>0</v>
          </cell>
          <cell r="U48">
            <v>0</v>
          </cell>
          <cell r="V48">
            <v>0</v>
          </cell>
          <cell r="W48">
            <v>0</v>
          </cell>
          <cell r="X48">
            <v>0</v>
          </cell>
          <cell r="Y48">
            <v>0</v>
          </cell>
        </row>
        <row r="49">
          <cell r="A49">
            <v>26</v>
          </cell>
          <cell r="B49" t="str">
            <v>Extraordinary Items</v>
          </cell>
          <cell r="E49">
            <v>0</v>
          </cell>
          <cell r="F49">
            <v>0</v>
          </cell>
          <cell r="G49">
            <v>0</v>
          </cell>
          <cell r="H49">
            <v>0</v>
          </cell>
          <cell r="I49">
            <v>0</v>
          </cell>
          <cell r="J49">
            <v>0</v>
          </cell>
          <cell r="K49">
            <v>0</v>
          </cell>
          <cell r="L49">
            <v>0</v>
          </cell>
          <cell r="M49">
            <v>0</v>
          </cell>
          <cell r="N49">
            <v>0</v>
          </cell>
          <cell r="O49">
            <v>0</v>
          </cell>
          <cell r="P49">
            <v>0</v>
          </cell>
          <cell r="T49">
            <v>0</v>
          </cell>
          <cell r="U49">
            <v>0</v>
          </cell>
          <cell r="V49">
            <v>0</v>
          </cell>
          <cell r="W49">
            <v>0</v>
          </cell>
          <cell r="X49">
            <v>0</v>
          </cell>
          <cell r="Y49">
            <v>0</v>
          </cell>
        </row>
        <row r="50">
          <cell r="B50" t="str">
            <v>RETAINED PROFIT(LOSS)</v>
          </cell>
          <cell r="C50">
            <v>0</v>
          </cell>
          <cell r="E50">
            <v>23.08752994056826</v>
          </cell>
          <cell r="F50">
            <v>31.852429940568271</v>
          </cell>
          <cell r="G50">
            <v>109.84080994056816</v>
          </cell>
          <cell r="H50">
            <v>18.08752994056826</v>
          </cell>
          <cell r="I50">
            <v>40.832609940568261</v>
          </cell>
          <cell r="J50">
            <v>162.2149299405682</v>
          </cell>
          <cell r="K50">
            <v>21.784788173606394</v>
          </cell>
          <cell r="L50">
            <v>81.284928173606346</v>
          </cell>
          <cell r="M50">
            <v>92.087688173606381</v>
          </cell>
          <cell r="N50">
            <v>30.764968173606469</v>
          </cell>
          <cell r="O50">
            <v>138.99993817360635</v>
          </cell>
          <cell r="P50">
            <v>99.773168173606479</v>
          </cell>
          <cell r="Q50">
            <v>0</v>
          </cell>
          <cell r="R50">
            <v>0</v>
          </cell>
          <cell r="S50">
            <v>0</v>
          </cell>
          <cell r="T50">
            <v>0</v>
          </cell>
          <cell r="U50">
            <v>850.61131868504765</v>
          </cell>
          <cell r="V50">
            <v>462.51509170807236</v>
          </cell>
          <cell r="W50">
            <v>626.12700000000143</v>
          </cell>
          <cell r="X50">
            <v>388.09622697697529</v>
          </cell>
          <cell r="Y50">
            <v>224.48431868504622</v>
          </cell>
        </row>
        <row r="52">
          <cell r="B52" t="str">
            <v>RATIOS</v>
          </cell>
        </row>
        <row r="53">
          <cell r="B53" t="str">
            <v>No of week</v>
          </cell>
          <cell r="E53">
            <v>4</v>
          </cell>
          <cell r="F53">
            <v>4</v>
          </cell>
          <cell r="G53">
            <v>5</v>
          </cell>
          <cell r="H53">
            <v>4</v>
          </cell>
          <cell r="I53">
            <v>4</v>
          </cell>
          <cell r="J53">
            <v>5</v>
          </cell>
          <cell r="K53">
            <v>4</v>
          </cell>
          <cell r="L53">
            <v>4</v>
          </cell>
          <cell r="M53">
            <v>5</v>
          </cell>
          <cell r="N53">
            <v>4</v>
          </cell>
          <cell r="O53">
            <v>5</v>
          </cell>
          <cell r="P53">
            <v>4</v>
          </cell>
          <cell r="U53">
            <v>52</v>
          </cell>
          <cell r="V53">
            <v>52</v>
          </cell>
          <cell r="W53">
            <v>52</v>
          </cell>
          <cell r="X53">
            <v>0</v>
          </cell>
          <cell r="Y53">
            <v>0</v>
          </cell>
        </row>
        <row r="54">
          <cell r="A54">
            <v>27</v>
          </cell>
          <cell r="B54" t="str">
            <v>Pd Admissions</v>
          </cell>
          <cell r="E54">
            <v>60.76</v>
          </cell>
          <cell r="F54">
            <v>62.72</v>
          </cell>
          <cell r="G54">
            <v>80.36</v>
          </cell>
          <cell r="H54">
            <v>60.76</v>
          </cell>
          <cell r="I54">
            <v>64.680000000000007</v>
          </cell>
          <cell r="J54">
            <v>92.12</v>
          </cell>
          <cell r="K54">
            <v>60.76</v>
          </cell>
          <cell r="L54">
            <v>74.48</v>
          </cell>
          <cell r="M54">
            <v>82.32</v>
          </cell>
          <cell r="N54">
            <v>62.72</v>
          </cell>
          <cell r="O54">
            <v>87.22</v>
          </cell>
          <cell r="P54">
            <v>78.400000000000006</v>
          </cell>
          <cell r="T54">
            <v>0</v>
          </cell>
          <cell r="U54">
            <v>867.3</v>
          </cell>
          <cell r="V54">
            <v>820</v>
          </cell>
          <cell r="W54">
            <v>1016.269</v>
          </cell>
          <cell r="X54">
            <v>47.300000000000068</v>
          </cell>
          <cell r="Y54">
            <v>-148.96899999999994</v>
          </cell>
        </row>
        <row r="55">
          <cell r="A55">
            <v>28</v>
          </cell>
          <cell r="B55" t="str">
            <v>Admissions</v>
          </cell>
          <cell r="E55">
            <v>62</v>
          </cell>
          <cell r="F55">
            <v>64</v>
          </cell>
          <cell r="G55">
            <v>82</v>
          </cell>
          <cell r="H55">
            <v>62</v>
          </cell>
          <cell r="I55">
            <v>66</v>
          </cell>
          <cell r="J55">
            <v>94</v>
          </cell>
          <cell r="K55">
            <v>62</v>
          </cell>
          <cell r="L55">
            <v>76</v>
          </cell>
          <cell r="M55">
            <v>84</v>
          </cell>
          <cell r="N55">
            <v>64</v>
          </cell>
          <cell r="O55">
            <v>89</v>
          </cell>
          <cell r="P55">
            <v>80</v>
          </cell>
          <cell r="T55">
            <v>0</v>
          </cell>
          <cell r="U55">
            <v>885</v>
          </cell>
          <cell r="V55">
            <v>820</v>
          </cell>
          <cell r="W55">
            <v>1016.269</v>
          </cell>
          <cell r="X55">
            <v>65</v>
          </cell>
          <cell r="Y55">
            <v>-131.26900000000001</v>
          </cell>
        </row>
        <row r="56">
          <cell r="B56" t="str">
            <v>Utilisation Rate</v>
          </cell>
          <cell r="E56">
            <v>0.21777615421361735</v>
          </cell>
          <cell r="F56">
            <v>0.22480119144631466</v>
          </cell>
          <cell r="G56">
            <v>0.23042122123247252</v>
          </cell>
          <cell r="H56">
            <v>0.21777615421361735</v>
          </cell>
          <cell r="I56">
            <v>0.23182622867901201</v>
          </cell>
          <cell r="J56">
            <v>0.26414139994941971</v>
          </cell>
          <cell r="K56">
            <v>0.21777615421361735</v>
          </cell>
          <cell r="L56">
            <v>0.26695141484249868</v>
          </cell>
          <cell r="M56">
            <v>0.23604125101863041</v>
          </cell>
          <cell r="N56">
            <v>0.22480119144631466</v>
          </cell>
          <cell r="O56">
            <v>0.25009132548402507</v>
          </cell>
          <cell r="P56">
            <v>0.28100148930789332</v>
          </cell>
          <cell r="U56">
            <v>0.23912145965142845</v>
          </cell>
          <cell r="V56">
            <v>0.22590079318727285</v>
          </cell>
          <cell r="W56">
            <v>0.26584463244543977</v>
          </cell>
          <cell r="X56">
            <v>1.3220666464155595E-2</v>
          </cell>
          <cell r="Y56">
            <v>-2.6723172794011318E-2</v>
          </cell>
        </row>
        <row r="57">
          <cell r="B57" t="str">
            <v>Ave. Admission Price (S$)</v>
          </cell>
          <cell r="C57" t="str">
            <v>N.A.</v>
          </cell>
          <cell r="E57">
            <v>6.62</v>
          </cell>
          <cell r="F57">
            <v>6.62</v>
          </cell>
          <cell r="G57">
            <v>6.62</v>
          </cell>
          <cell r="H57">
            <v>6.62</v>
          </cell>
          <cell r="I57">
            <v>6.62</v>
          </cell>
          <cell r="J57">
            <v>6.62</v>
          </cell>
          <cell r="K57">
            <v>6.62</v>
          </cell>
          <cell r="L57">
            <v>6.62</v>
          </cell>
          <cell r="M57">
            <v>6.62</v>
          </cell>
          <cell r="N57">
            <v>6.62</v>
          </cell>
          <cell r="O57">
            <v>6.62</v>
          </cell>
          <cell r="P57">
            <v>6.62</v>
          </cell>
          <cell r="R57" t="str">
            <v>N.A.</v>
          </cell>
          <cell r="S57" t="str">
            <v>N.A.</v>
          </cell>
          <cell r="U57">
            <v>6.62</v>
          </cell>
          <cell r="V57">
            <v>6.6429430731707324</v>
          </cell>
          <cell r="W57">
            <v>6.765891707805709</v>
          </cell>
          <cell r="X57">
            <v>-2.2943073170730521E-2</v>
          </cell>
          <cell r="Y57">
            <v>-0.14589170780570715</v>
          </cell>
        </row>
        <row r="58">
          <cell r="B58" t="str">
            <v>Advert. Cost % of Box</v>
          </cell>
          <cell r="C58" t="str">
            <v>N.A.</v>
          </cell>
          <cell r="E58">
            <v>2.3E-2</v>
          </cell>
          <cell r="F58">
            <v>2.3E-2</v>
          </cell>
          <cell r="G58">
            <v>2.3E-2</v>
          </cell>
          <cell r="H58">
            <v>2.3E-2</v>
          </cell>
          <cell r="I58">
            <v>2.3E-2</v>
          </cell>
          <cell r="J58">
            <v>2.3E-2</v>
          </cell>
          <cell r="K58">
            <v>2.3E-2</v>
          </cell>
          <cell r="L58">
            <v>2.3E-2</v>
          </cell>
          <cell r="M58">
            <v>2.3E-2</v>
          </cell>
          <cell r="N58">
            <v>2.3E-2</v>
          </cell>
          <cell r="O58">
            <v>2.3E-2</v>
          </cell>
          <cell r="P58">
            <v>2.3E-2</v>
          </cell>
          <cell r="R58">
            <v>2.5999999999999999E-2</v>
          </cell>
          <cell r="S58">
            <v>2.5999999999999999E-2</v>
          </cell>
          <cell r="T58">
            <v>2.5999999999999999E-2</v>
          </cell>
          <cell r="U58">
            <v>2.2999999999999993E-2</v>
          </cell>
          <cell r="V58">
            <v>2.4458712588109173E-2</v>
          </cell>
          <cell r="W58">
            <v>2.4810041236387727E-2</v>
          </cell>
          <cell r="X58">
            <v>-1.4587125881091803E-3</v>
          </cell>
          <cell r="Y58">
            <v>-1.8100412363877341E-3</v>
          </cell>
        </row>
        <row r="59">
          <cell r="B59" t="str">
            <v>Concession Cost %</v>
          </cell>
          <cell r="C59" t="str">
            <v>N.A.</v>
          </cell>
          <cell r="E59">
            <v>0.19500000000000001</v>
          </cell>
          <cell r="F59">
            <v>0.19500000000000001</v>
          </cell>
          <cell r="G59">
            <v>0.19500000000000001</v>
          </cell>
          <cell r="H59">
            <v>0.19500000000000001</v>
          </cell>
          <cell r="I59">
            <v>0.19500000000000001</v>
          </cell>
          <cell r="J59">
            <v>0.19500000000000001</v>
          </cell>
          <cell r="K59">
            <v>0.19500000000000001</v>
          </cell>
          <cell r="L59">
            <v>0.19500000000000001</v>
          </cell>
          <cell r="M59">
            <v>0.19500000000000001</v>
          </cell>
          <cell r="N59">
            <v>0.19500000000000001</v>
          </cell>
          <cell r="O59">
            <v>0.19500000000000001</v>
          </cell>
          <cell r="P59">
            <v>0.19500000000000001</v>
          </cell>
          <cell r="R59" t="str">
            <v>N.A.</v>
          </cell>
          <cell r="S59" t="str">
            <v>N.A.</v>
          </cell>
          <cell r="U59">
            <v>0.19500000000000001</v>
          </cell>
          <cell r="V59">
            <v>0.17090843257852897</v>
          </cell>
          <cell r="W59">
            <v>0.22597877783283751</v>
          </cell>
          <cell r="X59">
            <v>2.4091567421471033E-2</v>
          </cell>
          <cell r="Y59">
            <v>-3.0978777832837506E-2</v>
          </cell>
        </row>
        <row r="60">
          <cell r="B60" t="str">
            <v>Concess. Rev per Patron (S$)</v>
          </cell>
          <cell r="C60" t="str">
            <v>N.A.</v>
          </cell>
          <cell r="E60">
            <v>1.25</v>
          </cell>
          <cell r="F60">
            <v>1.25</v>
          </cell>
          <cell r="G60">
            <v>1.25</v>
          </cell>
          <cell r="H60">
            <v>1.25</v>
          </cell>
          <cell r="I60">
            <v>1.25</v>
          </cell>
          <cell r="J60">
            <v>1.25</v>
          </cell>
          <cell r="K60">
            <v>1.25</v>
          </cell>
          <cell r="L60">
            <v>1.25</v>
          </cell>
          <cell r="M60">
            <v>1.25</v>
          </cell>
          <cell r="N60">
            <v>1.25</v>
          </cell>
          <cell r="O60">
            <v>1.25</v>
          </cell>
          <cell r="P60">
            <v>1.25</v>
          </cell>
          <cell r="R60" t="str">
            <v>N.A.</v>
          </cell>
          <cell r="S60" t="str">
            <v>N.A.</v>
          </cell>
          <cell r="U60">
            <v>1.25</v>
          </cell>
          <cell r="V60">
            <v>1.2910436341463416</v>
          </cell>
          <cell r="W60">
            <v>1.0762524489087042</v>
          </cell>
          <cell r="X60">
            <v>-4.1043634146341601E-2</v>
          </cell>
          <cell r="Y60">
            <v>0.1737475510912958</v>
          </cell>
        </row>
        <row r="61">
          <cell r="B61" t="str">
            <v>Film Hire : % of Net Box</v>
          </cell>
          <cell r="C61" t="str">
            <v>N.A.</v>
          </cell>
          <cell r="E61">
            <v>0.46500000000000002</v>
          </cell>
          <cell r="F61">
            <v>0.46500000000000002</v>
          </cell>
          <cell r="G61">
            <v>0.46500000000000002</v>
          </cell>
          <cell r="H61">
            <v>0.46500000000000002</v>
          </cell>
          <cell r="I61">
            <v>0.46500000000000002</v>
          </cell>
          <cell r="J61">
            <v>0.46500000000000002</v>
          </cell>
          <cell r="K61">
            <v>0.46500000000000002</v>
          </cell>
          <cell r="L61">
            <v>0.46500000000000002</v>
          </cell>
          <cell r="M61">
            <v>0.46500000000000002</v>
          </cell>
          <cell r="N61">
            <v>0.46500000000000002</v>
          </cell>
          <cell r="O61">
            <v>0.46500000000000002</v>
          </cell>
          <cell r="P61">
            <v>0.46500000000000002</v>
          </cell>
          <cell r="R61" t="str">
            <v>N.A.</v>
          </cell>
          <cell r="S61" t="str">
            <v>N.A.</v>
          </cell>
          <cell r="U61">
            <v>0.46500000000000002</v>
          </cell>
          <cell r="V61">
            <v>0.46389614130257711</v>
          </cell>
          <cell r="W61">
            <v>0.4581321373607723</v>
          </cell>
          <cell r="X61">
            <v>1.1038586974227993E-3</v>
          </cell>
          <cell r="Y61">
            <v>6.8678626392276176E-3</v>
          </cell>
        </row>
        <row r="62">
          <cell r="B62" t="str">
            <v>Direct Payroll : Net Box</v>
          </cell>
          <cell r="C62" t="str">
            <v>N.A.</v>
          </cell>
          <cell r="E62">
            <v>9.3527564514168687E-2</v>
          </cell>
          <cell r="F62">
            <v>9.0604828123100917E-2</v>
          </cell>
          <cell r="G62">
            <v>7.2742343193566053E-2</v>
          </cell>
          <cell r="H62">
            <v>9.3527564514168687E-2</v>
          </cell>
          <cell r="I62">
            <v>8.7859227270885729E-2</v>
          </cell>
          <cell r="J62">
            <v>6.3456086615664001E-2</v>
          </cell>
          <cell r="K62">
            <v>9.52629840099537E-2</v>
          </cell>
          <cell r="L62">
            <v>7.7714539587067491E-2</v>
          </cell>
          <cell r="M62">
            <v>7.2291287507274843E-2</v>
          </cell>
          <cell r="N62">
            <v>9.2286015759642653E-2</v>
          </cell>
          <cell r="O62">
            <v>6.8229979220349291E-2</v>
          </cell>
          <cell r="P62">
            <v>7.5905851882638598E-2</v>
          </cell>
          <cell r="R62" t="str">
            <v>N.A.</v>
          </cell>
          <cell r="S62" t="str">
            <v>N.A.</v>
          </cell>
          <cell r="U62">
            <v>8.0294801989766448E-2</v>
          </cell>
          <cell r="V62">
            <v>0.10007998089562609</v>
          </cell>
          <cell r="W62">
            <v>0.10378658067826398</v>
          </cell>
          <cell r="X62">
            <v>-1.9785178905859638E-2</v>
          </cell>
          <cell r="Y62">
            <v>-2.3491778688497528E-2</v>
          </cell>
        </row>
        <row r="63">
          <cell r="B63" t="str">
            <v>Direct Payroll : Net Box &amp; Conc.</v>
          </cell>
          <cell r="C63" t="str">
            <v>N.A.</v>
          </cell>
          <cell r="E63">
            <v>7.8672487558296908E-2</v>
          </cell>
          <cell r="F63">
            <v>7.6213972322100129E-2</v>
          </cell>
          <cell r="G63">
            <v>6.1188603804499017E-2</v>
          </cell>
          <cell r="H63">
            <v>7.8672487558296908E-2</v>
          </cell>
          <cell r="I63">
            <v>7.3904458009309212E-2</v>
          </cell>
          <cell r="J63">
            <v>5.3377292680520425E-2</v>
          </cell>
          <cell r="K63">
            <v>8.0132268633531581E-2</v>
          </cell>
          <cell r="L63">
            <v>6.5371061253670495E-2</v>
          </cell>
          <cell r="M63">
            <v>6.0809189745636531E-2</v>
          </cell>
          <cell r="N63">
            <v>7.7628135238733714E-2</v>
          </cell>
          <cell r="O63">
            <v>5.739294313071313E-2</v>
          </cell>
          <cell r="P63">
            <v>6.384964923291836E-2</v>
          </cell>
          <cell r="Q63">
            <v>0</v>
          </cell>
          <cell r="R63" t="str">
            <v>N.A.</v>
          </cell>
          <cell r="S63" t="str">
            <v>N.A.</v>
          </cell>
          <cell r="T63" t="str">
            <v>N.A.</v>
          </cell>
          <cell r="U63">
            <v>6.7541497988850563E-2</v>
          </cell>
          <cell r="V63">
            <v>8.3794647051844307E-2</v>
          </cell>
          <cell r="W63">
            <v>8.9542955543777655E-2</v>
          </cell>
          <cell r="X63">
            <v>-1.6253149062993744E-2</v>
          </cell>
          <cell r="Y63">
            <v>-2.2001457554927092E-2</v>
          </cell>
        </row>
        <row r="64">
          <cell r="B64" t="str">
            <v>Direct Payroll of Admissions (S$)</v>
          </cell>
          <cell r="C64" t="str">
            <v>N.A.</v>
          </cell>
          <cell r="E64">
            <v>0.61915247708379673</v>
          </cell>
          <cell r="F64">
            <v>0.59980396217492804</v>
          </cell>
          <cell r="G64">
            <v>0.48155431194140724</v>
          </cell>
          <cell r="H64">
            <v>0.61915247708379673</v>
          </cell>
          <cell r="I64">
            <v>0.58162808453326353</v>
          </cell>
          <cell r="J64">
            <v>0.42007929339569572</v>
          </cell>
          <cell r="K64">
            <v>0.6306409541458935</v>
          </cell>
          <cell r="L64">
            <v>0.51447025206638686</v>
          </cell>
          <cell r="M64">
            <v>0.47856832329815951</v>
          </cell>
          <cell r="N64">
            <v>0.61093342432883435</v>
          </cell>
          <cell r="O64">
            <v>0.45168246243871235</v>
          </cell>
          <cell r="P64">
            <v>0.5024967394630675</v>
          </cell>
          <cell r="Q64">
            <v>0</v>
          </cell>
          <cell r="R64" t="str">
            <v>N.A.</v>
          </cell>
          <cell r="S64" t="str">
            <v>N.A.</v>
          </cell>
          <cell r="T64" t="str">
            <v>N.A.</v>
          </cell>
          <cell r="U64">
            <v>0.53155158917225409</v>
          </cell>
          <cell r="V64">
            <v>0.66482561585365851</v>
          </cell>
          <cell r="W64">
            <v>0.70220876559257439</v>
          </cell>
          <cell r="X64">
            <v>-0.13327402668140442</v>
          </cell>
          <cell r="Y64">
            <v>-0.1706571764203203</v>
          </cell>
        </row>
        <row r="65">
          <cell r="B65" t="str">
            <v>Gross Margin :Total Rev</v>
          </cell>
          <cell r="C65" t="str">
            <v>N.A.</v>
          </cell>
          <cell r="E65">
            <v>0.51211636333480404</v>
          </cell>
          <cell r="F65">
            <v>0.51342619472493045</v>
          </cell>
          <cell r="G65">
            <v>0.52086372110490842</v>
          </cell>
          <cell r="H65">
            <v>0.51211636333480404</v>
          </cell>
          <cell r="I65">
            <v>0.51466151102698665</v>
          </cell>
          <cell r="J65">
            <v>0.52525683568447157</v>
          </cell>
          <cell r="K65">
            <v>0.51075151160763899</v>
          </cell>
          <cell r="L65">
            <v>0.51878827637425395</v>
          </cell>
          <cell r="M65">
            <v>0.52065397023989801</v>
          </cell>
          <cell r="N65">
            <v>0.51210130219029681</v>
          </cell>
          <cell r="O65">
            <v>0.52259375655749329</v>
          </cell>
          <cell r="P65">
            <v>0.51893648961195638</v>
          </cell>
          <cell r="Q65">
            <v>0</v>
          </cell>
          <cell r="R65" t="str">
            <v>N.A.</v>
          </cell>
          <cell r="S65" t="str">
            <v>N.A.</v>
          </cell>
          <cell r="T65" t="str">
            <v>N.A.</v>
          </cell>
          <cell r="U65">
            <v>0.51752473037837543</v>
          </cell>
          <cell r="V65">
            <v>0.51212188544226755</v>
          </cell>
          <cell r="W65">
            <v>0.48136110921269704</v>
          </cell>
          <cell r="X65">
            <v>5.4028449361078756E-3</v>
          </cell>
          <cell r="Y65">
            <v>3.6163621165678395E-2</v>
          </cell>
        </row>
        <row r="66">
          <cell r="B66" t="str">
            <v>G&amp;A % of total revenue</v>
          </cell>
          <cell r="C66" t="str">
            <v>N.A.</v>
          </cell>
          <cell r="E66">
            <v>3.9560336651321186E-2</v>
          </cell>
          <cell r="F66">
            <v>3.8402116254637207E-2</v>
          </cell>
          <cell r="G66">
            <v>3.0092812987608641E-2</v>
          </cell>
          <cell r="H66">
            <v>3.9560336651321186E-2</v>
          </cell>
          <cell r="I66">
            <v>3.692074277605184E-2</v>
          </cell>
          <cell r="J66">
            <v>2.6697924240503056E-2</v>
          </cell>
          <cell r="K66">
            <v>3.9573985168592833E-2</v>
          </cell>
          <cell r="L66">
            <v>3.5608995922753808E-2</v>
          </cell>
          <cell r="M66">
            <v>2.9731299823613038E-2</v>
          </cell>
          <cell r="N66">
            <v>3.8014931879456988E-2</v>
          </cell>
          <cell r="O66">
            <v>2.8138192218877367E-2</v>
          </cell>
          <cell r="P66">
            <v>3.081738943073568E-2</v>
          </cell>
          <cell r="Q66">
            <v>0</v>
          </cell>
          <cell r="R66" t="e">
            <v>#DIV/0!</v>
          </cell>
          <cell r="S66" t="e">
            <v>#DIV/0!</v>
          </cell>
          <cell r="T66" t="e">
            <v>#DIV/0!</v>
          </cell>
          <cell r="U66">
            <v>3.3753639474473719E-2</v>
          </cell>
          <cell r="V66">
            <v>4.1441941196655535E-2</v>
          </cell>
          <cell r="W66">
            <v>4.2028846021488653E-2</v>
          </cell>
          <cell r="X66">
            <v>-7.6883017221818159E-3</v>
          </cell>
          <cell r="Y66">
            <v>-8.2752065470149336E-3</v>
          </cell>
        </row>
        <row r="67">
          <cell r="B67" t="str">
            <v>E.B.I.T.D. : Total Rev</v>
          </cell>
          <cell r="C67" t="str">
            <v>N.A.</v>
          </cell>
          <cell r="E67">
            <v>0.1163223598348611</v>
          </cell>
          <cell r="F67">
            <v>0.12921997653074099</v>
          </cell>
          <cell r="G67">
            <v>0.21708254689680467</v>
          </cell>
          <cell r="H67">
            <v>0.10674156970230847</v>
          </cell>
          <cell r="I67">
            <v>0.14177290298477896</v>
          </cell>
          <cell r="J67">
            <v>0.25827696103602737</v>
          </cell>
          <cell r="K67">
            <v>0.11494385959042441</v>
          </cell>
          <cell r="L67">
            <v>0.18904410567214364</v>
          </cell>
          <cell r="M67">
            <v>0.18746219342478423</v>
          </cell>
          <cell r="N67">
            <v>0.12828226837128756</v>
          </cell>
          <cell r="O67">
            <v>0.24129846199494989</v>
          </cell>
          <cell r="P67">
            <v>0.20793848495235559</v>
          </cell>
          <cell r="Q67">
            <v>0</v>
          </cell>
          <cell r="R67" t="str">
            <v>N.A.</v>
          </cell>
          <cell r="S67" t="str">
            <v>N.A.</v>
          </cell>
          <cell r="T67" t="str">
            <v>N.A.</v>
          </cell>
          <cell r="U67">
            <v>0.17708867588852267</v>
          </cell>
          <cell r="V67">
            <v>0.15905161899030301</v>
          </cell>
          <cell r="W67">
            <v>0.15519685052680807</v>
          </cell>
          <cell r="X67">
            <v>1.8037056898219661E-2</v>
          </cell>
          <cell r="Y67">
            <v>2.1891825361714606E-2</v>
          </cell>
        </row>
        <row r="68">
          <cell r="B68" t="str">
            <v>No of Concession Transactions</v>
          </cell>
          <cell r="E68">
            <v>16</v>
          </cell>
          <cell r="F68">
            <v>15</v>
          </cell>
          <cell r="G68">
            <v>22</v>
          </cell>
          <cell r="H68">
            <v>16</v>
          </cell>
          <cell r="I68">
            <v>17</v>
          </cell>
          <cell r="J68">
            <v>22</v>
          </cell>
          <cell r="K68">
            <v>16</v>
          </cell>
          <cell r="L68">
            <v>19</v>
          </cell>
          <cell r="M68">
            <v>22</v>
          </cell>
          <cell r="N68">
            <v>19</v>
          </cell>
          <cell r="O68">
            <v>20</v>
          </cell>
          <cell r="P68">
            <v>26</v>
          </cell>
          <cell r="Q68">
            <v>0</v>
          </cell>
          <cell r="R68">
            <v>30.509</v>
          </cell>
          <cell r="S68">
            <v>31.509</v>
          </cell>
          <cell r="T68">
            <v>32.509</v>
          </cell>
          <cell r="U68">
            <v>230</v>
          </cell>
          <cell r="V68">
            <v>216</v>
          </cell>
          <cell r="W68">
            <v>0</v>
          </cell>
          <cell r="X68">
            <v>14</v>
          </cell>
          <cell r="Y68">
            <v>230</v>
          </cell>
        </row>
        <row r="69">
          <cell r="B69" t="str">
            <v>Strike Rate %(No of Trans/Adm)</v>
          </cell>
          <cell r="E69">
            <v>0.25806451612903225</v>
          </cell>
          <cell r="F69">
            <v>0.234375</v>
          </cell>
          <cell r="G69">
            <v>0.26829268292682928</v>
          </cell>
          <cell r="H69">
            <v>0.25806451612903225</v>
          </cell>
          <cell r="I69">
            <v>0.25757575757575757</v>
          </cell>
          <cell r="J69">
            <v>0.23404255319148937</v>
          </cell>
          <cell r="K69">
            <v>0.25806451612903225</v>
          </cell>
          <cell r="L69">
            <v>0.25</v>
          </cell>
          <cell r="M69">
            <v>0.26190476190476192</v>
          </cell>
          <cell r="N69">
            <v>0.296875</v>
          </cell>
          <cell r="O69">
            <v>0.2247191011235955</v>
          </cell>
          <cell r="P69">
            <v>0.32500000000000001</v>
          </cell>
          <cell r="Q69">
            <v>0</v>
          </cell>
          <cell r="R69" t="e">
            <v>#DIV/0!</v>
          </cell>
          <cell r="S69" t="e">
            <v>#DIV/0!</v>
          </cell>
          <cell r="T69" t="e">
            <v>#DIV/0!</v>
          </cell>
          <cell r="U69">
            <v>0.25988700564971751</v>
          </cell>
          <cell r="V69">
            <v>0.26341463414634148</v>
          </cell>
          <cell r="W69">
            <v>0</v>
          </cell>
          <cell r="X69">
            <v>-3.527628496623969E-3</v>
          </cell>
          <cell r="Y69">
            <v>0.25988700564971751</v>
          </cell>
        </row>
        <row r="70">
          <cell r="B70" t="str">
            <v>Ave Sales (Total Sale/No of Trans) (S$)</v>
          </cell>
          <cell r="E70">
            <v>4.84375</v>
          </cell>
          <cell r="F70">
            <v>5.333333333333333</v>
          </cell>
          <cell r="G70">
            <v>4.6590909090909092</v>
          </cell>
          <cell r="H70">
            <v>4.84375</v>
          </cell>
          <cell r="I70">
            <v>4.8529411764705879</v>
          </cell>
          <cell r="J70">
            <v>5.3409090909090908</v>
          </cell>
          <cell r="K70">
            <v>4.84375</v>
          </cell>
          <cell r="L70">
            <v>5</v>
          </cell>
          <cell r="M70">
            <v>4.7727272727272725</v>
          </cell>
          <cell r="N70">
            <v>4.2105263157894735</v>
          </cell>
          <cell r="O70">
            <v>5.5625</v>
          </cell>
          <cell r="P70">
            <v>3.8461538461538463</v>
          </cell>
          <cell r="Q70">
            <v>0</v>
          </cell>
          <cell r="R70">
            <v>0</v>
          </cell>
          <cell r="S70">
            <v>0</v>
          </cell>
          <cell r="T70">
            <v>0</v>
          </cell>
          <cell r="U70">
            <v>4.8097826086956523</v>
          </cell>
          <cell r="V70">
            <v>4.9011841666666669</v>
          </cell>
          <cell r="W70" t="str">
            <v>N.A.</v>
          </cell>
          <cell r="X70">
            <v>-9.1401557971014569E-2</v>
          </cell>
          <cell r="Y70" t="str">
            <v>N.A.</v>
          </cell>
        </row>
        <row r="71">
          <cell r="B71" t="str">
            <v xml:space="preserve">Total Concession Combo Sales </v>
          </cell>
          <cell r="E71">
            <v>30</v>
          </cell>
          <cell r="F71">
            <v>31</v>
          </cell>
          <cell r="G71">
            <v>44</v>
          </cell>
          <cell r="H71">
            <v>31</v>
          </cell>
          <cell r="I71">
            <v>35</v>
          </cell>
          <cell r="J71">
            <v>50</v>
          </cell>
          <cell r="K71">
            <v>30</v>
          </cell>
          <cell r="L71">
            <v>35</v>
          </cell>
          <cell r="M71">
            <v>46</v>
          </cell>
          <cell r="N71">
            <v>34</v>
          </cell>
          <cell r="O71">
            <v>46</v>
          </cell>
          <cell r="P71">
            <v>45</v>
          </cell>
          <cell r="Q71">
            <v>0</v>
          </cell>
          <cell r="R71">
            <v>71.703000000000003</v>
          </cell>
          <cell r="S71">
            <v>72.703000000000003</v>
          </cell>
          <cell r="T71">
            <v>73.703000000000003</v>
          </cell>
          <cell r="U71">
            <v>457</v>
          </cell>
          <cell r="V71">
            <v>550</v>
          </cell>
          <cell r="W71">
            <v>0</v>
          </cell>
          <cell r="X71">
            <v>-93</v>
          </cell>
          <cell r="Y71">
            <v>457</v>
          </cell>
        </row>
        <row r="72">
          <cell r="B72" t="str">
            <v>Combo Sales as % of Total Sales</v>
          </cell>
          <cell r="E72">
            <v>0.38709677419354838</v>
          </cell>
          <cell r="F72">
            <v>0.38750000000000001</v>
          </cell>
          <cell r="G72">
            <v>0.42926829268292682</v>
          </cell>
          <cell r="H72">
            <v>0.4</v>
          </cell>
          <cell r="I72">
            <v>0.42424242424242425</v>
          </cell>
          <cell r="J72">
            <v>0.42553191489361702</v>
          </cell>
          <cell r="K72">
            <v>0.38709677419354838</v>
          </cell>
          <cell r="L72">
            <v>0.36842105263157893</v>
          </cell>
          <cell r="M72">
            <v>0.43809523809523809</v>
          </cell>
          <cell r="N72">
            <v>0.42499999999999999</v>
          </cell>
          <cell r="O72">
            <v>0.41348314606741571</v>
          </cell>
          <cell r="P72">
            <v>0.45</v>
          </cell>
          <cell r="Q72">
            <v>0</v>
          </cell>
          <cell r="R72" t="e">
            <v>#DIV/0!</v>
          </cell>
          <cell r="S72" t="e">
            <v>#DIV/0!</v>
          </cell>
          <cell r="T72" t="e">
            <v>#DIV/0!</v>
          </cell>
          <cell r="U72">
            <v>0.41310734463276838</v>
          </cell>
          <cell r="V72">
            <v>0.51952675306793294</v>
          </cell>
          <cell r="W72">
            <v>0</v>
          </cell>
          <cell r="X72">
            <v>-0.10641940843516456</v>
          </cell>
          <cell r="Y72">
            <v>0.41310734463276838</v>
          </cell>
        </row>
        <row r="73">
          <cell r="B73" t="str">
            <v>No of Payroll hours Paid</v>
          </cell>
          <cell r="E73">
            <v>4</v>
          </cell>
          <cell r="F73">
            <v>3</v>
          </cell>
          <cell r="G73">
            <v>4</v>
          </cell>
          <cell r="H73">
            <v>3</v>
          </cell>
          <cell r="I73">
            <v>4</v>
          </cell>
          <cell r="J73">
            <v>4</v>
          </cell>
          <cell r="K73">
            <v>3</v>
          </cell>
          <cell r="L73">
            <v>3</v>
          </cell>
          <cell r="M73">
            <v>4</v>
          </cell>
          <cell r="N73">
            <v>3</v>
          </cell>
          <cell r="O73">
            <v>4</v>
          </cell>
          <cell r="P73">
            <v>4</v>
          </cell>
          <cell r="Q73">
            <v>0</v>
          </cell>
          <cell r="R73">
            <v>6.0760000000000005</v>
          </cell>
          <cell r="S73">
            <v>6.0760000000000005</v>
          </cell>
          <cell r="T73">
            <v>6.0760000000000005</v>
          </cell>
          <cell r="U73">
            <v>69.617000000000004</v>
          </cell>
          <cell r="V73">
            <v>68</v>
          </cell>
          <cell r="W73">
            <v>0</v>
          </cell>
          <cell r="X73">
            <v>1.6170000000000044</v>
          </cell>
          <cell r="Y73">
            <v>69.617000000000004</v>
          </cell>
        </row>
        <row r="74">
          <cell r="B74" t="str">
            <v>Admissions/labour hour paid</v>
          </cell>
          <cell r="E74">
            <v>13.451941852896507</v>
          </cell>
          <cell r="F74">
            <v>12.576144625663193</v>
          </cell>
          <cell r="G74">
            <v>11.714285714285714</v>
          </cell>
          <cell r="H74">
            <v>13.006083490664988</v>
          </cell>
          <cell r="I74">
            <v>13.2</v>
          </cell>
          <cell r="J74">
            <v>13.428571428571429</v>
          </cell>
          <cell r="K74">
            <v>10.204081632653061</v>
          </cell>
          <cell r="L74">
            <v>15.2</v>
          </cell>
          <cell r="M74">
            <v>12</v>
          </cell>
          <cell r="N74">
            <v>12.8</v>
          </cell>
          <cell r="O74">
            <v>12.714285714285714</v>
          </cell>
          <cell r="P74">
            <v>13.166556945358787</v>
          </cell>
          <cell r="Q74">
            <v>0</v>
          </cell>
          <cell r="R74">
            <v>0</v>
          </cell>
          <cell r="S74">
            <v>0</v>
          </cell>
          <cell r="T74">
            <v>0</v>
          </cell>
          <cell r="U74">
            <v>12.712412198169986</v>
          </cell>
          <cell r="V74">
            <v>12.058823529411764</v>
          </cell>
          <cell r="W74" t="str">
            <v>N.A.</v>
          </cell>
          <cell r="X74">
            <v>0.6535886687582213</v>
          </cell>
          <cell r="Y74" t="str">
            <v>N.A.</v>
          </cell>
        </row>
        <row r="75">
          <cell r="A75">
            <v>0</v>
          </cell>
        </row>
        <row r="76">
          <cell r="A76">
            <v>0</v>
          </cell>
          <cell r="B76" t="str">
            <v>6 Other Income</v>
          </cell>
        </row>
        <row r="77">
          <cell r="A77">
            <v>52</v>
          </cell>
          <cell r="B77" t="str">
            <v>Booking Fee</v>
          </cell>
          <cell r="E77">
            <v>2.265625</v>
          </cell>
          <cell r="F77">
            <v>2.265625</v>
          </cell>
          <cell r="G77">
            <v>2.265625</v>
          </cell>
          <cell r="H77">
            <v>2.265625</v>
          </cell>
          <cell r="I77">
            <v>2.265625</v>
          </cell>
          <cell r="J77">
            <v>2.265625</v>
          </cell>
          <cell r="K77">
            <v>2.265625</v>
          </cell>
          <cell r="L77">
            <v>2.265625</v>
          </cell>
          <cell r="M77">
            <v>2.265625</v>
          </cell>
          <cell r="N77">
            <v>2.265625</v>
          </cell>
          <cell r="O77">
            <v>2.265625</v>
          </cell>
          <cell r="P77">
            <v>2.265625</v>
          </cell>
          <cell r="T77">
            <v>0</v>
          </cell>
          <cell r="U77">
            <v>27.1875</v>
          </cell>
          <cell r="V77">
            <v>46.892529999999994</v>
          </cell>
          <cell r="W77">
            <v>3.8690000000000002</v>
          </cell>
          <cell r="X77">
            <v>-19.705029999999994</v>
          </cell>
          <cell r="Y77">
            <v>23.3185</v>
          </cell>
        </row>
        <row r="78">
          <cell r="A78">
            <v>53</v>
          </cell>
          <cell r="B78" t="str">
            <v>Auditorium Rentals</v>
          </cell>
          <cell r="E78">
            <v>2.5</v>
          </cell>
          <cell r="F78">
            <v>2.5</v>
          </cell>
          <cell r="G78">
            <v>2.5</v>
          </cell>
          <cell r="H78">
            <v>2.5</v>
          </cell>
          <cell r="I78">
            <v>2.5</v>
          </cell>
          <cell r="J78">
            <v>2.5</v>
          </cell>
          <cell r="K78">
            <v>2.5</v>
          </cell>
          <cell r="L78">
            <v>2.5</v>
          </cell>
          <cell r="M78">
            <v>2.5</v>
          </cell>
          <cell r="N78">
            <v>2.5</v>
          </cell>
          <cell r="O78">
            <v>2.5</v>
          </cell>
          <cell r="P78">
            <v>2.5</v>
          </cell>
          <cell r="T78">
            <v>0</v>
          </cell>
          <cell r="U78">
            <v>30</v>
          </cell>
          <cell r="V78">
            <v>26.965</v>
          </cell>
          <cell r="W78">
            <v>3.2970000000000002</v>
          </cell>
          <cell r="X78">
            <v>3.0350000000000001</v>
          </cell>
          <cell r="Y78">
            <v>26.702999999999999</v>
          </cell>
        </row>
        <row r="79">
          <cell r="A79">
            <v>54</v>
          </cell>
          <cell r="B79" t="str">
            <v>Parking Revenue</v>
          </cell>
          <cell r="E79">
            <v>0</v>
          </cell>
          <cell r="F79">
            <v>0</v>
          </cell>
          <cell r="G79">
            <v>0</v>
          </cell>
          <cell r="H79">
            <v>0</v>
          </cell>
          <cell r="I79">
            <v>0</v>
          </cell>
          <cell r="J79">
            <v>0</v>
          </cell>
          <cell r="K79">
            <v>0</v>
          </cell>
          <cell r="L79">
            <v>0</v>
          </cell>
          <cell r="M79">
            <v>0</v>
          </cell>
          <cell r="N79">
            <v>0</v>
          </cell>
          <cell r="O79">
            <v>0</v>
          </cell>
          <cell r="P79">
            <v>0</v>
          </cell>
          <cell r="T79">
            <v>0</v>
          </cell>
          <cell r="U79">
            <v>0</v>
          </cell>
          <cell r="V79">
            <v>0</v>
          </cell>
          <cell r="W79">
            <v>0</v>
          </cell>
          <cell r="X79">
            <v>0</v>
          </cell>
          <cell r="Y79">
            <v>0</v>
          </cell>
        </row>
        <row r="80">
          <cell r="A80">
            <v>55</v>
          </cell>
          <cell r="B80" t="str">
            <v>Ticket Advertising</v>
          </cell>
          <cell r="E80">
            <v>0</v>
          </cell>
          <cell r="F80">
            <v>0</v>
          </cell>
          <cell r="G80">
            <v>0</v>
          </cell>
          <cell r="H80">
            <v>0</v>
          </cell>
          <cell r="I80">
            <v>0</v>
          </cell>
          <cell r="J80">
            <v>0</v>
          </cell>
          <cell r="K80">
            <v>0</v>
          </cell>
          <cell r="L80">
            <v>0</v>
          </cell>
          <cell r="M80">
            <v>0</v>
          </cell>
          <cell r="N80">
            <v>0</v>
          </cell>
          <cell r="O80">
            <v>0</v>
          </cell>
          <cell r="P80">
            <v>0</v>
          </cell>
          <cell r="T80">
            <v>0</v>
          </cell>
          <cell r="U80">
            <v>0</v>
          </cell>
          <cell r="V80">
            <v>0</v>
          </cell>
          <cell r="W80">
            <v>0</v>
          </cell>
          <cell r="X80">
            <v>0</v>
          </cell>
          <cell r="Y80">
            <v>0</v>
          </cell>
        </row>
        <row r="81">
          <cell r="A81">
            <v>56</v>
          </cell>
          <cell r="B81" t="str">
            <v>Participating</v>
          </cell>
          <cell r="E81">
            <v>0</v>
          </cell>
          <cell r="F81">
            <v>0</v>
          </cell>
          <cell r="G81">
            <v>0</v>
          </cell>
          <cell r="H81">
            <v>0</v>
          </cell>
          <cell r="I81">
            <v>0</v>
          </cell>
          <cell r="J81">
            <v>0</v>
          </cell>
          <cell r="K81">
            <v>0</v>
          </cell>
          <cell r="L81">
            <v>0</v>
          </cell>
          <cell r="M81">
            <v>0</v>
          </cell>
          <cell r="N81">
            <v>0</v>
          </cell>
          <cell r="O81">
            <v>0</v>
          </cell>
          <cell r="P81">
            <v>0</v>
          </cell>
          <cell r="T81">
            <v>0</v>
          </cell>
          <cell r="U81">
            <v>0</v>
          </cell>
          <cell r="V81">
            <v>0</v>
          </cell>
          <cell r="W81">
            <v>0</v>
          </cell>
          <cell r="X81">
            <v>0</v>
          </cell>
          <cell r="Y81">
            <v>0</v>
          </cell>
        </row>
        <row r="82">
          <cell r="A82">
            <v>57</v>
          </cell>
          <cell r="B82" t="str">
            <v>Miscellaneous</v>
          </cell>
          <cell r="E82">
            <v>3.1720000000000002</v>
          </cell>
          <cell r="F82">
            <v>3.1720000000000002</v>
          </cell>
          <cell r="G82">
            <v>3.1720000000000002</v>
          </cell>
          <cell r="H82">
            <v>3.1720000000000002</v>
          </cell>
          <cell r="I82">
            <v>3.1720000000000002</v>
          </cell>
          <cell r="J82">
            <v>3.1720000000000002</v>
          </cell>
          <cell r="K82">
            <v>3.1720000000000002</v>
          </cell>
          <cell r="L82">
            <v>3.1720000000000002</v>
          </cell>
          <cell r="M82">
            <v>3.1720000000000002</v>
          </cell>
          <cell r="N82">
            <v>3.1720000000000002</v>
          </cell>
          <cell r="O82">
            <v>3.1720000000000002</v>
          </cell>
          <cell r="P82">
            <v>3.1720000000000002</v>
          </cell>
          <cell r="T82">
            <v>0</v>
          </cell>
          <cell r="U82">
            <v>38.064</v>
          </cell>
          <cell r="V82">
            <v>55.29</v>
          </cell>
          <cell r="W82">
            <v>54.024000000000001</v>
          </cell>
          <cell r="X82">
            <v>-17.225999999999999</v>
          </cell>
          <cell r="Y82">
            <v>-15.96</v>
          </cell>
        </row>
        <row r="83">
          <cell r="C83">
            <v>0</v>
          </cell>
          <cell r="E83">
            <v>7.9376250000000006</v>
          </cell>
          <cell r="F83">
            <v>7.9376250000000006</v>
          </cell>
          <cell r="G83">
            <v>7.9376250000000006</v>
          </cell>
          <cell r="H83">
            <v>7.9376250000000006</v>
          </cell>
          <cell r="I83">
            <v>7.9376250000000006</v>
          </cell>
          <cell r="J83">
            <v>7.9376250000000006</v>
          </cell>
          <cell r="K83">
            <v>7.9376250000000006</v>
          </cell>
          <cell r="L83">
            <v>7.9376250000000006</v>
          </cell>
          <cell r="M83">
            <v>7.9376250000000006</v>
          </cell>
          <cell r="N83">
            <v>7.9376250000000006</v>
          </cell>
          <cell r="O83">
            <v>7.9376250000000006</v>
          </cell>
          <cell r="P83">
            <v>7.9376250000000006</v>
          </cell>
          <cell r="R83">
            <v>0</v>
          </cell>
          <cell r="S83">
            <v>0</v>
          </cell>
          <cell r="T83">
            <v>0</v>
          </cell>
          <cell r="U83">
            <v>95.251499999999993</v>
          </cell>
          <cell r="V83">
            <v>129.14752999999999</v>
          </cell>
          <cell r="W83">
            <v>61.19</v>
          </cell>
          <cell r="X83">
            <v>-33.896029999999996</v>
          </cell>
          <cell r="Y83">
            <v>34.061499999999995</v>
          </cell>
        </row>
        <row r="84">
          <cell r="X84">
            <v>0</v>
          </cell>
          <cell r="Y84">
            <v>0</v>
          </cell>
        </row>
        <row r="85">
          <cell r="B85" t="str">
            <v>10 Other Cost</v>
          </cell>
          <cell r="X85">
            <v>0</v>
          </cell>
          <cell r="Y85">
            <v>0</v>
          </cell>
        </row>
        <row r="86">
          <cell r="A86">
            <v>61</v>
          </cell>
          <cell r="B86" t="str">
            <v>Authors Rights</v>
          </cell>
          <cell r="E86">
            <v>0.82088000000000005</v>
          </cell>
          <cell r="F86">
            <v>0.84736</v>
          </cell>
          <cell r="G86">
            <v>1.08568</v>
          </cell>
          <cell r="H86">
            <v>0.82088000000000005</v>
          </cell>
          <cell r="I86">
            <v>0.87384000000000006</v>
          </cell>
          <cell r="J86">
            <v>1.2445599999999999</v>
          </cell>
          <cell r="K86">
            <v>0.82088000000000005</v>
          </cell>
          <cell r="L86">
            <v>1.00624</v>
          </cell>
          <cell r="M86">
            <v>1.11216</v>
          </cell>
          <cell r="N86">
            <v>0.84736</v>
          </cell>
          <cell r="O86">
            <v>1.1783600000000001</v>
          </cell>
          <cell r="P86">
            <v>1.0592000000000001</v>
          </cell>
          <cell r="U86">
            <v>11.7174</v>
          </cell>
          <cell r="V86">
            <v>10.894426640000002</v>
          </cell>
          <cell r="W86">
            <v>13.751932000000002</v>
          </cell>
          <cell r="X86">
            <v>0.8229733599999971</v>
          </cell>
          <cell r="Y86">
            <v>-2.0345320000000022</v>
          </cell>
        </row>
        <row r="87">
          <cell r="A87">
            <v>62</v>
          </cell>
          <cell r="B87" t="str">
            <v>Film Levies</v>
          </cell>
          <cell r="E87">
            <v>0</v>
          </cell>
          <cell r="F87">
            <v>0</v>
          </cell>
          <cell r="G87">
            <v>0</v>
          </cell>
          <cell r="H87">
            <v>0</v>
          </cell>
          <cell r="I87">
            <v>0</v>
          </cell>
          <cell r="J87">
            <v>0</v>
          </cell>
          <cell r="K87">
            <v>0</v>
          </cell>
          <cell r="L87">
            <v>0</v>
          </cell>
          <cell r="M87">
            <v>0</v>
          </cell>
          <cell r="N87">
            <v>0</v>
          </cell>
          <cell r="O87">
            <v>0</v>
          </cell>
          <cell r="P87">
            <v>0</v>
          </cell>
          <cell r="U87">
            <v>0</v>
          </cell>
          <cell r="V87">
            <v>0</v>
          </cell>
          <cell r="W87">
            <v>0</v>
          </cell>
          <cell r="X87">
            <v>0</v>
          </cell>
          <cell r="Y87">
            <v>0</v>
          </cell>
        </row>
        <row r="88">
          <cell r="A88">
            <v>63</v>
          </cell>
          <cell r="B88" t="str">
            <v>Cultural Fees</v>
          </cell>
          <cell r="E88">
            <v>0</v>
          </cell>
          <cell r="F88">
            <v>0</v>
          </cell>
          <cell r="G88">
            <v>0</v>
          </cell>
          <cell r="H88">
            <v>0</v>
          </cell>
          <cell r="I88">
            <v>0</v>
          </cell>
          <cell r="J88">
            <v>0</v>
          </cell>
          <cell r="K88">
            <v>0</v>
          </cell>
          <cell r="L88">
            <v>0</v>
          </cell>
          <cell r="M88">
            <v>0</v>
          </cell>
          <cell r="N88">
            <v>0</v>
          </cell>
          <cell r="O88">
            <v>0</v>
          </cell>
          <cell r="P88">
            <v>0</v>
          </cell>
          <cell r="U88">
            <v>0</v>
          </cell>
          <cell r="V88">
            <v>0</v>
          </cell>
          <cell r="W88">
            <v>0</v>
          </cell>
          <cell r="X88">
            <v>0</v>
          </cell>
          <cell r="Y88">
            <v>0</v>
          </cell>
        </row>
        <row r="89">
          <cell r="A89">
            <v>64</v>
          </cell>
          <cell r="B89" t="str">
            <v>Municipal Taxes</v>
          </cell>
          <cell r="E89">
            <v>0</v>
          </cell>
          <cell r="F89">
            <v>0</v>
          </cell>
          <cell r="G89">
            <v>0</v>
          </cell>
          <cell r="H89">
            <v>0</v>
          </cell>
          <cell r="I89">
            <v>0</v>
          </cell>
          <cell r="J89">
            <v>0</v>
          </cell>
          <cell r="K89">
            <v>0</v>
          </cell>
          <cell r="L89">
            <v>0</v>
          </cell>
          <cell r="M89">
            <v>0</v>
          </cell>
          <cell r="N89">
            <v>0</v>
          </cell>
          <cell r="O89">
            <v>0</v>
          </cell>
          <cell r="P89">
            <v>0</v>
          </cell>
          <cell r="U89">
            <v>0</v>
          </cell>
          <cell r="V89">
            <v>0</v>
          </cell>
          <cell r="W89">
            <v>0</v>
          </cell>
          <cell r="X89">
            <v>0</v>
          </cell>
          <cell r="Y89">
            <v>0</v>
          </cell>
        </row>
        <row r="90">
          <cell r="A90">
            <v>65</v>
          </cell>
          <cell r="B90" t="str">
            <v>Other</v>
          </cell>
          <cell r="E90">
            <v>0</v>
          </cell>
          <cell r="F90">
            <v>0</v>
          </cell>
          <cell r="G90">
            <v>0</v>
          </cell>
          <cell r="H90">
            <v>0</v>
          </cell>
          <cell r="I90">
            <v>0</v>
          </cell>
          <cell r="J90">
            <v>0</v>
          </cell>
          <cell r="K90">
            <v>0</v>
          </cell>
          <cell r="L90">
            <v>0</v>
          </cell>
          <cell r="M90">
            <v>0</v>
          </cell>
          <cell r="N90">
            <v>0</v>
          </cell>
          <cell r="O90">
            <v>0</v>
          </cell>
          <cell r="P90">
            <v>0</v>
          </cell>
          <cell r="U90">
            <v>0</v>
          </cell>
          <cell r="V90">
            <v>0</v>
          </cell>
          <cell r="W90">
            <v>0</v>
          </cell>
          <cell r="X90">
            <v>0</v>
          </cell>
          <cell r="Y90">
            <v>0</v>
          </cell>
        </row>
        <row r="91">
          <cell r="E91">
            <v>0.82088000000000005</v>
          </cell>
          <cell r="F91">
            <v>0.84736</v>
          </cell>
          <cell r="G91">
            <v>1.08568</v>
          </cell>
          <cell r="H91">
            <v>0.82088000000000005</v>
          </cell>
          <cell r="I91">
            <v>0.87384000000000006</v>
          </cell>
          <cell r="J91">
            <v>1.2445599999999999</v>
          </cell>
          <cell r="K91">
            <v>0.82088000000000005</v>
          </cell>
          <cell r="L91">
            <v>1.00624</v>
          </cell>
          <cell r="M91">
            <v>1.11216</v>
          </cell>
          <cell r="N91">
            <v>0.84736</v>
          </cell>
          <cell r="O91">
            <v>1.1783600000000001</v>
          </cell>
          <cell r="P91">
            <v>1.0592000000000001</v>
          </cell>
          <cell r="U91">
            <v>11.7174</v>
          </cell>
          <cell r="V91">
            <v>10.894426640000002</v>
          </cell>
          <cell r="W91">
            <v>13.751932000000002</v>
          </cell>
          <cell r="X91">
            <v>0.8229733599999971</v>
          </cell>
          <cell r="Y91">
            <v>-2.0345320000000022</v>
          </cell>
        </row>
        <row r="92">
          <cell r="X92">
            <v>0</v>
          </cell>
          <cell r="Y92">
            <v>0</v>
          </cell>
        </row>
        <row r="93">
          <cell r="B93" t="str">
            <v>11 Direct Payroll</v>
          </cell>
          <cell r="X93">
            <v>0</v>
          </cell>
          <cell r="Y93">
            <v>0</v>
          </cell>
        </row>
        <row r="94">
          <cell r="A94">
            <v>66</v>
          </cell>
          <cell r="B94" t="str">
            <v>Salaries</v>
          </cell>
          <cell r="E94">
            <v>35.670478995862062</v>
          </cell>
          <cell r="F94">
            <v>35.670478995862062</v>
          </cell>
          <cell r="G94">
            <v>36.770478995862064</v>
          </cell>
          <cell r="H94">
            <v>35.670478995862062</v>
          </cell>
          <cell r="I94">
            <v>35.670478995862062</v>
          </cell>
          <cell r="J94">
            <v>36.770478995862064</v>
          </cell>
          <cell r="K94">
            <v>36.382764573712066</v>
          </cell>
          <cell r="L94">
            <v>36.382764573712066</v>
          </cell>
          <cell r="M94">
            <v>37.482764573712068</v>
          </cell>
          <cell r="N94">
            <v>36.382764573712066</v>
          </cell>
          <cell r="O94">
            <v>37.482764573712068</v>
          </cell>
          <cell r="P94">
            <v>37.482764573712068</v>
          </cell>
          <cell r="Q94">
            <v>0</v>
          </cell>
          <cell r="T94">
            <v>0</v>
          </cell>
          <cell r="U94">
            <v>437.81946141744476</v>
          </cell>
          <cell r="V94">
            <v>502.37193500000001</v>
          </cell>
          <cell r="W94">
            <v>640.92899999999997</v>
          </cell>
          <cell r="X94">
            <v>-64.552473582555251</v>
          </cell>
          <cell r="Y94">
            <v>-203.10953858255522</v>
          </cell>
        </row>
        <row r="95">
          <cell r="A95">
            <v>67</v>
          </cell>
          <cell r="B95" t="str">
            <v>Bonus/Commission</v>
          </cell>
          <cell r="E95">
            <v>1.5359745833333331</v>
          </cell>
          <cell r="F95">
            <v>1.5359745833333331</v>
          </cell>
          <cell r="G95">
            <v>1.5359745833333331</v>
          </cell>
          <cell r="H95">
            <v>1.5359745833333331</v>
          </cell>
          <cell r="I95">
            <v>1.5359745833333331</v>
          </cell>
          <cell r="J95">
            <v>1.5359745833333331</v>
          </cell>
          <cell r="K95">
            <v>1.5359745833333331</v>
          </cell>
          <cell r="L95">
            <v>1.5359745833333331</v>
          </cell>
          <cell r="M95">
            <v>1.5359745833333331</v>
          </cell>
          <cell r="N95">
            <v>1.5359745833333331</v>
          </cell>
          <cell r="O95">
            <v>1.5359745833333331</v>
          </cell>
          <cell r="P95">
            <v>1.5359745833333331</v>
          </cell>
          <cell r="Q95">
            <v>0</v>
          </cell>
          <cell r="T95">
            <v>0</v>
          </cell>
          <cell r="U95">
            <v>18.431694999999998</v>
          </cell>
          <cell r="V95">
            <v>24.458890000000004</v>
          </cell>
          <cell r="W95">
            <v>39.375999999999998</v>
          </cell>
          <cell r="X95">
            <v>-6.0271950000000061</v>
          </cell>
          <cell r="Y95">
            <v>-20.944305</v>
          </cell>
        </row>
        <row r="96">
          <cell r="A96">
            <v>68</v>
          </cell>
          <cell r="B96" t="str">
            <v>Payroll Tax</v>
          </cell>
          <cell r="E96">
            <v>0</v>
          </cell>
          <cell r="F96">
            <v>0</v>
          </cell>
          <cell r="G96">
            <v>0</v>
          </cell>
          <cell r="H96">
            <v>0</v>
          </cell>
          <cell r="I96">
            <v>0</v>
          </cell>
          <cell r="J96">
            <v>0</v>
          </cell>
          <cell r="K96">
            <v>0</v>
          </cell>
          <cell r="L96">
            <v>0</v>
          </cell>
          <cell r="M96">
            <v>0</v>
          </cell>
          <cell r="N96">
            <v>0</v>
          </cell>
          <cell r="O96">
            <v>0</v>
          </cell>
          <cell r="P96">
            <v>0</v>
          </cell>
          <cell r="Q96">
            <v>0</v>
          </cell>
          <cell r="T96">
            <v>0</v>
          </cell>
          <cell r="U96">
            <v>0</v>
          </cell>
          <cell r="V96">
            <v>0</v>
          </cell>
          <cell r="W96">
            <v>0</v>
          </cell>
          <cell r="X96">
            <v>0</v>
          </cell>
          <cell r="Y96">
            <v>0</v>
          </cell>
        </row>
        <row r="97">
          <cell r="A97">
            <v>69</v>
          </cell>
          <cell r="B97" t="str">
            <v>Welfare &amp; Pension</v>
          </cell>
          <cell r="E97">
            <v>0.55300000000000005</v>
          </cell>
          <cell r="F97">
            <v>0.55300000000000005</v>
          </cell>
          <cell r="G97">
            <v>0.55300000000000005</v>
          </cell>
          <cell r="H97">
            <v>0.55300000000000005</v>
          </cell>
          <cell r="I97">
            <v>0.55300000000000005</v>
          </cell>
          <cell r="J97">
            <v>0.55300000000000005</v>
          </cell>
          <cell r="K97">
            <v>0.55300000000000005</v>
          </cell>
          <cell r="L97">
            <v>0.55300000000000005</v>
          </cell>
          <cell r="M97">
            <v>0.55300000000000005</v>
          </cell>
          <cell r="N97">
            <v>0.55300000000000005</v>
          </cell>
          <cell r="O97">
            <v>0.55300000000000005</v>
          </cell>
          <cell r="P97">
            <v>0.55300000000000005</v>
          </cell>
          <cell r="Q97">
            <v>0</v>
          </cell>
          <cell r="T97">
            <v>0</v>
          </cell>
          <cell r="U97">
            <v>6.6360000000000001</v>
          </cell>
          <cell r="V97">
            <v>9.9864999999999977</v>
          </cell>
          <cell r="W97">
            <v>18.306000000000001</v>
          </cell>
          <cell r="X97">
            <v>-3.3504999999999976</v>
          </cell>
          <cell r="Y97">
            <v>-11.67</v>
          </cell>
        </row>
        <row r="98">
          <cell r="A98">
            <v>70</v>
          </cell>
          <cell r="B98" t="str">
            <v>Miscellaneous</v>
          </cell>
          <cell r="E98">
            <v>0.628</v>
          </cell>
          <cell r="F98">
            <v>0.628</v>
          </cell>
          <cell r="G98">
            <v>0.628</v>
          </cell>
          <cell r="H98">
            <v>0.628</v>
          </cell>
          <cell r="I98">
            <v>0.628</v>
          </cell>
          <cell r="J98">
            <v>0.628</v>
          </cell>
          <cell r="K98">
            <v>0.628</v>
          </cell>
          <cell r="L98">
            <v>0.628</v>
          </cell>
          <cell r="M98">
            <v>0.628</v>
          </cell>
          <cell r="N98">
            <v>0.628</v>
          </cell>
          <cell r="O98">
            <v>0.628</v>
          </cell>
          <cell r="P98">
            <v>0.628</v>
          </cell>
          <cell r="Q98">
            <v>0</v>
          </cell>
          <cell r="T98">
            <v>0</v>
          </cell>
          <cell r="U98">
            <v>7.5360000000000005</v>
          </cell>
          <cell r="V98">
            <v>8.3396799999999995</v>
          </cell>
          <cell r="W98">
            <v>15.022</v>
          </cell>
          <cell r="X98">
            <v>-0.80367999999999906</v>
          </cell>
          <cell r="Y98">
            <v>-7.4859999999999998</v>
          </cell>
        </row>
        <row r="99">
          <cell r="C99">
            <v>0</v>
          </cell>
          <cell r="E99">
            <v>38.387453579195395</v>
          </cell>
          <cell r="F99">
            <v>38.387453579195395</v>
          </cell>
          <cell r="G99">
            <v>39.487453579195396</v>
          </cell>
          <cell r="H99">
            <v>38.387453579195395</v>
          </cell>
          <cell r="I99">
            <v>38.387453579195395</v>
          </cell>
          <cell r="J99">
            <v>39.487453579195396</v>
          </cell>
          <cell r="K99">
            <v>39.099739157045398</v>
          </cell>
          <cell r="L99">
            <v>39.099739157045398</v>
          </cell>
          <cell r="M99">
            <v>40.1997391570454</v>
          </cell>
          <cell r="N99">
            <v>39.099739157045398</v>
          </cell>
          <cell r="O99">
            <v>40.1997391570454</v>
          </cell>
          <cell r="P99">
            <v>40.1997391570454</v>
          </cell>
          <cell r="Q99">
            <v>0</v>
          </cell>
          <cell r="R99">
            <v>0</v>
          </cell>
          <cell r="S99">
            <v>0</v>
          </cell>
          <cell r="T99">
            <v>0</v>
          </cell>
          <cell r="U99">
            <v>470.42315641744477</v>
          </cell>
          <cell r="V99">
            <v>545.15700500000003</v>
          </cell>
          <cell r="W99">
            <v>713.63300000000004</v>
          </cell>
          <cell r="X99">
            <v>-74.733848582555254</v>
          </cell>
          <cell r="Y99">
            <v>-243.20984358255527</v>
          </cell>
        </row>
        <row r="100">
          <cell r="Q100">
            <v>0</v>
          </cell>
          <cell r="X100">
            <v>0</v>
          </cell>
          <cell r="Y100">
            <v>0</v>
          </cell>
        </row>
        <row r="101">
          <cell r="B101" t="str">
            <v>16 Other Overhead Costs</v>
          </cell>
          <cell r="Q101">
            <v>0</v>
          </cell>
          <cell r="X101">
            <v>0</v>
          </cell>
          <cell r="Y101">
            <v>0</v>
          </cell>
        </row>
        <row r="102">
          <cell r="A102">
            <v>71</v>
          </cell>
          <cell r="B102" t="str">
            <v>Insurance (Other than employee)</v>
          </cell>
          <cell r="E102">
            <v>1.3</v>
          </cell>
          <cell r="F102">
            <v>1.3</v>
          </cell>
          <cell r="G102">
            <v>1.3</v>
          </cell>
          <cell r="H102">
            <v>1.3</v>
          </cell>
          <cell r="I102">
            <v>1.3</v>
          </cell>
          <cell r="J102">
            <v>1.3</v>
          </cell>
          <cell r="K102">
            <v>1.3</v>
          </cell>
          <cell r="L102">
            <v>1.3</v>
          </cell>
          <cell r="M102">
            <v>1.3</v>
          </cell>
          <cell r="N102">
            <v>1.3</v>
          </cell>
          <cell r="O102">
            <v>1.3</v>
          </cell>
          <cell r="P102">
            <v>1.3</v>
          </cell>
          <cell r="Q102">
            <v>0</v>
          </cell>
          <cell r="T102">
            <v>0</v>
          </cell>
          <cell r="U102">
            <v>15.6</v>
          </cell>
          <cell r="V102">
            <v>15.712970000000006</v>
          </cell>
          <cell r="W102">
            <v>18.341999999999999</v>
          </cell>
          <cell r="X102">
            <v>-0.11297000000000246</v>
          </cell>
          <cell r="Y102">
            <v>-2.7419999999999956</v>
          </cell>
        </row>
        <row r="103">
          <cell r="A103">
            <v>72</v>
          </cell>
          <cell r="B103" t="str">
            <v>Property Taxes</v>
          </cell>
          <cell r="E103">
            <v>0</v>
          </cell>
          <cell r="F103">
            <v>0</v>
          </cell>
          <cell r="G103">
            <v>0</v>
          </cell>
          <cell r="H103">
            <v>0</v>
          </cell>
          <cell r="I103">
            <v>0</v>
          </cell>
          <cell r="J103">
            <v>0</v>
          </cell>
          <cell r="K103">
            <v>0</v>
          </cell>
          <cell r="L103">
            <v>0</v>
          </cell>
          <cell r="M103">
            <v>0</v>
          </cell>
          <cell r="N103">
            <v>0</v>
          </cell>
          <cell r="O103">
            <v>0</v>
          </cell>
          <cell r="P103">
            <v>0</v>
          </cell>
          <cell r="Q103">
            <v>0</v>
          </cell>
          <cell r="T103">
            <v>0</v>
          </cell>
          <cell r="U103">
            <v>0</v>
          </cell>
          <cell r="V103">
            <v>0</v>
          </cell>
          <cell r="W103">
            <v>0</v>
          </cell>
          <cell r="X103">
            <v>0</v>
          </cell>
          <cell r="Y103">
            <v>0</v>
          </cell>
        </row>
        <row r="104">
          <cell r="A104">
            <v>73</v>
          </cell>
          <cell r="B104" t="str">
            <v>Travel &amp; Entertainment</v>
          </cell>
          <cell r="E104">
            <v>2</v>
          </cell>
          <cell r="F104">
            <v>2</v>
          </cell>
          <cell r="G104">
            <v>2</v>
          </cell>
          <cell r="H104">
            <v>2</v>
          </cell>
          <cell r="I104">
            <v>2</v>
          </cell>
          <cell r="J104">
            <v>2</v>
          </cell>
          <cell r="K104">
            <v>2</v>
          </cell>
          <cell r="L104">
            <v>2</v>
          </cell>
          <cell r="M104">
            <v>2</v>
          </cell>
          <cell r="N104">
            <v>2</v>
          </cell>
          <cell r="O104">
            <v>2</v>
          </cell>
          <cell r="P104">
            <v>2</v>
          </cell>
          <cell r="T104">
            <v>0</v>
          </cell>
          <cell r="U104">
            <v>24</v>
          </cell>
          <cell r="V104">
            <v>21.268763333333332</v>
          </cell>
          <cell r="W104">
            <v>25.375</v>
          </cell>
          <cell r="X104">
            <v>2.7312366666666676</v>
          </cell>
          <cell r="Y104">
            <v>-1.375</v>
          </cell>
        </row>
        <row r="105">
          <cell r="A105">
            <v>74</v>
          </cell>
          <cell r="B105" t="str">
            <v>Legal &amp; Professional</v>
          </cell>
          <cell r="E105">
            <v>1</v>
          </cell>
          <cell r="F105">
            <v>1</v>
          </cell>
          <cell r="G105">
            <v>1</v>
          </cell>
          <cell r="H105">
            <v>1</v>
          </cell>
          <cell r="I105">
            <v>1</v>
          </cell>
          <cell r="J105">
            <v>1</v>
          </cell>
          <cell r="K105">
            <v>1</v>
          </cell>
          <cell r="L105">
            <v>1</v>
          </cell>
          <cell r="M105">
            <v>1</v>
          </cell>
          <cell r="N105">
            <v>1</v>
          </cell>
          <cell r="O105">
            <v>1</v>
          </cell>
          <cell r="P105">
            <v>1</v>
          </cell>
          <cell r="T105">
            <v>0</v>
          </cell>
          <cell r="U105">
            <v>12</v>
          </cell>
          <cell r="V105">
            <v>10.095800000000001</v>
          </cell>
          <cell r="W105">
            <v>11.21</v>
          </cell>
          <cell r="X105">
            <v>1.9041999999999994</v>
          </cell>
          <cell r="Y105">
            <v>0.78999999999999915</v>
          </cell>
        </row>
        <row r="106">
          <cell r="A106">
            <v>75</v>
          </cell>
          <cell r="B106" t="str">
            <v>Credit Card Charges</v>
          </cell>
          <cell r="E106">
            <v>0.5</v>
          </cell>
          <cell r="F106">
            <v>0.5</v>
          </cell>
          <cell r="G106">
            <v>0.5</v>
          </cell>
          <cell r="H106">
            <v>0.5</v>
          </cell>
          <cell r="I106">
            <v>0.5</v>
          </cell>
          <cell r="J106">
            <v>0.5</v>
          </cell>
          <cell r="K106">
            <v>0.5</v>
          </cell>
          <cell r="L106">
            <v>0.5</v>
          </cell>
          <cell r="M106">
            <v>0.5</v>
          </cell>
          <cell r="N106">
            <v>0.5</v>
          </cell>
          <cell r="O106">
            <v>0.5</v>
          </cell>
          <cell r="P106">
            <v>0.5</v>
          </cell>
          <cell r="T106">
            <v>0</v>
          </cell>
          <cell r="U106">
            <v>6</v>
          </cell>
          <cell r="V106">
            <v>6.6429699999999992</v>
          </cell>
          <cell r="W106">
            <v>0</v>
          </cell>
          <cell r="X106">
            <v>-0.64296999999999915</v>
          </cell>
          <cell r="Y106">
            <v>6</v>
          </cell>
        </row>
        <row r="107">
          <cell r="A107">
            <v>76</v>
          </cell>
          <cell r="B107" t="str">
            <v>Membership Fees</v>
          </cell>
          <cell r="E107">
            <v>0</v>
          </cell>
          <cell r="F107">
            <v>0</v>
          </cell>
          <cell r="G107">
            <v>0</v>
          </cell>
          <cell r="H107">
            <v>0</v>
          </cell>
          <cell r="I107">
            <v>0</v>
          </cell>
          <cell r="J107">
            <v>0</v>
          </cell>
          <cell r="K107">
            <v>0</v>
          </cell>
          <cell r="L107">
            <v>0</v>
          </cell>
          <cell r="M107">
            <v>0</v>
          </cell>
          <cell r="N107">
            <v>0</v>
          </cell>
          <cell r="O107">
            <v>0</v>
          </cell>
          <cell r="P107">
            <v>0</v>
          </cell>
          <cell r="T107">
            <v>0</v>
          </cell>
          <cell r="U107">
            <v>0</v>
          </cell>
          <cell r="V107">
            <v>0</v>
          </cell>
          <cell r="W107">
            <v>0</v>
          </cell>
          <cell r="X107">
            <v>0</v>
          </cell>
          <cell r="Y107">
            <v>0</v>
          </cell>
        </row>
        <row r="108">
          <cell r="A108">
            <v>77</v>
          </cell>
          <cell r="B108" t="str">
            <v>Taxes &amp; Licences</v>
          </cell>
          <cell r="E108">
            <v>0.36</v>
          </cell>
          <cell r="F108">
            <v>0.36</v>
          </cell>
          <cell r="G108">
            <v>0.36</v>
          </cell>
          <cell r="H108">
            <v>0.36</v>
          </cell>
          <cell r="I108">
            <v>0.36</v>
          </cell>
          <cell r="J108">
            <v>0.36</v>
          </cell>
          <cell r="K108">
            <v>0.36</v>
          </cell>
          <cell r="L108">
            <v>0.36</v>
          </cell>
          <cell r="M108">
            <v>0.36</v>
          </cell>
          <cell r="N108">
            <v>0.36</v>
          </cell>
          <cell r="O108">
            <v>0.36</v>
          </cell>
          <cell r="P108">
            <v>0.36</v>
          </cell>
          <cell r="T108">
            <v>0</v>
          </cell>
          <cell r="U108">
            <v>4.32</v>
          </cell>
          <cell r="V108">
            <v>6.5681123999999969</v>
          </cell>
          <cell r="W108">
            <v>20.073067999999999</v>
          </cell>
          <cell r="X108">
            <v>-2.2481123999999975</v>
          </cell>
          <cell r="Y108">
            <v>-15.753067999999999</v>
          </cell>
        </row>
        <row r="109">
          <cell r="A109">
            <v>78</v>
          </cell>
          <cell r="B109" t="str">
            <v>Convention expense</v>
          </cell>
          <cell r="E109">
            <v>0</v>
          </cell>
          <cell r="F109">
            <v>0</v>
          </cell>
          <cell r="G109">
            <v>0</v>
          </cell>
          <cell r="H109">
            <v>0</v>
          </cell>
          <cell r="I109">
            <v>0</v>
          </cell>
          <cell r="J109">
            <v>0</v>
          </cell>
          <cell r="K109">
            <v>0</v>
          </cell>
          <cell r="L109">
            <v>0</v>
          </cell>
          <cell r="M109">
            <v>0</v>
          </cell>
          <cell r="N109">
            <v>0</v>
          </cell>
          <cell r="O109">
            <v>0</v>
          </cell>
          <cell r="P109">
            <v>0</v>
          </cell>
          <cell r="T109">
            <v>0</v>
          </cell>
          <cell r="U109">
            <v>0</v>
          </cell>
          <cell r="V109">
            <v>0</v>
          </cell>
          <cell r="W109">
            <v>0</v>
          </cell>
          <cell r="X109">
            <v>0</v>
          </cell>
          <cell r="Y109">
            <v>0</v>
          </cell>
        </row>
        <row r="110">
          <cell r="A110">
            <v>79</v>
          </cell>
          <cell r="B110" t="str">
            <v>Contributions</v>
          </cell>
          <cell r="E110">
            <v>0</v>
          </cell>
          <cell r="F110">
            <v>0</v>
          </cell>
          <cell r="G110">
            <v>0</v>
          </cell>
          <cell r="H110">
            <v>0</v>
          </cell>
          <cell r="I110">
            <v>0</v>
          </cell>
          <cell r="J110">
            <v>0</v>
          </cell>
          <cell r="K110">
            <v>0</v>
          </cell>
          <cell r="L110">
            <v>0</v>
          </cell>
          <cell r="M110">
            <v>0</v>
          </cell>
          <cell r="N110">
            <v>0</v>
          </cell>
          <cell r="O110">
            <v>0</v>
          </cell>
          <cell r="P110">
            <v>0</v>
          </cell>
          <cell r="T110">
            <v>0</v>
          </cell>
          <cell r="U110">
            <v>0</v>
          </cell>
          <cell r="V110">
            <v>0</v>
          </cell>
          <cell r="W110">
            <v>0</v>
          </cell>
          <cell r="X110">
            <v>0</v>
          </cell>
          <cell r="Y110">
            <v>0</v>
          </cell>
        </row>
        <row r="111">
          <cell r="A111">
            <v>80</v>
          </cell>
          <cell r="B111" t="str">
            <v>Contract Cleaners</v>
          </cell>
          <cell r="E111">
            <v>6.6736800000000001</v>
          </cell>
          <cell r="F111">
            <v>6.6736800000000001</v>
          </cell>
          <cell r="G111">
            <v>6.4584000000000001</v>
          </cell>
          <cell r="H111">
            <v>6.6736800000000001</v>
          </cell>
          <cell r="I111">
            <v>6.4584000000000001</v>
          </cell>
          <cell r="J111">
            <v>6.6736800000000001</v>
          </cell>
          <cell r="K111">
            <v>6.6736800000000001</v>
          </cell>
          <cell r="L111">
            <v>8.5278400000000012</v>
          </cell>
          <cell r="M111">
            <v>6.6736800000000001</v>
          </cell>
          <cell r="N111">
            <v>6.4584000000000001</v>
          </cell>
          <cell r="O111">
            <v>6.6736800000000001</v>
          </cell>
          <cell r="P111">
            <v>6.4584000000000001</v>
          </cell>
          <cell r="T111">
            <v>0</v>
          </cell>
          <cell r="U111">
            <v>81.077200000000005</v>
          </cell>
          <cell r="V111">
            <v>113.20794000000001</v>
          </cell>
          <cell r="W111">
            <v>169.8</v>
          </cell>
          <cell r="X111">
            <v>-32.130740000000003</v>
          </cell>
          <cell r="Y111">
            <v>-88.722800000000007</v>
          </cell>
        </row>
        <row r="112">
          <cell r="A112">
            <v>81</v>
          </cell>
          <cell r="B112" t="str">
            <v>Telephone &amp; Faxes</v>
          </cell>
          <cell r="E112">
            <v>4</v>
          </cell>
          <cell r="F112">
            <v>4</v>
          </cell>
          <cell r="G112">
            <v>4</v>
          </cell>
          <cell r="H112">
            <v>4</v>
          </cell>
          <cell r="I112">
            <v>4</v>
          </cell>
          <cell r="J112">
            <v>4</v>
          </cell>
          <cell r="K112">
            <v>4</v>
          </cell>
          <cell r="L112">
            <v>4</v>
          </cell>
          <cell r="M112">
            <v>4</v>
          </cell>
          <cell r="N112">
            <v>4</v>
          </cell>
          <cell r="O112">
            <v>4</v>
          </cell>
          <cell r="P112">
            <v>4</v>
          </cell>
          <cell r="T112">
            <v>0</v>
          </cell>
          <cell r="U112">
            <v>48</v>
          </cell>
          <cell r="V112">
            <v>53.916430000000005</v>
          </cell>
          <cell r="W112">
            <v>38.929000000000002</v>
          </cell>
          <cell r="X112">
            <v>-5.9164300000000054</v>
          </cell>
          <cell r="Y112">
            <v>9.070999999999998</v>
          </cell>
        </row>
        <row r="113">
          <cell r="A113">
            <v>82</v>
          </cell>
          <cell r="B113" t="str">
            <v>Stationery &amp; Printing</v>
          </cell>
          <cell r="E113">
            <v>0.6</v>
          </cell>
          <cell r="F113">
            <v>0.6</v>
          </cell>
          <cell r="G113">
            <v>0.6</v>
          </cell>
          <cell r="H113">
            <v>0.6</v>
          </cell>
          <cell r="I113">
            <v>0.6</v>
          </cell>
          <cell r="J113">
            <v>0.6</v>
          </cell>
          <cell r="K113">
            <v>0.6</v>
          </cell>
          <cell r="L113">
            <v>0.6</v>
          </cell>
          <cell r="M113">
            <v>0.6</v>
          </cell>
          <cell r="N113">
            <v>0.6</v>
          </cell>
          <cell r="O113">
            <v>0.6</v>
          </cell>
          <cell r="P113">
            <v>0.6</v>
          </cell>
          <cell r="T113">
            <v>0</v>
          </cell>
          <cell r="U113">
            <v>7.2</v>
          </cell>
          <cell r="V113">
            <v>7.3634400000000007</v>
          </cell>
          <cell r="W113">
            <v>7.016</v>
          </cell>
          <cell r="X113">
            <v>-0.16344000000000225</v>
          </cell>
          <cell r="Y113">
            <v>0.18399999999999839</v>
          </cell>
        </row>
        <row r="114">
          <cell r="A114">
            <v>83</v>
          </cell>
          <cell r="B114" t="str">
            <v>Uniforms &amp; Laundry</v>
          </cell>
          <cell r="E114">
            <v>0.2</v>
          </cell>
          <cell r="F114">
            <v>0.2</v>
          </cell>
          <cell r="G114">
            <v>0.2</v>
          </cell>
          <cell r="H114">
            <v>0.2</v>
          </cell>
          <cell r="I114">
            <v>0.2</v>
          </cell>
          <cell r="J114">
            <v>0.2</v>
          </cell>
          <cell r="K114">
            <v>0.2</v>
          </cell>
          <cell r="L114">
            <v>0.2</v>
          </cell>
          <cell r="M114">
            <v>0.2</v>
          </cell>
          <cell r="N114">
            <v>0.2</v>
          </cell>
          <cell r="O114">
            <v>0.2</v>
          </cell>
          <cell r="P114">
            <v>0.2</v>
          </cell>
          <cell r="T114">
            <v>0</v>
          </cell>
          <cell r="U114">
            <v>2.4</v>
          </cell>
          <cell r="V114">
            <v>6.48</v>
          </cell>
          <cell r="W114">
            <v>3.9990000000000001</v>
          </cell>
          <cell r="X114">
            <v>-4.08</v>
          </cell>
          <cell r="Y114">
            <v>-1.5990000000000002</v>
          </cell>
        </row>
        <row r="115">
          <cell r="A115">
            <v>84</v>
          </cell>
          <cell r="B115" t="str">
            <v>Freight</v>
          </cell>
          <cell r="E115">
            <v>0.50309999999999999</v>
          </cell>
          <cell r="F115">
            <v>0.50309999999999999</v>
          </cell>
          <cell r="G115">
            <v>0.50309999999999999</v>
          </cell>
          <cell r="H115">
            <v>0.50309999999999999</v>
          </cell>
          <cell r="I115">
            <v>0.50309999999999999</v>
          </cell>
          <cell r="J115">
            <v>0.50309999999999999</v>
          </cell>
          <cell r="K115">
            <v>0.50309999999999999</v>
          </cell>
          <cell r="L115">
            <v>0.50309999999999999</v>
          </cell>
          <cell r="M115">
            <v>0.50309999999999999</v>
          </cell>
          <cell r="N115">
            <v>0.50309999999999999</v>
          </cell>
          <cell r="O115">
            <v>0.50309999999999999</v>
          </cell>
          <cell r="P115">
            <v>0.50309999999999999</v>
          </cell>
          <cell r="T115">
            <v>0</v>
          </cell>
          <cell r="U115">
            <v>6.0371999999999995</v>
          </cell>
          <cell r="V115">
            <v>5.3740999999999985</v>
          </cell>
          <cell r="W115">
            <v>4.51</v>
          </cell>
          <cell r="X115">
            <v>0.66310000000000091</v>
          </cell>
          <cell r="Y115">
            <v>1.5271999999999997</v>
          </cell>
        </row>
        <row r="116">
          <cell r="A116">
            <v>85</v>
          </cell>
          <cell r="B116" t="str">
            <v>Data processing</v>
          </cell>
          <cell r="E116">
            <v>0</v>
          </cell>
          <cell r="F116">
            <v>0</v>
          </cell>
          <cell r="G116">
            <v>0</v>
          </cell>
          <cell r="H116">
            <v>0</v>
          </cell>
          <cell r="I116">
            <v>0</v>
          </cell>
          <cell r="J116">
            <v>0</v>
          </cell>
          <cell r="K116">
            <v>0</v>
          </cell>
          <cell r="L116">
            <v>0</v>
          </cell>
          <cell r="M116">
            <v>0</v>
          </cell>
          <cell r="N116">
            <v>0</v>
          </cell>
          <cell r="O116">
            <v>0</v>
          </cell>
          <cell r="P116">
            <v>0</v>
          </cell>
          <cell r="T116">
            <v>0</v>
          </cell>
          <cell r="U116">
            <v>0</v>
          </cell>
          <cell r="V116">
            <v>0</v>
          </cell>
          <cell r="W116">
            <v>0</v>
          </cell>
          <cell r="X116">
            <v>0</v>
          </cell>
          <cell r="Y116">
            <v>0</v>
          </cell>
        </row>
        <row r="117">
          <cell r="A117">
            <v>86</v>
          </cell>
          <cell r="B117" t="str">
            <v>Bank Charges</v>
          </cell>
          <cell r="E117">
            <v>1.4</v>
          </cell>
          <cell r="F117">
            <v>1.4</v>
          </cell>
          <cell r="G117">
            <v>1.4</v>
          </cell>
          <cell r="H117">
            <v>1.4</v>
          </cell>
          <cell r="I117">
            <v>1.4</v>
          </cell>
          <cell r="J117">
            <v>1.4</v>
          </cell>
          <cell r="K117">
            <v>1.4</v>
          </cell>
          <cell r="L117">
            <v>1.4</v>
          </cell>
          <cell r="M117">
            <v>1.4</v>
          </cell>
          <cell r="N117">
            <v>1.4</v>
          </cell>
          <cell r="O117">
            <v>1.4</v>
          </cell>
          <cell r="P117">
            <v>1.4</v>
          </cell>
          <cell r="T117">
            <v>0</v>
          </cell>
          <cell r="U117">
            <v>16.8</v>
          </cell>
          <cell r="V117">
            <v>15.239010000000002</v>
          </cell>
          <cell r="W117">
            <v>20.126999999999999</v>
          </cell>
          <cell r="X117">
            <v>1.5609899999999985</v>
          </cell>
          <cell r="Y117">
            <v>-3.3269999999999982</v>
          </cell>
        </row>
        <row r="118">
          <cell r="A118">
            <v>87</v>
          </cell>
          <cell r="B118" t="str">
            <v>Parking Expenses</v>
          </cell>
          <cell r="E118">
            <v>0</v>
          </cell>
          <cell r="F118">
            <v>0</v>
          </cell>
          <cell r="G118">
            <v>0</v>
          </cell>
          <cell r="H118">
            <v>0</v>
          </cell>
          <cell r="I118">
            <v>0</v>
          </cell>
          <cell r="J118">
            <v>0</v>
          </cell>
          <cell r="K118">
            <v>0</v>
          </cell>
          <cell r="L118">
            <v>0</v>
          </cell>
          <cell r="M118">
            <v>0</v>
          </cell>
          <cell r="N118">
            <v>0</v>
          </cell>
          <cell r="O118">
            <v>0</v>
          </cell>
          <cell r="P118">
            <v>0</v>
          </cell>
          <cell r="T118">
            <v>0</v>
          </cell>
          <cell r="U118">
            <v>0</v>
          </cell>
          <cell r="V118">
            <v>0</v>
          </cell>
          <cell r="W118">
            <v>0</v>
          </cell>
          <cell r="X118">
            <v>0</v>
          </cell>
          <cell r="Y118">
            <v>0</v>
          </cell>
        </row>
        <row r="119">
          <cell r="A119">
            <v>88</v>
          </cell>
          <cell r="B119" t="str">
            <v>Staff training</v>
          </cell>
          <cell r="E119">
            <v>0.50887453579195396</v>
          </cell>
          <cell r="F119">
            <v>0.50887453579195396</v>
          </cell>
          <cell r="G119">
            <v>0.51987453579195408</v>
          </cell>
          <cell r="H119">
            <v>0.50887453579195396</v>
          </cell>
          <cell r="I119">
            <v>0.50887453579195396</v>
          </cell>
          <cell r="J119">
            <v>0.51987453579195408</v>
          </cell>
          <cell r="K119">
            <v>0.5159973915704541</v>
          </cell>
          <cell r="L119">
            <v>0.5159973915704541</v>
          </cell>
          <cell r="M119">
            <v>0.52699739157045411</v>
          </cell>
          <cell r="N119">
            <v>0.5159973915704541</v>
          </cell>
          <cell r="O119">
            <v>0.52699739157045411</v>
          </cell>
          <cell r="P119">
            <v>0.52699739157045411</v>
          </cell>
          <cell r="T119">
            <v>0</v>
          </cell>
          <cell r="U119">
            <v>6.2042315641744477</v>
          </cell>
          <cell r="V119">
            <v>6.1559999999999997</v>
          </cell>
          <cell r="W119">
            <v>10.753</v>
          </cell>
          <cell r="X119">
            <v>4.8231564174447961E-2</v>
          </cell>
          <cell r="Y119">
            <v>-4.5487684358255525</v>
          </cell>
        </row>
        <row r="120">
          <cell r="A120">
            <v>89</v>
          </cell>
          <cell r="B120" t="str">
            <v>Security</v>
          </cell>
          <cell r="E120">
            <v>1.3</v>
          </cell>
          <cell r="F120">
            <v>1.3</v>
          </cell>
          <cell r="G120">
            <v>1.3</v>
          </cell>
          <cell r="H120">
            <v>1.3</v>
          </cell>
          <cell r="I120">
            <v>1.3</v>
          </cell>
          <cell r="J120">
            <v>1.3</v>
          </cell>
          <cell r="K120">
            <v>1.3</v>
          </cell>
          <cell r="L120">
            <v>1.3</v>
          </cell>
          <cell r="M120">
            <v>1.3</v>
          </cell>
          <cell r="N120">
            <v>1.3</v>
          </cell>
          <cell r="O120">
            <v>1.3</v>
          </cell>
          <cell r="P120">
            <v>1.3</v>
          </cell>
          <cell r="U120">
            <v>15.6</v>
          </cell>
          <cell r="V120">
            <v>8.8000000000000007</v>
          </cell>
          <cell r="W120">
            <v>15.6</v>
          </cell>
          <cell r="X120">
            <v>6.8</v>
          </cell>
          <cell r="Y120">
            <v>0</v>
          </cell>
        </row>
        <row r="121">
          <cell r="A121">
            <v>90</v>
          </cell>
          <cell r="B121" t="str">
            <v>Postage</v>
          </cell>
          <cell r="E121">
            <v>0</v>
          </cell>
          <cell r="F121">
            <v>0</v>
          </cell>
          <cell r="G121">
            <v>0</v>
          </cell>
          <cell r="H121">
            <v>0</v>
          </cell>
          <cell r="I121">
            <v>0</v>
          </cell>
          <cell r="J121">
            <v>0</v>
          </cell>
          <cell r="K121">
            <v>0</v>
          </cell>
          <cell r="L121">
            <v>0</v>
          </cell>
          <cell r="M121">
            <v>0</v>
          </cell>
          <cell r="N121">
            <v>0</v>
          </cell>
          <cell r="O121">
            <v>0</v>
          </cell>
          <cell r="P121">
            <v>0</v>
          </cell>
          <cell r="U121">
            <v>0</v>
          </cell>
          <cell r="V121">
            <v>0</v>
          </cell>
          <cell r="W121">
            <v>0</v>
          </cell>
          <cell r="X121">
            <v>0</v>
          </cell>
          <cell r="Y121">
            <v>0</v>
          </cell>
        </row>
        <row r="122">
          <cell r="A122">
            <v>91</v>
          </cell>
          <cell r="B122" t="str">
            <v>Chilled Water</v>
          </cell>
          <cell r="E122">
            <v>0</v>
          </cell>
          <cell r="F122">
            <v>0</v>
          </cell>
          <cell r="G122">
            <v>0</v>
          </cell>
          <cell r="H122">
            <v>0</v>
          </cell>
          <cell r="I122">
            <v>0</v>
          </cell>
          <cell r="J122">
            <v>0</v>
          </cell>
          <cell r="K122">
            <v>0</v>
          </cell>
          <cell r="L122">
            <v>0</v>
          </cell>
          <cell r="M122">
            <v>0</v>
          </cell>
          <cell r="N122">
            <v>0</v>
          </cell>
          <cell r="O122">
            <v>0</v>
          </cell>
          <cell r="P122">
            <v>0</v>
          </cell>
          <cell r="U122">
            <v>0</v>
          </cell>
          <cell r="V122">
            <v>0</v>
          </cell>
          <cell r="W122">
            <v>0</v>
          </cell>
          <cell r="X122">
            <v>0</v>
          </cell>
          <cell r="Y122">
            <v>0</v>
          </cell>
        </row>
        <row r="123">
          <cell r="A123">
            <v>92</v>
          </cell>
          <cell r="B123" t="str">
            <v>Admin Fee</v>
          </cell>
          <cell r="E123">
            <v>0</v>
          </cell>
          <cell r="F123">
            <v>0</v>
          </cell>
          <cell r="G123">
            <v>0</v>
          </cell>
          <cell r="H123">
            <v>0</v>
          </cell>
          <cell r="I123">
            <v>0</v>
          </cell>
          <cell r="J123">
            <v>0</v>
          </cell>
          <cell r="K123">
            <v>0</v>
          </cell>
          <cell r="L123">
            <v>0</v>
          </cell>
          <cell r="M123">
            <v>0</v>
          </cell>
          <cell r="N123">
            <v>0</v>
          </cell>
          <cell r="O123">
            <v>0</v>
          </cell>
          <cell r="P123">
            <v>0</v>
          </cell>
          <cell r="U123">
            <v>0</v>
          </cell>
          <cell r="V123">
            <v>0</v>
          </cell>
          <cell r="W123">
            <v>0</v>
          </cell>
          <cell r="X123">
            <v>0</v>
          </cell>
          <cell r="Y123">
            <v>0</v>
          </cell>
        </row>
        <row r="124">
          <cell r="A124">
            <v>93</v>
          </cell>
          <cell r="B124" t="str">
            <v>Miscellaneous</v>
          </cell>
          <cell r="E124">
            <v>0.3</v>
          </cell>
          <cell r="F124">
            <v>0.3</v>
          </cell>
          <cell r="G124">
            <v>0.3</v>
          </cell>
          <cell r="H124">
            <v>0.3</v>
          </cell>
          <cell r="I124">
            <v>0.3</v>
          </cell>
          <cell r="J124">
            <v>0.3</v>
          </cell>
          <cell r="K124">
            <v>0.3</v>
          </cell>
          <cell r="L124">
            <v>0.3</v>
          </cell>
          <cell r="M124">
            <v>0.3</v>
          </cell>
          <cell r="N124">
            <v>0.3</v>
          </cell>
          <cell r="O124">
            <v>0.3</v>
          </cell>
          <cell r="P124">
            <v>0.3</v>
          </cell>
          <cell r="T124">
            <v>0</v>
          </cell>
          <cell r="U124">
            <v>3.6</v>
          </cell>
          <cell r="V124">
            <v>11.74</v>
          </cell>
          <cell r="W124">
            <v>2.3389999999999986</v>
          </cell>
          <cell r="X124">
            <v>-8.14</v>
          </cell>
          <cell r="Y124">
            <v>1.2610000000000006</v>
          </cell>
        </row>
        <row r="125">
          <cell r="C125">
            <v>0</v>
          </cell>
          <cell r="E125">
            <v>20.645654535791955</v>
          </cell>
          <cell r="F125">
            <v>20.645654535791955</v>
          </cell>
          <cell r="G125">
            <v>20.441374535791955</v>
          </cell>
          <cell r="H125">
            <v>20.645654535791955</v>
          </cell>
          <cell r="I125">
            <v>20.430374535791955</v>
          </cell>
          <cell r="J125">
            <v>20.656654535791954</v>
          </cell>
          <cell r="K125">
            <v>20.652777391570456</v>
          </cell>
          <cell r="L125">
            <v>22.506937391570457</v>
          </cell>
          <cell r="M125">
            <v>20.663777391570456</v>
          </cell>
          <cell r="N125">
            <v>20.437497391570457</v>
          </cell>
          <cell r="O125">
            <v>20.663777391570456</v>
          </cell>
          <cell r="P125">
            <v>20.448497391570456</v>
          </cell>
          <cell r="R125">
            <v>0</v>
          </cell>
          <cell r="S125">
            <v>0</v>
          </cell>
          <cell r="T125">
            <v>0</v>
          </cell>
          <cell r="U125">
            <v>248.83863156417448</v>
          </cell>
          <cell r="V125">
            <v>288.56553573333338</v>
          </cell>
          <cell r="W125">
            <v>348.07306800000003</v>
          </cell>
          <cell r="X125">
            <v>-39.7269041691589</v>
          </cell>
          <cell r="Y125">
            <v>-99.234436435825558</v>
          </cell>
        </row>
        <row r="126">
          <cell r="X126">
            <v>0</v>
          </cell>
          <cell r="Y126">
            <v>0</v>
          </cell>
        </row>
        <row r="127">
          <cell r="A127">
            <v>0</v>
          </cell>
          <cell r="B127" t="str">
            <v>23 Adjustments</v>
          </cell>
          <cell r="X127">
            <v>0</v>
          </cell>
          <cell r="Y127">
            <v>0</v>
          </cell>
        </row>
        <row r="128">
          <cell r="A128">
            <v>97</v>
          </cell>
          <cell r="B128" t="str">
            <v>Miscellaneous (Please Specify)</v>
          </cell>
          <cell r="E128">
            <v>0</v>
          </cell>
          <cell r="F128">
            <v>0</v>
          </cell>
          <cell r="G128">
            <v>0</v>
          </cell>
          <cell r="H128">
            <v>0</v>
          </cell>
          <cell r="I128">
            <v>0</v>
          </cell>
          <cell r="J128">
            <v>0</v>
          </cell>
          <cell r="K128">
            <v>0</v>
          </cell>
          <cell r="L128">
            <v>0</v>
          </cell>
          <cell r="M128">
            <v>0</v>
          </cell>
          <cell r="N128">
            <v>0</v>
          </cell>
          <cell r="O128">
            <v>0</v>
          </cell>
          <cell r="P128">
            <v>0</v>
          </cell>
          <cell r="T128">
            <v>0</v>
          </cell>
          <cell r="U128">
            <v>0</v>
          </cell>
          <cell r="V128">
            <v>0</v>
          </cell>
          <cell r="W128">
            <v>0</v>
          </cell>
          <cell r="X128">
            <v>0</v>
          </cell>
          <cell r="Y128">
            <v>0</v>
          </cell>
        </row>
        <row r="129">
          <cell r="A129">
            <v>98</v>
          </cell>
          <cell r="B129" t="str">
            <v>Mgmt fee income - CGV</v>
          </cell>
          <cell r="E129">
            <v>0</v>
          </cell>
          <cell r="F129">
            <v>0</v>
          </cell>
          <cell r="G129">
            <v>0</v>
          </cell>
          <cell r="H129">
            <v>0</v>
          </cell>
          <cell r="I129">
            <v>0</v>
          </cell>
          <cell r="J129">
            <v>0</v>
          </cell>
          <cell r="K129">
            <v>0</v>
          </cell>
          <cell r="L129">
            <v>0</v>
          </cell>
          <cell r="M129">
            <v>0</v>
          </cell>
          <cell r="N129">
            <v>0</v>
          </cell>
          <cell r="O129">
            <v>0</v>
          </cell>
          <cell r="P129">
            <v>0</v>
          </cell>
          <cell r="U129">
            <v>0</v>
          </cell>
          <cell r="V129">
            <v>0</v>
          </cell>
          <cell r="W129">
            <v>0</v>
          </cell>
          <cell r="X129">
            <v>0</v>
          </cell>
          <cell r="Y129">
            <v>0</v>
          </cell>
        </row>
        <row r="130">
          <cell r="A130">
            <v>99</v>
          </cell>
          <cell r="B130" t="str">
            <v xml:space="preserve">Pre Opening </v>
          </cell>
          <cell r="E130">
            <v>0</v>
          </cell>
          <cell r="F130">
            <v>0</v>
          </cell>
          <cell r="G130">
            <v>0</v>
          </cell>
          <cell r="H130">
            <v>0</v>
          </cell>
          <cell r="I130">
            <v>0</v>
          </cell>
          <cell r="J130">
            <v>0</v>
          </cell>
          <cell r="K130">
            <v>0</v>
          </cell>
          <cell r="L130">
            <v>0</v>
          </cell>
          <cell r="M130">
            <v>0</v>
          </cell>
          <cell r="N130">
            <v>0</v>
          </cell>
          <cell r="O130">
            <v>0</v>
          </cell>
          <cell r="P130">
            <v>0</v>
          </cell>
          <cell r="U130">
            <v>0</v>
          </cell>
          <cell r="V130">
            <v>0</v>
          </cell>
          <cell r="W130">
            <v>0</v>
          </cell>
          <cell r="X130">
            <v>0</v>
          </cell>
          <cell r="Y130">
            <v>0</v>
          </cell>
        </row>
        <row r="131">
          <cell r="A131">
            <v>100</v>
          </cell>
          <cell r="B131" t="str">
            <v>Other</v>
          </cell>
          <cell r="E131">
            <v>0</v>
          </cell>
          <cell r="F131">
            <v>0</v>
          </cell>
          <cell r="G131">
            <v>0</v>
          </cell>
          <cell r="H131">
            <v>0</v>
          </cell>
          <cell r="I131">
            <v>0</v>
          </cell>
          <cell r="J131">
            <v>0</v>
          </cell>
          <cell r="K131">
            <v>0</v>
          </cell>
          <cell r="L131">
            <v>0</v>
          </cell>
          <cell r="M131">
            <v>0</v>
          </cell>
          <cell r="N131">
            <v>0</v>
          </cell>
          <cell r="O131">
            <v>0</v>
          </cell>
          <cell r="P131">
            <v>0</v>
          </cell>
          <cell r="U131">
            <v>0</v>
          </cell>
          <cell r="V131">
            <v>0</v>
          </cell>
          <cell r="W131">
            <v>0</v>
          </cell>
          <cell r="X131">
            <v>0</v>
          </cell>
          <cell r="Y131">
            <v>0</v>
          </cell>
        </row>
        <row r="132">
          <cell r="T132">
            <v>0</v>
          </cell>
          <cell r="X132">
            <v>0</v>
          </cell>
          <cell r="Y132">
            <v>0</v>
          </cell>
        </row>
        <row r="133">
          <cell r="C133">
            <v>0</v>
          </cell>
          <cell r="E133">
            <v>0</v>
          </cell>
          <cell r="F133">
            <v>0</v>
          </cell>
          <cell r="G133">
            <v>0</v>
          </cell>
          <cell r="H133">
            <v>0</v>
          </cell>
          <cell r="I133">
            <v>0</v>
          </cell>
          <cell r="J133">
            <v>0</v>
          </cell>
          <cell r="K133">
            <v>0</v>
          </cell>
          <cell r="L133">
            <v>0</v>
          </cell>
          <cell r="M133">
            <v>0</v>
          </cell>
          <cell r="N133">
            <v>0</v>
          </cell>
          <cell r="O133">
            <v>0</v>
          </cell>
          <cell r="P133">
            <v>0</v>
          </cell>
          <cell r="R133">
            <v>0</v>
          </cell>
          <cell r="S133">
            <v>0</v>
          </cell>
          <cell r="T133">
            <v>0</v>
          </cell>
          <cell r="U133">
            <v>0</v>
          </cell>
          <cell r="V133">
            <v>0</v>
          </cell>
          <cell r="W133">
            <v>0</v>
          </cell>
          <cell r="X133">
            <v>0</v>
          </cell>
          <cell r="Y133">
            <v>0</v>
          </cell>
        </row>
      </sheetData>
      <sheetData sheetId="25" refreshError="1">
        <row r="11">
          <cell r="A11">
            <v>1</v>
          </cell>
          <cell r="B11" t="str">
            <v>Net Film Revenue</v>
          </cell>
          <cell r="E11">
            <v>355.1</v>
          </cell>
          <cell r="F11">
            <v>361.8</v>
          </cell>
          <cell r="G11">
            <v>509.2</v>
          </cell>
          <cell r="H11">
            <v>368.5</v>
          </cell>
          <cell r="I11">
            <v>415.4</v>
          </cell>
          <cell r="J11">
            <v>636.5</v>
          </cell>
          <cell r="K11">
            <v>335</v>
          </cell>
          <cell r="L11">
            <v>435.5</v>
          </cell>
          <cell r="M11">
            <v>509.2</v>
          </cell>
          <cell r="N11">
            <v>375.2</v>
          </cell>
          <cell r="O11">
            <v>522.6</v>
          </cell>
          <cell r="P11">
            <v>502.5</v>
          </cell>
          <cell r="Q11">
            <v>0</v>
          </cell>
          <cell r="T11">
            <v>0</v>
          </cell>
          <cell r="U11">
            <v>5326.5</v>
          </cell>
          <cell r="V11">
            <v>5084.3237399999989</v>
          </cell>
          <cell r="W11">
            <v>6344.5050000000001</v>
          </cell>
          <cell r="X11">
            <v>242.17626000000109</v>
          </cell>
          <cell r="Y11">
            <v>-1018.005</v>
          </cell>
        </row>
        <row r="12">
          <cell r="A12">
            <v>2</v>
          </cell>
          <cell r="B12" t="str">
            <v>Concession Sales</v>
          </cell>
          <cell r="E12">
            <v>71.55</v>
          </cell>
          <cell r="F12">
            <v>72.900000000000006</v>
          </cell>
          <cell r="G12">
            <v>102.6</v>
          </cell>
          <cell r="H12">
            <v>74.25</v>
          </cell>
          <cell r="I12">
            <v>83.7</v>
          </cell>
          <cell r="J12">
            <v>128.25</v>
          </cell>
          <cell r="K12">
            <v>67.5</v>
          </cell>
          <cell r="L12">
            <v>87.75</v>
          </cell>
          <cell r="M12">
            <v>102.6</v>
          </cell>
          <cell r="N12">
            <v>75.599999999999994</v>
          </cell>
          <cell r="O12">
            <v>105.3</v>
          </cell>
          <cell r="P12">
            <v>101.25</v>
          </cell>
          <cell r="T12">
            <v>0</v>
          </cell>
          <cell r="U12">
            <v>1073.25</v>
          </cell>
          <cell r="V12">
            <v>724.73797000000002</v>
          </cell>
          <cell r="W12">
            <v>821.76499999999999</v>
          </cell>
          <cell r="X12">
            <v>348.51202999999998</v>
          </cell>
          <cell r="Y12">
            <v>251.48500000000001</v>
          </cell>
        </row>
        <row r="13">
          <cell r="A13">
            <v>3</v>
          </cell>
          <cell r="B13" t="str">
            <v>Rental Income</v>
          </cell>
          <cell r="E13">
            <v>0</v>
          </cell>
          <cell r="F13">
            <v>0</v>
          </cell>
          <cell r="G13">
            <v>0</v>
          </cell>
          <cell r="H13">
            <v>0</v>
          </cell>
          <cell r="I13">
            <v>0</v>
          </cell>
          <cell r="J13">
            <v>0</v>
          </cell>
          <cell r="K13">
            <v>0</v>
          </cell>
          <cell r="L13">
            <v>0</v>
          </cell>
          <cell r="M13">
            <v>0</v>
          </cell>
          <cell r="N13">
            <v>0</v>
          </cell>
          <cell r="O13">
            <v>0</v>
          </cell>
          <cell r="P13">
            <v>0</v>
          </cell>
          <cell r="T13">
            <v>0</v>
          </cell>
          <cell r="U13">
            <v>0</v>
          </cell>
          <cell r="V13">
            <v>0</v>
          </cell>
          <cell r="W13">
            <v>0</v>
          </cell>
          <cell r="X13">
            <v>0</v>
          </cell>
          <cell r="Y13">
            <v>0</v>
          </cell>
        </row>
        <row r="14">
          <cell r="A14">
            <v>4</v>
          </cell>
          <cell r="B14" t="str">
            <v>Electronic Games income</v>
          </cell>
          <cell r="E14">
            <v>0</v>
          </cell>
          <cell r="F14">
            <v>0</v>
          </cell>
          <cell r="G14">
            <v>0</v>
          </cell>
          <cell r="H14">
            <v>0</v>
          </cell>
          <cell r="I14">
            <v>0</v>
          </cell>
          <cell r="J14">
            <v>0</v>
          </cell>
          <cell r="K14">
            <v>0</v>
          </cell>
          <cell r="L14">
            <v>0</v>
          </cell>
          <cell r="M14">
            <v>0</v>
          </cell>
          <cell r="N14">
            <v>0</v>
          </cell>
          <cell r="O14">
            <v>0</v>
          </cell>
          <cell r="P14">
            <v>0</v>
          </cell>
          <cell r="T14">
            <v>0</v>
          </cell>
          <cell r="U14">
            <v>0</v>
          </cell>
          <cell r="V14">
            <v>0</v>
          </cell>
          <cell r="W14">
            <v>0</v>
          </cell>
          <cell r="X14">
            <v>0</v>
          </cell>
          <cell r="Y14">
            <v>0</v>
          </cell>
        </row>
        <row r="15">
          <cell r="A15">
            <v>5</v>
          </cell>
          <cell r="B15" t="str">
            <v>Screen Advertising</v>
          </cell>
          <cell r="E15">
            <v>19.5</v>
          </cell>
          <cell r="F15">
            <v>19.5</v>
          </cell>
          <cell r="G15">
            <v>19.5</v>
          </cell>
          <cell r="H15">
            <v>19.5</v>
          </cell>
          <cell r="I15">
            <v>19.5</v>
          </cell>
          <cell r="J15">
            <v>19.5</v>
          </cell>
          <cell r="K15">
            <v>19.5</v>
          </cell>
          <cell r="L15">
            <v>19.5</v>
          </cell>
          <cell r="M15">
            <v>19.5</v>
          </cell>
          <cell r="N15">
            <v>19.5</v>
          </cell>
          <cell r="O15">
            <v>19.5</v>
          </cell>
          <cell r="P15">
            <v>19.5</v>
          </cell>
          <cell r="T15">
            <v>0</v>
          </cell>
          <cell r="U15">
            <v>234</v>
          </cell>
          <cell r="V15">
            <v>380.91274000000004</v>
          </cell>
          <cell r="W15">
            <v>337.87099999999998</v>
          </cell>
          <cell r="X15">
            <v>-146.91274000000004</v>
          </cell>
          <cell r="Y15">
            <v>-103.87099999999998</v>
          </cell>
        </row>
        <row r="16">
          <cell r="A16">
            <v>6</v>
          </cell>
          <cell r="B16" t="str">
            <v>Other Income</v>
          </cell>
          <cell r="C16">
            <v>0</v>
          </cell>
          <cell r="E16">
            <v>7.4376250000000006</v>
          </cell>
          <cell r="F16">
            <v>7.4376250000000006</v>
          </cell>
          <cell r="G16">
            <v>7.4376250000000006</v>
          </cell>
          <cell r="H16">
            <v>7.4376250000000006</v>
          </cell>
          <cell r="I16">
            <v>7.4376250000000006</v>
          </cell>
          <cell r="J16">
            <v>7.4376250000000006</v>
          </cell>
          <cell r="K16">
            <v>7.4376250000000006</v>
          </cell>
          <cell r="L16">
            <v>7.4376250000000006</v>
          </cell>
          <cell r="M16">
            <v>7.4376250000000006</v>
          </cell>
          <cell r="N16">
            <v>7.4376250000000006</v>
          </cell>
          <cell r="O16">
            <v>7.4376250000000006</v>
          </cell>
          <cell r="P16">
            <v>7.4376250000000006</v>
          </cell>
          <cell r="R16">
            <v>0</v>
          </cell>
          <cell r="S16">
            <v>0</v>
          </cell>
          <cell r="T16">
            <v>0</v>
          </cell>
          <cell r="U16">
            <v>89.251499999999979</v>
          </cell>
          <cell r="V16">
            <v>186.51553000000001</v>
          </cell>
          <cell r="W16">
            <v>129.892</v>
          </cell>
          <cell r="X16">
            <v>-97.264030000000034</v>
          </cell>
          <cell r="Y16">
            <v>-40.640500000000017</v>
          </cell>
        </row>
        <row r="17">
          <cell r="B17" t="str">
            <v>TOTAL REVENUE</v>
          </cell>
          <cell r="C17">
            <v>0</v>
          </cell>
          <cell r="E17">
            <v>453.58762500000006</v>
          </cell>
          <cell r="F17">
            <v>461.63762500000007</v>
          </cell>
          <cell r="G17">
            <v>638.73762499999998</v>
          </cell>
          <cell r="H17">
            <v>469.68762500000003</v>
          </cell>
          <cell r="I17">
            <v>526.03762500000005</v>
          </cell>
          <cell r="J17">
            <v>791.68762500000003</v>
          </cell>
          <cell r="K17">
            <v>429.43762500000003</v>
          </cell>
          <cell r="L17">
            <v>550.18762500000003</v>
          </cell>
          <cell r="M17">
            <v>638.73762499999998</v>
          </cell>
          <cell r="N17">
            <v>477.73762500000004</v>
          </cell>
          <cell r="O17">
            <v>654.83762500000012</v>
          </cell>
          <cell r="P17">
            <v>630.68762500000003</v>
          </cell>
          <cell r="R17">
            <v>0</v>
          </cell>
          <cell r="S17">
            <v>0</v>
          </cell>
          <cell r="T17">
            <v>0</v>
          </cell>
          <cell r="U17">
            <v>6723.0015000000003</v>
          </cell>
          <cell r="V17">
            <v>6376.4899799999985</v>
          </cell>
          <cell r="W17">
            <v>7634.0330000000004</v>
          </cell>
          <cell r="X17">
            <v>346.51152000000184</v>
          </cell>
          <cell r="Y17">
            <v>-911.03150000000005</v>
          </cell>
        </row>
        <row r="19">
          <cell r="A19">
            <v>7</v>
          </cell>
          <cell r="B19" t="str">
            <v>Film Hire</v>
          </cell>
          <cell r="E19">
            <v>165.12150000000003</v>
          </cell>
          <cell r="F19">
            <v>168.23700000000002</v>
          </cell>
          <cell r="G19">
            <v>236.77800000000002</v>
          </cell>
          <cell r="H19">
            <v>171.35249999999999</v>
          </cell>
          <cell r="I19">
            <v>193.16100000000003</v>
          </cell>
          <cell r="J19">
            <v>295.97250000000003</v>
          </cell>
          <cell r="K19">
            <v>155.77500000000001</v>
          </cell>
          <cell r="L19">
            <v>202.50749999999999</v>
          </cell>
          <cell r="M19">
            <v>236.77800000000002</v>
          </cell>
          <cell r="N19">
            <v>174.46800000000002</v>
          </cell>
          <cell r="O19">
            <v>243.00900000000001</v>
          </cell>
          <cell r="P19">
            <v>233.66249999999999</v>
          </cell>
          <cell r="U19">
            <v>2476.8225000000002</v>
          </cell>
          <cell r="V19">
            <v>2384.6974422500002</v>
          </cell>
          <cell r="W19">
            <v>2958.9290000000001</v>
          </cell>
          <cell r="X19">
            <v>92.125057749999996</v>
          </cell>
          <cell r="Y19">
            <v>-482.10649999999987</v>
          </cell>
        </row>
        <row r="20">
          <cell r="A20">
            <v>8</v>
          </cell>
          <cell r="B20" t="str">
            <v>Concession Cost</v>
          </cell>
          <cell r="E20">
            <v>15.741000000000003</v>
          </cell>
          <cell r="F20">
            <v>16.038</v>
          </cell>
          <cell r="G20">
            <v>22.572000000000003</v>
          </cell>
          <cell r="H20">
            <v>16.335000000000001</v>
          </cell>
          <cell r="I20">
            <v>18.414000000000001</v>
          </cell>
          <cell r="J20">
            <v>28.215</v>
          </cell>
          <cell r="K20">
            <v>14.85</v>
          </cell>
          <cell r="L20">
            <v>19.305</v>
          </cell>
          <cell r="M20">
            <v>22.572000000000003</v>
          </cell>
          <cell r="N20">
            <v>16.632000000000001</v>
          </cell>
          <cell r="O20">
            <v>23.166000000000004</v>
          </cell>
          <cell r="P20">
            <v>22.274999999999999</v>
          </cell>
          <cell r="T20">
            <v>0</v>
          </cell>
          <cell r="U20">
            <v>236.11500000000001</v>
          </cell>
          <cell r="V20">
            <v>158.439877</v>
          </cell>
          <cell r="W20">
            <v>207.57400000000001</v>
          </cell>
          <cell r="X20">
            <v>77.675123000000042</v>
          </cell>
          <cell r="Y20">
            <v>28.541000000000025</v>
          </cell>
        </row>
        <row r="21">
          <cell r="A21">
            <v>9</v>
          </cell>
          <cell r="B21" t="str">
            <v>Less Concession Rebates</v>
          </cell>
          <cell r="E21">
            <v>-1.7887500000000001</v>
          </cell>
          <cell r="F21">
            <v>-1.8225</v>
          </cell>
          <cell r="G21">
            <v>-2.5649999999999999</v>
          </cell>
          <cell r="H21">
            <v>-1.85625</v>
          </cell>
          <cell r="I21">
            <v>-2.0924999999999998</v>
          </cell>
          <cell r="J21">
            <v>-3.2062499999999998</v>
          </cell>
          <cell r="K21">
            <v>-1.6875</v>
          </cell>
          <cell r="L21">
            <v>-2.1937500000000001</v>
          </cell>
          <cell r="M21">
            <v>-2.5649999999999999</v>
          </cell>
          <cell r="N21">
            <v>-1.89</v>
          </cell>
          <cell r="O21">
            <v>-2.6324999999999998</v>
          </cell>
          <cell r="P21">
            <v>-2.53125</v>
          </cell>
          <cell r="U21">
            <v>-26.831250000000001</v>
          </cell>
          <cell r="V21">
            <v>-23</v>
          </cell>
          <cell r="W21">
            <v>-32.57</v>
          </cell>
          <cell r="X21">
            <v>-3.8312500000000078</v>
          </cell>
          <cell r="Y21">
            <v>5.7387499999999925</v>
          </cell>
        </row>
        <row r="22">
          <cell r="A22">
            <v>10</v>
          </cell>
          <cell r="B22" t="str">
            <v>Advertising Cost</v>
          </cell>
          <cell r="E22">
            <v>8.1673000000000009</v>
          </cell>
          <cell r="F22">
            <v>8.3214000000000006</v>
          </cell>
          <cell r="G22">
            <v>11.711599999999999</v>
          </cell>
          <cell r="H22">
            <v>8.4755000000000003</v>
          </cell>
          <cell r="I22">
            <v>9.5541999999999998</v>
          </cell>
          <cell r="J22">
            <v>14.6395</v>
          </cell>
          <cell r="K22">
            <v>7.7050000000000001</v>
          </cell>
          <cell r="L22">
            <v>10.016500000000001</v>
          </cell>
          <cell r="M22">
            <v>11.711599999999999</v>
          </cell>
          <cell r="N22">
            <v>8.6295999999999999</v>
          </cell>
          <cell r="O22">
            <v>12.0198</v>
          </cell>
          <cell r="P22">
            <v>11.557499999999999</v>
          </cell>
          <cell r="T22">
            <v>0</v>
          </cell>
          <cell r="U22">
            <v>122.50950000000002</v>
          </cell>
          <cell r="V22">
            <v>107.36001564999999</v>
          </cell>
          <cell r="W22">
            <v>193.93600000000001</v>
          </cell>
          <cell r="X22">
            <v>15.149484350000023</v>
          </cell>
          <cell r="Y22">
            <v>-71.42649999999999</v>
          </cell>
        </row>
        <row r="23">
          <cell r="A23">
            <v>11</v>
          </cell>
          <cell r="B23" t="str">
            <v>Other Cost</v>
          </cell>
          <cell r="C23">
            <v>0</v>
          </cell>
          <cell r="E23">
            <v>0.71020000000000005</v>
          </cell>
          <cell r="F23">
            <v>0.72360000000000002</v>
          </cell>
          <cell r="G23">
            <v>1.0184</v>
          </cell>
          <cell r="H23">
            <v>0.73699999999999999</v>
          </cell>
          <cell r="I23">
            <v>0.83080000000000009</v>
          </cell>
          <cell r="J23">
            <v>1.2730000000000001</v>
          </cell>
          <cell r="K23">
            <v>0.67</v>
          </cell>
          <cell r="L23">
            <v>0.871</v>
          </cell>
          <cell r="M23">
            <v>1.0184</v>
          </cell>
          <cell r="N23">
            <v>0.75039999999999996</v>
          </cell>
          <cell r="O23">
            <v>1.0452000000000001</v>
          </cell>
          <cell r="P23">
            <v>1.0049999999999999</v>
          </cell>
          <cell r="R23">
            <v>0</v>
          </cell>
          <cell r="S23">
            <v>0</v>
          </cell>
          <cell r="T23">
            <v>0</v>
          </cell>
          <cell r="U23">
            <v>10.653000000000002</v>
          </cell>
          <cell r="V23">
            <v>10.168647479999999</v>
          </cell>
          <cell r="W23">
            <v>12.68901</v>
          </cell>
          <cell r="X23">
            <v>0.48435252000000339</v>
          </cell>
          <cell r="Y23">
            <v>-2.0360099999999974</v>
          </cell>
        </row>
        <row r="24">
          <cell r="A24">
            <v>12</v>
          </cell>
          <cell r="B24" t="str">
            <v>Direct Payroll</v>
          </cell>
          <cell r="C24">
            <v>0</v>
          </cell>
          <cell r="E24">
            <v>36.659433415229877</v>
          </cell>
          <cell r="F24">
            <v>36.659433415229877</v>
          </cell>
          <cell r="G24">
            <v>37.759433415229879</v>
          </cell>
          <cell r="H24">
            <v>36.659433415229877</v>
          </cell>
          <cell r="I24">
            <v>36.659433415229877</v>
          </cell>
          <cell r="J24">
            <v>37.759433415229879</v>
          </cell>
          <cell r="K24">
            <v>33.905524757729872</v>
          </cell>
          <cell r="L24">
            <v>33.905524757729872</v>
          </cell>
          <cell r="M24">
            <v>35.005524757729873</v>
          </cell>
          <cell r="N24">
            <v>33.905524757729872</v>
          </cell>
          <cell r="O24">
            <v>35.005524757729873</v>
          </cell>
          <cell r="P24">
            <v>35.005524757729873</v>
          </cell>
          <cell r="R24">
            <v>0</v>
          </cell>
          <cell r="S24">
            <v>0</v>
          </cell>
          <cell r="T24">
            <v>0</v>
          </cell>
          <cell r="U24">
            <v>428.88974903775852</v>
          </cell>
          <cell r="V24">
            <v>494.89811199999997</v>
          </cell>
          <cell r="W24">
            <v>676.95700000000011</v>
          </cell>
          <cell r="X24">
            <v>-66.008362962241449</v>
          </cell>
          <cell r="Y24">
            <v>-248.06725096224159</v>
          </cell>
        </row>
        <row r="25">
          <cell r="B25" t="str">
            <v>TOTAL COST</v>
          </cell>
          <cell r="C25">
            <v>0</v>
          </cell>
          <cell r="E25">
            <v>224.61068341522991</v>
          </cell>
          <cell r="F25">
            <v>228.15693341522993</v>
          </cell>
          <cell r="G25">
            <v>307.27443341522985</v>
          </cell>
          <cell r="H25">
            <v>231.70318341522992</v>
          </cell>
          <cell r="I25">
            <v>256.52693341522996</v>
          </cell>
          <cell r="J25">
            <v>374.65318341522988</v>
          </cell>
          <cell r="K25">
            <v>211.21802475772986</v>
          </cell>
          <cell r="L25">
            <v>264.41177475772992</v>
          </cell>
          <cell r="M25">
            <v>304.52052475772985</v>
          </cell>
          <cell r="N25">
            <v>232.49552475772992</v>
          </cell>
          <cell r="O25">
            <v>311.61302475772987</v>
          </cell>
          <cell r="P25">
            <v>300.97427475772986</v>
          </cell>
          <cell r="R25">
            <v>0</v>
          </cell>
          <cell r="S25">
            <v>0</v>
          </cell>
          <cell r="T25">
            <v>0</v>
          </cell>
          <cell r="U25">
            <v>3248.1584990377587</v>
          </cell>
          <cell r="V25">
            <v>3132.5640943799999</v>
          </cell>
          <cell r="W25">
            <v>4017.5150100000001</v>
          </cell>
          <cell r="X25">
            <v>115.59440465775879</v>
          </cell>
          <cell r="Y25">
            <v>-769.35651096224137</v>
          </cell>
        </row>
        <row r="27">
          <cell r="B27" t="str">
            <v>GROSS MARGIN</v>
          </cell>
          <cell r="C27">
            <v>0</v>
          </cell>
          <cell r="E27">
            <v>228.97694158477015</v>
          </cell>
          <cell r="F27">
            <v>233.48069158477014</v>
          </cell>
          <cell r="G27">
            <v>331.46319158477013</v>
          </cell>
          <cell r="H27">
            <v>237.98444158477011</v>
          </cell>
          <cell r="I27">
            <v>269.51069158477009</v>
          </cell>
          <cell r="J27">
            <v>417.03444158477015</v>
          </cell>
          <cell r="K27">
            <v>218.21960024227016</v>
          </cell>
          <cell r="L27">
            <v>285.77585024227011</v>
          </cell>
          <cell r="M27">
            <v>334.21710024227013</v>
          </cell>
          <cell r="N27">
            <v>245.24210024227011</v>
          </cell>
          <cell r="O27">
            <v>343.22460024227024</v>
          </cell>
          <cell r="P27">
            <v>329.71335024227017</v>
          </cell>
          <cell r="R27">
            <v>0</v>
          </cell>
          <cell r="S27">
            <v>0</v>
          </cell>
          <cell r="T27">
            <v>0</v>
          </cell>
          <cell r="U27">
            <v>3474.8430009622421</v>
          </cell>
          <cell r="V27">
            <v>3243.9258856199986</v>
          </cell>
          <cell r="W27">
            <v>3616.5179900000003</v>
          </cell>
          <cell r="X27">
            <v>230.91711534224351</v>
          </cell>
          <cell r="Y27">
            <v>-141.67498903775822</v>
          </cell>
        </row>
        <row r="28">
          <cell r="X28">
            <v>0</v>
          </cell>
          <cell r="Y28">
            <v>0</v>
          </cell>
        </row>
        <row r="29">
          <cell r="A29">
            <v>13</v>
          </cell>
          <cell r="B29" t="str">
            <v>Direct Rent</v>
          </cell>
          <cell r="E29">
            <v>208.976</v>
          </cell>
          <cell r="F29">
            <v>208.976</v>
          </cell>
          <cell r="G29">
            <v>208.976</v>
          </cell>
          <cell r="H29">
            <v>208.976</v>
          </cell>
          <cell r="I29">
            <v>208.976</v>
          </cell>
          <cell r="J29">
            <v>208.976</v>
          </cell>
          <cell r="K29">
            <v>208.976</v>
          </cell>
          <cell r="L29">
            <v>208.976</v>
          </cell>
          <cell r="M29">
            <v>208.976</v>
          </cell>
          <cell r="N29">
            <v>208.976</v>
          </cell>
          <cell r="O29">
            <v>208.976</v>
          </cell>
          <cell r="P29">
            <v>208.976</v>
          </cell>
          <cell r="T29">
            <v>0</v>
          </cell>
          <cell r="U29">
            <v>2507.7120000000009</v>
          </cell>
          <cell r="V29">
            <v>2507.7120000000009</v>
          </cell>
          <cell r="W29">
            <v>2507.712</v>
          </cell>
          <cell r="X29">
            <v>0</v>
          </cell>
          <cell r="Y29">
            <v>0</v>
          </cell>
        </row>
        <row r="30">
          <cell r="A30">
            <v>14</v>
          </cell>
          <cell r="B30" t="str">
            <v>Light, Heat and Power</v>
          </cell>
          <cell r="E30">
            <v>10.9</v>
          </cell>
          <cell r="F30">
            <v>10.9</v>
          </cell>
          <cell r="G30">
            <v>10.9</v>
          </cell>
          <cell r="H30">
            <v>10.9</v>
          </cell>
          <cell r="I30">
            <v>10.9</v>
          </cell>
          <cell r="J30">
            <v>10.9</v>
          </cell>
          <cell r="K30">
            <v>10.9</v>
          </cell>
          <cell r="L30">
            <v>10.9</v>
          </cell>
          <cell r="M30">
            <v>10.9</v>
          </cell>
          <cell r="N30">
            <v>10.9</v>
          </cell>
          <cell r="O30">
            <v>10.9</v>
          </cell>
          <cell r="P30">
            <v>10.9</v>
          </cell>
          <cell r="T30">
            <v>0</v>
          </cell>
          <cell r="U30">
            <v>130.80000000000001</v>
          </cell>
          <cell r="V30">
            <v>94.620389999999986</v>
          </cell>
          <cell r="W30">
            <v>127.36499999999999</v>
          </cell>
          <cell r="X30">
            <v>36.179610000000054</v>
          </cell>
          <cell r="Y30">
            <v>3.4350000000000307</v>
          </cell>
        </row>
        <row r="31">
          <cell r="A31">
            <v>15</v>
          </cell>
          <cell r="B31" t="str">
            <v>Repair &amp; Maintenance</v>
          </cell>
          <cell r="E31">
            <v>10.25</v>
          </cell>
          <cell r="F31">
            <v>10.25</v>
          </cell>
          <cell r="G31">
            <v>10.25</v>
          </cell>
          <cell r="H31">
            <v>15.25</v>
          </cell>
          <cell r="I31">
            <v>10.25</v>
          </cell>
          <cell r="J31">
            <v>10.25</v>
          </cell>
          <cell r="K31">
            <v>10.25</v>
          </cell>
          <cell r="L31">
            <v>10.25</v>
          </cell>
          <cell r="M31">
            <v>10.25</v>
          </cell>
          <cell r="N31">
            <v>10.25</v>
          </cell>
          <cell r="O31">
            <v>30.25</v>
          </cell>
          <cell r="P31">
            <v>10.25</v>
          </cell>
          <cell r="T31">
            <v>0</v>
          </cell>
          <cell r="U31">
            <v>148</v>
          </cell>
          <cell r="V31">
            <v>152.20305999999999</v>
          </cell>
          <cell r="W31">
            <v>198.184</v>
          </cell>
          <cell r="X31">
            <v>-4.2030599999999936</v>
          </cell>
          <cell r="Y31">
            <v>-50.183999999999997</v>
          </cell>
        </row>
        <row r="32">
          <cell r="A32">
            <v>16</v>
          </cell>
          <cell r="B32" t="str">
            <v>Common Area Maintenance</v>
          </cell>
          <cell r="E32">
            <v>0</v>
          </cell>
          <cell r="F32">
            <v>0</v>
          </cell>
          <cell r="G32">
            <v>0</v>
          </cell>
          <cell r="H32">
            <v>0</v>
          </cell>
          <cell r="I32">
            <v>0</v>
          </cell>
          <cell r="J32">
            <v>0</v>
          </cell>
          <cell r="K32">
            <v>0</v>
          </cell>
          <cell r="L32">
            <v>0</v>
          </cell>
          <cell r="M32">
            <v>0</v>
          </cell>
          <cell r="N32">
            <v>0</v>
          </cell>
          <cell r="O32">
            <v>0</v>
          </cell>
          <cell r="P32">
            <v>0</v>
          </cell>
          <cell r="T32">
            <v>0</v>
          </cell>
          <cell r="U32">
            <v>0</v>
          </cell>
          <cell r="V32">
            <v>0</v>
          </cell>
          <cell r="W32">
            <v>0</v>
          </cell>
          <cell r="X32">
            <v>0</v>
          </cell>
          <cell r="Y32">
            <v>0</v>
          </cell>
        </row>
        <row r="33">
          <cell r="A33">
            <v>17</v>
          </cell>
          <cell r="B33" t="str">
            <v>Other Overhead Costs</v>
          </cell>
          <cell r="C33">
            <v>0</v>
          </cell>
          <cell r="E33">
            <v>35.318474334152299</v>
          </cell>
          <cell r="F33">
            <v>35.318474334152299</v>
          </cell>
          <cell r="G33">
            <v>35.160994334152292</v>
          </cell>
          <cell r="H33">
            <v>35.318474334152299</v>
          </cell>
          <cell r="I33">
            <v>35.149994334152296</v>
          </cell>
          <cell r="J33">
            <v>35.329474334152295</v>
          </cell>
          <cell r="K33">
            <v>52.349935247577299</v>
          </cell>
          <cell r="L33">
            <v>37.285495247577302</v>
          </cell>
          <cell r="M33">
            <v>37.551935247577298</v>
          </cell>
          <cell r="N33">
            <v>35.122455247577292</v>
          </cell>
          <cell r="O33">
            <v>35.301935247577298</v>
          </cell>
          <cell r="P33">
            <v>35.133455247577295</v>
          </cell>
          <cell r="R33">
            <v>0</v>
          </cell>
          <cell r="S33">
            <v>0</v>
          </cell>
          <cell r="T33">
            <v>0</v>
          </cell>
          <cell r="U33">
            <v>444.34109749037759</v>
          </cell>
          <cell r="V33">
            <v>481.33407338666666</v>
          </cell>
          <cell r="W33">
            <v>604.81398999999999</v>
          </cell>
          <cell r="X33">
            <v>-36.992975896289067</v>
          </cell>
          <cell r="Y33">
            <v>-160.4728925096224</v>
          </cell>
        </row>
        <row r="35">
          <cell r="B35" t="str">
            <v>Total Overhead Expenses</v>
          </cell>
          <cell r="C35">
            <v>0</v>
          </cell>
          <cell r="E35">
            <v>265.44447433415229</v>
          </cell>
          <cell r="F35">
            <v>265.44447433415229</v>
          </cell>
          <cell r="G35">
            <v>265.28699433415227</v>
          </cell>
          <cell r="H35">
            <v>270.44447433415229</v>
          </cell>
          <cell r="I35">
            <v>265.2759943341523</v>
          </cell>
          <cell r="J35">
            <v>265.45547433415231</v>
          </cell>
          <cell r="K35">
            <v>282.4759352475773</v>
          </cell>
          <cell r="L35">
            <v>267.41149524757731</v>
          </cell>
          <cell r="M35">
            <v>267.6779352475773</v>
          </cell>
          <cell r="N35">
            <v>265.24845524757728</v>
          </cell>
          <cell r="O35">
            <v>285.4279352475773</v>
          </cell>
          <cell r="P35">
            <v>265.25945524757731</v>
          </cell>
          <cell r="R35">
            <v>0</v>
          </cell>
          <cell r="S35">
            <v>0</v>
          </cell>
          <cell r="T35">
            <v>0</v>
          </cell>
          <cell r="U35">
            <v>3230.8530974903779</v>
          </cell>
          <cell r="V35">
            <v>3235.8695233866674</v>
          </cell>
          <cell r="W35">
            <v>3438.0749900000005</v>
          </cell>
          <cell r="X35">
            <v>-5.0164258962895474</v>
          </cell>
          <cell r="Y35">
            <v>-207.22189250962265</v>
          </cell>
        </row>
        <row r="36">
          <cell r="V36">
            <v>0</v>
          </cell>
        </row>
        <row r="37">
          <cell r="B37" t="str">
            <v>E.B.I.T.D.</v>
          </cell>
          <cell r="C37">
            <v>0</v>
          </cell>
          <cell r="E37">
            <v>-36.467532749382144</v>
          </cell>
          <cell r="F37">
            <v>-31.963782749382148</v>
          </cell>
          <cell r="G37">
            <v>66.176197250617861</v>
          </cell>
          <cell r="H37">
            <v>-32.460032749382179</v>
          </cell>
          <cell r="I37">
            <v>4.2346972506177849</v>
          </cell>
          <cell r="J37">
            <v>151.57896725061784</v>
          </cell>
          <cell r="K37">
            <v>-64.256335005307136</v>
          </cell>
          <cell r="L37">
            <v>18.364354994692803</v>
          </cell>
          <cell r="M37">
            <v>66.53916499469284</v>
          </cell>
          <cell r="N37">
            <v>-20.006355005307171</v>
          </cell>
          <cell r="O37">
            <v>57.796664994692946</v>
          </cell>
          <cell r="P37">
            <v>64.45389499469286</v>
          </cell>
          <cell r="R37">
            <v>0</v>
          </cell>
          <cell r="S37">
            <v>0</v>
          </cell>
          <cell r="T37">
            <v>0</v>
          </cell>
          <cell r="U37">
            <v>243.98990347186418</v>
          </cell>
          <cell r="V37">
            <v>8.0563622333311287</v>
          </cell>
          <cell r="W37">
            <v>178.44299999999976</v>
          </cell>
          <cell r="X37">
            <v>235.93354123853305</v>
          </cell>
          <cell r="Y37">
            <v>65.546903471864425</v>
          </cell>
        </row>
        <row r="38">
          <cell r="V38">
            <v>0</v>
          </cell>
        </row>
        <row r="39">
          <cell r="A39">
            <v>18</v>
          </cell>
          <cell r="B39" t="str">
            <v>Depreciation</v>
          </cell>
          <cell r="E39">
            <v>53.235173611111115</v>
          </cell>
          <cell r="F39">
            <v>53.235173611111115</v>
          </cell>
          <cell r="G39">
            <v>53.235173611111115</v>
          </cell>
          <cell r="H39">
            <v>53.235173611111115</v>
          </cell>
          <cell r="I39">
            <v>53.235173611111115</v>
          </cell>
          <cell r="J39">
            <v>53.235173611111115</v>
          </cell>
          <cell r="K39">
            <v>53.235173611111115</v>
          </cell>
          <cell r="L39">
            <v>53.235173611111115</v>
          </cell>
          <cell r="M39">
            <v>53.235173611111115</v>
          </cell>
          <cell r="N39">
            <v>53.495590277777779</v>
          </cell>
          <cell r="O39">
            <v>53.495590277777779</v>
          </cell>
          <cell r="P39">
            <v>53.495590277777779</v>
          </cell>
          <cell r="T39">
            <v>0</v>
          </cell>
          <cell r="U39">
            <v>639.60333333333335</v>
          </cell>
          <cell r="V39">
            <v>619.1506580555556</v>
          </cell>
          <cell r="W39">
            <v>573.70799999999997</v>
          </cell>
          <cell r="X39">
            <v>20.452675277777757</v>
          </cell>
          <cell r="Y39">
            <v>65.895333333333383</v>
          </cell>
        </row>
        <row r="40">
          <cell r="A40">
            <v>19</v>
          </cell>
          <cell r="B40" t="str">
            <v>Fixed Assets Written Off</v>
          </cell>
          <cell r="E40">
            <v>0</v>
          </cell>
          <cell r="F40">
            <v>0</v>
          </cell>
          <cell r="G40">
            <v>0</v>
          </cell>
          <cell r="H40">
            <v>0</v>
          </cell>
          <cell r="I40">
            <v>0</v>
          </cell>
          <cell r="J40">
            <v>0</v>
          </cell>
          <cell r="K40">
            <v>0</v>
          </cell>
          <cell r="L40">
            <v>0</v>
          </cell>
          <cell r="M40">
            <v>0</v>
          </cell>
          <cell r="N40">
            <v>0</v>
          </cell>
          <cell r="O40">
            <v>0</v>
          </cell>
          <cell r="P40">
            <v>0</v>
          </cell>
          <cell r="T40">
            <v>0</v>
          </cell>
          <cell r="U40">
            <v>0</v>
          </cell>
          <cell r="V40">
            <v>14.102</v>
          </cell>
          <cell r="W40">
            <v>15.167999999999999</v>
          </cell>
          <cell r="X40">
            <v>-14.102</v>
          </cell>
          <cell r="Y40">
            <v>-15.167999999999999</v>
          </cell>
        </row>
        <row r="41">
          <cell r="A41">
            <v>20</v>
          </cell>
          <cell r="B41" t="str">
            <v>External Interest</v>
          </cell>
          <cell r="T41">
            <v>0</v>
          </cell>
          <cell r="U41">
            <v>0</v>
          </cell>
          <cell r="V41">
            <v>232.49240644383562</v>
          </cell>
          <cell r="W41">
            <v>272.16399999999999</v>
          </cell>
          <cell r="X41">
            <v>-232.49240644383562</v>
          </cell>
          <cell r="Y41">
            <v>-272.16399999999999</v>
          </cell>
        </row>
        <row r="42">
          <cell r="A42">
            <v>21</v>
          </cell>
          <cell r="B42" t="str">
            <v>Intercompany Interest Income</v>
          </cell>
          <cell r="T42">
            <v>0</v>
          </cell>
          <cell r="U42">
            <v>0</v>
          </cell>
          <cell r="V42">
            <v>0</v>
          </cell>
          <cell r="W42">
            <v>0</v>
          </cell>
          <cell r="X42">
            <v>0</v>
          </cell>
          <cell r="Y42">
            <v>0</v>
          </cell>
        </row>
        <row r="43">
          <cell r="A43">
            <v>22</v>
          </cell>
          <cell r="B43" t="str">
            <v>External Interest Income</v>
          </cell>
          <cell r="T43">
            <v>0</v>
          </cell>
          <cell r="U43">
            <v>0</v>
          </cell>
          <cell r="V43">
            <v>2.72343</v>
          </cell>
          <cell r="W43">
            <v>0.90700000000000003</v>
          </cell>
          <cell r="X43">
            <v>-2.72343</v>
          </cell>
          <cell r="Y43">
            <v>-0.90700000000000003</v>
          </cell>
        </row>
        <row r="44">
          <cell r="B44" t="str">
            <v>E.B.T.</v>
          </cell>
          <cell r="C44">
            <v>0</v>
          </cell>
          <cell r="E44">
            <v>-89.702706360493266</v>
          </cell>
          <cell r="F44">
            <v>-85.19895636049327</v>
          </cell>
          <cell r="G44">
            <v>12.941023639506746</v>
          </cell>
          <cell r="H44">
            <v>-85.695206360493302</v>
          </cell>
          <cell r="I44">
            <v>-49.00047636049333</v>
          </cell>
          <cell r="J44">
            <v>98.343793639506714</v>
          </cell>
          <cell r="K44">
            <v>-117.49150861641826</v>
          </cell>
          <cell r="L44">
            <v>-34.870818616418312</v>
          </cell>
          <cell r="M44">
            <v>13.303991383581725</v>
          </cell>
          <cell r="N44">
            <v>-73.50194528308495</v>
          </cell>
          <cell r="O44">
            <v>4.3010747169151671</v>
          </cell>
          <cell r="P44">
            <v>10.95830471691508</v>
          </cell>
          <cell r="Q44">
            <v>0</v>
          </cell>
          <cell r="R44">
            <v>0</v>
          </cell>
          <cell r="S44">
            <v>0</v>
          </cell>
          <cell r="T44">
            <v>0</v>
          </cell>
          <cell r="U44">
            <v>-395.61342986146917</v>
          </cell>
          <cell r="V44">
            <v>-854.96527226606008</v>
          </cell>
          <cell r="W44">
            <v>-681.69</v>
          </cell>
          <cell r="X44">
            <v>459.35184240459091</v>
          </cell>
          <cell r="Y44">
            <v>286.076570138531</v>
          </cell>
        </row>
        <row r="46">
          <cell r="A46">
            <v>23</v>
          </cell>
          <cell r="B46" t="str">
            <v>Taxation</v>
          </cell>
          <cell r="E46">
            <v>0</v>
          </cell>
          <cell r="F46">
            <v>0</v>
          </cell>
          <cell r="G46">
            <v>0</v>
          </cell>
          <cell r="H46">
            <v>0</v>
          </cell>
          <cell r="I46">
            <v>0</v>
          </cell>
          <cell r="J46">
            <v>0</v>
          </cell>
          <cell r="K46">
            <v>0</v>
          </cell>
          <cell r="L46">
            <v>0</v>
          </cell>
          <cell r="M46">
            <v>0</v>
          </cell>
          <cell r="N46">
            <v>0</v>
          </cell>
          <cell r="O46">
            <v>0</v>
          </cell>
          <cell r="P46">
            <v>0</v>
          </cell>
          <cell r="T46">
            <v>0</v>
          </cell>
          <cell r="U46">
            <v>0</v>
          </cell>
          <cell r="V46">
            <v>0</v>
          </cell>
          <cell r="W46">
            <v>0</v>
          </cell>
          <cell r="X46">
            <v>0</v>
          </cell>
          <cell r="Y46">
            <v>0</v>
          </cell>
        </row>
        <row r="47">
          <cell r="A47">
            <v>24</v>
          </cell>
          <cell r="B47" t="str">
            <v>Adjustments</v>
          </cell>
          <cell r="C47">
            <v>0</v>
          </cell>
          <cell r="E47">
            <v>0</v>
          </cell>
          <cell r="F47">
            <v>0</v>
          </cell>
          <cell r="G47">
            <v>0</v>
          </cell>
          <cell r="H47">
            <v>0</v>
          </cell>
          <cell r="I47">
            <v>0</v>
          </cell>
          <cell r="J47">
            <v>0</v>
          </cell>
          <cell r="K47">
            <v>0</v>
          </cell>
          <cell r="L47">
            <v>0</v>
          </cell>
          <cell r="M47">
            <v>0</v>
          </cell>
          <cell r="N47">
            <v>0</v>
          </cell>
          <cell r="O47">
            <v>0</v>
          </cell>
          <cell r="P47">
            <v>0</v>
          </cell>
          <cell r="R47">
            <v>0</v>
          </cell>
          <cell r="S47">
            <v>0</v>
          </cell>
          <cell r="T47">
            <v>0</v>
          </cell>
          <cell r="U47">
            <v>0</v>
          </cell>
          <cell r="V47">
            <v>0</v>
          </cell>
          <cell r="W47">
            <v>0</v>
          </cell>
          <cell r="X47">
            <v>0</v>
          </cell>
          <cell r="Y47">
            <v>0</v>
          </cell>
        </row>
        <row r="48">
          <cell r="A48">
            <v>25</v>
          </cell>
          <cell r="B48" t="str">
            <v>Dividends</v>
          </cell>
          <cell r="E48">
            <v>0</v>
          </cell>
          <cell r="F48">
            <v>0</v>
          </cell>
          <cell r="G48">
            <v>0</v>
          </cell>
          <cell r="H48">
            <v>0</v>
          </cell>
          <cell r="I48">
            <v>0</v>
          </cell>
          <cell r="J48">
            <v>0</v>
          </cell>
          <cell r="K48">
            <v>0</v>
          </cell>
          <cell r="L48">
            <v>0</v>
          </cell>
          <cell r="M48">
            <v>0</v>
          </cell>
          <cell r="N48">
            <v>0</v>
          </cell>
          <cell r="O48">
            <v>0</v>
          </cell>
          <cell r="P48">
            <v>0</v>
          </cell>
          <cell r="T48">
            <v>0</v>
          </cell>
          <cell r="U48">
            <v>0</v>
          </cell>
          <cell r="V48">
            <v>0</v>
          </cell>
          <cell r="W48">
            <v>0</v>
          </cell>
          <cell r="X48">
            <v>0</v>
          </cell>
          <cell r="Y48">
            <v>0</v>
          </cell>
        </row>
        <row r="49">
          <cell r="A49">
            <v>26</v>
          </cell>
          <cell r="B49" t="str">
            <v>Extraordinary Items</v>
          </cell>
          <cell r="E49">
            <v>0</v>
          </cell>
          <cell r="F49">
            <v>0</v>
          </cell>
          <cell r="G49">
            <v>0</v>
          </cell>
          <cell r="H49">
            <v>0</v>
          </cell>
          <cell r="I49">
            <v>0</v>
          </cell>
          <cell r="J49">
            <v>0</v>
          </cell>
          <cell r="K49">
            <v>0</v>
          </cell>
          <cell r="L49">
            <v>0</v>
          </cell>
          <cell r="M49">
            <v>0</v>
          </cell>
          <cell r="N49">
            <v>0</v>
          </cell>
          <cell r="O49">
            <v>0</v>
          </cell>
          <cell r="P49">
            <v>0</v>
          </cell>
          <cell r="T49">
            <v>0</v>
          </cell>
          <cell r="U49">
            <v>0</v>
          </cell>
          <cell r="V49">
            <v>0</v>
          </cell>
          <cell r="W49">
            <v>0</v>
          </cell>
          <cell r="X49">
            <v>0</v>
          </cell>
          <cell r="Y49">
            <v>0</v>
          </cell>
        </row>
        <row r="50">
          <cell r="B50" t="str">
            <v>RETAINED PROFIT(LOSS)</v>
          </cell>
          <cell r="C50">
            <v>0</v>
          </cell>
          <cell r="E50">
            <v>-89.702706360493266</v>
          </cell>
          <cell r="F50">
            <v>-85.19895636049327</v>
          </cell>
          <cell r="G50">
            <v>12.941023639506746</v>
          </cell>
          <cell r="H50">
            <v>-85.695206360493302</v>
          </cell>
          <cell r="I50">
            <v>-49.00047636049333</v>
          </cell>
          <cell r="J50">
            <v>98.343793639506714</v>
          </cell>
          <cell r="K50">
            <v>-117.49150861641826</v>
          </cell>
          <cell r="L50">
            <v>-34.870818616418312</v>
          </cell>
          <cell r="M50">
            <v>13.303991383581725</v>
          </cell>
          <cell r="N50">
            <v>-73.50194528308495</v>
          </cell>
          <cell r="O50">
            <v>4.3010747169151671</v>
          </cell>
          <cell r="P50">
            <v>10.95830471691508</v>
          </cell>
          <cell r="Q50">
            <v>0</v>
          </cell>
          <cell r="R50">
            <v>0</v>
          </cell>
          <cell r="S50">
            <v>0</v>
          </cell>
          <cell r="T50">
            <v>0</v>
          </cell>
          <cell r="U50">
            <v>-395.61342986146917</v>
          </cell>
          <cell r="V50">
            <v>-854.96527226606008</v>
          </cell>
          <cell r="W50">
            <v>-681.69</v>
          </cell>
          <cell r="X50">
            <v>459.35184240459091</v>
          </cell>
          <cell r="Y50">
            <v>286.076570138531</v>
          </cell>
        </row>
        <row r="52">
          <cell r="B52" t="str">
            <v>RATIOS</v>
          </cell>
        </row>
        <row r="53">
          <cell r="B53" t="str">
            <v>No of week</v>
          </cell>
          <cell r="E53">
            <v>4</v>
          </cell>
          <cell r="F53">
            <v>4</v>
          </cell>
          <cell r="G53">
            <v>5</v>
          </cell>
          <cell r="H53">
            <v>4</v>
          </cell>
          <cell r="I53">
            <v>4</v>
          </cell>
          <cell r="J53">
            <v>5</v>
          </cell>
          <cell r="K53">
            <v>4</v>
          </cell>
          <cell r="L53">
            <v>4</v>
          </cell>
          <cell r="M53">
            <v>5</v>
          </cell>
          <cell r="N53">
            <v>4</v>
          </cell>
          <cell r="O53">
            <v>5</v>
          </cell>
          <cell r="P53">
            <v>4</v>
          </cell>
          <cell r="U53">
            <v>52</v>
          </cell>
          <cell r="V53">
            <v>52</v>
          </cell>
          <cell r="W53">
            <v>52</v>
          </cell>
          <cell r="X53">
            <v>0</v>
          </cell>
          <cell r="Y53">
            <v>0</v>
          </cell>
        </row>
        <row r="54">
          <cell r="A54">
            <v>27</v>
          </cell>
          <cell r="B54" t="str">
            <v>Pd Admissions</v>
          </cell>
          <cell r="E54">
            <v>51.94</v>
          </cell>
          <cell r="F54">
            <v>52.92</v>
          </cell>
          <cell r="G54">
            <v>74.48</v>
          </cell>
          <cell r="H54">
            <v>53.9</v>
          </cell>
          <cell r="I54">
            <v>60.76</v>
          </cell>
          <cell r="J54">
            <v>93.1</v>
          </cell>
          <cell r="K54">
            <v>49</v>
          </cell>
          <cell r="L54">
            <v>63.7</v>
          </cell>
          <cell r="M54">
            <v>74.48</v>
          </cell>
          <cell r="N54">
            <v>54.88</v>
          </cell>
          <cell r="O54">
            <v>76.44</v>
          </cell>
          <cell r="P54">
            <v>73.5</v>
          </cell>
          <cell r="T54">
            <v>0</v>
          </cell>
          <cell r="U54">
            <v>779.1</v>
          </cell>
          <cell r="V54">
            <v>757</v>
          </cell>
          <cell r="W54">
            <v>932.88199999999995</v>
          </cell>
          <cell r="X54">
            <v>22.099999999999909</v>
          </cell>
          <cell r="Y54">
            <v>-153.78200000000004</v>
          </cell>
        </row>
        <row r="55">
          <cell r="A55">
            <v>28</v>
          </cell>
          <cell r="B55" t="str">
            <v>Admissions</v>
          </cell>
          <cell r="E55">
            <v>53</v>
          </cell>
          <cell r="F55">
            <v>54</v>
          </cell>
          <cell r="G55">
            <v>76</v>
          </cell>
          <cell r="H55">
            <v>55</v>
          </cell>
          <cell r="I55">
            <v>62</v>
          </cell>
          <cell r="J55">
            <v>95</v>
          </cell>
          <cell r="K55">
            <v>50</v>
          </cell>
          <cell r="L55">
            <v>65</v>
          </cell>
          <cell r="M55">
            <v>76</v>
          </cell>
          <cell r="N55">
            <v>56</v>
          </cell>
          <cell r="O55">
            <v>78</v>
          </cell>
          <cell r="P55">
            <v>75</v>
          </cell>
          <cell r="T55">
            <v>0</v>
          </cell>
          <cell r="U55">
            <v>795</v>
          </cell>
          <cell r="V55">
            <v>757</v>
          </cell>
          <cell r="W55">
            <v>932.88199999999995</v>
          </cell>
          <cell r="X55">
            <v>38</v>
          </cell>
          <cell r="Y55">
            <v>-137.88199999999995</v>
          </cell>
        </row>
        <row r="56">
          <cell r="B56" t="str">
            <v>Utilisation Rate</v>
          </cell>
          <cell r="E56">
            <v>0.23849809201526387</v>
          </cell>
          <cell r="F56">
            <v>0.24299805601555188</v>
          </cell>
          <cell r="G56">
            <v>0.27359781121751026</v>
          </cell>
          <cell r="H56">
            <v>0.24749802001583987</v>
          </cell>
          <cell r="I56">
            <v>0.27899776801785586</v>
          </cell>
          <cell r="J56">
            <v>0.34199726402188785</v>
          </cell>
          <cell r="K56">
            <v>0.22499820001439988</v>
          </cell>
          <cell r="L56">
            <v>0.29249766001871985</v>
          </cell>
          <cell r="M56">
            <v>0.27359781121751026</v>
          </cell>
          <cell r="N56">
            <v>0.25199798401612789</v>
          </cell>
          <cell r="O56">
            <v>0.28079775361797105</v>
          </cell>
          <cell r="P56">
            <v>0.33749730002159983</v>
          </cell>
          <cell r="U56">
            <v>0.27519010617145834</v>
          </cell>
          <cell r="V56">
            <v>0.26865158905463032</v>
          </cell>
          <cell r="W56">
            <v>0.31808882517972759</v>
          </cell>
          <cell r="X56">
            <v>6.5385171168280132E-3</v>
          </cell>
          <cell r="Y56">
            <v>-4.2898719008269248E-2</v>
          </cell>
        </row>
        <row r="57">
          <cell r="B57" t="str">
            <v>Ave. Admission Price (S$)</v>
          </cell>
          <cell r="C57" t="str">
            <v>N.A.</v>
          </cell>
          <cell r="E57">
            <v>6.7</v>
          </cell>
          <cell r="F57">
            <v>6.7</v>
          </cell>
          <cell r="G57">
            <v>6.7</v>
          </cell>
          <cell r="H57">
            <v>6.7</v>
          </cell>
          <cell r="I57">
            <v>6.7</v>
          </cell>
          <cell r="J57">
            <v>6.7</v>
          </cell>
          <cell r="K57">
            <v>6.7</v>
          </cell>
          <cell r="L57">
            <v>6.7</v>
          </cell>
          <cell r="M57">
            <v>6.7</v>
          </cell>
          <cell r="N57">
            <v>6.7</v>
          </cell>
          <cell r="O57">
            <v>6.7</v>
          </cell>
          <cell r="P57">
            <v>6.7</v>
          </cell>
          <cell r="R57" t="str">
            <v>N.A.</v>
          </cell>
          <cell r="S57" t="str">
            <v>N.A.</v>
          </cell>
          <cell r="U57">
            <v>6.7</v>
          </cell>
          <cell r="V57">
            <v>6.716411809775428</v>
          </cell>
          <cell r="W57">
            <v>6.8009726846482197</v>
          </cell>
          <cell r="X57">
            <v>-1.6411809775427777E-2</v>
          </cell>
          <cell r="Y57">
            <v>-0.10097268464821951</v>
          </cell>
        </row>
        <row r="58">
          <cell r="B58" t="str">
            <v>Advert. Cost % of Box</v>
          </cell>
          <cell r="C58" t="str">
            <v>N.A.</v>
          </cell>
          <cell r="E58">
            <v>2.3E-2</v>
          </cell>
          <cell r="F58">
            <v>2.3E-2</v>
          </cell>
          <cell r="G58">
            <v>2.3E-2</v>
          </cell>
          <cell r="H58">
            <v>2.3E-2</v>
          </cell>
          <cell r="I58">
            <v>2.3E-2</v>
          </cell>
          <cell r="J58">
            <v>2.3E-2</v>
          </cell>
          <cell r="K58">
            <v>2.3E-2</v>
          </cell>
          <cell r="L58">
            <v>2.3E-2</v>
          </cell>
          <cell r="M58">
            <v>2.3E-2</v>
          </cell>
          <cell r="N58">
            <v>2.3E-2</v>
          </cell>
          <cell r="O58">
            <v>2.3E-2</v>
          </cell>
          <cell r="P58">
            <v>2.3E-2</v>
          </cell>
          <cell r="R58">
            <v>2.5999999999999999E-2</v>
          </cell>
          <cell r="S58">
            <v>2.5999999999999999E-2</v>
          </cell>
          <cell r="T58">
            <v>2.5999999999999999E-2</v>
          </cell>
          <cell r="U58">
            <v>2.3000000000000003E-2</v>
          </cell>
          <cell r="V58">
            <v>2.1115888983497345E-2</v>
          </cell>
          <cell r="W58">
            <v>3.056755412754817E-2</v>
          </cell>
          <cell r="X58">
            <v>1.8841110165026577E-3</v>
          </cell>
          <cell r="Y58">
            <v>-7.5675541275481671E-3</v>
          </cell>
        </row>
        <row r="59">
          <cell r="B59" t="str">
            <v>Concession Cost %</v>
          </cell>
          <cell r="C59" t="str">
            <v>N.A.</v>
          </cell>
          <cell r="E59">
            <v>0.19500000000000001</v>
          </cell>
          <cell r="F59">
            <v>0.19500000000000001</v>
          </cell>
          <cell r="G59">
            <v>0.19500000000000001</v>
          </cell>
          <cell r="H59">
            <v>0.19500000000000001</v>
          </cell>
          <cell r="I59">
            <v>0.19500000000000001</v>
          </cell>
          <cell r="J59">
            <v>0.19500000000000001</v>
          </cell>
          <cell r="K59">
            <v>0.19500000000000001</v>
          </cell>
          <cell r="L59">
            <v>0.19500000000000001</v>
          </cell>
          <cell r="M59">
            <v>0.19500000000000001</v>
          </cell>
          <cell r="N59">
            <v>0.19500000000000001</v>
          </cell>
          <cell r="O59">
            <v>0.19500000000000001</v>
          </cell>
          <cell r="P59">
            <v>0.19500000000000001</v>
          </cell>
          <cell r="R59" t="str">
            <v>N.A.</v>
          </cell>
          <cell r="S59" t="str">
            <v>N.A.</v>
          </cell>
          <cell r="U59">
            <v>0.19500000000000001</v>
          </cell>
          <cell r="V59">
            <v>0.18688116616823594</v>
          </cell>
          <cell r="W59">
            <v>0.21296112635607506</v>
          </cell>
          <cell r="X59">
            <v>8.118833831764094E-3</v>
          </cell>
          <cell r="Y59">
            <v>-1.7961126356075025E-2</v>
          </cell>
        </row>
        <row r="60">
          <cell r="B60" t="str">
            <v>Concess. Rev per Patron (S$)</v>
          </cell>
          <cell r="C60" t="str">
            <v>N.A.</v>
          </cell>
          <cell r="E60">
            <v>1.35</v>
          </cell>
          <cell r="F60">
            <v>1.35</v>
          </cell>
          <cell r="G60">
            <v>1.35</v>
          </cell>
          <cell r="H60">
            <v>1.35</v>
          </cell>
          <cell r="I60">
            <v>1.35</v>
          </cell>
          <cell r="J60">
            <v>1.35</v>
          </cell>
          <cell r="K60">
            <v>1.35</v>
          </cell>
          <cell r="L60">
            <v>1.35</v>
          </cell>
          <cell r="M60">
            <v>1.35</v>
          </cell>
          <cell r="N60">
            <v>1.35</v>
          </cell>
          <cell r="O60">
            <v>1.35</v>
          </cell>
          <cell r="P60">
            <v>1.35</v>
          </cell>
          <cell r="R60" t="str">
            <v>N.A.</v>
          </cell>
          <cell r="S60" t="str">
            <v>N.A.</v>
          </cell>
          <cell r="U60">
            <v>1.35</v>
          </cell>
          <cell r="V60">
            <v>0.9573817305151916</v>
          </cell>
          <cell r="W60">
            <v>0.8808884724970576</v>
          </cell>
          <cell r="X60">
            <v>0.39261826948480849</v>
          </cell>
          <cell r="Y60">
            <v>0.46911152750294249</v>
          </cell>
        </row>
        <row r="61">
          <cell r="B61" t="str">
            <v>Film Hire : % of Net Box</v>
          </cell>
          <cell r="C61" t="str">
            <v>N.A.</v>
          </cell>
          <cell r="E61">
            <v>0.46500000000000002</v>
          </cell>
          <cell r="F61">
            <v>0.46500000000000002</v>
          </cell>
          <cell r="G61">
            <v>0.46500000000000002</v>
          </cell>
          <cell r="H61">
            <v>0.46500000000000002</v>
          </cell>
          <cell r="I61">
            <v>0.46500000000000002</v>
          </cell>
          <cell r="J61">
            <v>0.46500000000000002</v>
          </cell>
          <cell r="K61">
            <v>0.46500000000000002</v>
          </cell>
          <cell r="L61">
            <v>0.46500000000000002</v>
          </cell>
          <cell r="M61">
            <v>0.46500000000000002</v>
          </cell>
          <cell r="N61">
            <v>0.46500000000000002</v>
          </cell>
          <cell r="O61">
            <v>0.46500000000000002</v>
          </cell>
          <cell r="P61">
            <v>0.46500000000000002</v>
          </cell>
          <cell r="R61" t="str">
            <v>N.A.</v>
          </cell>
          <cell r="S61" t="str">
            <v>N.A.</v>
          </cell>
          <cell r="U61">
            <v>0.46500000000000002</v>
          </cell>
          <cell r="V61">
            <v>0.46902942538627579</v>
          </cell>
          <cell r="W61">
            <v>0.46637665192162353</v>
          </cell>
          <cell r="X61">
            <v>-4.0294253862757645E-3</v>
          </cell>
          <cell r="Y61">
            <v>-1.3766519216235062E-3</v>
          </cell>
        </row>
        <row r="62">
          <cell r="B62" t="str">
            <v>Direct Payroll : Net Box</v>
          </cell>
          <cell r="C62" t="str">
            <v>N.A.</v>
          </cell>
          <cell r="E62">
            <v>0.10323692879535307</v>
          </cell>
          <cell r="F62">
            <v>0.10132513381766135</v>
          </cell>
          <cell r="G62">
            <v>7.4154425403043747E-2</v>
          </cell>
          <cell r="H62">
            <v>9.9482858657340231E-2</v>
          </cell>
          <cell r="I62">
            <v>8.8250923002479234E-2</v>
          </cell>
          <cell r="J62">
            <v>5.9323540322435003E-2</v>
          </cell>
          <cell r="K62">
            <v>0.10121052166486529</v>
          </cell>
          <cell r="L62">
            <v>7.7854247434511761E-2</v>
          </cell>
          <cell r="M62">
            <v>6.8746120891064161E-2</v>
          </cell>
          <cell r="N62">
            <v>9.0366537200772576E-2</v>
          </cell>
          <cell r="O62">
            <v>6.6983399842575342E-2</v>
          </cell>
          <cell r="P62">
            <v>6.9662735836278356E-2</v>
          </cell>
          <cell r="R62" t="str">
            <v>N.A.</v>
          </cell>
          <cell r="S62" t="str">
            <v>N.A.</v>
          </cell>
          <cell r="U62">
            <v>8.0519994187131988E-2</v>
          </cell>
          <cell r="V62">
            <v>9.7338040869915196E-2</v>
          </cell>
          <cell r="W62">
            <v>0.10669973465226996</v>
          </cell>
          <cell r="X62">
            <v>-1.6818046682783208E-2</v>
          </cell>
          <cell r="Y62">
            <v>-2.6179740465137977E-2</v>
          </cell>
        </row>
        <row r="63">
          <cell r="B63" t="str">
            <v>Direct Payroll : Net Box &amp; Conc.</v>
          </cell>
          <cell r="C63" t="str">
            <v>N.A.</v>
          </cell>
          <cell r="E63">
            <v>8.5923903469424287E-2</v>
          </cell>
          <cell r="F63">
            <v>8.4332720071842365E-2</v>
          </cell>
          <cell r="G63">
            <v>6.1718590087005365E-2</v>
          </cell>
          <cell r="H63">
            <v>8.2799397888717957E-2</v>
          </cell>
          <cell r="I63">
            <v>7.3451078772249795E-2</v>
          </cell>
          <cell r="J63">
            <v>4.9374872069604288E-2</v>
          </cell>
          <cell r="K63">
            <v>8.4237328590633223E-2</v>
          </cell>
          <cell r="L63">
            <v>6.4797945069717866E-2</v>
          </cell>
          <cell r="M63">
            <v>5.7217268319270799E-2</v>
          </cell>
          <cell r="N63">
            <v>7.5211900527351092E-2</v>
          </cell>
          <cell r="O63">
            <v>5.5750158875186924E-2</v>
          </cell>
          <cell r="P63">
            <v>5.7980165230194405E-2</v>
          </cell>
          <cell r="Q63">
            <v>0</v>
          </cell>
          <cell r="R63" t="str">
            <v>N.A.</v>
          </cell>
          <cell r="S63" t="str">
            <v>N.A.</v>
          </cell>
          <cell r="T63" t="str">
            <v>N.A.</v>
          </cell>
          <cell r="U63">
            <v>6.7016641124693702E-2</v>
          </cell>
          <cell r="V63">
            <v>8.5194156424273901E-2</v>
          </cell>
          <cell r="W63">
            <v>9.446434477071057E-2</v>
          </cell>
          <cell r="X63">
            <v>-1.8177515299580199E-2</v>
          </cell>
          <cell r="Y63">
            <v>-2.7447703646016869E-2</v>
          </cell>
        </row>
        <row r="64">
          <cell r="B64" t="str">
            <v>Direct Payroll of Admissions (S$)</v>
          </cell>
          <cell r="C64" t="str">
            <v>N.A.</v>
          </cell>
          <cell r="E64">
            <v>0.69168742292886565</v>
          </cell>
          <cell r="F64">
            <v>0.67887839657833104</v>
          </cell>
          <cell r="G64">
            <v>0.49683465020039314</v>
          </cell>
          <cell r="H64">
            <v>0.66653515300417954</v>
          </cell>
          <cell r="I64">
            <v>0.5912811841166109</v>
          </cell>
          <cell r="J64">
            <v>0.39746772016031451</v>
          </cell>
          <cell r="K64">
            <v>0.67811049515459743</v>
          </cell>
          <cell r="L64">
            <v>0.52162345781122876</v>
          </cell>
          <cell r="M64">
            <v>0.46059900997012992</v>
          </cell>
          <cell r="N64">
            <v>0.60545579924517623</v>
          </cell>
          <cell r="O64">
            <v>0.44878877894525476</v>
          </cell>
          <cell r="P64">
            <v>0.46674033010306498</v>
          </cell>
          <cell r="Q64">
            <v>0</v>
          </cell>
          <cell r="R64" t="str">
            <v>N.A.</v>
          </cell>
          <cell r="S64" t="str">
            <v>N.A.</v>
          </cell>
          <cell r="T64" t="str">
            <v>N.A.</v>
          </cell>
          <cell r="U64">
            <v>0.53948396105378427</v>
          </cell>
          <cell r="V64">
            <v>0.65376236723910164</v>
          </cell>
          <cell r="W64">
            <v>0.72566198082930122</v>
          </cell>
          <cell r="X64">
            <v>-0.11427840618531737</v>
          </cell>
          <cell r="Y64">
            <v>-0.18617801977551696</v>
          </cell>
        </row>
        <row r="65">
          <cell r="B65" t="str">
            <v>Gross Margin :Total Rev</v>
          </cell>
          <cell r="C65" t="str">
            <v>N.A.</v>
          </cell>
          <cell r="E65">
            <v>0.50481302611545043</v>
          </cell>
          <cell r="F65">
            <v>0.50576616579892097</v>
          </cell>
          <cell r="G65">
            <v>0.51893481550389353</v>
          </cell>
          <cell r="H65">
            <v>0.50668663366374644</v>
          </cell>
          <cell r="I65">
            <v>0.5123410926828097</v>
          </cell>
          <cell r="J65">
            <v>0.52676640181759837</v>
          </cell>
          <cell r="K65">
            <v>0.50815202846343555</v>
          </cell>
          <cell r="L65">
            <v>0.51941526355172041</v>
          </cell>
          <cell r="M65">
            <v>0.5232463020199728</v>
          </cell>
          <cell r="N65">
            <v>0.51334056061058642</v>
          </cell>
          <cell r="O65">
            <v>0.52413695722244147</v>
          </cell>
          <cell r="P65">
            <v>0.52278392213937952</v>
          </cell>
          <cell r="Q65">
            <v>0</v>
          </cell>
          <cell r="R65" t="str">
            <v>N.A.</v>
          </cell>
          <cell r="S65" t="str">
            <v>N.A.</v>
          </cell>
          <cell r="T65" t="str">
            <v>N.A.</v>
          </cell>
          <cell r="U65">
            <v>0.51685887634596572</v>
          </cell>
          <cell r="V65">
            <v>0.50873221722211492</v>
          </cell>
          <cell r="W65">
            <v>0.47373622697203432</v>
          </cell>
          <cell r="X65">
            <v>8.126659123850799E-3</v>
          </cell>
          <cell r="Y65">
            <v>4.3122649373931399E-2</v>
          </cell>
        </row>
        <row r="66">
          <cell r="B66" t="str">
            <v>G&amp;A % of total revenue</v>
          </cell>
          <cell r="C66" t="str">
            <v>N.A.</v>
          </cell>
          <cell r="E66">
            <v>7.7864722024002075E-2</v>
          </cell>
          <cell r="F66">
            <v>7.6506923226095994E-2</v>
          </cell>
          <cell r="G66">
            <v>5.5047632952814222E-2</v>
          </cell>
          <cell r="H66">
            <v>7.5195667192961058E-2</v>
          </cell>
          <cell r="I66">
            <v>6.6820304601124855E-2</v>
          </cell>
          <cell r="J66">
            <v>4.4625523020082943E-2</v>
          </cell>
          <cell r="K66">
            <v>0.12190346676674475</v>
          </cell>
          <cell r="L66">
            <v>6.7768691176173401E-2</v>
          </cell>
          <cell r="M66">
            <v>5.8790861502134459E-2</v>
          </cell>
          <cell r="N66">
            <v>7.3518294163197398E-2</v>
          </cell>
          <cell r="O66">
            <v>5.3909448540891781E-2</v>
          </cell>
          <cell r="P66">
            <v>5.5706587310282635E-2</v>
          </cell>
          <cell r="Q66">
            <v>0</v>
          </cell>
          <cell r="R66" t="e">
            <v>#DIV/0!</v>
          </cell>
          <cell r="S66" t="e">
            <v>#DIV/0!</v>
          </cell>
          <cell r="T66" t="e">
            <v>#DIV/0!</v>
          </cell>
          <cell r="U66">
            <v>6.6092666718931645E-2</v>
          </cell>
          <cell r="V66">
            <v>7.5485741355570485E-2</v>
          </cell>
          <cell r="W66">
            <v>7.9226011991302622E-2</v>
          </cell>
          <cell r="X66">
            <v>-9.3930746366388401E-3</v>
          </cell>
          <cell r="Y66">
            <v>-1.3133345272370978E-2</v>
          </cell>
        </row>
        <row r="67">
          <cell r="B67" t="str">
            <v>E.B.I.T.D. : Total Rev</v>
          </cell>
          <cell r="C67" t="str">
            <v>N.A.</v>
          </cell>
          <cell r="E67">
            <v>-8.0397988700379869E-2</v>
          </cell>
          <cell r="F67">
            <v>-6.9239986124142588E-2</v>
          </cell>
          <cell r="G67">
            <v>0.10360466435747834</v>
          </cell>
          <cell r="H67">
            <v>-6.9109831772515146E-2</v>
          </cell>
          <cell r="I67">
            <v>8.0501793966121418E-3</v>
          </cell>
          <cell r="J67">
            <v>0.19146310042501655</v>
          </cell>
          <cell r="K67">
            <v>-0.14962902937372369</v>
          </cell>
          <cell r="L67">
            <v>3.3378349785117035E-2</v>
          </cell>
          <cell r="M67">
            <v>0.10417292232423735</v>
          </cell>
          <cell r="N67">
            <v>-4.1877285686483599E-2</v>
          </cell>
          <cell r="O67">
            <v>8.8261063182942398E-2</v>
          </cell>
          <cell r="P67">
            <v>0.10219622589660429</v>
          </cell>
          <cell r="Q67">
            <v>0</v>
          </cell>
          <cell r="R67" t="str">
            <v>N.A.</v>
          </cell>
          <cell r="S67" t="str">
            <v>N.A.</v>
          </cell>
          <cell r="T67" t="str">
            <v>N.A.</v>
          </cell>
          <cell r="U67">
            <v>3.6291811547545273E-2</v>
          </cell>
          <cell r="V67">
            <v>1.2634477994319896E-3</v>
          </cell>
          <cell r="W67">
            <v>2.3374669719137937E-2</v>
          </cell>
          <cell r="X67">
            <v>3.5028363748113286E-2</v>
          </cell>
          <cell r="Y67">
            <v>1.2917141828407336E-2</v>
          </cell>
        </row>
        <row r="68">
          <cell r="B68" t="str">
            <v>No of Concession Transactions</v>
          </cell>
          <cell r="E68">
            <v>13</v>
          </cell>
          <cell r="F68">
            <v>14</v>
          </cell>
          <cell r="G68">
            <v>18</v>
          </cell>
          <cell r="H68">
            <v>14</v>
          </cell>
          <cell r="I68">
            <v>15</v>
          </cell>
          <cell r="J68">
            <v>18</v>
          </cell>
          <cell r="K68">
            <v>13</v>
          </cell>
          <cell r="L68">
            <v>15</v>
          </cell>
          <cell r="M68">
            <v>18</v>
          </cell>
          <cell r="N68">
            <v>12</v>
          </cell>
          <cell r="O68">
            <v>18</v>
          </cell>
          <cell r="P68">
            <v>20</v>
          </cell>
          <cell r="Q68">
            <v>0</v>
          </cell>
          <cell r="R68">
            <v>26</v>
          </cell>
          <cell r="S68">
            <v>27</v>
          </cell>
          <cell r="T68">
            <v>28</v>
          </cell>
          <cell r="U68">
            <v>188</v>
          </cell>
          <cell r="V68">
            <v>170</v>
          </cell>
          <cell r="W68">
            <v>0</v>
          </cell>
          <cell r="X68">
            <v>18</v>
          </cell>
          <cell r="Y68">
            <v>188</v>
          </cell>
        </row>
        <row r="69">
          <cell r="B69" t="str">
            <v>Strike Rate %(No of Trans/Adm)</v>
          </cell>
          <cell r="E69">
            <v>0.24528301886792453</v>
          </cell>
          <cell r="F69">
            <v>0.25925925925925924</v>
          </cell>
          <cell r="G69">
            <v>0.23684210526315788</v>
          </cell>
          <cell r="H69">
            <v>0.25454545454545452</v>
          </cell>
          <cell r="I69">
            <v>0.24193548387096775</v>
          </cell>
          <cell r="J69">
            <v>0.18947368421052632</v>
          </cell>
          <cell r="K69">
            <v>0.26</v>
          </cell>
          <cell r="L69">
            <v>0.23076923076923078</v>
          </cell>
          <cell r="M69">
            <v>0.23684210526315788</v>
          </cell>
          <cell r="N69">
            <v>0.21428571428571427</v>
          </cell>
          <cell r="O69">
            <v>0.23076923076923078</v>
          </cell>
          <cell r="P69">
            <v>0.26666666666666666</v>
          </cell>
          <cell r="Q69">
            <v>0</v>
          </cell>
          <cell r="R69" t="e">
            <v>#DIV/0!</v>
          </cell>
          <cell r="S69" t="e">
            <v>#DIV/0!</v>
          </cell>
          <cell r="T69" t="e">
            <v>#DIV/0!</v>
          </cell>
          <cell r="U69">
            <v>0.23647798742138365</v>
          </cell>
          <cell r="V69">
            <v>0.22457067371202113</v>
          </cell>
          <cell r="W69">
            <v>0</v>
          </cell>
          <cell r="X69">
            <v>1.1907313709362516E-2</v>
          </cell>
          <cell r="Y69">
            <v>0.23647798742138365</v>
          </cell>
        </row>
        <row r="70">
          <cell r="B70" t="str">
            <v>Ave Sales (Total Sale/No of Trans) (S$)</v>
          </cell>
          <cell r="E70">
            <v>5.5038461538461547</v>
          </cell>
          <cell r="F70">
            <v>5.2071428571428573</v>
          </cell>
          <cell r="G70">
            <v>5.7</v>
          </cell>
          <cell r="H70">
            <v>5.3035714285714288</v>
          </cell>
          <cell r="I70">
            <v>5.58</v>
          </cell>
          <cell r="J70">
            <v>7.125</v>
          </cell>
          <cell r="K70">
            <v>5.1923076923076925</v>
          </cell>
          <cell r="L70">
            <v>5.85</v>
          </cell>
          <cell r="M70">
            <v>5.7</v>
          </cell>
          <cell r="N70">
            <v>6.3</v>
          </cell>
          <cell r="O70">
            <v>5.85</v>
          </cell>
          <cell r="P70">
            <v>5.0625</v>
          </cell>
          <cell r="Q70">
            <v>0</v>
          </cell>
          <cell r="R70">
            <v>0</v>
          </cell>
          <cell r="S70">
            <v>0</v>
          </cell>
          <cell r="T70">
            <v>0</v>
          </cell>
          <cell r="U70">
            <v>5.7087765957446805</v>
          </cell>
          <cell r="V70">
            <v>4.2631645294117648</v>
          </cell>
          <cell r="W70" t="str">
            <v>N.A.</v>
          </cell>
          <cell r="X70">
            <v>1.4456120663329157</v>
          </cell>
          <cell r="Y70" t="str">
            <v>N.A.</v>
          </cell>
        </row>
        <row r="71">
          <cell r="B71" t="str">
            <v xml:space="preserve">Total Concession Combo Sales </v>
          </cell>
          <cell r="E71">
            <v>26</v>
          </cell>
          <cell r="F71">
            <v>28</v>
          </cell>
          <cell r="G71">
            <v>42</v>
          </cell>
          <cell r="H71">
            <v>28</v>
          </cell>
          <cell r="I71">
            <v>32</v>
          </cell>
          <cell r="J71">
            <v>40</v>
          </cell>
          <cell r="K71">
            <v>26</v>
          </cell>
          <cell r="L71">
            <v>30</v>
          </cell>
          <cell r="M71">
            <v>38</v>
          </cell>
          <cell r="N71">
            <v>25</v>
          </cell>
          <cell r="O71">
            <v>40</v>
          </cell>
          <cell r="P71">
            <v>35</v>
          </cell>
          <cell r="Q71">
            <v>0</v>
          </cell>
          <cell r="R71">
            <v>47.768999999999998</v>
          </cell>
          <cell r="S71">
            <v>48.768999999999998</v>
          </cell>
          <cell r="T71">
            <v>49.768999999999998</v>
          </cell>
          <cell r="U71">
            <v>390</v>
          </cell>
          <cell r="V71">
            <v>352</v>
          </cell>
          <cell r="W71">
            <v>0</v>
          </cell>
          <cell r="X71">
            <v>38</v>
          </cell>
          <cell r="Y71">
            <v>390</v>
          </cell>
        </row>
        <row r="72">
          <cell r="B72" t="str">
            <v>Combo Sales as % of Total Sales</v>
          </cell>
          <cell r="E72">
            <v>0.36338225017470294</v>
          </cell>
          <cell r="F72">
            <v>0.38408779149519889</v>
          </cell>
          <cell r="G72">
            <v>0.40935672514619881</v>
          </cell>
          <cell r="H72">
            <v>0.37710437710437711</v>
          </cell>
          <cell r="I72">
            <v>0.38231780167264034</v>
          </cell>
          <cell r="J72">
            <v>0.31189083820662766</v>
          </cell>
          <cell r="K72">
            <v>0.38518518518518519</v>
          </cell>
          <cell r="L72">
            <v>0.34188034188034189</v>
          </cell>
          <cell r="M72">
            <v>0.37037037037037035</v>
          </cell>
          <cell r="N72">
            <v>0.33068783068783064</v>
          </cell>
          <cell r="O72">
            <v>0.37986704653371317</v>
          </cell>
          <cell r="P72">
            <v>0.34567901234567899</v>
          </cell>
          <cell r="Q72">
            <v>0</v>
          </cell>
          <cell r="R72" t="e">
            <v>#DIV/0!</v>
          </cell>
          <cell r="S72" t="e">
            <v>#DIV/0!</v>
          </cell>
          <cell r="T72" t="e">
            <v>#DIV/0!</v>
          </cell>
          <cell r="U72">
            <v>0.36338225017470299</v>
          </cell>
          <cell r="V72">
            <v>0.48569278079910727</v>
          </cell>
          <cell r="W72">
            <v>0</v>
          </cell>
          <cell r="X72">
            <v>-0.12231053062440428</v>
          </cell>
          <cell r="Y72">
            <v>0.36338225017470299</v>
          </cell>
        </row>
        <row r="73">
          <cell r="B73" t="str">
            <v>No of Payroll hours Paid</v>
          </cell>
          <cell r="E73">
            <v>4</v>
          </cell>
          <cell r="F73">
            <v>3</v>
          </cell>
          <cell r="G73">
            <v>4</v>
          </cell>
          <cell r="H73">
            <v>3</v>
          </cell>
          <cell r="I73">
            <v>4</v>
          </cell>
          <cell r="J73">
            <v>4</v>
          </cell>
          <cell r="K73">
            <v>3</v>
          </cell>
          <cell r="L73">
            <v>3</v>
          </cell>
          <cell r="M73">
            <v>4</v>
          </cell>
          <cell r="N73">
            <v>3</v>
          </cell>
          <cell r="O73">
            <v>4</v>
          </cell>
          <cell r="P73">
            <v>4</v>
          </cell>
          <cell r="Q73">
            <v>0</v>
          </cell>
          <cell r="R73">
            <v>5.1360000000000001</v>
          </cell>
          <cell r="S73">
            <v>5.1360000000000001</v>
          </cell>
          <cell r="T73">
            <v>5.1360000000000001</v>
          </cell>
          <cell r="U73">
            <v>66.387000000000015</v>
          </cell>
          <cell r="V73">
            <v>66</v>
          </cell>
          <cell r="W73">
            <v>0</v>
          </cell>
          <cell r="X73">
            <v>0.38700000000001467</v>
          </cell>
          <cell r="Y73">
            <v>66.387000000000015</v>
          </cell>
        </row>
        <row r="74">
          <cell r="B74" t="str">
            <v>Admissions/labour hour paid</v>
          </cell>
          <cell r="E74">
            <v>10.532591414944356</v>
          </cell>
          <cell r="F74">
            <v>9.180550833049983</v>
          </cell>
          <cell r="G74">
            <v>10.351402887496596</v>
          </cell>
          <cell r="H74">
            <v>9.3888699214749067</v>
          </cell>
          <cell r="I74">
            <v>13.498802525582407</v>
          </cell>
          <cell r="J74">
            <v>15.833333333333334</v>
          </cell>
          <cell r="K74">
            <v>9.7352024922118385</v>
          </cell>
          <cell r="L74">
            <v>12.655763239875389</v>
          </cell>
          <cell r="M74">
            <v>12.666666666666666</v>
          </cell>
          <cell r="N74">
            <v>10.903426791277258</v>
          </cell>
          <cell r="O74">
            <v>15.186915887850468</v>
          </cell>
          <cell r="P74">
            <v>14.602803738317757</v>
          </cell>
          <cell r="Q74">
            <v>0</v>
          </cell>
          <cell r="R74">
            <v>0</v>
          </cell>
          <cell r="S74">
            <v>0</v>
          </cell>
          <cell r="T74">
            <v>0</v>
          </cell>
          <cell r="U74">
            <v>11.975236115504538</v>
          </cell>
          <cell r="V74">
            <v>11.469696969696969</v>
          </cell>
          <cell r="W74" t="str">
            <v>N.A.</v>
          </cell>
          <cell r="X74">
            <v>0.50553914580756931</v>
          </cell>
          <cell r="Y74" t="str">
            <v>N.A.</v>
          </cell>
        </row>
        <row r="75">
          <cell r="A75">
            <v>0</v>
          </cell>
        </row>
        <row r="76">
          <cell r="A76">
            <v>0</v>
          </cell>
          <cell r="B76" t="str">
            <v>6 Other Income</v>
          </cell>
        </row>
        <row r="77">
          <cell r="A77">
            <v>52</v>
          </cell>
          <cell r="B77" t="str">
            <v>Booking Fee</v>
          </cell>
          <cell r="E77">
            <v>2.265625</v>
          </cell>
          <cell r="F77">
            <v>2.265625</v>
          </cell>
          <cell r="G77">
            <v>2.265625</v>
          </cell>
          <cell r="H77">
            <v>2.265625</v>
          </cell>
          <cell r="I77">
            <v>2.265625</v>
          </cell>
          <cell r="J77">
            <v>2.265625</v>
          </cell>
          <cell r="K77">
            <v>2.265625</v>
          </cell>
          <cell r="L77">
            <v>2.265625</v>
          </cell>
          <cell r="M77">
            <v>2.265625</v>
          </cell>
          <cell r="N77">
            <v>2.265625</v>
          </cell>
          <cell r="O77">
            <v>2.265625</v>
          </cell>
          <cell r="P77">
            <v>2.265625</v>
          </cell>
          <cell r="T77">
            <v>0</v>
          </cell>
          <cell r="U77">
            <v>27.1875</v>
          </cell>
          <cell r="V77">
            <v>50.515529999999998</v>
          </cell>
          <cell r="W77">
            <v>3.8690000000000002</v>
          </cell>
          <cell r="X77">
            <v>-23.328029999999998</v>
          </cell>
          <cell r="Y77">
            <v>23.3185</v>
          </cell>
        </row>
        <row r="78">
          <cell r="A78">
            <v>53</v>
          </cell>
          <cell r="B78" t="str">
            <v>Auditorium Rentals</v>
          </cell>
          <cell r="E78">
            <v>2</v>
          </cell>
          <cell r="F78">
            <v>2</v>
          </cell>
          <cell r="G78">
            <v>2</v>
          </cell>
          <cell r="H78">
            <v>2</v>
          </cell>
          <cell r="I78">
            <v>2</v>
          </cell>
          <cell r="J78">
            <v>2</v>
          </cell>
          <cell r="K78">
            <v>2</v>
          </cell>
          <cell r="L78">
            <v>2</v>
          </cell>
          <cell r="M78">
            <v>2</v>
          </cell>
          <cell r="N78">
            <v>2</v>
          </cell>
          <cell r="O78">
            <v>2</v>
          </cell>
          <cell r="P78">
            <v>2</v>
          </cell>
          <cell r="T78">
            <v>0</v>
          </cell>
          <cell r="U78">
            <v>24</v>
          </cell>
          <cell r="V78">
            <v>79</v>
          </cell>
          <cell r="W78">
            <v>64.614999999999995</v>
          </cell>
          <cell r="X78">
            <v>-55</v>
          </cell>
          <cell r="Y78">
            <v>-40.615000000000002</v>
          </cell>
        </row>
        <row r="79">
          <cell r="A79">
            <v>54</v>
          </cell>
          <cell r="B79" t="str">
            <v>Parking Revenue</v>
          </cell>
          <cell r="E79">
            <v>0</v>
          </cell>
          <cell r="F79">
            <v>0</v>
          </cell>
          <cell r="G79">
            <v>0</v>
          </cell>
          <cell r="H79">
            <v>0</v>
          </cell>
          <cell r="I79">
            <v>0</v>
          </cell>
          <cell r="J79">
            <v>0</v>
          </cell>
          <cell r="K79">
            <v>0</v>
          </cell>
          <cell r="L79">
            <v>0</v>
          </cell>
          <cell r="M79">
            <v>0</v>
          </cell>
          <cell r="N79">
            <v>0</v>
          </cell>
          <cell r="O79">
            <v>0</v>
          </cell>
          <cell r="P79">
            <v>0</v>
          </cell>
          <cell r="T79">
            <v>0</v>
          </cell>
          <cell r="U79">
            <v>0</v>
          </cell>
          <cell r="V79">
            <v>0</v>
          </cell>
          <cell r="W79">
            <v>0</v>
          </cell>
          <cell r="X79">
            <v>0</v>
          </cell>
          <cell r="Y79">
            <v>0</v>
          </cell>
        </row>
        <row r="80">
          <cell r="A80">
            <v>55</v>
          </cell>
          <cell r="B80" t="str">
            <v>Ticket Advertising</v>
          </cell>
          <cell r="E80">
            <v>0</v>
          </cell>
          <cell r="F80">
            <v>0</v>
          </cell>
          <cell r="G80">
            <v>0</v>
          </cell>
          <cell r="H80">
            <v>0</v>
          </cell>
          <cell r="I80">
            <v>0</v>
          </cell>
          <cell r="J80">
            <v>0</v>
          </cell>
          <cell r="K80">
            <v>0</v>
          </cell>
          <cell r="L80">
            <v>0</v>
          </cell>
          <cell r="M80">
            <v>0</v>
          </cell>
          <cell r="N80">
            <v>0</v>
          </cell>
          <cell r="O80">
            <v>0</v>
          </cell>
          <cell r="P80">
            <v>0</v>
          </cell>
          <cell r="T80">
            <v>0</v>
          </cell>
          <cell r="U80">
            <v>0</v>
          </cell>
          <cell r="V80">
            <v>0</v>
          </cell>
          <cell r="W80">
            <v>0</v>
          </cell>
          <cell r="X80">
            <v>0</v>
          </cell>
          <cell r="Y80">
            <v>0</v>
          </cell>
        </row>
        <row r="81">
          <cell r="A81">
            <v>56</v>
          </cell>
          <cell r="B81" t="str">
            <v>Participating</v>
          </cell>
          <cell r="E81">
            <v>0</v>
          </cell>
          <cell r="F81">
            <v>0</v>
          </cell>
          <cell r="G81">
            <v>0</v>
          </cell>
          <cell r="H81">
            <v>0</v>
          </cell>
          <cell r="I81">
            <v>0</v>
          </cell>
          <cell r="J81">
            <v>0</v>
          </cell>
          <cell r="K81">
            <v>0</v>
          </cell>
          <cell r="L81">
            <v>0</v>
          </cell>
          <cell r="M81">
            <v>0</v>
          </cell>
          <cell r="N81">
            <v>0</v>
          </cell>
          <cell r="O81">
            <v>0</v>
          </cell>
          <cell r="P81">
            <v>0</v>
          </cell>
          <cell r="T81">
            <v>0</v>
          </cell>
          <cell r="U81">
            <v>0</v>
          </cell>
          <cell r="V81">
            <v>0</v>
          </cell>
          <cell r="W81">
            <v>0</v>
          </cell>
          <cell r="X81">
            <v>0</v>
          </cell>
          <cell r="Y81">
            <v>0</v>
          </cell>
        </row>
        <row r="82">
          <cell r="A82">
            <v>57</v>
          </cell>
          <cell r="B82" t="str">
            <v>Miscellaneous</v>
          </cell>
          <cell r="E82">
            <v>3.1720000000000002</v>
          </cell>
          <cell r="F82">
            <v>3.1720000000000002</v>
          </cell>
          <cell r="G82">
            <v>3.1720000000000002</v>
          </cell>
          <cell r="H82">
            <v>3.1720000000000002</v>
          </cell>
          <cell r="I82">
            <v>3.1720000000000002</v>
          </cell>
          <cell r="J82">
            <v>3.1720000000000002</v>
          </cell>
          <cell r="K82">
            <v>3.1720000000000002</v>
          </cell>
          <cell r="L82">
            <v>3.1720000000000002</v>
          </cell>
          <cell r="M82">
            <v>3.1720000000000002</v>
          </cell>
          <cell r="N82">
            <v>3.1720000000000002</v>
          </cell>
          <cell r="O82">
            <v>3.1720000000000002</v>
          </cell>
          <cell r="P82">
            <v>3.1720000000000002</v>
          </cell>
          <cell r="T82">
            <v>0</v>
          </cell>
          <cell r="U82">
            <v>38.064</v>
          </cell>
          <cell r="V82">
            <v>57</v>
          </cell>
          <cell r="W82">
            <v>61.408000000000001</v>
          </cell>
          <cell r="X82">
            <v>-18.936</v>
          </cell>
          <cell r="Y82">
            <v>-23.344000000000001</v>
          </cell>
        </row>
        <row r="83">
          <cell r="C83">
            <v>0</v>
          </cell>
          <cell r="E83">
            <v>7.4376250000000006</v>
          </cell>
          <cell r="F83">
            <v>7.4376250000000006</v>
          </cell>
          <cell r="G83">
            <v>7.4376250000000006</v>
          </cell>
          <cell r="H83">
            <v>7.4376250000000006</v>
          </cell>
          <cell r="I83">
            <v>7.4376250000000006</v>
          </cell>
          <cell r="J83">
            <v>7.4376250000000006</v>
          </cell>
          <cell r="K83">
            <v>7.4376250000000006</v>
          </cell>
          <cell r="L83">
            <v>7.4376250000000006</v>
          </cell>
          <cell r="M83">
            <v>7.4376250000000006</v>
          </cell>
          <cell r="N83">
            <v>7.4376250000000006</v>
          </cell>
          <cell r="O83">
            <v>7.4376250000000006</v>
          </cell>
          <cell r="P83">
            <v>7.4376250000000006</v>
          </cell>
          <cell r="R83">
            <v>0</v>
          </cell>
          <cell r="S83">
            <v>0</v>
          </cell>
          <cell r="T83">
            <v>0</v>
          </cell>
          <cell r="U83">
            <v>89.251499999999993</v>
          </cell>
          <cell r="V83">
            <v>186.51553000000001</v>
          </cell>
          <cell r="W83">
            <v>129.892</v>
          </cell>
          <cell r="X83">
            <v>-97.26403000000002</v>
          </cell>
          <cell r="Y83">
            <v>-40.640500000000003</v>
          </cell>
        </row>
        <row r="84">
          <cell r="X84">
            <v>0</v>
          </cell>
          <cell r="Y84">
            <v>0</v>
          </cell>
        </row>
        <row r="85">
          <cell r="B85" t="str">
            <v>10 Other Cost</v>
          </cell>
          <cell r="X85">
            <v>0</v>
          </cell>
          <cell r="Y85">
            <v>0</v>
          </cell>
        </row>
        <row r="86">
          <cell r="A86">
            <v>61</v>
          </cell>
          <cell r="B86" t="str">
            <v>Authors Rights</v>
          </cell>
          <cell r="E86">
            <v>0.71020000000000005</v>
          </cell>
          <cell r="F86">
            <v>0.72360000000000002</v>
          </cell>
          <cell r="G86">
            <v>1.0184</v>
          </cell>
          <cell r="H86">
            <v>0.73699999999999999</v>
          </cell>
          <cell r="I86">
            <v>0.83080000000000009</v>
          </cell>
          <cell r="J86">
            <v>1.2730000000000001</v>
          </cell>
          <cell r="K86">
            <v>0.67</v>
          </cell>
          <cell r="L86">
            <v>0.871</v>
          </cell>
          <cell r="M86">
            <v>1.0184</v>
          </cell>
          <cell r="N86">
            <v>0.75039999999999996</v>
          </cell>
          <cell r="O86">
            <v>1.0452000000000001</v>
          </cell>
          <cell r="P86">
            <v>1.0049999999999999</v>
          </cell>
          <cell r="U86">
            <v>10.653000000000002</v>
          </cell>
          <cell r="V86">
            <v>10.168647479999999</v>
          </cell>
          <cell r="W86">
            <v>12.68901</v>
          </cell>
          <cell r="X86">
            <v>0.48435252000000339</v>
          </cell>
          <cell r="Y86">
            <v>-2.0360099999999974</v>
          </cell>
        </row>
        <row r="87">
          <cell r="A87">
            <v>62</v>
          </cell>
          <cell r="B87" t="str">
            <v>Film Levies</v>
          </cell>
          <cell r="E87">
            <v>0</v>
          </cell>
          <cell r="F87">
            <v>0</v>
          </cell>
          <cell r="G87">
            <v>0</v>
          </cell>
          <cell r="H87">
            <v>0</v>
          </cell>
          <cell r="I87">
            <v>0</v>
          </cell>
          <cell r="J87">
            <v>0</v>
          </cell>
          <cell r="K87">
            <v>0</v>
          </cell>
          <cell r="L87">
            <v>0</v>
          </cell>
          <cell r="M87">
            <v>0</v>
          </cell>
          <cell r="N87">
            <v>0</v>
          </cell>
          <cell r="O87">
            <v>0</v>
          </cell>
          <cell r="P87">
            <v>0</v>
          </cell>
          <cell r="U87">
            <v>0</v>
          </cell>
          <cell r="V87">
            <v>0</v>
          </cell>
          <cell r="W87">
            <v>0</v>
          </cell>
          <cell r="X87">
            <v>0</v>
          </cell>
          <cell r="Y87">
            <v>0</v>
          </cell>
        </row>
        <row r="88">
          <cell r="A88">
            <v>63</v>
          </cell>
          <cell r="B88" t="str">
            <v>Cultural Fees</v>
          </cell>
          <cell r="E88">
            <v>0</v>
          </cell>
          <cell r="F88">
            <v>0</v>
          </cell>
          <cell r="G88">
            <v>0</v>
          </cell>
          <cell r="H88">
            <v>0</v>
          </cell>
          <cell r="I88">
            <v>0</v>
          </cell>
          <cell r="J88">
            <v>0</v>
          </cell>
          <cell r="K88">
            <v>0</v>
          </cell>
          <cell r="L88">
            <v>0</v>
          </cell>
          <cell r="M88">
            <v>0</v>
          </cell>
          <cell r="N88">
            <v>0</v>
          </cell>
          <cell r="O88">
            <v>0</v>
          </cell>
          <cell r="P88">
            <v>0</v>
          </cell>
          <cell r="U88">
            <v>0</v>
          </cell>
          <cell r="V88">
            <v>0</v>
          </cell>
          <cell r="W88">
            <v>0</v>
          </cell>
          <cell r="X88">
            <v>0</v>
          </cell>
          <cell r="Y88">
            <v>0</v>
          </cell>
        </row>
        <row r="89">
          <cell r="A89">
            <v>64</v>
          </cell>
          <cell r="B89" t="str">
            <v>Municipal Taxes</v>
          </cell>
          <cell r="E89">
            <v>0</v>
          </cell>
          <cell r="F89">
            <v>0</v>
          </cell>
          <cell r="G89">
            <v>0</v>
          </cell>
          <cell r="H89">
            <v>0</v>
          </cell>
          <cell r="I89">
            <v>0</v>
          </cell>
          <cell r="J89">
            <v>0</v>
          </cell>
          <cell r="K89">
            <v>0</v>
          </cell>
          <cell r="L89">
            <v>0</v>
          </cell>
          <cell r="M89">
            <v>0</v>
          </cell>
          <cell r="N89">
            <v>0</v>
          </cell>
          <cell r="O89">
            <v>0</v>
          </cell>
          <cell r="P89">
            <v>0</v>
          </cell>
          <cell r="U89">
            <v>0</v>
          </cell>
          <cell r="V89">
            <v>0</v>
          </cell>
          <cell r="W89">
            <v>0</v>
          </cell>
          <cell r="X89">
            <v>0</v>
          </cell>
          <cell r="Y89">
            <v>0</v>
          </cell>
        </row>
        <row r="90">
          <cell r="A90">
            <v>65</v>
          </cell>
          <cell r="B90" t="str">
            <v>Other</v>
          </cell>
          <cell r="E90">
            <v>0</v>
          </cell>
          <cell r="F90">
            <v>0</v>
          </cell>
          <cell r="G90">
            <v>0</v>
          </cell>
          <cell r="H90">
            <v>0</v>
          </cell>
          <cell r="I90">
            <v>0</v>
          </cell>
          <cell r="J90">
            <v>0</v>
          </cell>
          <cell r="K90">
            <v>0</v>
          </cell>
          <cell r="L90">
            <v>0</v>
          </cell>
          <cell r="M90">
            <v>0</v>
          </cell>
          <cell r="N90">
            <v>0</v>
          </cell>
          <cell r="O90">
            <v>0</v>
          </cell>
          <cell r="P90">
            <v>0</v>
          </cell>
          <cell r="U90">
            <v>0</v>
          </cell>
          <cell r="V90">
            <v>0</v>
          </cell>
          <cell r="W90">
            <v>0</v>
          </cell>
          <cell r="X90">
            <v>0</v>
          </cell>
          <cell r="Y90">
            <v>0</v>
          </cell>
        </row>
        <row r="91">
          <cell r="E91">
            <v>0.71020000000000005</v>
          </cell>
          <cell r="F91">
            <v>0.72360000000000002</v>
          </cell>
          <cell r="G91">
            <v>1.0184</v>
          </cell>
          <cell r="H91">
            <v>0.73699999999999999</v>
          </cell>
          <cell r="I91">
            <v>0.83080000000000009</v>
          </cell>
          <cell r="J91">
            <v>1.2730000000000001</v>
          </cell>
          <cell r="K91">
            <v>0.67</v>
          </cell>
          <cell r="L91">
            <v>0.871</v>
          </cell>
          <cell r="M91">
            <v>1.0184</v>
          </cell>
          <cell r="N91">
            <v>0.75039999999999996</v>
          </cell>
          <cell r="O91">
            <v>1.0452000000000001</v>
          </cell>
          <cell r="P91">
            <v>1.0049999999999999</v>
          </cell>
          <cell r="U91">
            <v>10.653000000000002</v>
          </cell>
          <cell r="V91">
            <v>10.168647479999999</v>
          </cell>
          <cell r="W91">
            <v>12.68901</v>
          </cell>
          <cell r="X91">
            <v>0.48435252000000339</v>
          </cell>
          <cell r="Y91">
            <v>-2.0360099999999974</v>
          </cell>
        </row>
        <row r="92">
          <cell r="X92">
            <v>0</v>
          </cell>
          <cell r="Y92">
            <v>0</v>
          </cell>
        </row>
        <row r="93">
          <cell r="B93" t="str">
            <v>11 Direct Payroll</v>
          </cell>
          <cell r="X93">
            <v>0</v>
          </cell>
          <cell r="Y93">
            <v>0</v>
          </cell>
        </row>
        <row r="94">
          <cell r="A94">
            <v>66</v>
          </cell>
          <cell r="B94" t="str">
            <v>Salaries</v>
          </cell>
          <cell r="E94">
            <v>34.385652998563216</v>
          </cell>
          <cell r="F94">
            <v>34.385652998563216</v>
          </cell>
          <cell r="G94">
            <v>35.485652998563218</v>
          </cell>
          <cell r="H94">
            <v>34.385652998563216</v>
          </cell>
          <cell r="I94">
            <v>34.385652998563216</v>
          </cell>
          <cell r="J94">
            <v>35.485652998563218</v>
          </cell>
          <cell r="K94">
            <v>31.631744341063211</v>
          </cell>
          <cell r="L94">
            <v>31.631744341063211</v>
          </cell>
          <cell r="M94">
            <v>32.731744341063212</v>
          </cell>
          <cell r="N94">
            <v>31.631744341063211</v>
          </cell>
          <cell r="O94">
            <v>32.731744341063212</v>
          </cell>
          <cell r="P94">
            <v>32.731744341063212</v>
          </cell>
          <cell r="T94">
            <v>0</v>
          </cell>
          <cell r="U94">
            <v>401.60438403775862</v>
          </cell>
          <cell r="V94">
            <v>458.43801000000002</v>
          </cell>
          <cell r="W94">
            <v>607.80600000000004</v>
          </cell>
          <cell r="X94">
            <v>-56.833625962241399</v>
          </cell>
          <cell r="Y94">
            <v>-206.20161596224142</v>
          </cell>
        </row>
        <row r="95">
          <cell r="A95">
            <v>67</v>
          </cell>
          <cell r="B95" t="str">
            <v>Bonus/Commission</v>
          </cell>
          <cell r="E95">
            <v>1.2497804166666664</v>
          </cell>
          <cell r="F95">
            <v>1.2497804166666664</v>
          </cell>
          <cell r="G95">
            <v>1.2497804166666664</v>
          </cell>
          <cell r="H95">
            <v>1.2497804166666664</v>
          </cell>
          <cell r="I95">
            <v>1.2497804166666664</v>
          </cell>
          <cell r="J95">
            <v>1.2497804166666664</v>
          </cell>
          <cell r="K95">
            <v>1.2497804166666664</v>
          </cell>
          <cell r="L95">
            <v>1.2497804166666664</v>
          </cell>
          <cell r="M95">
            <v>1.2497804166666664</v>
          </cell>
          <cell r="N95">
            <v>1.2497804166666664</v>
          </cell>
          <cell r="O95">
            <v>1.2497804166666664</v>
          </cell>
          <cell r="P95">
            <v>1.2497804166666664</v>
          </cell>
          <cell r="T95">
            <v>0</v>
          </cell>
          <cell r="U95">
            <v>14.997365</v>
          </cell>
          <cell r="V95">
            <v>20.880024999999996</v>
          </cell>
          <cell r="W95">
            <v>40.893000000000001</v>
          </cell>
          <cell r="X95">
            <v>-5.882659999999996</v>
          </cell>
          <cell r="Y95">
            <v>-25.895634999999999</v>
          </cell>
        </row>
        <row r="96">
          <cell r="A96">
            <v>68</v>
          </cell>
          <cell r="B96" t="str">
            <v>Payroll Tax</v>
          </cell>
          <cell r="E96">
            <v>0</v>
          </cell>
          <cell r="F96">
            <v>0</v>
          </cell>
          <cell r="G96">
            <v>0</v>
          </cell>
          <cell r="H96">
            <v>0</v>
          </cell>
          <cell r="I96">
            <v>0</v>
          </cell>
          <cell r="J96">
            <v>0</v>
          </cell>
          <cell r="K96">
            <v>0</v>
          </cell>
          <cell r="L96">
            <v>0</v>
          </cell>
          <cell r="M96">
            <v>0</v>
          </cell>
          <cell r="N96">
            <v>0</v>
          </cell>
          <cell r="O96">
            <v>0</v>
          </cell>
          <cell r="P96">
            <v>0</v>
          </cell>
          <cell r="T96">
            <v>0</v>
          </cell>
          <cell r="U96">
            <v>0</v>
          </cell>
          <cell r="V96">
            <v>0</v>
          </cell>
          <cell r="W96">
            <v>0</v>
          </cell>
          <cell r="X96">
            <v>0</v>
          </cell>
          <cell r="Y96">
            <v>0</v>
          </cell>
        </row>
        <row r="97">
          <cell r="A97">
            <v>69</v>
          </cell>
          <cell r="B97" t="str">
            <v>Welfare &amp; Pension</v>
          </cell>
          <cell r="E97">
            <v>0.55300000000000005</v>
          </cell>
          <cell r="F97">
            <v>0.55300000000000005</v>
          </cell>
          <cell r="G97">
            <v>0.55300000000000005</v>
          </cell>
          <cell r="H97">
            <v>0.55300000000000005</v>
          </cell>
          <cell r="I97">
            <v>0.55300000000000005</v>
          </cell>
          <cell r="J97">
            <v>0.55300000000000005</v>
          </cell>
          <cell r="K97">
            <v>0.55300000000000005</v>
          </cell>
          <cell r="L97">
            <v>0.55300000000000005</v>
          </cell>
          <cell r="M97">
            <v>0.55300000000000005</v>
          </cell>
          <cell r="N97">
            <v>0.55300000000000005</v>
          </cell>
          <cell r="O97">
            <v>0.55300000000000005</v>
          </cell>
          <cell r="P97">
            <v>0.55300000000000005</v>
          </cell>
          <cell r="T97">
            <v>0</v>
          </cell>
          <cell r="U97">
            <v>6.6360000000000001</v>
          </cell>
          <cell r="V97">
            <v>9</v>
          </cell>
          <cell r="W97">
            <v>17.617999999999999</v>
          </cell>
          <cell r="X97">
            <v>-2.3639999999999999</v>
          </cell>
          <cell r="Y97">
            <v>-10.981999999999999</v>
          </cell>
        </row>
        <row r="98">
          <cell r="A98">
            <v>70</v>
          </cell>
          <cell r="B98" t="str">
            <v>Miscellaneous</v>
          </cell>
          <cell r="E98">
            <v>0.47099999999999997</v>
          </cell>
          <cell r="F98">
            <v>0.47099999999999997</v>
          </cell>
          <cell r="G98">
            <v>0.47099999999999997</v>
          </cell>
          <cell r="H98">
            <v>0.47099999999999997</v>
          </cell>
          <cell r="I98">
            <v>0.47099999999999997</v>
          </cell>
          <cell r="J98">
            <v>0.47099999999999997</v>
          </cell>
          <cell r="K98">
            <v>0.47099999999999997</v>
          </cell>
          <cell r="L98">
            <v>0.47099999999999997</v>
          </cell>
          <cell r="M98">
            <v>0.47099999999999997</v>
          </cell>
          <cell r="N98">
            <v>0.47099999999999997</v>
          </cell>
          <cell r="O98">
            <v>0.47099999999999997</v>
          </cell>
          <cell r="P98">
            <v>0.47099999999999997</v>
          </cell>
          <cell r="T98">
            <v>0</v>
          </cell>
          <cell r="U98">
            <v>5.6520000000000001</v>
          </cell>
          <cell r="V98">
            <v>6.2547400000000017</v>
          </cell>
          <cell r="W98">
            <v>10.64</v>
          </cell>
          <cell r="X98">
            <v>-0.60274000000000161</v>
          </cell>
          <cell r="Y98">
            <v>-4.9880000000000004</v>
          </cell>
        </row>
        <row r="99">
          <cell r="C99">
            <v>0</v>
          </cell>
          <cell r="E99">
            <v>36.659433415229877</v>
          </cell>
          <cell r="F99">
            <v>36.659433415229877</v>
          </cell>
          <cell r="G99">
            <v>37.759433415229879</v>
          </cell>
          <cell r="H99">
            <v>36.659433415229877</v>
          </cell>
          <cell r="I99">
            <v>36.659433415229877</v>
          </cell>
          <cell r="J99">
            <v>37.759433415229879</v>
          </cell>
          <cell r="K99">
            <v>33.905524757729872</v>
          </cell>
          <cell r="L99">
            <v>33.905524757729872</v>
          </cell>
          <cell r="M99">
            <v>35.005524757729873</v>
          </cell>
          <cell r="N99">
            <v>33.905524757729872</v>
          </cell>
          <cell r="O99">
            <v>35.005524757729873</v>
          </cell>
          <cell r="P99">
            <v>35.005524757729873</v>
          </cell>
          <cell r="R99">
            <v>0</v>
          </cell>
          <cell r="S99">
            <v>0</v>
          </cell>
          <cell r="T99">
            <v>0</v>
          </cell>
          <cell r="U99">
            <v>428.88974903775863</v>
          </cell>
          <cell r="V99">
            <v>494.57277500000004</v>
          </cell>
          <cell r="W99">
            <v>676.95700000000011</v>
          </cell>
          <cell r="X99">
            <v>-65.683025962241402</v>
          </cell>
          <cell r="Y99">
            <v>-248.06725096224147</v>
          </cell>
        </row>
        <row r="100">
          <cell r="X100">
            <v>0</v>
          </cell>
          <cell r="Y100">
            <v>0</v>
          </cell>
        </row>
        <row r="101">
          <cell r="B101" t="str">
            <v>16 Other Overhead Costs</v>
          </cell>
          <cell r="X101">
            <v>0</v>
          </cell>
          <cell r="Y101">
            <v>0</v>
          </cell>
        </row>
        <row r="102">
          <cell r="A102">
            <v>71</v>
          </cell>
          <cell r="B102" t="str">
            <v>Insurance (Other than employee)</v>
          </cell>
          <cell r="E102">
            <v>1.3</v>
          </cell>
          <cell r="F102">
            <v>1.3</v>
          </cell>
          <cell r="G102">
            <v>1.3</v>
          </cell>
          <cell r="H102">
            <v>1.3</v>
          </cell>
          <cell r="I102">
            <v>1.3</v>
          </cell>
          <cell r="J102">
            <v>1.3</v>
          </cell>
          <cell r="K102">
            <v>1.3</v>
          </cell>
          <cell r="L102">
            <v>1.3</v>
          </cell>
          <cell r="M102">
            <v>1.3</v>
          </cell>
          <cell r="N102">
            <v>1.3</v>
          </cell>
          <cell r="O102">
            <v>1.3</v>
          </cell>
          <cell r="P102">
            <v>1.3</v>
          </cell>
          <cell r="T102">
            <v>0</v>
          </cell>
          <cell r="U102">
            <v>15.6</v>
          </cell>
          <cell r="V102">
            <v>14.940739999999998</v>
          </cell>
          <cell r="W102">
            <v>16.568999999999999</v>
          </cell>
          <cell r="X102">
            <v>0.65926000000000506</v>
          </cell>
          <cell r="Y102">
            <v>-0.96899999999999586</v>
          </cell>
        </row>
        <row r="103">
          <cell r="A103">
            <v>72</v>
          </cell>
          <cell r="B103" t="str">
            <v>Property Taxes</v>
          </cell>
          <cell r="E103">
            <v>0</v>
          </cell>
          <cell r="F103">
            <v>0</v>
          </cell>
          <cell r="G103">
            <v>0</v>
          </cell>
          <cell r="H103">
            <v>0</v>
          </cell>
          <cell r="I103">
            <v>0</v>
          </cell>
          <cell r="J103">
            <v>0</v>
          </cell>
          <cell r="K103">
            <v>0</v>
          </cell>
          <cell r="L103">
            <v>0</v>
          </cell>
          <cell r="M103">
            <v>0</v>
          </cell>
          <cell r="N103">
            <v>0</v>
          </cell>
          <cell r="O103">
            <v>0</v>
          </cell>
          <cell r="P103">
            <v>0</v>
          </cell>
          <cell r="T103">
            <v>0</v>
          </cell>
          <cell r="U103">
            <v>0</v>
          </cell>
          <cell r="V103">
            <v>0</v>
          </cell>
          <cell r="W103">
            <v>0</v>
          </cell>
          <cell r="X103">
            <v>0</v>
          </cell>
          <cell r="Y103">
            <v>0</v>
          </cell>
        </row>
        <row r="104">
          <cell r="A104">
            <v>73</v>
          </cell>
          <cell r="B104" t="str">
            <v>Travel &amp; Entertainment</v>
          </cell>
          <cell r="E104">
            <v>2</v>
          </cell>
          <cell r="F104">
            <v>2</v>
          </cell>
          <cell r="G104">
            <v>2</v>
          </cell>
          <cell r="H104">
            <v>2</v>
          </cell>
          <cell r="I104">
            <v>2</v>
          </cell>
          <cell r="J104">
            <v>2</v>
          </cell>
          <cell r="K104">
            <v>2</v>
          </cell>
          <cell r="L104">
            <v>2</v>
          </cell>
          <cell r="M104">
            <v>2</v>
          </cell>
          <cell r="N104">
            <v>2</v>
          </cell>
          <cell r="O104">
            <v>2</v>
          </cell>
          <cell r="P104">
            <v>2</v>
          </cell>
          <cell r="T104">
            <v>0</v>
          </cell>
          <cell r="U104">
            <v>24</v>
          </cell>
          <cell r="V104">
            <v>31.265576666666664</v>
          </cell>
          <cell r="W104">
            <v>31.7</v>
          </cell>
          <cell r="X104">
            <v>-7.2655766666666644</v>
          </cell>
          <cell r="Y104">
            <v>-7.7</v>
          </cell>
        </row>
        <row r="105">
          <cell r="A105">
            <v>74</v>
          </cell>
          <cell r="B105" t="str">
            <v>Legal &amp; Professional</v>
          </cell>
          <cell r="E105">
            <v>1</v>
          </cell>
          <cell r="F105">
            <v>1</v>
          </cell>
          <cell r="G105">
            <v>1</v>
          </cell>
          <cell r="H105">
            <v>1</v>
          </cell>
          <cell r="I105">
            <v>1</v>
          </cell>
          <cell r="J105">
            <v>1</v>
          </cell>
          <cell r="K105">
            <v>1</v>
          </cell>
          <cell r="L105">
            <v>1</v>
          </cell>
          <cell r="M105">
            <v>1</v>
          </cell>
          <cell r="N105">
            <v>1</v>
          </cell>
          <cell r="O105">
            <v>1</v>
          </cell>
          <cell r="P105">
            <v>1</v>
          </cell>
          <cell r="T105">
            <v>0</v>
          </cell>
          <cell r="U105">
            <v>12</v>
          </cell>
          <cell r="V105">
            <v>8.9930699999999995</v>
          </cell>
          <cell r="W105">
            <v>9.5839999999999996</v>
          </cell>
          <cell r="X105">
            <v>3.0069300000000005</v>
          </cell>
          <cell r="Y105">
            <v>2.4160000000000004</v>
          </cell>
        </row>
        <row r="106">
          <cell r="A106">
            <v>75</v>
          </cell>
          <cell r="B106" t="str">
            <v>Credit Card Charges</v>
          </cell>
          <cell r="E106">
            <v>0.5</v>
          </cell>
          <cell r="F106">
            <v>0.5</v>
          </cell>
          <cell r="G106">
            <v>0.5</v>
          </cell>
          <cell r="H106">
            <v>0.5</v>
          </cell>
          <cell r="I106">
            <v>0.5</v>
          </cell>
          <cell r="J106">
            <v>0.5</v>
          </cell>
          <cell r="K106">
            <v>0.5</v>
          </cell>
          <cell r="L106">
            <v>0.5</v>
          </cell>
          <cell r="M106">
            <v>0.5</v>
          </cell>
          <cell r="N106">
            <v>0.5</v>
          </cell>
          <cell r="O106">
            <v>0.5</v>
          </cell>
          <cell r="P106">
            <v>0.5</v>
          </cell>
          <cell r="T106">
            <v>0</v>
          </cell>
          <cell r="U106">
            <v>6</v>
          </cell>
          <cell r="V106">
            <v>3.8360100000000004</v>
          </cell>
          <cell r="W106">
            <v>0</v>
          </cell>
          <cell r="X106">
            <v>2.1639899999999996</v>
          </cell>
          <cell r="Y106">
            <v>6</v>
          </cell>
        </row>
        <row r="107">
          <cell r="A107">
            <v>76</v>
          </cell>
          <cell r="B107" t="str">
            <v>Membership Fees</v>
          </cell>
          <cell r="E107">
            <v>0</v>
          </cell>
          <cell r="F107">
            <v>0</v>
          </cell>
          <cell r="G107">
            <v>0</v>
          </cell>
          <cell r="H107">
            <v>0</v>
          </cell>
          <cell r="I107">
            <v>0</v>
          </cell>
          <cell r="J107">
            <v>0</v>
          </cell>
          <cell r="K107">
            <v>0</v>
          </cell>
          <cell r="L107">
            <v>0</v>
          </cell>
          <cell r="M107">
            <v>0</v>
          </cell>
          <cell r="N107">
            <v>0</v>
          </cell>
          <cell r="O107">
            <v>0</v>
          </cell>
          <cell r="P107">
            <v>0</v>
          </cell>
          <cell r="T107">
            <v>0</v>
          </cell>
          <cell r="U107">
            <v>0</v>
          </cell>
          <cell r="V107">
            <v>0</v>
          </cell>
          <cell r="W107">
            <v>0</v>
          </cell>
          <cell r="X107">
            <v>0</v>
          </cell>
          <cell r="Y107">
            <v>0</v>
          </cell>
        </row>
        <row r="108">
          <cell r="A108">
            <v>77</v>
          </cell>
          <cell r="B108" t="str">
            <v>Taxes &amp; Licences</v>
          </cell>
          <cell r="E108">
            <v>0.20399999999999999</v>
          </cell>
          <cell r="F108">
            <v>0.20399999999999999</v>
          </cell>
          <cell r="G108">
            <v>0.20399999999999999</v>
          </cell>
          <cell r="H108">
            <v>0.20399999999999999</v>
          </cell>
          <cell r="I108">
            <v>0.20399999999999999</v>
          </cell>
          <cell r="J108">
            <v>0.20399999999999999</v>
          </cell>
          <cell r="K108">
            <v>0.20399999999999999</v>
          </cell>
          <cell r="L108">
            <v>0.20399999999999999</v>
          </cell>
          <cell r="M108">
            <v>0.20399999999999999</v>
          </cell>
          <cell r="N108">
            <v>0.20399999999999999</v>
          </cell>
          <cell r="O108">
            <v>0.20399999999999999</v>
          </cell>
          <cell r="P108">
            <v>0.20399999999999999</v>
          </cell>
          <cell r="T108">
            <v>0</v>
          </cell>
          <cell r="U108">
            <v>2.4480000000000004</v>
          </cell>
          <cell r="V108">
            <v>4.6437667200000003</v>
          </cell>
          <cell r="W108">
            <v>13.945990000000002</v>
          </cell>
          <cell r="X108">
            <v>-2.1957667199999999</v>
          </cell>
          <cell r="Y108">
            <v>-11.497990000000001</v>
          </cell>
        </row>
        <row r="109">
          <cell r="A109">
            <v>78</v>
          </cell>
          <cell r="B109" t="str">
            <v>Convention expense</v>
          </cell>
          <cell r="E109">
            <v>0</v>
          </cell>
          <cell r="F109">
            <v>0</v>
          </cell>
          <cell r="G109">
            <v>0</v>
          </cell>
          <cell r="H109">
            <v>0</v>
          </cell>
          <cell r="I109">
            <v>0</v>
          </cell>
          <cell r="J109">
            <v>0</v>
          </cell>
          <cell r="K109">
            <v>0</v>
          </cell>
          <cell r="L109">
            <v>0</v>
          </cell>
          <cell r="M109">
            <v>0</v>
          </cell>
          <cell r="N109">
            <v>0</v>
          </cell>
          <cell r="O109">
            <v>0</v>
          </cell>
          <cell r="P109">
            <v>0</v>
          </cell>
          <cell r="T109">
            <v>0</v>
          </cell>
          <cell r="U109">
            <v>0</v>
          </cell>
          <cell r="V109">
            <v>0</v>
          </cell>
          <cell r="W109">
            <v>0</v>
          </cell>
          <cell r="X109">
            <v>0</v>
          </cell>
          <cell r="Y109">
            <v>0</v>
          </cell>
        </row>
        <row r="110">
          <cell r="A110">
            <v>79</v>
          </cell>
          <cell r="B110" t="str">
            <v>Contributions</v>
          </cell>
          <cell r="E110">
            <v>0</v>
          </cell>
          <cell r="F110">
            <v>0</v>
          </cell>
          <cell r="G110">
            <v>0</v>
          </cell>
          <cell r="H110">
            <v>0</v>
          </cell>
          <cell r="I110">
            <v>0</v>
          </cell>
          <cell r="J110">
            <v>0</v>
          </cell>
          <cell r="K110">
            <v>0</v>
          </cell>
          <cell r="L110">
            <v>0</v>
          </cell>
          <cell r="M110">
            <v>0</v>
          </cell>
          <cell r="N110">
            <v>0</v>
          </cell>
          <cell r="O110">
            <v>0</v>
          </cell>
          <cell r="P110">
            <v>0</v>
          </cell>
          <cell r="T110">
            <v>0</v>
          </cell>
          <cell r="U110">
            <v>0</v>
          </cell>
          <cell r="V110">
            <v>0</v>
          </cell>
          <cell r="W110">
            <v>0</v>
          </cell>
          <cell r="X110">
            <v>0</v>
          </cell>
          <cell r="Y110">
            <v>0</v>
          </cell>
        </row>
        <row r="111">
          <cell r="A111">
            <v>80</v>
          </cell>
          <cell r="B111" t="str">
            <v>Contract Cleaners</v>
          </cell>
          <cell r="E111">
            <v>5.2228800000000009</v>
          </cell>
          <cell r="F111">
            <v>5.2228800000000009</v>
          </cell>
          <cell r="G111">
            <v>5.0544000000000002</v>
          </cell>
          <cell r="H111">
            <v>5.2228800000000009</v>
          </cell>
          <cell r="I111">
            <v>5.0544000000000002</v>
          </cell>
          <cell r="J111">
            <v>5.2228800000000009</v>
          </cell>
          <cell r="K111">
            <v>22.281880000000001</v>
          </cell>
          <cell r="L111">
            <v>7.2174399999999999</v>
          </cell>
          <cell r="M111">
            <v>7.4728800000000009</v>
          </cell>
          <cell r="N111">
            <v>5.0544000000000002</v>
          </cell>
          <cell r="O111">
            <v>5.2228800000000009</v>
          </cell>
          <cell r="P111">
            <v>5.0544000000000002</v>
          </cell>
          <cell r="T111">
            <v>0</v>
          </cell>
          <cell r="U111">
            <v>83.304200000000009</v>
          </cell>
          <cell r="V111">
            <v>98.911810000000017</v>
          </cell>
          <cell r="W111">
            <v>158.249</v>
          </cell>
          <cell r="X111">
            <v>-15.607610000000008</v>
          </cell>
          <cell r="Y111">
            <v>-74.944799999999987</v>
          </cell>
        </row>
        <row r="112">
          <cell r="A112">
            <v>81</v>
          </cell>
          <cell r="B112" t="str">
            <v>Telephone &amp; Faxes</v>
          </cell>
          <cell r="E112">
            <v>4</v>
          </cell>
          <cell r="F112">
            <v>4</v>
          </cell>
          <cell r="G112">
            <v>4</v>
          </cell>
          <cell r="H112">
            <v>4</v>
          </cell>
          <cell r="I112">
            <v>4</v>
          </cell>
          <cell r="J112">
            <v>4</v>
          </cell>
          <cell r="K112">
            <v>4</v>
          </cell>
          <cell r="L112">
            <v>4</v>
          </cell>
          <cell r="M112">
            <v>4</v>
          </cell>
          <cell r="N112">
            <v>4</v>
          </cell>
          <cell r="O112">
            <v>4</v>
          </cell>
          <cell r="P112">
            <v>4</v>
          </cell>
          <cell r="T112">
            <v>0</v>
          </cell>
          <cell r="U112">
            <v>48</v>
          </cell>
          <cell r="V112">
            <v>51.36844</v>
          </cell>
          <cell r="W112">
            <v>89.638999999999996</v>
          </cell>
          <cell r="X112">
            <v>-3.3684399999999997</v>
          </cell>
          <cell r="Y112">
            <v>-41.638999999999996</v>
          </cell>
        </row>
        <row r="113">
          <cell r="A113">
            <v>82</v>
          </cell>
          <cell r="B113" t="str">
            <v>Stationery &amp; Printing</v>
          </cell>
          <cell r="E113">
            <v>0.6</v>
          </cell>
          <cell r="F113">
            <v>0.6</v>
          </cell>
          <cell r="G113">
            <v>0.6</v>
          </cell>
          <cell r="H113">
            <v>0.6</v>
          </cell>
          <cell r="I113">
            <v>0.6</v>
          </cell>
          <cell r="J113">
            <v>0.6</v>
          </cell>
          <cell r="K113">
            <v>0.6</v>
          </cell>
          <cell r="L113">
            <v>0.6</v>
          </cell>
          <cell r="M113">
            <v>0.6</v>
          </cell>
          <cell r="N113">
            <v>0.6</v>
          </cell>
          <cell r="O113">
            <v>0.6</v>
          </cell>
          <cell r="P113">
            <v>0.6</v>
          </cell>
          <cell r="T113">
            <v>0</v>
          </cell>
          <cell r="U113">
            <v>7.2</v>
          </cell>
          <cell r="V113">
            <v>6.8987900000000009</v>
          </cell>
          <cell r="W113">
            <v>6.9480000000000004</v>
          </cell>
          <cell r="X113">
            <v>0.30120999999999754</v>
          </cell>
          <cell r="Y113">
            <v>0.251999999999998</v>
          </cell>
        </row>
        <row r="114">
          <cell r="A114">
            <v>83</v>
          </cell>
          <cell r="B114" t="str">
            <v>Uniforms &amp; Laundry</v>
          </cell>
          <cell r="E114">
            <v>0.2</v>
          </cell>
          <cell r="F114">
            <v>0.2</v>
          </cell>
          <cell r="G114">
            <v>0.2</v>
          </cell>
          <cell r="H114">
            <v>0.2</v>
          </cell>
          <cell r="I114">
            <v>0.2</v>
          </cell>
          <cell r="J114">
            <v>0.2</v>
          </cell>
          <cell r="K114">
            <v>0.2</v>
          </cell>
          <cell r="L114">
            <v>0.2</v>
          </cell>
          <cell r="M114">
            <v>0.2</v>
          </cell>
          <cell r="N114">
            <v>0.2</v>
          </cell>
          <cell r="O114">
            <v>0.2</v>
          </cell>
          <cell r="P114">
            <v>0.2</v>
          </cell>
          <cell r="T114">
            <v>0</v>
          </cell>
          <cell r="U114">
            <v>2.4</v>
          </cell>
          <cell r="V114">
            <v>0.36380999999999997</v>
          </cell>
          <cell r="W114">
            <v>5.2789999999999999</v>
          </cell>
          <cell r="X114">
            <v>2.0361899999999999</v>
          </cell>
          <cell r="Y114">
            <v>-2.879</v>
          </cell>
        </row>
        <row r="115">
          <cell r="A115">
            <v>84</v>
          </cell>
          <cell r="B115" t="str">
            <v>Freight</v>
          </cell>
          <cell r="E115">
            <v>0.5</v>
          </cell>
          <cell r="F115">
            <v>0.5</v>
          </cell>
          <cell r="G115">
            <v>0.5</v>
          </cell>
          <cell r="H115">
            <v>0.5</v>
          </cell>
          <cell r="I115">
            <v>0.5</v>
          </cell>
          <cell r="J115">
            <v>0.5</v>
          </cell>
          <cell r="K115">
            <v>0.5</v>
          </cell>
          <cell r="L115">
            <v>0.5</v>
          </cell>
          <cell r="M115">
            <v>0.5</v>
          </cell>
          <cell r="N115">
            <v>0.5</v>
          </cell>
          <cell r="O115">
            <v>0.5</v>
          </cell>
          <cell r="P115">
            <v>0.5</v>
          </cell>
          <cell r="T115">
            <v>0</v>
          </cell>
          <cell r="U115">
            <v>6</v>
          </cell>
          <cell r="V115">
            <v>5.5111099999999986</v>
          </cell>
          <cell r="W115">
            <v>4.5910000000000002</v>
          </cell>
          <cell r="X115">
            <v>0.48889000000000138</v>
          </cell>
          <cell r="Y115">
            <v>1.4089999999999998</v>
          </cell>
        </row>
        <row r="116">
          <cell r="A116">
            <v>85</v>
          </cell>
          <cell r="B116" t="str">
            <v>Data processing</v>
          </cell>
          <cell r="E116">
            <v>0</v>
          </cell>
          <cell r="F116">
            <v>0</v>
          </cell>
          <cell r="G116">
            <v>0</v>
          </cell>
          <cell r="H116">
            <v>0</v>
          </cell>
          <cell r="I116">
            <v>0</v>
          </cell>
          <cell r="J116">
            <v>0</v>
          </cell>
          <cell r="K116">
            <v>0</v>
          </cell>
          <cell r="L116">
            <v>0</v>
          </cell>
          <cell r="M116">
            <v>0</v>
          </cell>
          <cell r="N116">
            <v>0</v>
          </cell>
          <cell r="O116">
            <v>0</v>
          </cell>
          <cell r="P116">
            <v>0</v>
          </cell>
          <cell r="T116">
            <v>0</v>
          </cell>
          <cell r="U116">
            <v>0</v>
          </cell>
          <cell r="V116">
            <v>0</v>
          </cell>
          <cell r="W116">
            <v>0</v>
          </cell>
          <cell r="X116">
            <v>0</v>
          </cell>
          <cell r="Y116">
            <v>0</v>
          </cell>
        </row>
        <row r="117">
          <cell r="A117">
            <v>86</v>
          </cell>
          <cell r="B117" t="str">
            <v>Bank Charges</v>
          </cell>
          <cell r="E117">
            <v>0.2</v>
          </cell>
          <cell r="F117">
            <v>0.2</v>
          </cell>
          <cell r="G117">
            <v>0.2</v>
          </cell>
          <cell r="H117">
            <v>0.2</v>
          </cell>
          <cell r="I117">
            <v>0.2</v>
          </cell>
          <cell r="J117">
            <v>0.2</v>
          </cell>
          <cell r="K117">
            <v>0.2</v>
          </cell>
          <cell r="L117">
            <v>0.2</v>
          </cell>
          <cell r="M117">
            <v>0.2</v>
          </cell>
          <cell r="N117">
            <v>0.2</v>
          </cell>
          <cell r="O117">
            <v>0.2</v>
          </cell>
          <cell r="P117">
            <v>0.2</v>
          </cell>
          <cell r="T117">
            <v>0</v>
          </cell>
          <cell r="U117">
            <v>2.4</v>
          </cell>
          <cell r="V117">
            <v>2.5334400000000006</v>
          </cell>
          <cell r="W117">
            <v>6.2009999999999996</v>
          </cell>
          <cell r="X117">
            <v>-0.13344000000000067</v>
          </cell>
          <cell r="Y117">
            <v>-3.8009999999999997</v>
          </cell>
        </row>
        <row r="118">
          <cell r="A118">
            <v>87</v>
          </cell>
          <cell r="B118" t="str">
            <v>Parking Expenses</v>
          </cell>
          <cell r="E118">
            <v>0</v>
          </cell>
          <cell r="F118">
            <v>0</v>
          </cell>
          <cell r="G118">
            <v>0</v>
          </cell>
          <cell r="H118">
            <v>0</v>
          </cell>
          <cell r="I118">
            <v>0</v>
          </cell>
          <cell r="J118">
            <v>0</v>
          </cell>
          <cell r="K118">
            <v>0</v>
          </cell>
          <cell r="L118">
            <v>0</v>
          </cell>
          <cell r="M118">
            <v>0</v>
          </cell>
          <cell r="N118">
            <v>0</v>
          </cell>
          <cell r="O118">
            <v>0</v>
          </cell>
          <cell r="P118">
            <v>0</v>
          </cell>
          <cell r="T118">
            <v>0</v>
          </cell>
          <cell r="U118">
            <v>0</v>
          </cell>
          <cell r="V118">
            <v>0</v>
          </cell>
          <cell r="W118">
            <v>0</v>
          </cell>
          <cell r="X118">
            <v>0</v>
          </cell>
          <cell r="Y118">
            <v>0</v>
          </cell>
        </row>
        <row r="119">
          <cell r="A119">
            <v>88</v>
          </cell>
          <cell r="B119" t="str">
            <v>Staff training</v>
          </cell>
          <cell r="E119">
            <v>0.49159433415229881</v>
          </cell>
          <cell r="F119">
            <v>0.49159433415229881</v>
          </cell>
          <cell r="G119">
            <v>0.50259433415229882</v>
          </cell>
          <cell r="H119">
            <v>0.49159433415229881</v>
          </cell>
          <cell r="I119">
            <v>0.49159433415229881</v>
          </cell>
          <cell r="J119">
            <v>0.50259433415229882</v>
          </cell>
          <cell r="K119">
            <v>0.46405524757729882</v>
          </cell>
          <cell r="L119">
            <v>0.46405524757729882</v>
          </cell>
          <cell r="M119">
            <v>0.47505524757729883</v>
          </cell>
          <cell r="N119">
            <v>0.46405524757729882</v>
          </cell>
          <cell r="O119">
            <v>0.47505524757729883</v>
          </cell>
          <cell r="P119">
            <v>0.47505524757729883</v>
          </cell>
          <cell r="T119">
            <v>0</v>
          </cell>
          <cell r="U119">
            <v>5.7888974903775852</v>
          </cell>
          <cell r="V119">
            <v>5.4304099999999993</v>
          </cell>
          <cell r="W119">
            <v>9.9930000000000003</v>
          </cell>
          <cell r="X119">
            <v>0.35848749037758587</v>
          </cell>
          <cell r="Y119">
            <v>-4.2041025096224152</v>
          </cell>
        </row>
        <row r="120">
          <cell r="A120">
            <v>89</v>
          </cell>
          <cell r="B120" t="str">
            <v>Security</v>
          </cell>
          <cell r="E120">
            <v>1.3</v>
          </cell>
          <cell r="F120">
            <v>1.3</v>
          </cell>
          <cell r="G120">
            <v>1.3</v>
          </cell>
          <cell r="H120">
            <v>1.3</v>
          </cell>
          <cell r="I120">
            <v>1.3</v>
          </cell>
          <cell r="J120">
            <v>1.3</v>
          </cell>
          <cell r="K120">
            <v>1.3</v>
          </cell>
          <cell r="L120">
            <v>1.3</v>
          </cell>
          <cell r="M120">
            <v>1.3</v>
          </cell>
          <cell r="N120">
            <v>1.3</v>
          </cell>
          <cell r="O120">
            <v>1.3</v>
          </cell>
          <cell r="P120">
            <v>1.3</v>
          </cell>
          <cell r="U120">
            <v>15.6</v>
          </cell>
          <cell r="V120">
            <v>15.6</v>
          </cell>
          <cell r="W120">
            <v>15.6</v>
          </cell>
          <cell r="X120">
            <v>0</v>
          </cell>
          <cell r="Y120">
            <v>0</v>
          </cell>
        </row>
        <row r="121">
          <cell r="A121">
            <v>90</v>
          </cell>
          <cell r="B121" t="str">
            <v>Postage</v>
          </cell>
          <cell r="E121">
            <v>0</v>
          </cell>
          <cell r="F121">
            <v>0</v>
          </cell>
          <cell r="G121">
            <v>0</v>
          </cell>
          <cell r="H121">
            <v>0</v>
          </cell>
          <cell r="I121">
            <v>0</v>
          </cell>
          <cell r="J121">
            <v>0</v>
          </cell>
          <cell r="K121">
            <v>0</v>
          </cell>
          <cell r="L121">
            <v>0</v>
          </cell>
          <cell r="M121">
            <v>0</v>
          </cell>
          <cell r="N121">
            <v>0</v>
          </cell>
          <cell r="O121">
            <v>0</v>
          </cell>
          <cell r="P121">
            <v>0</v>
          </cell>
          <cell r="U121">
            <v>0</v>
          </cell>
          <cell r="V121">
            <v>0</v>
          </cell>
          <cell r="W121">
            <v>0</v>
          </cell>
          <cell r="X121">
            <v>0</v>
          </cell>
          <cell r="Y121">
            <v>0</v>
          </cell>
        </row>
        <row r="122">
          <cell r="A122">
            <v>91</v>
          </cell>
          <cell r="B122" t="str">
            <v>Chilled Water</v>
          </cell>
          <cell r="E122">
            <v>17</v>
          </cell>
          <cell r="F122">
            <v>17</v>
          </cell>
          <cell r="G122">
            <v>17</v>
          </cell>
          <cell r="H122">
            <v>17</v>
          </cell>
          <cell r="I122">
            <v>17</v>
          </cell>
          <cell r="J122">
            <v>17</v>
          </cell>
          <cell r="K122">
            <v>17</v>
          </cell>
          <cell r="L122">
            <v>17</v>
          </cell>
          <cell r="M122">
            <v>17</v>
          </cell>
          <cell r="N122">
            <v>17</v>
          </cell>
          <cell r="O122">
            <v>17</v>
          </cell>
          <cell r="P122">
            <v>17</v>
          </cell>
          <cell r="U122">
            <v>204</v>
          </cell>
          <cell r="V122">
            <v>228</v>
          </cell>
          <cell r="W122">
            <v>230.57</v>
          </cell>
          <cell r="X122">
            <v>-24</v>
          </cell>
          <cell r="Y122">
            <v>-26.57</v>
          </cell>
        </row>
        <row r="123">
          <cell r="A123">
            <v>92</v>
          </cell>
          <cell r="B123" t="str">
            <v>Admin Fee</v>
          </cell>
          <cell r="E123">
            <v>0</v>
          </cell>
          <cell r="F123">
            <v>0</v>
          </cell>
          <cell r="G123">
            <v>0</v>
          </cell>
          <cell r="H123">
            <v>0</v>
          </cell>
          <cell r="I123">
            <v>0</v>
          </cell>
          <cell r="J123">
            <v>0</v>
          </cell>
          <cell r="K123">
            <v>0</v>
          </cell>
          <cell r="L123">
            <v>0</v>
          </cell>
          <cell r="M123">
            <v>0</v>
          </cell>
          <cell r="N123">
            <v>0</v>
          </cell>
          <cell r="O123">
            <v>0</v>
          </cell>
          <cell r="P123">
            <v>0</v>
          </cell>
          <cell r="U123">
            <v>0</v>
          </cell>
          <cell r="V123">
            <v>0</v>
          </cell>
          <cell r="W123">
            <v>0</v>
          </cell>
          <cell r="X123">
            <v>0</v>
          </cell>
          <cell r="Y123">
            <v>0</v>
          </cell>
        </row>
        <row r="124">
          <cell r="A124">
            <v>93</v>
          </cell>
          <cell r="B124" t="str">
            <v>Miscellaneous</v>
          </cell>
          <cell r="E124">
            <v>0.8</v>
          </cell>
          <cell r="F124">
            <v>0.8</v>
          </cell>
          <cell r="G124">
            <v>0.8</v>
          </cell>
          <cell r="H124">
            <v>0.8</v>
          </cell>
          <cell r="I124">
            <v>0.8</v>
          </cell>
          <cell r="J124">
            <v>0.8</v>
          </cell>
          <cell r="K124">
            <v>0.8</v>
          </cell>
          <cell r="L124">
            <v>0.8</v>
          </cell>
          <cell r="M124">
            <v>0.8</v>
          </cell>
          <cell r="N124">
            <v>0.8</v>
          </cell>
          <cell r="O124">
            <v>0.8</v>
          </cell>
          <cell r="P124">
            <v>0.8</v>
          </cell>
          <cell r="T124">
            <v>0</v>
          </cell>
          <cell r="U124">
            <v>9.6</v>
          </cell>
          <cell r="V124">
            <v>3.0370999999999988</v>
          </cell>
          <cell r="W124">
            <v>5.9450000000000003</v>
          </cell>
          <cell r="X124">
            <v>6.5629000000000008</v>
          </cell>
          <cell r="Y124">
            <v>3.6549999999999998</v>
          </cell>
        </row>
        <row r="125">
          <cell r="C125">
            <v>0</v>
          </cell>
          <cell r="E125">
            <v>35.318474334152299</v>
          </cell>
          <cell r="F125">
            <v>35.318474334152299</v>
          </cell>
          <cell r="G125">
            <v>35.160994334152292</v>
          </cell>
          <cell r="H125">
            <v>35.318474334152299</v>
          </cell>
          <cell r="I125">
            <v>35.149994334152296</v>
          </cell>
          <cell r="J125">
            <v>35.329474334152295</v>
          </cell>
          <cell r="K125">
            <v>52.349935247577299</v>
          </cell>
          <cell r="L125">
            <v>37.285495247577302</v>
          </cell>
          <cell r="M125">
            <v>37.551935247577298</v>
          </cell>
          <cell r="N125">
            <v>35.122455247577292</v>
          </cell>
          <cell r="O125">
            <v>35.301935247577298</v>
          </cell>
          <cell r="P125">
            <v>35.133455247577295</v>
          </cell>
          <cell r="R125">
            <v>0</v>
          </cell>
          <cell r="S125">
            <v>0</v>
          </cell>
          <cell r="T125">
            <v>0</v>
          </cell>
          <cell r="U125">
            <v>444.34109749037759</v>
          </cell>
          <cell r="V125">
            <v>481.33407338666666</v>
          </cell>
          <cell r="W125">
            <v>604.81398999999999</v>
          </cell>
          <cell r="X125">
            <v>-36.992975896289067</v>
          </cell>
          <cell r="Y125">
            <v>-160.4728925096224</v>
          </cell>
        </row>
        <row r="126">
          <cell r="X126">
            <v>0</v>
          </cell>
          <cell r="Y126">
            <v>0</v>
          </cell>
        </row>
        <row r="127">
          <cell r="A127">
            <v>0</v>
          </cell>
          <cell r="B127" t="str">
            <v>23 Adjustments</v>
          </cell>
          <cell r="X127">
            <v>0</v>
          </cell>
          <cell r="Y127">
            <v>0</v>
          </cell>
        </row>
        <row r="128">
          <cell r="A128">
            <v>97</v>
          </cell>
          <cell r="B128" t="str">
            <v>Miscellaneous (Please Specify)</v>
          </cell>
          <cell r="E128">
            <v>0</v>
          </cell>
          <cell r="F128">
            <v>0</v>
          </cell>
          <cell r="G128">
            <v>0</v>
          </cell>
          <cell r="H128">
            <v>0</v>
          </cell>
          <cell r="I128">
            <v>0</v>
          </cell>
          <cell r="J128">
            <v>0</v>
          </cell>
          <cell r="K128">
            <v>0</v>
          </cell>
          <cell r="L128">
            <v>0</v>
          </cell>
          <cell r="M128">
            <v>0</v>
          </cell>
          <cell r="N128">
            <v>0</v>
          </cell>
          <cell r="O128">
            <v>0</v>
          </cell>
          <cell r="P128">
            <v>0</v>
          </cell>
          <cell r="T128">
            <v>0</v>
          </cell>
          <cell r="U128">
            <v>0</v>
          </cell>
          <cell r="V128">
            <v>0</v>
          </cell>
          <cell r="W128">
            <v>0</v>
          </cell>
          <cell r="X128">
            <v>0</v>
          </cell>
          <cell r="Y128">
            <v>0</v>
          </cell>
        </row>
        <row r="129">
          <cell r="A129">
            <v>98</v>
          </cell>
          <cell r="B129" t="str">
            <v>Mgmt fee income - CGV</v>
          </cell>
          <cell r="E129">
            <v>0</v>
          </cell>
          <cell r="F129">
            <v>0</v>
          </cell>
          <cell r="G129">
            <v>0</v>
          </cell>
          <cell r="H129">
            <v>0</v>
          </cell>
          <cell r="I129">
            <v>0</v>
          </cell>
          <cell r="J129">
            <v>0</v>
          </cell>
          <cell r="K129">
            <v>0</v>
          </cell>
          <cell r="L129">
            <v>0</v>
          </cell>
          <cell r="M129">
            <v>0</v>
          </cell>
          <cell r="N129">
            <v>0</v>
          </cell>
          <cell r="O129">
            <v>0</v>
          </cell>
          <cell r="P129">
            <v>0</v>
          </cell>
          <cell r="U129">
            <v>0</v>
          </cell>
          <cell r="V129">
            <v>0</v>
          </cell>
          <cell r="W129">
            <v>0</v>
          </cell>
          <cell r="X129">
            <v>0</v>
          </cell>
          <cell r="Y129">
            <v>0</v>
          </cell>
        </row>
        <row r="130">
          <cell r="A130">
            <v>99</v>
          </cell>
          <cell r="B130" t="str">
            <v xml:space="preserve">Pre Opening </v>
          </cell>
          <cell r="E130">
            <v>0</v>
          </cell>
          <cell r="F130">
            <v>0</v>
          </cell>
          <cell r="G130">
            <v>0</v>
          </cell>
          <cell r="H130">
            <v>0</v>
          </cell>
          <cell r="I130">
            <v>0</v>
          </cell>
          <cell r="J130">
            <v>0</v>
          </cell>
          <cell r="K130">
            <v>0</v>
          </cell>
          <cell r="L130">
            <v>0</v>
          </cell>
          <cell r="M130">
            <v>0</v>
          </cell>
          <cell r="N130">
            <v>0</v>
          </cell>
          <cell r="O130">
            <v>0</v>
          </cell>
          <cell r="P130">
            <v>0</v>
          </cell>
          <cell r="U130">
            <v>0</v>
          </cell>
          <cell r="V130">
            <v>0</v>
          </cell>
          <cell r="W130">
            <v>0</v>
          </cell>
          <cell r="X130">
            <v>0</v>
          </cell>
          <cell r="Y130">
            <v>0</v>
          </cell>
        </row>
        <row r="131">
          <cell r="A131">
            <v>100</v>
          </cell>
          <cell r="B131" t="str">
            <v>Other</v>
          </cell>
          <cell r="E131">
            <v>0</v>
          </cell>
          <cell r="F131">
            <v>0</v>
          </cell>
          <cell r="G131">
            <v>0</v>
          </cell>
          <cell r="H131">
            <v>0</v>
          </cell>
          <cell r="I131">
            <v>0</v>
          </cell>
          <cell r="J131">
            <v>0</v>
          </cell>
          <cell r="K131">
            <v>0</v>
          </cell>
          <cell r="L131">
            <v>0</v>
          </cell>
          <cell r="M131">
            <v>0</v>
          </cell>
          <cell r="N131">
            <v>0</v>
          </cell>
          <cell r="O131">
            <v>0</v>
          </cell>
          <cell r="P131">
            <v>0</v>
          </cell>
          <cell r="U131">
            <v>0</v>
          </cell>
          <cell r="V131">
            <v>0</v>
          </cell>
          <cell r="W131">
            <v>0</v>
          </cell>
          <cell r="X131">
            <v>0</v>
          </cell>
          <cell r="Y131">
            <v>0</v>
          </cell>
        </row>
        <row r="132">
          <cell r="T132">
            <v>0</v>
          </cell>
          <cell r="X132">
            <v>0</v>
          </cell>
          <cell r="Y132">
            <v>0</v>
          </cell>
        </row>
        <row r="133">
          <cell r="C133">
            <v>0</v>
          </cell>
          <cell r="E133">
            <v>0</v>
          </cell>
          <cell r="F133">
            <v>0</v>
          </cell>
          <cell r="G133">
            <v>0</v>
          </cell>
          <cell r="H133">
            <v>0</v>
          </cell>
          <cell r="I133">
            <v>0</v>
          </cell>
          <cell r="J133">
            <v>0</v>
          </cell>
          <cell r="K133">
            <v>0</v>
          </cell>
          <cell r="L133">
            <v>0</v>
          </cell>
          <cell r="M133">
            <v>0</v>
          </cell>
          <cell r="N133">
            <v>0</v>
          </cell>
          <cell r="O133">
            <v>0</v>
          </cell>
          <cell r="P133">
            <v>0</v>
          </cell>
          <cell r="R133">
            <v>0</v>
          </cell>
          <cell r="S133">
            <v>0</v>
          </cell>
          <cell r="T133">
            <v>0</v>
          </cell>
          <cell r="U133">
            <v>0</v>
          </cell>
          <cell r="V133">
            <v>0</v>
          </cell>
          <cell r="W133">
            <v>0</v>
          </cell>
          <cell r="X133">
            <v>0</v>
          </cell>
          <cell r="Y133">
            <v>0</v>
          </cell>
        </row>
      </sheetData>
      <sheetData sheetId="26" refreshError="1">
        <row r="11">
          <cell r="A11">
            <v>1</v>
          </cell>
          <cell r="B11" t="str">
            <v>Net Film Revenue</v>
          </cell>
          <cell r="E11">
            <v>351.87600000000003</v>
          </cell>
          <cell r="F11">
            <v>351.87600000000003</v>
          </cell>
          <cell r="G11">
            <v>466.25600000000003</v>
          </cell>
          <cell r="H11">
            <v>335.84800000000001</v>
          </cell>
          <cell r="I11">
            <v>374.09800000000001</v>
          </cell>
          <cell r="J11">
            <v>553.3180000000001</v>
          </cell>
          <cell r="K11">
            <v>343.49800000000005</v>
          </cell>
          <cell r="L11">
            <v>404.32800000000003</v>
          </cell>
          <cell r="M11">
            <v>444.76200000000006</v>
          </cell>
          <cell r="N11">
            <v>352.60399999999998</v>
          </cell>
          <cell r="O11">
            <v>443.30600000000004</v>
          </cell>
          <cell r="P11">
            <v>441.85</v>
          </cell>
          <cell r="Q11" t="e">
            <v>#VALUE!</v>
          </cell>
          <cell r="T11">
            <v>0</v>
          </cell>
          <cell r="U11">
            <v>4863.62</v>
          </cell>
          <cell r="V11">
            <v>2716.1770000000001</v>
          </cell>
          <cell r="W11">
            <v>0</v>
          </cell>
          <cell r="X11">
            <v>2147.4430000000007</v>
          </cell>
          <cell r="Y11">
            <v>4863.62</v>
          </cell>
        </row>
        <row r="12">
          <cell r="A12">
            <v>2</v>
          </cell>
          <cell r="B12" t="str">
            <v>Concession Sales</v>
          </cell>
          <cell r="E12">
            <v>61.74</v>
          </cell>
          <cell r="F12">
            <v>61.74</v>
          </cell>
          <cell r="G12">
            <v>82.04</v>
          </cell>
          <cell r="H12">
            <v>58.87</v>
          </cell>
          <cell r="I12">
            <v>65.87</v>
          </cell>
          <cell r="J12">
            <v>97.72</v>
          </cell>
          <cell r="K12">
            <v>60.27</v>
          </cell>
          <cell r="L12">
            <v>70.77</v>
          </cell>
          <cell r="M12">
            <v>77.98</v>
          </cell>
          <cell r="N12">
            <v>61.81</v>
          </cell>
          <cell r="O12">
            <v>77.84</v>
          </cell>
          <cell r="P12">
            <v>77.7</v>
          </cell>
          <cell r="T12">
            <v>0</v>
          </cell>
          <cell r="U12">
            <v>854.35</v>
          </cell>
          <cell r="V12">
            <v>344.09500000000003</v>
          </cell>
          <cell r="W12">
            <v>0</v>
          </cell>
          <cell r="X12">
            <v>510.255</v>
          </cell>
          <cell r="Y12">
            <v>854.35</v>
          </cell>
        </row>
        <row r="13">
          <cell r="A13">
            <v>3</v>
          </cell>
          <cell r="B13" t="str">
            <v>Rental Income</v>
          </cell>
          <cell r="E13">
            <v>0</v>
          </cell>
          <cell r="F13">
            <v>0</v>
          </cell>
          <cell r="G13">
            <v>0</v>
          </cell>
          <cell r="H13">
            <v>0</v>
          </cell>
          <cell r="I13">
            <v>0</v>
          </cell>
          <cell r="J13">
            <v>0</v>
          </cell>
          <cell r="K13">
            <v>0</v>
          </cell>
          <cell r="L13">
            <v>0</v>
          </cell>
          <cell r="M13">
            <v>0</v>
          </cell>
          <cell r="N13">
            <v>0</v>
          </cell>
          <cell r="O13">
            <v>0</v>
          </cell>
          <cell r="P13">
            <v>0</v>
          </cell>
          <cell r="T13">
            <v>0</v>
          </cell>
          <cell r="U13">
            <v>0</v>
          </cell>
          <cell r="V13">
            <v>0</v>
          </cell>
          <cell r="W13">
            <v>0</v>
          </cell>
          <cell r="X13">
            <v>0</v>
          </cell>
          <cell r="Y13">
            <v>0</v>
          </cell>
        </row>
        <row r="14">
          <cell r="A14">
            <v>4</v>
          </cell>
          <cell r="B14" t="str">
            <v>Electronic Games income</v>
          </cell>
          <cell r="E14">
            <v>0</v>
          </cell>
          <cell r="F14">
            <v>0</v>
          </cell>
          <cell r="G14">
            <v>0</v>
          </cell>
          <cell r="H14">
            <v>0</v>
          </cell>
          <cell r="I14">
            <v>0</v>
          </cell>
          <cell r="J14">
            <v>0</v>
          </cell>
          <cell r="K14">
            <v>0</v>
          </cell>
          <cell r="L14">
            <v>0</v>
          </cell>
          <cell r="M14">
            <v>0</v>
          </cell>
          <cell r="N14">
            <v>0</v>
          </cell>
          <cell r="O14">
            <v>0</v>
          </cell>
          <cell r="P14">
            <v>0</v>
          </cell>
          <cell r="T14">
            <v>0</v>
          </cell>
          <cell r="U14">
            <v>0</v>
          </cell>
          <cell r="V14">
            <v>0</v>
          </cell>
          <cell r="W14">
            <v>0</v>
          </cell>
          <cell r="X14">
            <v>0</v>
          </cell>
          <cell r="Y14">
            <v>0</v>
          </cell>
        </row>
        <row r="15">
          <cell r="A15">
            <v>5</v>
          </cell>
          <cell r="B15" t="str">
            <v>Screen Advertising</v>
          </cell>
          <cell r="E15">
            <v>19.5</v>
          </cell>
          <cell r="F15">
            <v>19.5</v>
          </cell>
          <cell r="G15">
            <v>19.5</v>
          </cell>
          <cell r="H15">
            <v>19.5</v>
          </cell>
          <cell r="I15">
            <v>19.5</v>
          </cell>
          <cell r="J15">
            <v>19.5</v>
          </cell>
          <cell r="K15">
            <v>19.5</v>
          </cell>
          <cell r="L15">
            <v>19.5</v>
          </cell>
          <cell r="M15">
            <v>19.5</v>
          </cell>
          <cell r="N15">
            <v>19.5</v>
          </cell>
          <cell r="O15">
            <v>19.5</v>
          </cell>
          <cell r="P15">
            <v>19.5</v>
          </cell>
          <cell r="T15">
            <v>0</v>
          </cell>
          <cell r="U15">
            <v>234</v>
          </cell>
          <cell r="V15">
            <v>212.73799999999997</v>
          </cell>
          <cell r="W15">
            <v>0</v>
          </cell>
          <cell r="X15">
            <v>21.262000000000029</v>
          </cell>
          <cell r="Y15">
            <v>234</v>
          </cell>
        </row>
        <row r="16">
          <cell r="A16">
            <v>6</v>
          </cell>
          <cell r="B16" t="str">
            <v>Other Income</v>
          </cell>
          <cell r="C16">
            <v>0</v>
          </cell>
          <cell r="E16">
            <v>13.782225</v>
          </cell>
          <cell r="F16">
            <v>13.782225</v>
          </cell>
          <cell r="G16">
            <v>13.782225</v>
          </cell>
          <cell r="H16">
            <v>13.782225</v>
          </cell>
          <cell r="I16">
            <v>13.782225</v>
          </cell>
          <cell r="J16">
            <v>13.782225</v>
          </cell>
          <cell r="K16">
            <v>13.782225</v>
          </cell>
          <cell r="L16">
            <v>13.782225</v>
          </cell>
          <cell r="M16">
            <v>13.782225</v>
          </cell>
          <cell r="N16">
            <v>13.782225</v>
          </cell>
          <cell r="O16">
            <v>13.782225</v>
          </cell>
          <cell r="P16">
            <v>13.782225</v>
          </cell>
          <cell r="R16">
            <v>0</v>
          </cell>
          <cell r="S16">
            <v>0</v>
          </cell>
          <cell r="T16">
            <v>0</v>
          </cell>
          <cell r="U16">
            <v>165.38670000000002</v>
          </cell>
          <cell r="V16">
            <v>75.548249999999996</v>
          </cell>
          <cell r="W16">
            <v>0</v>
          </cell>
          <cell r="X16">
            <v>89.838450000000023</v>
          </cell>
          <cell r="Y16">
            <v>165.38670000000002</v>
          </cell>
        </row>
        <row r="17">
          <cell r="B17" t="str">
            <v>TOTAL REVENUE</v>
          </cell>
          <cell r="C17">
            <v>0</v>
          </cell>
          <cell r="E17">
            <v>446.89822500000002</v>
          </cell>
          <cell r="F17">
            <v>446.89822500000002</v>
          </cell>
          <cell r="G17">
            <v>581.57822500000009</v>
          </cell>
          <cell r="H17">
            <v>428.000225</v>
          </cell>
          <cell r="I17">
            <v>473.250225</v>
          </cell>
          <cell r="J17">
            <v>684.32022500000016</v>
          </cell>
          <cell r="K17">
            <v>437.05022500000001</v>
          </cell>
          <cell r="L17">
            <v>508.380225</v>
          </cell>
          <cell r="M17">
            <v>556.02422500000011</v>
          </cell>
          <cell r="N17">
            <v>447.69622499999997</v>
          </cell>
          <cell r="O17">
            <v>554.42822500000011</v>
          </cell>
          <cell r="P17">
            <v>552.83222499999999</v>
          </cell>
          <cell r="R17">
            <v>0</v>
          </cell>
          <cell r="S17">
            <v>0</v>
          </cell>
          <cell r="T17">
            <v>0</v>
          </cell>
          <cell r="U17">
            <v>6117.3567000000003</v>
          </cell>
          <cell r="V17">
            <v>3348.5582499999996</v>
          </cell>
          <cell r="W17">
            <v>0</v>
          </cell>
          <cell r="X17">
            <v>2768.7984500000007</v>
          </cell>
          <cell r="Y17">
            <v>6117.3567000000003</v>
          </cell>
        </row>
        <row r="19">
          <cell r="A19">
            <v>7</v>
          </cell>
          <cell r="B19" t="str">
            <v>Film Hire</v>
          </cell>
          <cell r="E19">
            <v>163.62234000000004</v>
          </cell>
          <cell r="F19">
            <v>163.62234000000004</v>
          </cell>
          <cell r="G19">
            <v>216.80904000000004</v>
          </cell>
          <cell r="H19">
            <v>156.16932000000003</v>
          </cell>
          <cell r="I19">
            <v>173.95557000000002</v>
          </cell>
          <cell r="J19">
            <v>257.29287000000005</v>
          </cell>
          <cell r="K19">
            <v>159.72657000000004</v>
          </cell>
          <cell r="L19">
            <v>188.01252000000002</v>
          </cell>
          <cell r="M19">
            <v>206.81433000000004</v>
          </cell>
          <cell r="N19">
            <v>163.96086</v>
          </cell>
          <cell r="O19">
            <v>206.13729000000004</v>
          </cell>
          <cell r="P19">
            <v>205.46025000000003</v>
          </cell>
          <cell r="U19">
            <v>2261.5833000000002</v>
          </cell>
          <cell r="V19">
            <v>1268.2820000000002</v>
          </cell>
          <cell r="W19">
            <v>0</v>
          </cell>
          <cell r="X19">
            <v>993.30130000000008</v>
          </cell>
          <cell r="Y19">
            <v>2261.5833000000002</v>
          </cell>
        </row>
        <row r="20">
          <cell r="A20">
            <v>8</v>
          </cell>
          <cell r="B20" t="str">
            <v>Concession Cost</v>
          </cell>
          <cell r="E20">
            <v>14.200199999999999</v>
          </cell>
          <cell r="F20">
            <v>14.200199999999999</v>
          </cell>
          <cell r="G20">
            <v>18.869199999999999</v>
          </cell>
          <cell r="H20">
            <v>13.540099999999999</v>
          </cell>
          <cell r="I20">
            <v>15.150099999999998</v>
          </cell>
          <cell r="J20">
            <v>22.475599999999996</v>
          </cell>
          <cell r="K20">
            <v>13.862099999999998</v>
          </cell>
          <cell r="L20">
            <v>16.277100000000001</v>
          </cell>
          <cell r="M20">
            <v>17.935400000000001</v>
          </cell>
          <cell r="N20">
            <v>14.2163</v>
          </cell>
          <cell r="O20">
            <v>17.903200000000002</v>
          </cell>
          <cell r="P20">
            <v>17.870999999999999</v>
          </cell>
          <cell r="T20">
            <v>0</v>
          </cell>
          <cell r="U20">
            <v>196.50049999999999</v>
          </cell>
          <cell r="V20">
            <v>65.610100000000003</v>
          </cell>
          <cell r="W20">
            <v>0</v>
          </cell>
          <cell r="X20">
            <v>130.8904</v>
          </cell>
          <cell r="Y20">
            <v>196.50049999999999</v>
          </cell>
        </row>
        <row r="21">
          <cell r="A21">
            <v>9</v>
          </cell>
          <cell r="B21" t="str">
            <v>Less Concession Rebates</v>
          </cell>
          <cell r="E21">
            <v>-1.5434999999999999</v>
          </cell>
          <cell r="F21">
            <v>-1.5434999999999999</v>
          </cell>
          <cell r="G21">
            <v>-2.0509999999999997</v>
          </cell>
          <cell r="H21">
            <v>-1.4717499999999999</v>
          </cell>
          <cell r="I21">
            <v>-1.6467499999999999</v>
          </cell>
          <cell r="J21">
            <v>-2.4429999999999996</v>
          </cell>
          <cell r="K21">
            <v>-1.5067499999999998</v>
          </cell>
          <cell r="L21">
            <v>-1.76925</v>
          </cell>
          <cell r="M21">
            <v>-1.9495000000000002</v>
          </cell>
          <cell r="N21">
            <v>-1.54525</v>
          </cell>
          <cell r="O21">
            <v>-1.9460000000000002</v>
          </cell>
          <cell r="P21">
            <v>-1.9424999999999999</v>
          </cell>
          <cell r="U21">
            <v>-21.358750000000001</v>
          </cell>
          <cell r="V21">
            <v>-9.56</v>
          </cell>
          <cell r="W21">
            <v>0</v>
          </cell>
          <cell r="X21">
            <v>-11.79875</v>
          </cell>
          <cell r="Y21">
            <v>-21.358750000000001</v>
          </cell>
        </row>
        <row r="22">
          <cell r="A22">
            <v>10</v>
          </cell>
          <cell r="B22" t="str">
            <v>Advertising Cost</v>
          </cell>
          <cell r="E22">
            <v>8.0931480000000011</v>
          </cell>
          <cell r="F22">
            <v>8.0931480000000011</v>
          </cell>
          <cell r="G22">
            <v>10.723888000000001</v>
          </cell>
          <cell r="H22">
            <v>7.7245040000000005</v>
          </cell>
          <cell r="I22">
            <v>8.604254000000001</v>
          </cell>
          <cell r="J22">
            <v>12.726314000000002</v>
          </cell>
          <cell r="K22">
            <v>7.9004540000000008</v>
          </cell>
          <cell r="L22">
            <v>9.2995440000000009</v>
          </cell>
          <cell r="M22">
            <v>10.229526000000002</v>
          </cell>
          <cell r="N22">
            <v>8.1098920000000003</v>
          </cell>
          <cell r="O22">
            <v>10.196038000000001</v>
          </cell>
          <cell r="P22">
            <v>10.16255</v>
          </cell>
          <cell r="T22">
            <v>0</v>
          </cell>
          <cell r="U22">
            <v>111.86326000000003</v>
          </cell>
          <cell r="V22">
            <v>58.786860000000004</v>
          </cell>
          <cell r="W22">
            <v>0</v>
          </cell>
          <cell r="X22">
            <v>53.076400000000021</v>
          </cell>
          <cell r="Y22">
            <v>111.86326000000003</v>
          </cell>
        </row>
        <row r="23">
          <cell r="A23">
            <v>11</v>
          </cell>
          <cell r="B23" t="str">
            <v>Other Cost</v>
          </cell>
          <cell r="C23">
            <v>0</v>
          </cell>
          <cell r="E23">
            <v>0.70375200000000004</v>
          </cell>
          <cell r="F23">
            <v>0.70375200000000004</v>
          </cell>
          <cell r="G23">
            <v>0.93251200000000012</v>
          </cell>
          <cell r="H23">
            <v>0.67169600000000007</v>
          </cell>
          <cell r="I23">
            <v>0.74819600000000008</v>
          </cell>
          <cell r="J23">
            <v>1.1066360000000002</v>
          </cell>
          <cell r="K23">
            <v>0.68699600000000016</v>
          </cell>
          <cell r="L23">
            <v>0.80865600000000004</v>
          </cell>
          <cell r="M23">
            <v>0.88952400000000009</v>
          </cell>
          <cell r="N23">
            <v>0.70520799999999995</v>
          </cell>
          <cell r="O23">
            <v>0.88661200000000007</v>
          </cell>
          <cell r="P23">
            <v>0.88370000000000004</v>
          </cell>
          <cell r="R23">
            <v>0</v>
          </cell>
          <cell r="S23">
            <v>0</v>
          </cell>
          <cell r="T23">
            <v>0</v>
          </cell>
          <cell r="U23">
            <v>9.7272399999999983</v>
          </cell>
          <cell r="V23">
            <v>5.4323540000000001</v>
          </cell>
          <cell r="W23">
            <v>0</v>
          </cell>
          <cell r="X23">
            <v>4.2948859999999982</v>
          </cell>
          <cell r="Y23">
            <v>9.7272399999999983</v>
          </cell>
        </row>
        <row r="24">
          <cell r="A24">
            <v>12</v>
          </cell>
          <cell r="B24" t="str">
            <v>Direct Payroll</v>
          </cell>
          <cell r="C24">
            <v>0</v>
          </cell>
          <cell r="E24">
            <v>39.990848205229867</v>
          </cell>
          <cell r="F24">
            <v>39.990848205229867</v>
          </cell>
          <cell r="G24">
            <v>41.090848205229868</v>
          </cell>
          <cell r="H24">
            <v>39.990848205229867</v>
          </cell>
          <cell r="I24">
            <v>39.990848205229867</v>
          </cell>
          <cell r="J24">
            <v>41.090848205229868</v>
          </cell>
          <cell r="K24">
            <v>40.643640968929873</v>
          </cell>
          <cell r="L24">
            <v>40.643640968929873</v>
          </cell>
          <cell r="M24">
            <v>41.743640968929874</v>
          </cell>
          <cell r="N24">
            <v>40.643640968929873</v>
          </cell>
          <cell r="O24">
            <v>41.743640968929874</v>
          </cell>
          <cell r="P24">
            <v>41.743640968929874</v>
          </cell>
          <cell r="R24">
            <v>0</v>
          </cell>
          <cell r="S24">
            <v>0</v>
          </cell>
          <cell r="T24">
            <v>0</v>
          </cell>
          <cell r="U24">
            <v>489.30693504495832</v>
          </cell>
          <cell r="V24">
            <v>207.39718999999997</v>
          </cell>
          <cell r="W24">
            <v>0</v>
          </cell>
          <cell r="X24">
            <v>281.90974504495836</v>
          </cell>
          <cell r="Y24">
            <v>489.30693504495832</v>
          </cell>
        </row>
        <row r="25">
          <cell r="B25" t="str">
            <v>TOTAL COST</v>
          </cell>
          <cell r="C25">
            <v>0</v>
          </cell>
          <cell r="E25">
            <v>225.06678820522993</v>
          </cell>
          <cell r="F25">
            <v>225.06678820522993</v>
          </cell>
          <cell r="G25">
            <v>286.37448820522991</v>
          </cell>
          <cell r="H25">
            <v>216.6247182052299</v>
          </cell>
          <cell r="I25">
            <v>236.80221820522991</v>
          </cell>
          <cell r="J25">
            <v>332.2492682052299</v>
          </cell>
          <cell r="K25">
            <v>221.31301096892989</v>
          </cell>
          <cell r="L25">
            <v>253.2722109689299</v>
          </cell>
          <cell r="M25">
            <v>275.66292096892994</v>
          </cell>
          <cell r="N25">
            <v>226.09065096892985</v>
          </cell>
          <cell r="O25">
            <v>274.92078096892993</v>
          </cell>
          <cell r="P25">
            <v>274.17864096892993</v>
          </cell>
          <cell r="R25">
            <v>0</v>
          </cell>
          <cell r="S25">
            <v>0</v>
          </cell>
          <cell r="T25">
            <v>0</v>
          </cell>
          <cell r="U25">
            <v>3047.6224850449585</v>
          </cell>
          <cell r="V25">
            <v>1595.9485040000002</v>
          </cell>
          <cell r="W25">
            <v>0</v>
          </cell>
          <cell r="X25">
            <v>1451.6739810449583</v>
          </cell>
          <cell r="Y25">
            <v>3047.6224850449585</v>
          </cell>
        </row>
        <row r="27">
          <cell r="B27" t="str">
            <v>GROSS MARGIN</v>
          </cell>
          <cell r="C27">
            <v>0</v>
          </cell>
          <cell r="E27">
            <v>221.8314367947701</v>
          </cell>
          <cell r="F27">
            <v>221.8314367947701</v>
          </cell>
          <cell r="G27">
            <v>295.20373679477018</v>
          </cell>
          <cell r="H27">
            <v>211.3755067947701</v>
          </cell>
          <cell r="I27">
            <v>236.44800679477009</v>
          </cell>
          <cell r="J27">
            <v>352.07095679477027</v>
          </cell>
          <cell r="K27">
            <v>215.73721403107012</v>
          </cell>
          <cell r="L27">
            <v>255.1080140310701</v>
          </cell>
          <cell r="M27">
            <v>280.36130403107018</v>
          </cell>
          <cell r="N27">
            <v>221.60557403107012</v>
          </cell>
          <cell r="O27">
            <v>279.50744403107018</v>
          </cell>
          <cell r="P27">
            <v>278.65358403107007</v>
          </cell>
          <cell r="R27">
            <v>0</v>
          </cell>
          <cell r="S27">
            <v>0</v>
          </cell>
          <cell r="T27">
            <v>0</v>
          </cell>
          <cell r="U27">
            <v>3069.7342149550414</v>
          </cell>
          <cell r="V27">
            <v>1752.6097459999994</v>
          </cell>
          <cell r="W27">
            <v>0</v>
          </cell>
          <cell r="X27">
            <v>1317.1244689550419</v>
          </cell>
          <cell r="Y27">
            <v>3069.7342149550414</v>
          </cell>
        </row>
        <row r="28">
          <cell r="X28">
            <v>0</v>
          </cell>
          <cell r="Y28">
            <v>0</v>
          </cell>
        </row>
        <row r="29">
          <cell r="A29">
            <v>13</v>
          </cell>
          <cell r="B29" t="str">
            <v>Direct Rent</v>
          </cell>
          <cell r="E29">
            <v>103.88759999999999</v>
          </cell>
          <cell r="F29">
            <v>103.88759999999999</v>
          </cell>
          <cell r="G29">
            <v>103.88759999999999</v>
          </cell>
          <cell r="H29">
            <v>103.88759999999999</v>
          </cell>
          <cell r="I29">
            <v>103.88759999999999</v>
          </cell>
          <cell r="J29">
            <v>103.88759999999999</v>
          </cell>
          <cell r="K29">
            <v>103.88759999999999</v>
          </cell>
          <cell r="L29">
            <v>103.88759999999999</v>
          </cell>
          <cell r="M29">
            <v>103.88759999999999</v>
          </cell>
          <cell r="N29">
            <v>103.88759999999999</v>
          </cell>
          <cell r="O29">
            <v>103.88759999999999</v>
          </cell>
          <cell r="P29">
            <v>103.88759999999999</v>
          </cell>
          <cell r="T29">
            <v>0</v>
          </cell>
          <cell r="U29">
            <v>1246.6512</v>
          </cell>
          <cell r="V29">
            <v>320.05664999999999</v>
          </cell>
          <cell r="W29">
            <v>0</v>
          </cell>
          <cell r="X29">
            <v>926.59455000000003</v>
          </cell>
          <cell r="Y29">
            <v>1246.6512</v>
          </cell>
        </row>
        <row r="30">
          <cell r="A30">
            <v>14</v>
          </cell>
          <cell r="B30" t="str">
            <v>Light, Heat and Power</v>
          </cell>
          <cell r="E30">
            <v>15.2</v>
          </cell>
          <cell r="F30">
            <v>15.2</v>
          </cell>
          <cell r="G30">
            <v>15.2</v>
          </cell>
          <cell r="H30">
            <v>15.2</v>
          </cell>
          <cell r="I30">
            <v>15.2</v>
          </cell>
          <cell r="J30">
            <v>15.2</v>
          </cell>
          <cell r="K30">
            <v>15.2</v>
          </cell>
          <cell r="L30">
            <v>15.2</v>
          </cell>
          <cell r="M30">
            <v>15.2</v>
          </cell>
          <cell r="N30">
            <v>15.2</v>
          </cell>
          <cell r="O30">
            <v>15.2</v>
          </cell>
          <cell r="P30">
            <v>15.2</v>
          </cell>
          <cell r="T30">
            <v>0</v>
          </cell>
          <cell r="U30">
            <v>182.4</v>
          </cell>
          <cell r="V30">
            <v>79.374000000000009</v>
          </cell>
          <cell r="W30">
            <v>0</v>
          </cell>
          <cell r="X30">
            <v>103.02599999999997</v>
          </cell>
          <cell r="Y30">
            <v>182.4</v>
          </cell>
        </row>
        <row r="31">
          <cell r="A31">
            <v>15</v>
          </cell>
          <cell r="B31" t="str">
            <v>Repair &amp; Maintenance</v>
          </cell>
          <cell r="E31">
            <v>11.12</v>
          </cell>
          <cell r="F31">
            <v>11.12</v>
          </cell>
          <cell r="G31">
            <v>11.12</v>
          </cell>
          <cell r="H31">
            <v>16.12</v>
          </cell>
          <cell r="I31">
            <v>11.12</v>
          </cell>
          <cell r="J31">
            <v>11.12</v>
          </cell>
          <cell r="K31">
            <v>12.775</v>
          </cell>
          <cell r="L31">
            <v>12.775</v>
          </cell>
          <cell r="M31">
            <v>12.775</v>
          </cell>
          <cell r="N31">
            <v>12.775</v>
          </cell>
          <cell r="O31">
            <v>12.775</v>
          </cell>
          <cell r="P31">
            <v>12.775</v>
          </cell>
          <cell r="T31">
            <v>0</v>
          </cell>
          <cell r="U31">
            <v>148.37</v>
          </cell>
          <cell r="V31">
            <v>58.412166666666664</v>
          </cell>
          <cell r="W31">
            <v>0</v>
          </cell>
          <cell r="X31">
            <v>89.957833333333369</v>
          </cell>
          <cell r="Y31">
            <v>148.37</v>
          </cell>
        </row>
        <row r="32">
          <cell r="A32">
            <v>16</v>
          </cell>
          <cell r="B32" t="str">
            <v>Common Area Maintenance</v>
          </cell>
          <cell r="E32">
            <v>47.792400000000001</v>
          </cell>
          <cell r="F32">
            <v>47.792400000000001</v>
          </cell>
          <cell r="G32">
            <v>48.212400000000002</v>
          </cell>
          <cell r="H32">
            <v>47.792400000000001</v>
          </cell>
          <cell r="I32">
            <v>47.792400000000001</v>
          </cell>
          <cell r="J32">
            <v>48.212400000000002</v>
          </cell>
          <cell r="K32">
            <v>47.792400000000001</v>
          </cell>
          <cell r="L32">
            <v>47.792400000000001</v>
          </cell>
          <cell r="M32">
            <v>48.212400000000002</v>
          </cell>
          <cell r="N32">
            <v>47.792400000000001</v>
          </cell>
          <cell r="O32">
            <v>47.792400000000001</v>
          </cell>
          <cell r="P32">
            <v>48.212400000000002</v>
          </cell>
          <cell r="T32">
            <v>0</v>
          </cell>
          <cell r="U32">
            <v>575.18880000000001</v>
          </cell>
          <cell r="V32">
            <v>265.142</v>
          </cell>
          <cell r="W32">
            <v>0</v>
          </cell>
          <cell r="X32">
            <v>310.04680000000002</v>
          </cell>
          <cell r="Y32">
            <v>575.18880000000001</v>
          </cell>
        </row>
        <row r="33">
          <cell r="A33">
            <v>17</v>
          </cell>
          <cell r="B33" t="str">
            <v>Other Overhead Costs</v>
          </cell>
          <cell r="C33">
            <v>0</v>
          </cell>
          <cell r="E33">
            <v>17.947788482052299</v>
          </cell>
          <cell r="F33">
            <v>17.947788482052299</v>
          </cell>
          <cell r="G33">
            <v>17.790308482052296</v>
          </cell>
          <cell r="H33">
            <v>17.947788482052299</v>
          </cell>
          <cell r="I33">
            <v>17.779308482052297</v>
          </cell>
          <cell r="J33">
            <v>17.958788482052299</v>
          </cell>
          <cell r="K33">
            <v>17.954316409689302</v>
          </cell>
          <cell r="L33">
            <v>19.948876409689298</v>
          </cell>
          <cell r="M33">
            <v>17.965316409689301</v>
          </cell>
          <cell r="N33">
            <v>17.785836409689299</v>
          </cell>
          <cell r="O33">
            <v>17.965316409689301</v>
          </cell>
          <cell r="P33">
            <v>17.796836409689298</v>
          </cell>
          <cell r="R33">
            <v>0</v>
          </cell>
          <cell r="S33">
            <v>0</v>
          </cell>
          <cell r="T33">
            <v>0</v>
          </cell>
          <cell r="U33">
            <v>216.78826935044958</v>
          </cell>
          <cell r="V33">
            <v>127.21564313333332</v>
          </cell>
          <cell r="W33">
            <v>0</v>
          </cell>
          <cell r="X33">
            <v>89.572626217116266</v>
          </cell>
          <cell r="Y33">
            <v>216.78826935044958</v>
          </cell>
        </row>
        <row r="35">
          <cell r="B35" t="str">
            <v>Total Overhead Expenses</v>
          </cell>
          <cell r="C35">
            <v>0</v>
          </cell>
          <cell r="E35">
            <v>195.94778848205229</v>
          </cell>
          <cell r="F35">
            <v>195.94778848205229</v>
          </cell>
          <cell r="G35">
            <v>196.21030848205228</v>
          </cell>
          <cell r="H35">
            <v>200.94778848205229</v>
          </cell>
          <cell r="I35">
            <v>195.7793084820523</v>
          </cell>
          <cell r="J35">
            <v>196.3787884820523</v>
          </cell>
          <cell r="K35">
            <v>197.60931640968928</v>
          </cell>
          <cell r="L35">
            <v>199.60387640968926</v>
          </cell>
          <cell r="M35">
            <v>198.0403164096893</v>
          </cell>
          <cell r="N35">
            <v>197.44083640968927</v>
          </cell>
          <cell r="O35">
            <v>197.62031640968928</v>
          </cell>
          <cell r="P35">
            <v>197.87183640968928</v>
          </cell>
          <cell r="R35">
            <v>0</v>
          </cell>
          <cell r="S35">
            <v>0</v>
          </cell>
          <cell r="T35">
            <v>0</v>
          </cell>
          <cell r="U35">
            <v>2369.3982693504495</v>
          </cell>
          <cell r="V35">
            <v>850.20045979999998</v>
          </cell>
          <cell r="W35">
            <v>0</v>
          </cell>
          <cell r="X35">
            <v>1519.1978095504496</v>
          </cell>
          <cell r="Y35">
            <v>2369.3982693504495</v>
          </cell>
        </row>
        <row r="37">
          <cell r="B37" t="str">
            <v>E.B.I.T.D.</v>
          </cell>
          <cell r="C37">
            <v>0</v>
          </cell>
          <cell r="E37">
            <v>25.88364831271781</v>
          </cell>
          <cell r="F37">
            <v>25.88364831271781</v>
          </cell>
          <cell r="G37">
            <v>98.993428312717896</v>
          </cell>
          <cell r="H37">
            <v>10.427718312717815</v>
          </cell>
          <cell r="I37">
            <v>40.668698312717794</v>
          </cell>
          <cell r="J37">
            <v>155.69216831271797</v>
          </cell>
          <cell r="K37">
            <v>18.127897621380839</v>
          </cell>
          <cell r="L37">
            <v>55.504137621380835</v>
          </cell>
          <cell r="M37">
            <v>82.32098762138088</v>
          </cell>
          <cell r="N37">
            <v>24.164737621380851</v>
          </cell>
          <cell r="O37">
            <v>81.887127621380898</v>
          </cell>
          <cell r="P37">
            <v>80.781747621380788</v>
          </cell>
          <cell r="R37">
            <v>0</v>
          </cell>
          <cell r="S37">
            <v>0</v>
          </cell>
          <cell r="T37">
            <v>0</v>
          </cell>
          <cell r="U37">
            <v>700.33594560459187</v>
          </cell>
          <cell r="V37">
            <v>902.40928619999943</v>
          </cell>
          <cell r="W37">
            <v>0</v>
          </cell>
          <cell r="X37">
            <v>-202.07334059540767</v>
          </cell>
          <cell r="Y37">
            <v>700.33594560459187</v>
          </cell>
        </row>
        <row r="39">
          <cell r="A39">
            <v>18</v>
          </cell>
          <cell r="B39" t="str">
            <v>Depreciation</v>
          </cell>
          <cell r="E39">
            <v>48.524062499999999</v>
          </cell>
          <cell r="F39">
            <v>48.524062499999999</v>
          </cell>
          <cell r="G39">
            <v>48.524062499999999</v>
          </cell>
          <cell r="H39">
            <v>48.524062499999999</v>
          </cell>
          <cell r="I39">
            <v>48.524062499999999</v>
          </cell>
          <cell r="J39">
            <v>48.524062499999999</v>
          </cell>
          <cell r="K39">
            <v>48.524062499999999</v>
          </cell>
          <cell r="L39">
            <v>48.524062499999999</v>
          </cell>
          <cell r="M39">
            <v>48.524062499999999</v>
          </cell>
          <cell r="N39">
            <v>49.044895833333335</v>
          </cell>
          <cell r="O39">
            <v>49.044895833333335</v>
          </cell>
          <cell r="P39">
            <v>49.044895833333335</v>
          </cell>
          <cell r="T39">
            <v>0</v>
          </cell>
          <cell r="U39">
            <v>583.85125000000005</v>
          </cell>
          <cell r="V39">
            <v>302.02171856791659</v>
          </cell>
          <cell r="W39">
            <v>0</v>
          </cell>
          <cell r="X39">
            <v>281.82953143208357</v>
          </cell>
          <cell r="Y39">
            <v>583.85125000000005</v>
          </cell>
        </row>
        <row r="40">
          <cell r="A40">
            <v>19</v>
          </cell>
          <cell r="B40" t="str">
            <v>Fixed Assets Written Off</v>
          </cell>
          <cell r="E40">
            <v>0</v>
          </cell>
          <cell r="F40">
            <v>0</v>
          </cell>
          <cell r="G40">
            <v>0</v>
          </cell>
          <cell r="H40">
            <v>0</v>
          </cell>
          <cell r="I40">
            <v>0</v>
          </cell>
          <cell r="J40">
            <v>0</v>
          </cell>
          <cell r="K40">
            <v>0</v>
          </cell>
          <cell r="L40">
            <v>0</v>
          </cell>
          <cell r="M40">
            <v>0</v>
          </cell>
          <cell r="N40">
            <v>0</v>
          </cell>
          <cell r="O40">
            <v>0</v>
          </cell>
          <cell r="P40">
            <v>0</v>
          </cell>
          <cell r="T40">
            <v>0</v>
          </cell>
          <cell r="U40">
            <v>0</v>
          </cell>
          <cell r="V40">
            <v>0.44</v>
          </cell>
          <cell r="W40">
            <v>0</v>
          </cell>
          <cell r="X40">
            <v>-0.44</v>
          </cell>
          <cell r="Y40">
            <v>0</v>
          </cell>
        </row>
        <row r="41">
          <cell r="A41">
            <v>20</v>
          </cell>
          <cell r="B41" t="str">
            <v>External Interest</v>
          </cell>
          <cell r="T41">
            <v>0</v>
          </cell>
          <cell r="U41">
            <v>0</v>
          </cell>
          <cell r="V41">
            <v>82.191780821917803</v>
          </cell>
          <cell r="W41">
            <v>0</v>
          </cell>
          <cell r="X41">
            <v>-82.191780821917803</v>
          </cell>
          <cell r="Y41">
            <v>0</v>
          </cell>
        </row>
        <row r="42">
          <cell r="A42">
            <v>21</v>
          </cell>
          <cell r="B42" t="str">
            <v>Intercompany Interest Income</v>
          </cell>
          <cell r="T42">
            <v>0</v>
          </cell>
          <cell r="U42">
            <v>0</v>
          </cell>
          <cell r="V42">
            <v>0</v>
          </cell>
          <cell r="W42">
            <v>0</v>
          </cell>
          <cell r="X42">
            <v>0</v>
          </cell>
          <cell r="Y42">
            <v>0</v>
          </cell>
        </row>
        <row r="43">
          <cell r="A43">
            <v>22</v>
          </cell>
          <cell r="B43" t="str">
            <v>External Interest Income</v>
          </cell>
          <cell r="T43">
            <v>0</v>
          </cell>
          <cell r="U43">
            <v>0</v>
          </cell>
          <cell r="V43">
            <v>0</v>
          </cell>
          <cell r="W43">
            <v>0</v>
          </cell>
          <cell r="X43">
            <v>0</v>
          </cell>
          <cell r="Y43">
            <v>0</v>
          </cell>
        </row>
        <row r="44">
          <cell r="B44" t="str">
            <v>E.B.T.</v>
          </cell>
          <cell r="C44">
            <v>0</v>
          </cell>
          <cell r="E44">
            <v>-22.64041418728219</v>
          </cell>
          <cell r="F44">
            <v>-22.64041418728219</v>
          </cell>
          <cell r="G44">
            <v>50.469365812717896</v>
          </cell>
          <cell r="H44">
            <v>-38.096344187282185</v>
          </cell>
          <cell r="I44">
            <v>-7.8553641872822055</v>
          </cell>
          <cell r="J44">
            <v>107.16810581271797</v>
          </cell>
          <cell r="K44">
            <v>-30.39616487861916</v>
          </cell>
          <cell r="L44">
            <v>6.9800751213808354</v>
          </cell>
          <cell r="M44">
            <v>33.79692512138088</v>
          </cell>
          <cell r="N44">
            <v>-24.880158211952484</v>
          </cell>
          <cell r="O44">
            <v>32.842231788047563</v>
          </cell>
          <cell r="P44">
            <v>31.736851788047453</v>
          </cell>
          <cell r="Q44">
            <v>0</v>
          </cell>
          <cell r="R44">
            <v>0</v>
          </cell>
          <cell r="S44">
            <v>0</v>
          </cell>
          <cell r="T44">
            <v>0</v>
          </cell>
          <cell r="U44">
            <v>116.48469560459171</v>
          </cell>
          <cell r="V44">
            <v>517.75578681016509</v>
          </cell>
          <cell r="W44">
            <v>0</v>
          </cell>
          <cell r="X44">
            <v>-401.27109120557338</v>
          </cell>
          <cell r="Y44">
            <v>116.48469560459171</v>
          </cell>
        </row>
        <row r="46">
          <cell r="A46">
            <v>23</v>
          </cell>
          <cell r="B46" t="str">
            <v>Taxation</v>
          </cell>
          <cell r="E46">
            <v>0</v>
          </cell>
          <cell r="F46">
            <v>0</v>
          </cell>
          <cell r="G46">
            <v>0</v>
          </cell>
          <cell r="H46">
            <v>0</v>
          </cell>
          <cell r="I46">
            <v>0</v>
          </cell>
          <cell r="J46">
            <v>0</v>
          </cell>
          <cell r="K46">
            <v>0</v>
          </cell>
          <cell r="L46">
            <v>0</v>
          </cell>
          <cell r="M46">
            <v>0</v>
          </cell>
          <cell r="N46">
            <v>0</v>
          </cell>
          <cell r="O46">
            <v>0</v>
          </cell>
          <cell r="P46">
            <v>0</v>
          </cell>
          <cell r="T46">
            <v>0</v>
          </cell>
          <cell r="U46">
            <v>0</v>
          </cell>
          <cell r="V46">
            <v>0</v>
          </cell>
          <cell r="W46">
            <v>0</v>
          </cell>
          <cell r="X46">
            <v>0</v>
          </cell>
          <cell r="Y46">
            <v>0</v>
          </cell>
        </row>
        <row r="47">
          <cell r="A47">
            <v>24</v>
          </cell>
          <cell r="B47" t="str">
            <v>Adjustments</v>
          </cell>
          <cell r="C47">
            <v>0</v>
          </cell>
          <cell r="E47">
            <v>0</v>
          </cell>
          <cell r="F47">
            <v>0</v>
          </cell>
          <cell r="G47">
            <v>0</v>
          </cell>
          <cell r="H47">
            <v>0</v>
          </cell>
          <cell r="I47">
            <v>0</v>
          </cell>
          <cell r="J47">
            <v>0</v>
          </cell>
          <cell r="K47">
            <v>0</v>
          </cell>
          <cell r="L47">
            <v>0</v>
          </cell>
          <cell r="M47">
            <v>0</v>
          </cell>
          <cell r="N47">
            <v>0</v>
          </cell>
          <cell r="O47">
            <v>0</v>
          </cell>
          <cell r="P47">
            <v>0</v>
          </cell>
          <cell r="R47">
            <v>0</v>
          </cell>
          <cell r="S47">
            <v>0</v>
          </cell>
          <cell r="T47">
            <v>0</v>
          </cell>
          <cell r="U47">
            <v>0</v>
          </cell>
          <cell r="V47">
            <v>0</v>
          </cell>
          <cell r="W47">
            <v>0</v>
          </cell>
          <cell r="X47">
            <v>0</v>
          </cell>
          <cell r="Y47">
            <v>0</v>
          </cell>
        </row>
        <row r="48">
          <cell r="A48">
            <v>25</v>
          </cell>
          <cell r="B48" t="str">
            <v>Dividends</v>
          </cell>
          <cell r="E48">
            <v>0</v>
          </cell>
          <cell r="F48">
            <v>0</v>
          </cell>
          <cell r="G48">
            <v>0</v>
          </cell>
          <cell r="H48">
            <v>0</v>
          </cell>
          <cell r="I48">
            <v>0</v>
          </cell>
          <cell r="J48">
            <v>0</v>
          </cell>
          <cell r="K48">
            <v>0</v>
          </cell>
          <cell r="L48">
            <v>0</v>
          </cell>
          <cell r="M48">
            <v>0</v>
          </cell>
          <cell r="N48">
            <v>0</v>
          </cell>
          <cell r="O48">
            <v>0</v>
          </cell>
          <cell r="P48">
            <v>0</v>
          </cell>
          <cell r="T48">
            <v>0</v>
          </cell>
          <cell r="U48">
            <v>0</v>
          </cell>
          <cell r="V48">
            <v>0</v>
          </cell>
          <cell r="W48">
            <v>0</v>
          </cell>
          <cell r="X48">
            <v>0</v>
          </cell>
          <cell r="Y48">
            <v>0</v>
          </cell>
        </row>
        <row r="49">
          <cell r="A49">
            <v>26</v>
          </cell>
          <cell r="B49" t="str">
            <v>Extraordinary Items</v>
          </cell>
          <cell r="E49">
            <v>0</v>
          </cell>
          <cell r="F49">
            <v>0</v>
          </cell>
          <cell r="G49">
            <v>0</v>
          </cell>
          <cell r="H49">
            <v>0</v>
          </cell>
          <cell r="I49">
            <v>0</v>
          </cell>
          <cell r="J49">
            <v>0</v>
          </cell>
          <cell r="K49">
            <v>0</v>
          </cell>
          <cell r="L49">
            <v>0</v>
          </cell>
          <cell r="M49">
            <v>0</v>
          </cell>
          <cell r="N49">
            <v>0</v>
          </cell>
          <cell r="O49">
            <v>0</v>
          </cell>
          <cell r="P49">
            <v>0</v>
          </cell>
          <cell r="T49">
            <v>0</v>
          </cell>
          <cell r="U49">
            <v>0</v>
          </cell>
          <cell r="V49">
            <v>0</v>
          </cell>
          <cell r="W49">
            <v>0</v>
          </cell>
          <cell r="X49">
            <v>0</v>
          </cell>
          <cell r="Y49">
            <v>0</v>
          </cell>
        </row>
        <row r="50">
          <cell r="B50" t="str">
            <v>RETAINED PROFIT(LOSS)</v>
          </cell>
          <cell r="C50">
            <v>0</v>
          </cell>
          <cell r="E50">
            <v>-22.64041418728219</v>
          </cell>
          <cell r="F50">
            <v>-22.64041418728219</v>
          </cell>
          <cell r="G50">
            <v>50.469365812717896</v>
          </cell>
          <cell r="H50">
            <v>-38.096344187282185</v>
          </cell>
          <cell r="I50">
            <v>-7.8553641872822055</v>
          </cell>
          <cell r="J50">
            <v>107.16810581271797</v>
          </cell>
          <cell r="K50">
            <v>-30.39616487861916</v>
          </cell>
          <cell r="L50">
            <v>6.9800751213808354</v>
          </cell>
          <cell r="M50">
            <v>33.79692512138088</v>
          </cell>
          <cell r="N50">
            <v>-24.880158211952484</v>
          </cell>
          <cell r="O50">
            <v>32.842231788047563</v>
          </cell>
          <cell r="P50">
            <v>31.736851788047453</v>
          </cell>
          <cell r="Q50">
            <v>0</v>
          </cell>
          <cell r="R50">
            <v>0</v>
          </cell>
          <cell r="S50">
            <v>0</v>
          </cell>
          <cell r="T50">
            <v>0</v>
          </cell>
          <cell r="U50">
            <v>116.48469560459171</v>
          </cell>
          <cell r="V50">
            <v>517.75578681016509</v>
          </cell>
          <cell r="W50">
            <v>0</v>
          </cell>
          <cell r="X50">
            <v>-401.27109120557338</v>
          </cell>
          <cell r="Y50">
            <v>116.48469560459171</v>
          </cell>
        </row>
        <row r="52">
          <cell r="B52" t="str">
            <v>RATIOS</v>
          </cell>
        </row>
        <row r="53">
          <cell r="B53" t="str">
            <v>No of week</v>
          </cell>
          <cell r="E53">
            <v>4</v>
          </cell>
          <cell r="F53">
            <v>4</v>
          </cell>
          <cell r="G53">
            <v>5</v>
          </cell>
          <cell r="H53">
            <v>4</v>
          </cell>
          <cell r="I53">
            <v>4</v>
          </cell>
          <cell r="J53">
            <v>5</v>
          </cell>
          <cell r="K53">
            <v>4</v>
          </cell>
          <cell r="L53">
            <v>4</v>
          </cell>
          <cell r="M53">
            <v>5</v>
          </cell>
          <cell r="N53">
            <v>4</v>
          </cell>
          <cell r="O53">
            <v>5</v>
          </cell>
          <cell r="P53">
            <v>4</v>
          </cell>
          <cell r="U53">
            <v>52</v>
          </cell>
          <cell r="V53">
            <v>24</v>
          </cell>
          <cell r="W53">
            <v>0</v>
          </cell>
          <cell r="X53">
            <v>28</v>
          </cell>
          <cell r="Y53">
            <v>52</v>
          </cell>
        </row>
        <row r="54">
          <cell r="A54">
            <v>27</v>
          </cell>
          <cell r="B54" t="str">
            <v>Pd Admissions</v>
          </cell>
          <cell r="E54">
            <v>43.218000000000004</v>
          </cell>
          <cell r="F54">
            <v>43.218000000000004</v>
          </cell>
          <cell r="G54">
            <v>57.427999999999997</v>
          </cell>
          <cell r="H54">
            <v>41.208999999999996</v>
          </cell>
          <cell r="I54">
            <v>46.108999999999995</v>
          </cell>
          <cell r="J54">
            <v>68.403999999999996</v>
          </cell>
          <cell r="K54">
            <v>42.188999999999993</v>
          </cell>
          <cell r="L54">
            <v>49.538999999999994</v>
          </cell>
          <cell r="M54">
            <v>54.585999999999999</v>
          </cell>
          <cell r="N54">
            <v>43.266999999999996</v>
          </cell>
          <cell r="O54">
            <v>54.488</v>
          </cell>
          <cell r="P54">
            <v>54.39</v>
          </cell>
          <cell r="T54">
            <v>0</v>
          </cell>
          <cell r="U54">
            <v>598.04499999999996</v>
          </cell>
          <cell r="V54">
            <v>344</v>
          </cell>
          <cell r="W54">
            <v>0</v>
          </cell>
          <cell r="X54">
            <v>254.04499999999999</v>
          </cell>
          <cell r="Y54">
            <v>598.04499999999996</v>
          </cell>
        </row>
        <row r="55">
          <cell r="A55">
            <v>28</v>
          </cell>
          <cell r="B55" t="str">
            <v>Admissions</v>
          </cell>
          <cell r="E55">
            <v>44.1</v>
          </cell>
          <cell r="F55">
            <v>44.1</v>
          </cell>
          <cell r="G55">
            <v>58.6</v>
          </cell>
          <cell r="H55">
            <v>42.05</v>
          </cell>
          <cell r="I55">
            <v>47.05</v>
          </cell>
          <cell r="J55">
            <v>69.8</v>
          </cell>
          <cell r="K55">
            <v>43.05</v>
          </cell>
          <cell r="L55">
            <v>50.55</v>
          </cell>
          <cell r="M55">
            <v>55.7</v>
          </cell>
          <cell r="N55">
            <v>44.15</v>
          </cell>
          <cell r="O55">
            <v>55.6</v>
          </cell>
          <cell r="P55">
            <v>55.5</v>
          </cell>
          <cell r="T55">
            <v>0</v>
          </cell>
          <cell r="U55">
            <v>610.25</v>
          </cell>
          <cell r="V55">
            <v>344</v>
          </cell>
          <cell r="W55">
            <v>0</v>
          </cell>
          <cell r="X55">
            <v>266.25</v>
          </cell>
          <cell r="Y55">
            <v>610.25</v>
          </cell>
        </row>
        <row r="56">
          <cell r="B56" t="str">
            <v>Utilisation Rate</v>
          </cell>
          <cell r="E56">
            <v>0.19616739617807197</v>
          </cell>
          <cell r="F56">
            <v>0.19616739617807197</v>
          </cell>
          <cell r="G56">
            <v>0.20853350414575994</v>
          </cell>
          <cell r="H56">
            <v>0.18704850361197112</v>
          </cell>
          <cell r="I56">
            <v>0.20928970499270488</v>
          </cell>
          <cell r="J56">
            <v>0.24838973702003486</v>
          </cell>
          <cell r="K56">
            <v>0.19149674388811785</v>
          </cell>
          <cell r="L56">
            <v>0.22485854595921853</v>
          </cell>
          <cell r="M56">
            <v>0.19821358670509948</v>
          </cell>
          <cell r="N56">
            <v>0.19638980819187929</v>
          </cell>
          <cell r="O56">
            <v>0.19785772748300773</v>
          </cell>
          <cell r="P56">
            <v>0.24687733532614498</v>
          </cell>
          <cell r="U56">
            <v>0.20881066373219678</v>
          </cell>
          <cell r="V56">
            <v>0.25503244249908069</v>
          </cell>
          <cell r="W56" t="str">
            <v>N.A.</v>
          </cell>
          <cell r="X56">
            <v>-4.6221778766883909E-2</v>
          </cell>
          <cell r="Y56" t="str">
            <v>N.A.</v>
          </cell>
        </row>
        <row r="57">
          <cell r="B57" t="str">
            <v>Ave. Admission Price (S$)</v>
          </cell>
          <cell r="C57" t="str">
            <v>N.A.</v>
          </cell>
          <cell r="E57">
            <v>7.9790476190476198</v>
          </cell>
          <cell r="F57">
            <v>7.9790476190476198</v>
          </cell>
          <cell r="G57">
            <v>7.9565870307167241</v>
          </cell>
          <cell r="H57">
            <v>7.9868727705112965</v>
          </cell>
          <cell r="I57">
            <v>7.9510733262486726</v>
          </cell>
          <cell r="J57">
            <v>7.9271919770773653</v>
          </cell>
          <cell r="K57">
            <v>7.9790476190476207</v>
          </cell>
          <cell r="L57">
            <v>7.9985756676557873</v>
          </cell>
          <cell r="M57">
            <v>7.9849551166965895</v>
          </cell>
          <cell r="N57">
            <v>7.9865005662514159</v>
          </cell>
          <cell r="O57">
            <v>7.973129496402878</v>
          </cell>
          <cell r="P57">
            <v>7.9612612612612619</v>
          </cell>
          <cell r="Q57">
            <v>0</v>
          </cell>
          <cell r="R57" t="str">
            <v>N.A.</v>
          </cell>
          <cell r="S57" t="str">
            <v>N.A.</v>
          </cell>
          <cell r="U57">
            <v>7.9698811962310545</v>
          </cell>
          <cell r="V57">
            <v>7.8958633720930234</v>
          </cell>
          <cell r="W57" t="str">
            <v>N.A.</v>
          </cell>
          <cell r="X57">
            <v>7.4017824138031152E-2</v>
          </cell>
          <cell r="Y57" t="str">
            <v>N.A.</v>
          </cell>
        </row>
        <row r="58">
          <cell r="B58" t="str">
            <v>Advert. Cost % of Box</v>
          </cell>
          <cell r="C58" t="str">
            <v>N.A.</v>
          </cell>
          <cell r="E58">
            <v>2.3E-2</v>
          </cell>
          <cell r="F58">
            <v>2.3E-2</v>
          </cell>
          <cell r="G58">
            <v>2.3E-2</v>
          </cell>
          <cell r="H58">
            <v>2.3E-2</v>
          </cell>
          <cell r="I58">
            <v>2.3E-2</v>
          </cell>
          <cell r="J58">
            <v>2.3E-2</v>
          </cell>
          <cell r="K58">
            <v>2.3E-2</v>
          </cell>
          <cell r="L58">
            <v>2.3E-2</v>
          </cell>
          <cell r="M58">
            <v>2.3E-2</v>
          </cell>
          <cell r="N58">
            <v>2.3E-2</v>
          </cell>
          <cell r="O58">
            <v>2.3E-2</v>
          </cell>
          <cell r="P58">
            <v>2.3E-2</v>
          </cell>
          <cell r="R58">
            <v>2.5999999999999999E-2</v>
          </cell>
          <cell r="S58">
            <v>2.5999999999999999E-2</v>
          </cell>
          <cell r="T58">
            <v>2.5999999999999999E-2</v>
          </cell>
          <cell r="U58">
            <v>2.3000000000000003E-2</v>
          </cell>
          <cell r="V58">
            <v>2.1643236063040076E-2</v>
          </cell>
          <cell r="W58" t="str">
            <v>N.A.</v>
          </cell>
          <cell r="X58">
            <v>1.3567639369599267E-3</v>
          </cell>
          <cell r="Y58" t="str">
            <v>N.A.</v>
          </cell>
        </row>
        <row r="59">
          <cell r="B59" t="str">
            <v>Concession Cost %</v>
          </cell>
          <cell r="C59" t="str">
            <v>N.A.</v>
          </cell>
          <cell r="E59">
            <v>0.20499999999999999</v>
          </cell>
          <cell r="F59">
            <v>0.20499999999999999</v>
          </cell>
          <cell r="G59">
            <v>0.20499999999999999</v>
          </cell>
          <cell r="H59">
            <v>0.20499999999999999</v>
          </cell>
          <cell r="I59">
            <v>0.20499999999999999</v>
          </cell>
          <cell r="J59">
            <v>0.20499999999999999</v>
          </cell>
          <cell r="K59">
            <v>0.20499999999999999</v>
          </cell>
          <cell r="L59">
            <v>0.20499999999999999</v>
          </cell>
          <cell r="M59">
            <v>0.20499999999999999</v>
          </cell>
          <cell r="N59">
            <v>0.20499999999999999</v>
          </cell>
          <cell r="O59">
            <v>0.20499999999999999</v>
          </cell>
          <cell r="P59">
            <v>0.20499999999999999</v>
          </cell>
          <cell r="R59" t="str">
            <v>N.A.</v>
          </cell>
          <cell r="S59" t="str">
            <v>N.A.</v>
          </cell>
          <cell r="U59">
            <v>0.20499999999999999</v>
          </cell>
          <cell r="V59">
            <v>0.16289135267876603</v>
          </cell>
          <cell r="W59" t="str">
            <v>N.A.</v>
          </cell>
          <cell r="X59">
            <v>4.2108647321233983E-2</v>
          </cell>
          <cell r="Y59" t="str">
            <v>N.A.</v>
          </cell>
        </row>
        <row r="60">
          <cell r="B60" t="str">
            <v>Concess. Rev per Patron (S$)</v>
          </cell>
          <cell r="C60" t="str">
            <v>N.A.</v>
          </cell>
          <cell r="E60">
            <v>1.4</v>
          </cell>
          <cell r="F60">
            <v>1.4</v>
          </cell>
          <cell r="G60">
            <v>1.4</v>
          </cell>
          <cell r="H60">
            <v>1.4</v>
          </cell>
          <cell r="I60">
            <v>1.4</v>
          </cell>
          <cell r="J60">
            <v>1.4</v>
          </cell>
          <cell r="K60">
            <v>1.4</v>
          </cell>
          <cell r="L60">
            <v>1.4</v>
          </cell>
          <cell r="M60">
            <v>1.4</v>
          </cell>
          <cell r="N60">
            <v>1.4</v>
          </cell>
          <cell r="O60">
            <v>1.4</v>
          </cell>
          <cell r="P60">
            <v>1.4</v>
          </cell>
          <cell r="R60" t="str">
            <v>N.A.</v>
          </cell>
          <cell r="S60" t="str">
            <v>N.A.</v>
          </cell>
          <cell r="U60">
            <v>1.4</v>
          </cell>
          <cell r="V60">
            <v>1.0002761627906978</v>
          </cell>
          <cell r="W60" t="str">
            <v>N.A.</v>
          </cell>
          <cell r="X60">
            <v>0.39972383720930216</v>
          </cell>
          <cell r="Y60" t="str">
            <v>N.A.</v>
          </cell>
        </row>
        <row r="61">
          <cell r="B61" t="str">
            <v>Film Hire : % of Net Box</v>
          </cell>
          <cell r="C61" t="str">
            <v>N.A.</v>
          </cell>
          <cell r="E61">
            <v>0.46500000000000002</v>
          </cell>
          <cell r="F61">
            <v>0.46500000000000002</v>
          </cell>
          <cell r="G61">
            <v>0.46500000000000002</v>
          </cell>
          <cell r="H61">
            <v>0.46500000000000002</v>
          </cell>
          <cell r="I61">
            <v>0.46500000000000002</v>
          </cell>
          <cell r="J61">
            <v>0.46500000000000002</v>
          </cell>
          <cell r="K61">
            <v>0.46500000000000002</v>
          </cell>
          <cell r="L61">
            <v>0.46500000000000002</v>
          </cell>
          <cell r="M61">
            <v>0.46500000000000002</v>
          </cell>
          <cell r="N61">
            <v>0.46500000000000002</v>
          </cell>
          <cell r="O61">
            <v>0.46500000000000002</v>
          </cell>
          <cell r="P61">
            <v>0.46500000000000002</v>
          </cell>
          <cell r="R61" t="str">
            <v>N.A.</v>
          </cell>
          <cell r="S61" t="str">
            <v>N.A.</v>
          </cell>
          <cell r="U61">
            <v>0.46500000000000002</v>
          </cell>
          <cell r="V61">
            <v>0.46693643308223287</v>
          </cell>
          <cell r="W61" t="str">
            <v>N.A.</v>
          </cell>
          <cell r="X61">
            <v>-1.9364330822329023E-3</v>
          </cell>
          <cell r="Y61" t="str">
            <v>N.A.</v>
          </cell>
        </row>
        <row r="62">
          <cell r="B62" t="str">
            <v>Direct Payroll : Net Box</v>
          </cell>
          <cell r="C62" t="str">
            <v>N.A.</v>
          </cell>
          <cell r="E62">
            <v>0.11365040015582155</v>
          </cell>
          <cell r="F62">
            <v>0.11365040015582155</v>
          </cell>
          <cell r="G62">
            <v>8.8129371429493383E-2</v>
          </cell>
          <cell r="H62">
            <v>0.11907424848511787</v>
          </cell>
          <cell r="I62">
            <v>0.10689939054801112</v>
          </cell>
          <cell r="J62">
            <v>7.4262626925619371E-2</v>
          </cell>
          <cell r="K62">
            <v>0.11832278781515429</v>
          </cell>
          <cell r="L62">
            <v>0.1005214602227149</v>
          </cell>
          <cell r="M62">
            <v>9.3856131973796927E-2</v>
          </cell>
          <cell r="N62">
            <v>0.11526710124936153</v>
          </cell>
          <cell r="O62">
            <v>9.4164394276030267E-2</v>
          </cell>
          <cell r="P62">
            <v>9.4474688172297996E-2</v>
          </cell>
          <cell r="R62" t="str">
            <v>N.A.</v>
          </cell>
          <cell r="S62" t="str">
            <v>N.A.</v>
          </cell>
          <cell r="U62">
            <v>0.1006055027006547</v>
          </cell>
          <cell r="V62">
            <v>7.6356286795742676E-2</v>
          </cell>
          <cell r="W62" t="str">
            <v>N.A.</v>
          </cell>
          <cell r="X62">
            <v>2.4249215904912025E-2</v>
          </cell>
          <cell r="Y62" t="str">
            <v>N.A.</v>
          </cell>
        </row>
        <row r="63">
          <cell r="B63" t="str">
            <v>Direct Payroll : Net Box &amp; Conc.</v>
          </cell>
          <cell r="C63" t="str">
            <v>N.A.</v>
          </cell>
          <cell r="E63">
            <v>9.6685931407948109E-2</v>
          </cell>
          <cell r="F63">
            <v>9.6685931407948109E-2</v>
          </cell>
          <cell r="G63">
            <v>7.4942819581448453E-2</v>
          </cell>
          <cell r="H63">
            <v>0.10131498488852766</v>
          </cell>
          <cell r="I63">
            <v>9.0894901913843432E-2</v>
          </cell>
          <cell r="J63">
            <v>6.3115898311972354E-2</v>
          </cell>
          <cell r="K63">
            <v>0.10066087696134877</v>
          </cell>
          <cell r="L63">
            <v>8.554791004998942E-2</v>
          </cell>
          <cell r="M63">
            <v>7.9855150282414397E-2</v>
          </cell>
          <cell r="N63">
            <v>9.8074970847823364E-2</v>
          </cell>
          <cell r="O63">
            <v>8.0099705205316493E-2</v>
          </cell>
          <cell r="P63">
            <v>8.0345762619439667E-2</v>
          </cell>
          <cell r="Q63">
            <v>0</v>
          </cell>
          <cell r="R63" t="str">
            <v>N.A.</v>
          </cell>
          <cell r="S63" t="str">
            <v>N.A.</v>
          </cell>
          <cell r="T63" t="str">
            <v>N.A.</v>
          </cell>
          <cell r="U63">
            <v>8.5573540092892794E-2</v>
          </cell>
          <cell r="V63">
            <v>6.7770835402866145E-2</v>
          </cell>
          <cell r="W63" t="str">
            <v>N.A.</v>
          </cell>
          <cell r="X63">
            <v>1.7802704690026649E-2</v>
          </cell>
          <cell r="Y63" t="str">
            <v>N.A.</v>
          </cell>
        </row>
        <row r="64">
          <cell r="B64" t="str">
            <v>Direct Payroll of Admissions (S$)</v>
          </cell>
          <cell r="C64" t="str">
            <v>N.A.</v>
          </cell>
          <cell r="E64">
            <v>0.90682195476711713</v>
          </cell>
          <cell r="F64">
            <v>0.90682195476711713</v>
          </cell>
          <cell r="G64">
            <v>0.70120901374112399</v>
          </cell>
          <cell r="H64">
            <v>0.95103087289488397</v>
          </cell>
          <cell r="I64">
            <v>0.84996489277853071</v>
          </cell>
          <cell r="J64">
            <v>0.58869410036145942</v>
          </cell>
          <cell r="K64">
            <v>0.94410315839558367</v>
          </cell>
          <cell r="L64">
            <v>0.80402850581463647</v>
          </cell>
          <cell r="M64">
            <v>0.74943700123752011</v>
          </cell>
          <cell r="N64">
            <v>0.92058076939818512</v>
          </cell>
          <cell r="O64">
            <v>0.75078490951312726</v>
          </cell>
          <cell r="P64">
            <v>0.75213767511585361</v>
          </cell>
          <cell r="Q64">
            <v>0</v>
          </cell>
          <cell r="R64" t="str">
            <v>N.A.</v>
          </cell>
          <cell r="S64" t="str">
            <v>N.A.</v>
          </cell>
          <cell r="T64" t="str">
            <v>N.A.</v>
          </cell>
          <cell r="U64">
            <v>0.80181390421132048</v>
          </cell>
          <cell r="V64">
            <v>0.60289880813953478</v>
          </cell>
          <cell r="W64" t="str">
            <v>N.A.</v>
          </cell>
          <cell r="X64">
            <v>0.1989150960717857</v>
          </cell>
          <cell r="Y64" t="str">
            <v>N.A.</v>
          </cell>
        </row>
        <row r="65">
          <cell r="B65" t="str">
            <v>Gross Margin :Total Rev</v>
          </cell>
          <cell r="C65" t="str">
            <v>N.A.</v>
          </cell>
          <cell r="E65">
            <v>0.49638021452148323</v>
          </cell>
          <cell r="F65">
            <v>0.49638021452148323</v>
          </cell>
          <cell r="G65">
            <v>0.50759076613428944</v>
          </cell>
          <cell r="H65">
            <v>0.49386774690310059</v>
          </cell>
          <cell r="I65">
            <v>0.49962576730897507</v>
          </cell>
          <cell r="J65">
            <v>0.51448275811922728</v>
          </cell>
          <cell r="K65">
            <v>0.49362110277158677</v>
          </cell>
          <cell r="L65">
            <v>0.50180554137618183</v>
          </cell>
          <cell r="M65">
            <v>0.50422498054121678</v>
          </cell>
          <cell r="N65">
            <v>0.49499093728357912</v>
          </cell>
          <cell r="O65">
            <v>0.50413639029843782</v>
          </cell>
          <cell r="P65">
            <v>0.50404728854413305</v>
          </cell>
          <cell r="Q65">
            <v>0</v>
          </cell>
          <cell r="R65" t="str">
            <v>N.A.</v>
          </cell>
          <cell r="S65" t="str">
            <v>N.A.</v>
          </cell>
          <cell r="T65" t="str">
            <v>N.A.</v>
          </cell>
          <cell r="U65">
            <v>0.50180729447328798</v>
          </cell>
          <cell r="V65">
            <v>0.52339234236107424</v>
          </cell>
          <cell r="W65" t="str">
            <v>N.A.</v>
          </cell>
          <cell r="X65">
            <v>-2.1585047887786257E-2</v>
          </cell>
          <cell r="Y65" t="str">
            <v>N.A.</v>
          </cell>
        </row>
        <row r="66">
          <cell r="B66" t="str">
            <v>G&amp;A % of total revenue</v>
          </cell>
          <cell r="C66" t="str">
            <v>N.A.</v>
          </cell>
          <cell r="E66">
            <v>4.0160796078463498E-2</v>
          </cell>
          <cell r="F66">
            <v>4.0160796078463498E-2</v>
          </cell>
          <cell r="G66">
            <v>3.058970868803125E-2</v>
          </cell>
          <cell r="H66">
            <v>4.1934063193663738E-2</v>
          </cell>
          <cell r="I66">
            <v>3.7568515645295883E-2</v>
          </cell>
          <cell r="J66">
            <v>2.6243252538754491E-2</v>
          </cell>
          <cell r="K66">
            <v>4.1080670784895031E-2</v>
          </cell>
          <cell r="L66">
            <v>3.9240071561967814E-2</v>
          </cell>
          <cell r="M66">
            <v>3.2310312396351612E-2</v>
          </cell>
          <cell r="N66">
            <v>3.972746567092296E-2</v>
          </cell>
          <cell r="O66">
            <v>3.2403322196825922E-2</v>
          </cell>
          <cell r="P66">
            <v>3.2192111105117466E-2</v>
          </cell>
          <cell r="Q66">
            <v>0</v>
          </cell>
          <cell r="R66" t="e">
            <v>#DIV/0!</v>
          </cell>
          <cell r="S66" t="e">
            <v>#DIV/0!</v>
          </cell>
          <cell r="T66" t="e">
            <v>#DIV/0!</v>
          </cell>
          <cell r="U66">
            <v>3.5438226015241124E-2</v>
          </cell>
          <cell r="V66">
            <v>3.7991169224347025E-2</v>
          </cell>
          <cell r="W66" t="str">
            <v>N.A.</v>
          </cell>
          <cell r="X66">
            <v>-2.5529432091059012E-3</v>
          </cell>
          <cell r="Y66" t="str">
            <v>N.A.</v>
          </cell>
        </row>
        <row r="67">
          <cell r="B67" t="str">
            <v>E.B.I.T.D. : Total Rev</v>
          </cell>
          <cell r="C67" t="str">
            <v>N.A.</v>
          </cell>
          <cell r="E67">
            <v>5.791844063090161E-2</v>
          </cell>
          <cell r="F67">
            <v>5.791844063090161E-2</v>
          </cell>
          <cell r="G67">
            <v>0.17021515603119061</v>
          </cell>
          <cell r="H67">
            <v>2.436381502537251E-2</v>
          </cell>
          <cell r="I67">
            <v>8.5934873697561989E-2</v>
          </cell>
          <cell r="J67">
            <v>0.22751361515395505</v>
          </cell>
          <cell r="K67">
            <v>4.1477836148879316E-2</v>
          </cell>
          <cell r="L67">
            <v>0.10917839619230042</v>
          </cell>
          <cell r="M67">
            <v>0.14805287956901672</v>
          </cell>
          <cell r="N67">
            <v>5.3975745766855314E-2</v>
          </cell>
          <cell r="O67">
            <v>0.14769653478839553</v>
          </cell>
          <cell r="P67">
            <v>0.14612344210104755</v>
          </cell>
          <cell r="Q67">
            <v>0</v>
          </cell>
          <cell r="R67" t="str">
            <v>N.A.</v>
          </cell>
          <cell r="S67" t="str">
            <v>N.A.</v>
          </cell>
          <cell r="T67" t="str">
            <v>N.A.</v>
          </cell>
          <cell r="U67">
            <v>0.11448342477799142</v>
          </cell>
          <cell r="V67">
            <v>0.26949188839704358</v>
          </cell>
          <cell r="W67" t="str">
            <v>N.A.</v>
          </cell>
          <cell r="X67">
            <v>-0.15500846361905216</v>
          </cell>
          <cell r="Y67" t="str">
            <v>N.A.</v>
          </cell>
        </row>
        <row r="68">
          <cell r="B68" t="str">
            <v>No of Concession Transactions</v>
          </cell>
          <cell r="E68">
            <v>12</v>
          </cell>
          <cell r="F68">
            <v>12</v>
          </cell>
          <cell r="G68">
            <v>18</v>
          </cell>
          <cell r="H68">
            <v>12</v>
          </cell>
          <cell r="I68">
            <v>14</v>
          </cell>
          <cell r="J68">
            <v>19</v>
          </cell>
          <cell r="K68">
            <v>12</v>
          </cell>
          <cell r="L68">
            <v>14</v>
          </cell>
          <cell r="M68">
            <v>16</v>
          </cell>
          <cell r="N68">
            <v>13</v>
          </cell>
          <cell r="O68">
            <v>17</v>
          </cell>
          <cell r="P68">
            <v>19</v>
          </cell>
          <cell r="U68">
            <v>178</v>
          </cell>
          <cell r="V68">
            <v>79</v>
          </cell>
          <cell r="W68" t="str">
            <v>N.A.</v>
          </cell>
          <cell r="X68">
            <v>99</v>
          </cell>
          <cell r="Y68" t="str">
            <v>N.A.</v>
          </cell>
        </row>
        <row r="69">
          <cell r="B69" t="str">
            <v>Strike Rate %(No of Trans/Adm)</v>
          </cell>
          <cell r="E69">
            <v>0.27210884353741494</v>
          </cell>
          <cell r="F69">
            <v>0.27210884353741494</v>
          </cell>
          <cell r="G69">
            <v>0.30716723549488056</v>
          </cell>
          <cell r="H69">
            <v>0.28537455410225926</v>
          </cell>
          <cell r="I69">
            <v>0.29755579171094582</v>
          </cell>
          <cell r="J69">
            <v>0.27220630372492838</v>
          </cell>
          <cell r="K69">
            <v>0.27874564459930318</v>
          </cell>
          <cell r="L69">
            <v>0.27695351137487639</v>
          </cell>
          <cell r="M69">
            <v>0.28725314183123879</v>
          </cell>
          <cell r="N69">
            <v>0.29445073612684031</v>
          </cell>
          <cell r="O69">
            <v>0.30575539568345322</v>
          </cell>
          <cell r="P69">
            <v>0.34234234234234234</v>
          </cell>
          <cell r="U69">
            <v>0.2916837361736993</v>
          </cell>
          <cell r="V69">
            <v>0.22965116279069767</v>
          </cell>
          <cell r="W69" t="str">
            <v>N.A.</v>
          </cell>
          <cell r="X69">
            <v>6.2032573383001638E-2</v>
          </cell>
          <cell r="Y69" t="str">
            <v>N.A.</v>
          </cell>
        </row>
        <row r="70">
          <cell r="B70" t="str">
            <v>Ave Sales (Total Sale/No of Trans) (S$)</v>
          </cell>
          <cell r="E70">
            <v>5.1449999999999996</v>
          </cell>
          <cell r="F70">
            <v>5.1449999999999996</v>
          </cell>
          <cell r="G70">
            <v>4.557777777777777</v>
          </cell>
          <cell r="H70">
            <v>4.9058333333333328</v>
          </cell>
          <cell r="I70">
            <v>4.7050000000000001</v>
          </cell>
          <cell r="J70">
            <v>5.1431578947368415</v>
          </cell>
          <cell r="K70">
            <v>5.0225</v>
          </cell>
          <cell r="L70">
            <v>5.0549999999999997</v>
          </cell>
          <cell r="M70">
            <v>4.8737500000000002</v>
          </cell>
          <cell r="N70">
            <v>4.7546153846153842</v>
          </cell>
          <cell r="O70">
            <v>4.578823529411765</v>
          </cell>
          <cell r="P70">
            <v>4.0894736842105255</v>
          </cell>
          <cell r="U70">
            <v>4.7997191011235953</v>
          </cell>
          <cell r="V70">
            <v>4.355632911392405</v>
          </cell>
          <cell r="W70" t="str">
            <v>N.A.</v>
          </cell>
          <cell r="X70">
            <v>0.4440861897311903</v>
          </cell>
          <cell r="Y70" t="str">
            <v>N.A.</v>
          </cell>
        </row>
        <row r="71">
          <cell r="B71" t="str">
            <v xml:space="preserve">Total Concession Combo Sales </v>
          </cell>
          <cell r="E71">
            <v>27</v>
          </cell>
          <cell r="F71">
            <v>30</v>
          </cell>
          <cell r="G71">
            <v>38</v>
          </cell>
          <cell r="H71">
            <v>28</v>
          </cell>
          <cell r="I71">
            <v>32</v>
          </cell>
          <cell r="J71">
            <v>46</v>
          </cell>
          <cell r="K71">
            <v>28</v>
          </cell>
          <cell r="L71">
            <v>30</v>
          </cell>
          <cell r="M71">
            <v>35</v>
          </cell>
          <cell r="N71">
            <v>28</v>
          </cell>
          <cell r="O71">
            <v>35</v>
          </cell>
          <cell r="P71">
            <v>40</v>
          </cell>
          <cell r="U71">
            <v>397</v>
          </cell>
          <cell r="V71">
            <v>143</v>
          </cell>
          <cell r="W71" t="str">
            <v>N.A.</v>
          </cell>
          <cell r="X71">
            <v>254</v>
          </cell>
          <cell r="Y71" t="str">
            <v>N.A.</v>
          </cell>
        </row>
        <row r="72">
          <cell r="B72" t="str">
            <v>Combo Sales as % of Total Sales</v>
          </cell>
          <cell r="E72">
            <v>0.43731778425655982</v>
          </cell>
          <cell r="F72">
            <v>0.48590864917395532</v>
          </cell>
          <cell r="G72">
            <v>0.46318868844466121</v>
          </cell>
          <cell r="H72">
            <v>0.47562425683709875</v>
          </cell>
          <cell r="I72">
            <v>0.48580537422195241</v>
          </cell>
          <cell r="J72">
            <v>0.47073270568972581</v>
          </cell>
          <cell r="K72">
            <v>0.46457607433217196</v>
          </cell>
          <cell r="L72">
            <v>0.42390843577787202</v>
          </cell>
          <cell r="M72">
            <v>0.44883303411131059</v>
          </cell>
          <cell r="N72">
            <v>0.45300113250283131</v>
          </cell>
          <cell r="O72">
            <v>0.44964028776978415</v>
          </cell>
          <cell r="P72">
            <v>0.51480051480051492</v>
          </cell>
          <cell r="U72">
            <v>0.46468075144846965</v>
          </cell>
          <cell r="V72">
            <v>0.41558290588354957</v>
          </cell>
          <cell r="W72" t="str">
            <v>N.A.</v>
          </cell>
          <cell r="X72">
            <v>4.9097845564920084E-2</v>
          </cell>
          <cell r="Y72" t="str">
            <v>N.A.</v>
          </cell>
        </row>
        <row r="73">
          <cell r="B73" t="str">
            <v>No of Payroll hours Paid</v>
          </cell>
          <cell r="E73">
            <v>4</v>
          </cell>
          <cell r="F73">
            <v>3</v>
          </cell>
          <cell r="G73">
            <v>4</v>
          </cell>
          <cell r="H73">
            <v>3</v>
          </cell>
          <cell r="I73">
            <v>4</v>
          </cell>
          <cell r="J73">
            <v>4</v>
          </cell>
          <cell r="K73">
            <v>3</v>
          </cell>
          <cell r="L73">
            <v>3</v>
          </cell>
          <cell r="M73">
            <v>4</v>
          </cell>
          <cell r="N73">
            <v>3</v>
          </cell>
          <cell r="O73">
            <v>4</v>
          </cell>
          <cell r="P73">
            <v>4</v>
          </cell>
          <cell r="U73">
            <v>68.534000000000006</v>
          </cell>
          <cell r="V73">
            <v>31</v>
          </cell>
          <cell r="W73" t="str">
            <v>N.A.</v>
          </cell>
          <cell r="X73">
            <v>37.534000000000006</v>
          </cell>
          <cell r="Y73" t="str">
            <v>N.A.</v>
          </cell>
        </row>
        <row r="74">
          <cell r="B74" t="str">
            <v>Admissions/labour hour paid</v>
          </cell>
          <cell r="E74">
            <v>9.1855863361799628</v>
          </cell>
          <cell r="F74">
            <v>8.82</v>
          </cell>
          <cell r="G74">
            <v>8.2419127988748233</v>
          </cell>
          <cell r="H74">
            <v>8.7585919600083315</v>
          </cell>
          <cell r="I74">
            <v>9.41</v>
          </cell>
          <cell r="J74">
            <v>9.8171589310829805</v>
          </cell>
          <cell r="K74">
            <v>8.9668818996042479</v>
          </cell>
          <cell r="L74">
            <v>10.11</v>
          </cell>
          <cell r="M74">
            <v>7.8340365682137838</v>
          </cell>
          <cell r="N74">
            <v>9.1960008331597578</v>
          </cell>
          <cell r="O74">
            <v>7.9428571428571431</v>
          </cell>
          <cell r="P74">
            <v>9.25</v>
          </cell>
          <cell r="U74">
            <v>8.9043394519508556</v>
          </cell>
          <cell r="V74">
            <v>11.096774193548388</v>
          </cell>
          <cell r="W74" t="str">
            <v>N.A.</v>
          </cell>
          <cell r="X74">
            <v>-2.1924347415975323</v>
          </cell>
          <cell r="Y74" t="str">
            <v>N.A.</v>
          </cell>
        </row>
        <row r="75">
          <cell r="A75">
            <v>0</v>
          </cell>
        </row>
        <row r="76">
          <cell r="A76">
            <v>0</v>
          </cell>
          <cell r="B76" t="str">
            <v>6 Other Income</v>
          </cell>
        </row>
        <row r="77">
          <cell r="A77">
            <v>52</v>
          </cell>
          <cell r="B77" t="str">
            <v>Booking Fee</v>
          </cell>
          <cell r="E77">
            <v>2.265625</v>
          </cell>
          <cell r="F77">
            <v>2.265625</v>
          </cell>
          <cell r="G77">
            <v>2.265625</v>
          </cell>
          <cell r="H77">
            <v>2.265625</v>
          </cell>
          <cell r="I77">
            <v>2.265625</v>
          </cell>
          <cell r="J77">
            <v>2.265625</v>
          </cell>
          <cell r="K77">
            <v>2.265625</v>
          </cell>
          <cell r="L77">
            <v>2.265625</v>
          </cell>
          <cell r="M77">
            <v>2.265625</v>
          </cell>
          <cell r="N77">
            <v>2.265625</v>
          </cell>
          <cell r="O77">
            <v>2.265625</v>
          </cell>
          <cell r="P77">
            <v>2.265625</v>
          </cell>
          <cell r="T77">
            <v>0</v>
          </cell>
          <cell r="U77">
            <v>27.1875</v>
          </cell>
          <cell r="V77">
            <v>23.982250000000001</v>
          </cell>
          <cell r="W77">
            <v>0</v>
          </cell>
          <cell r="X77">
            <v>3.2052499999999995</v>
          </cell>
          <cell r="Y77">
            <v>27.1875</v>
          </cell>
        </row>
        <row r="78">
          <cell r="A78">
            <v>53</v>
          </cell>
          <cell r="B78" t="str">
            <v>Auditorium Rentals</v>
          </cell>
          <cell r="E78">
            <v>2</v>
          </cell>
          <cell r="F78">
            <v>2</v>
          </cell>
          <cell r="G78">
            <v>2</v>
          </cell>
          <cell r="H78">
            <v>2</v>
          </cell>
          <cell r="I78">
            <v>2</v>
          </cell>
          <cell r="J78">
            <v>2</v>
          </cell>
          <cell r="K78">
            <v>2</v>
          </cell>
          <cell r="L78">
            <v>2</v>
          </cell>
          <cell r="M78">
            <v>2</v>
          </cell>
          <cell r="N78">
            <v>2</v>
          </cell>
          <cell r="O78">
            <v>2</v>
          </cell>
          <cell r="P78">
            <v>2</v>
          </cell>
          <cell r="T78">
            <v>0</v>
          </cell>
          <cell r="U78">
            <v>24</v>
          </cell>
          <cell r="V78">
            <v>3.6760000000000002</v>
          </cell>
          <cell r="W78">
            <v>0</v>
          </cell>
          <cell r="X78">
            <v>20.323999999999998</v>
          </cell>
          <cell r="Y78">
            <v>24</v>
          </cell>
        </row>
        <row r="79">
          <cell r="A79">
            <v>54</v>
          </cell>
          <cell r="B79" t="str">
            <v>Parking Revenue</v>
          </cell>
          <cell r="E79">
            <v>0</v>
          </cell>
          <cell r="F79">
            <v>0</v>
          </cell>
          <cell r="G79">
            <v>0</v>
          </cell>
          <cell r="H79">
            <v>0</v>
          </cell>
          <cell r="I79">
            <v>0</v>
          </cell>
          <cell r="J79">
            <v>0</v>
          </cell>
          <cell r="K79">
            <v>0</v>
          </cell>
          <cell r="L79">
            <v>0</v>
          </cell>
          <cell r="M79">
            <v>0</v>
          </cell>
          <cell r="N79">
            <v>0</v>
          </cell>
          <cell r="O79">
            <v>0</v>
          </cell>
          <cell r="P79">
            <v>0</v>
          </cell>
          <cell r="T79">
            <v>0</v>
          </cell>
          <cell r="U79">
            <v>0</v>
          </cell>
          <cell r="V79">
            <v>0</v>
          </cell>
          <cell r="W79">
            <v>0</v>
          </cell>
          <cell r="X79">
            <v>0</v>
          </cell>
          <cell r="Y79">
            <v>0</v>
          </cell>
        </row>
        <row r="80">
          <cell r="A80">
            <v>55</v>
          </cell>
          <cell r="B80" t="str">
            <v>Ticket Advertising</v>
          </cell>
          <cell r="E80">
            <v>0</v>
          </cell>
          <cell r="F80">
            <v>0</v>
          </cell>
          <cell r="G80">
            <v>0</v>
          </cell>
          <cell r="H80">
            <v>0</v>
          </cell>
          <cell r="I80">
            <v>0</v>
          </cell>
          <cell r="J80">
            <v>0</v>
          </cell>
          <cell r="K80">
            <v>0</v>
          </cell>
          <cell r="L80">
            <v>0</v>
          </cell>
          <cell r="M80">
            <v>0</v>
          </cell>
          <cell r="N80">
            <v>0</v>
          </cell>
          <cell r="O80">
            <v>0</v>
          </cell>
          <cell r="P80">
            <v>0</v>
          </cell>
          <cell r="T80">
            <v>0</v>
          </cell>
          <cell r="U80">
            <v>0</v>
          </cell>
          <cell r="V80">
            <v>0</v>
          </cell>
          <cell r="W80">
            <v>0</v>
          </cell>
          <cell r="X80">
            <v>0</v>
          </cell>
          <cell r="Y80">
            <v>0</v>
          </cell>
        </row>
        <row r="81">
          <cell r="A81">
            <v>56</v>
          </cell>
          <cell r="B81" t="str">
            <v>Participating</v>
          </cell>
          <cell r="E81">
            <v>0</v>
          </cell>
          <cell r="F81">
            <v>0</v>
          </cell>
          <cell r="G81">
            <v>0</v>
          </cell>
          <cell r="H81">
            <v>0</v>
          </cell>
          <cell r="I81">
            <v>0</v>
          </cell>
          <cell r="J81">
            <v>0</v>
          </cell>
          <cell r="K81">
            <v>0</v>
          </cell>
          <cell r="L81">
            <v>0</v>
          </cell>
          <cell r="M81">
            <v>0</v>
          </cell>
          <cell r="N81">
            <v>0</v>
          </cell>
          <cell r="O81">
            <v>0</v>
          </cell>
          <cell r="P81">
            <v>0</v>
          </cell>
          <cell r="T81">
            <v>0</v>
          </cell>
          <cell r="U81">
            <v>0</v>
          </cell>
          <cell r="V81">
            <v>0</v>
          </cell>
          <cell r="W81">
            <v>0</v>
          </cell>
          <cell r="X81">
            <v>0</v>
          </cell>
          <cell r="Y81">
            <v>0</v>
          </cell>
        </row>
        <row r="82">
          <cell r="A82">
            <v>57</v>
          </cell>
          <cell r="B82" t="str">
            <v>Miscellaneous</v>
          </cell>
          <cell r="E82">
            <v>9.5166000000000004</v>
          </cell>
          <cell r="F82">
            <v>9.5166000000000004</v>
          </cell>
          <cell r="G82">
            <v>9.5166000000000004</v>
          </cell>
          <cell r="H82">
            <v>9.5166000000000004</v>
          </cell>
          <cell r="I82">
            <v>9.5166000000000004</v>
          </cell>
          <cell r="J82">
            <v>9.5166000000000004</v>
          </cell>
          <cell r="K82">
            <v>9.5166000000000004</v>
          </cell>
          <cell r="L82">
            <v>9.5166000000000004</v>
          </cell>
          <cell r="M82">
            <v>9.5166000000000004</v>
          </cell>
          <cell r="N82">
            <v>9.5166000000000004</v>
          </cell>
          <cell r="O82">
            <v>9.5166000000000004</v>
          </cell>
          <cell r="P82">
            <v>9.5166000000000004</v>
          </cell>
          <cell r="T82">
            <v>0</v>
          </cell>
          <cell r="U82">
            <v>114.19919999999998</v>
          </cell>
          <cell r="V82">
            <v>47.89</v>
          </cell>
          <cell r="W82">
            <v>0</v>
          </cell>
          <cell r="X82">
            <v>66.309199999999976</v>
          </cell>
          <cell r="Y82">
            <v>114.19919999999998</v>
          </cell>
        </row>
        <row r="83">
          <cell r="C83">
            <v>0</v>
          </cell>
          <cell r="E83">
            <v>13.782225</v>
          </cell>
          <cell r="F83">
            <v>13.782225</v>
          </cell>
          <cell r="G83">
            <v>13.782225</v>
          </cell>
          <cell r="H83">
            <v>13.782225</v>
          </cell>
          <cell r="I83">
            <v>13.782225</v>
          </cell>
          <cell r="J83">
            <v>13.782225</v>
          </cell>
          <cell r="K83">
            <v>13.782225</v>
          </cell>
          <cell r="L83">
            <v>13.782225</v>
          </cell>
          <cell r="M83">
            <v>13.782225</v>
          </cell>
          <cell r="N83">
            <v>13.782225</v>
          </cell>
          <cell r="O83">
            <v>13.782225</v>
          </cell>
          <cell r="P83">
            <v>13.782225</v>
          </cell>
          <cell r="R83">
            <v>0</v>
          </cell>
          <cell r="S83">
            <v>0</v>
          </cell>
          <cell r="T83">
            <v>0</v>
          </cell>
          <cell r="U83">
            <v>165.38669999999996</v>
          </cell>
          <cell r="V83">
            <v>75.548249999999996</v>
          </cell>
          <cell r="W83">
            <v>0</v>
          </cell>
          <cell r="X83">
            <v>89.838449999999966</v>
          </cell>
          <cell r="Y83">
            <v>165.38669999999996</v>
          </cell>
        </row>
        <row r="84">
          <cell r="X84">
            <v>0</v>
          </cell>
          <cell r="Y84">
            <v>0</v>
          </cell>
        </row>
        <row r="85">
          <cell r="B85" t="str">
            <v>10 Other Cost</v>
          </cell>
          <cell r="X85">
            <v>0</v>
          </cell>
          <cell r="Y85">
            <v>0</v>
          </cell>
        </row>
        <row r="86">
          <cell r="A86">
            <v>61</v>
          </cell>
          <cell r="B86" t="str">
            <v>Authors Rights</v>
          </cell>
          <cell r="E86">
            <v>0.70375200000000004</v>
          </cell>
          <cell r="F86">
            <v>0.70375200000000004</v>
          </cell>
          <cell r="G86">
            <v>0.93251200000000012</v>
          </cell>
          <cell r="H86">
            <v>0.67169600000000007</v>
          </cell>
          <cell r="I86">
            <v>0.74819600000000008</v>
          </cell>
          <cell r="J86">
            <v>1.1066360000000002</v>
          </cell>
          <cell r="K86">
            <v>0.68699600000000016</v>
          </cell>
          <cell r="L86">
            <v>0.80865600000000004</v>
          </cell>
          <cell r="M86">
            <v>0.88952400000000009</v>
          </cell>
          <cell r="N86">
            <v>0.70520799999999995</v>
          </cell>
          <cell r="O86">
            <v>0.88661200000000007</v>
          </cell>
          <cell r="P86">
            <v>0.88370000000000004</v>
          </cell>
          <cell r="U86">
            <v>9.7272399999999983</v>
          </cell>
          <cell r="V86">
            <v>5.4323540000000001</v>
          </cell>
          <cell r="W86">
            <v>0</v>
          </cell>
          <cell r="X86">
            <v>4.2948859999999982</v>
          </cell>
          <cell r="Y86">
            <v>9.7272399999999983</v>
          </cell>
        </row>
        <row r="87">
          <cell r="A87">
            <v>62</v>
          </cell>
          <cell r="B87" t="str">
            <v>Film Levies</v>
          </cell>
          <cell r="E87">
            <v>0</v>
          </cell>
          <cell r="F87">
            <v>0</v>
          </cell>
          <cell r="G87">
            <v>0</v>
          </cell>
          <cell r="H87">
            <v>0</v>
          </cell>
          <cell r="I87">
            <v>0</v>
          </cell>
          <cell r="J87">
            <v>0</v>
          </cell>
          <cell r="K87">
            <v>0</v>
          </cell>
          <cell r="L87">
            <v>0</v>
          </cell>
          <cell r="M87">
            <v>0</v>
          </cell>
          <cell r="N87">
            <v>0</v>
          </cell>
          <cell r="O87">
            <v>0</v>
          </cell>
          <cell r="P87">
            <v>0</v>
          </cell>
          <cell r="U87">
            <v>0</v>
          </cell>
          <cell r="V87">
            <v>0</v>
          </cell>
          <cell r="W87">
            <v>0</v>
          </cell>
          <cell r="X87">
            <v>0</v>
          </cell>
          <cell r="Y87">
            <v>0</v>
          </cell>
        </row>
        <row r="88">
          <cell r="A88">
            <v>63</v>
          </cell>
          <cell r="B88" t="str">
            <v>Cultural Fees</v>
          </cell>
          <cell r="E88">
            <v>0</v>
          </cell>
          <cell r="F88">
            <v>0</v>
          </cell>
          <cell r="G88">
            <v>0</v>
          </cell>
          <cell r="H88">
            <v>0</v>
          </cell>
          <cell r="I88">
            <v>0</v>
          </cell>
          <cell r="J88">
            <v>0</v>
          </cell>
          <cell r="K88">
            <v>0</v>
          </cell>
          <cell r="L88">
            <v>0</v>
          </cell>
          <cell r="M88">
            <v>0</v>
          </cell>
          <cell r="N88">
            <v>0</v>
          </cell>
          <cell r="O88">
            <v>0</v>
          </cell>
          <cell r="P88">
            <v>0</v>
          </cell>
          <cell r="U88">
            <v>0</v>
          </cell>
          <cell r="V88">
            <v>0</v>
          </cell>
          <cell r="W88">
            <v>0</v>
          </cell>
          <cell r="X88">
            <v>0</v>
          </cell>
          <cell r="Y88">
            <v>0</v>
          </cell>
        </row>
        <row r="89">
          <cell r="A89">
            <v>64</v>
          </cell>
          <cell r="B89" t="str">
            <v>Municipal Taxes</v>
          </cell>
          <cell r="E89">
            <v>0</v>
          </cell>
          <cell r="F89">
            <v>0</v>
          </cell>
          <cell r="G89">
            <v>0</v>
          </cell>
          <cell r="H89">
            <v>0</v>
          </cell>
          <cell r="I89">
            <v>0</v>
          </cell>
          <cell r="J89">
            <v>0</v>
          </cell>
          <cell r="K89">
            <v>0</v>
          </cell>
          <cell r="L89">
            <v>0</v>
          </cell>
          <cell r="M89">
            <v>0</v>
          </cell>
          <cell r="N89">
            <v>0</v>
          </cell>
          <cell r="O89">
            <v>0</v>
          </cell>
          <cell r="P89">
            <v>0</v>
          </cell>
          <cell r="U89">
            <v>0</v>
          </cell>
          <cell r="V89">
            <v>0</v>
          </cell>
          <cell r="W89">
            <v>0</v>
          </cell>
          <cell r="X89">
            <v>0</v>
          </cell>
          <cell r="Y89">
            <v>0</v>
          </cell>
        </row>
        <row r="90">
          <cell r="A90">
            <v>65</v>
          </cell>
          <cell r="B90" t="str">
            <v>Other</v>
          </cell>
          <cell r="E90">
            <v>0</v>
          </cell>
          <cell r="F90">
            <v>0</v>
          </cell>
          <cell r="G90">
            <v>0</v>
          </cell>
          <cell r="H90">
            <v>0</v>
          </cell>
          <cell r="I90">
            <v>0</v>
          </cell>
          <cell r="J90">
            <v>0</v>
          </cell>
          <cell r="K90">
            <v>0</v>
          </cell>
          <cell r="L90">
            <v>0</v>
          </cell>
          <cell r="M90">
            <v>0</v>
          </cell>
          <cell r="N90">
            <v>0</v>
          </cell>
          <cell r="O90">
            <v>0</v>
          </cell>
          <cell r="P90">
            <v>0</v>
          </cell>
          <cell r="U90">
            <v>0</v>
          </cell>
          <cell r="V90">
            <v>0</v>
          </cell>
          <cell r="W90">
            <v>0</v>
          </cell>
          <cell r="X90">
            <v>0</v>
          </cell>
          <cell r="Y90">
            <v>0</v>
          </cell>
        </row>
        <row r="91">
          <cell r="E91">
            <v>0.70375200000000004</v>
          </cell>
          <cell r="F91">
            <v>0.70375200000000004</v>
          </cell>
          <cell r="G91">
            <v>0.93251200000000012</v>
          </cell>
          <cell r="H91">
            <v>0.67169600000000007</v>
          </cell>
          <cell r="I91">
            <v>0.74819600000000008</v>
          </cell>
          <cell r="J91">
            <v>1.1066360000000002</v>
          </cell>
          <cell r="K91">
            <v>0.68699600000000016</v>
          </cell>
          <cell r="L91">
            <v>0.80865600000000004</v>
          </cell>
          <cell r="M91">
            <v>0.88952400000000009</v>
          </cell>
          <cell r="N91">
            <v>0.70520799999999995</v>
          </cell>
          <cell r="O91">
            <v>0.88661200000000007</v>
          </cell>
          <cell r="P91">
            <v>0.88370000000000004</v>
          </cell>
          <cell r="U91">
            <v>9.7272399999999983</v>
          </cell>
          <cell r="V91">
            <v>5.4323540000000001</v>
          </cell>
          <cell r="W91">
            <v>0</v>
          </cell>
          <cell r="X91">
            <v>4.2948859999999982</v>
          </cell>
          <cell r="Y91">
            <v>9.7272399999999983</v>
          </cell>
        </row>
        <row r="92">
          <cell r="X92">
            <v>0</v>
          </cell>
          <cell r="Y92">
            <v>0</v>
          </cell>
        </row>
        <row r="93">
          <cell r="B93" t="str">
            <v>11 Direct Payroll</v>
          </cell>
          <cell r="X93">
            <v>0</v>
          </cell>
          <cell r="Y93">
            <v>0</v>
          </cell>
        </row>
        <row r="94">
          <cell r="A94">
            <v>66</v>
          </cell>
          <cell r="B94" t="str">
            <v>Salaries</v>
          </cell>
          <cell r="E94">
            <v>37.449615288563209</v>
          </cell>
          <cell r="F94">
            <v>37.449615288563209</v>
          </cell>
          <cell r="G94">
            <v>38.54961528856321</v>
          </cell>
          <cell r="H94">
            <v>37.449615288563209</v>
          </cell>
          <cell r="I94">
            <v>37.449615288563209</v>
          </cell>
          <cell r="J94">
            <v>38.54961528856321</v>
          </cell>
          <cell r="K94">
            <v>38.102408052263215</v>
          </cell>
          <cell r="L94">
            <v>38.102408052263215</v>
          </cell>
          <cell r="M94">
            <v>39.202408052263216</v>
          </cell>
          <cell r="N94">
            <v>38.102408052263215</v>
          </cell>
          <cell r="O94">
            <v>39.202408052263216</v>
          </cell>
          <cell r="P94">
            <v>39.202408052263216</v>
          </cell>
          <cell r="T94">
            <v>0</v>
          </cell>
          <cell r="U94">
            <v>458.81214004495854</v>
          </cell>
          <cell r="V94">
            <v>200.06973999999997</v>
          </cell>
          <cell r="W94">
            <v>0</v>
          </cell>
          <cell r="X94">
            <v>258.74240004495857</v>
          </cell>
          <cell r="Y94">
            <v>458.81214004495854</v>
          </cell>
        </row>
        <row r="95">
          <cell r="A95">
            <v>67</v>
          </cell>
          <cell r="B95" t="str">
            <v>Bonus/Commission</v>
          </cell>
          <cell r="E95">
            <v>1.5172329166666665</v>
          </cell>
          <cell r="F95">
            <v>1.5172329166666665</v>
          </cell>
          <cell r="G95">
            <v>1.5172329166666665</v>
          </cell>
          <cell r="H95">
            <v>1.5172329166666665</v>
          </cell>
          <cell r="I95">
            <v>1.5172329166666665</v>
          </cell>
          <cell r="J95">
            <v>1.5172329166666665</v>
          </cell>
          <cell r="K95">
            <v>1.5172329166666665</v>
          </cell>
          <cell r="L95">
            <v>1.5172329166666665</v>
          </cell>
          <cell r="M95">
            <v>1.5172329166666665</v>
          </cell>
          <cell r="N95">
            <v>1.5172329166666665</v>
          </cell>
          <cell r="O95">
            <v>1.5172329166666665</v>
          </cell>
          <cell r="P95">
            <v>1.5172329166666665</v>
          </cell>
          <cell r="T95">
            <v>0</v>
          </cell>
          <cell r="U95">
            <v>18.206794999999996</v>
          </cell>
          <cell r="V95">
            <v>0</v>
          </cell>
          <cell r="W95">
            <v>0</v>
          </cell>
          <cell r="X95">
            <v>18.206794999999996</v>
          </cell>
          <cell r="Y95">
            <v>18.206794999999996</v>
          </cell>
        </row>
        <row r="96">
          <cell r="A96">
            <v>68</v>
          </cell>
          <cell r="B96" t="str">
            <v>Payroll Tax</v>
          </cell>
          <cell r="E96">
            <v>0</v>
          </cell>
          <cell r="F96">
            <v>0</v>
          </cell>
          <cell r="G96">
            <v>0</v>
          </cell>
          <cell r="H96">
            <v>0</v>
          </cell>
          <cell r="I96">
            <v>0</v>
          </cell>
          <cell r="J96">
            <v>0</v>
          </cell>
          <cell r="K96">
            <v>0</v>
          </cell>
          <cell r="L96">
            <v>0</v>
          </cell>
          <cell r="M96">
            <v>0</v>
          </cell>
          <cell r="N96">
            <v>0</v>
          </cell>
          <cell r="O96">
            <v>0</v>
          </cell>
          <cell r="P96">
            <v>0</v>
          </cell>
          <cell r="T96">
            <v>0</v>
          </cell>
          <cell r="U96">
            <v>0</v>
          </cell>
          <cell r="V96">
            <v>0</v>
          </cell>
          <cell r="W96">
            <v>0</v>
          </cell>
          <cell r="X96">
            <v>0</v>
          </cell>
          <cell r="Y96">
            <v>0</v>
          </cell>
        </row>
        <row r="97">
          <cell r="A97">
            <v>69</v>
          </cell>
          <cell r="B97" t="str">
            <v>Welfare &amp; Pension</v>
          </cell>
          <cell r="E97">
            <v>0.55300000000000005</v>
          </cell>
          <cell r="F97">
            <v>0.55300000000000005</v>
          </cell>
          <cell r="G97">
            <v>0.55300000000000005</v>
          </cell>
          <cell r="H97">
            <v>0.55300000000000005</v>
          </cell>
          <cell r="I97">
            <v>0.55300000000000005</v>
          </cell>
          <cell r="J97">
            <v>0.55300000000000005</v>
          </cell>
          <cell r="K97">
            <v>0.55300000000000005</v>
          </cell>
          <cell r="L97">
            <v>0.55300000000000005</v>
          </cell>
          <cell r="M97">
            <v>0.55300000000000005</v>
          </cell>
          <cell r="N97">
            <v>0.55300000000000005</v>
          </cell>
          <cell r="O97">
            <v>0.55300000000000005</v>
          </cell>
          <cell r="P97">
            <v>0.55300000000000005</v>
          </cell>
          <cell r="T97">
            <v>0</v>
          </cell>
          <cell r="U97">
            <v>6.6360000000000001</v>
          </cell>
          <cell r="V97">
            <v>4.5039999999999996</v>
          </cell>
          <cell r="W97">
            <v>0</v>
          </cell>
          <cell r="X97">
            <v>2.1320000000000006</v>
          </cell>
          <cell r="Y97">
            <v>6.6360000000000001</v>
          </cell>
        </row>
        <row r="98">
          <cell r="A98">
            <v>70</v>
          </cell>
          <cell r="B98" t="str">
            <v>Miscellaneous</v>
          </cell>
          <cell r="E98">
            <v>0.47099999999999997</v>
          </cell>
          <cell r="F98">
            <v>0.47099999999999997</v>
          </cell>
          <cell r="G98">
            <v>0.47099999999999997</v>
          </cell>
          <cell r="H98">
            <v>0.47099999999999997</v>
          </cell>
          <cell r="I98">
            <v>0.47099999999999997</v>
          </cell>
          <cell r="J98">
            <v>0.47099999999999997</v>
          </cell>
          <cell r="K98">
            <v>0.47099999999999997</v>
          </cell>
          <cell r="L98">
            <v>0.47099999999999997</v>
          </cell>
          <cell r="M98">
            <v>0.47099999999999997</v>
          </cell>
          <cell r="N98">
            <v>0.47099999999999997</v>
          </cell>
          <cell r="O98">
            <v>0.47099999999999997</v>
          </cell>
          <cell r="P98">
            <v>0.47099999999999997</v>
          </cell>
          <cell r="T98">
            <v>0</v>
          </cell>
          <cell r="U98">
            <v>5.6520000000000001</v>
          </cell>
          <cell r="V98">
            <v>2.8234499999999998</v>
          </cell>
          <cell r="W98">
            <v>0</v>
          </cell>
          <cell r="X98">
            <v>2.8285500000000003</v>
          </cell>
          <cell r="Y98">
            <v>5.6520000000000001</v>
          </cell>
        </row>
        <row r="99">
          <cell r="C99">
            <v>0</v>
          </cell>
          <cell r="E99">
            <v>39.990848205229867</v>
          </cell>
          <cell r="F99">
            <v>39.990848205229867</v>
          </cell>
          <cell r="G99">
            <v>41.090848205229868</v>
          </cell>
          <cell r="H99">
            <v>39.990848205229867</v>
          </cell>
          <cell r="I99">
            <v>39.990848205229867</v>
          </cell>
          <cell r="J99">
            <v>41.090848205229868</v>
          </cell>
          <cell r="K99">
            <v>40.643640968929873</v>
          </cell>
          <cell r="L99">
            <v>40.643640968929873</v>
          </cell>
          <cell r="M99">
            <v>41.743640968929874</v>
          </cell>
          <cell r="N99">
            <v>40.643640968929873</v>
          </cell>
          <cell r="O99">
            <v>41.743640968929874</v>
          </cell>
          <cell r="P99">
            <v>41.743640968929874</v>
          </cell>
          <cell r="R99">
            <v>0</v>
          </cell>
          <cell r="S99">
            <v>0</v>
          </cell>
          <cell r="T99">
            <v>0</v>
          </cell>
          <cell r="U99">
            <v>489.30693504495855</v>
          </cell>
          <cell r="V99">
            <v>207.39718999999997</v>
          </cell>
          <cell r="W99">
            <v>0</v>
          </cell>
          <cell r="X99">
            <v>281.90974504495858</v>
          </cell>
          <cell r="Y99">
            <v>489.30693504495855</v>
          </cell>
        </row>
        <row r="100">
          <cell r="X100">
            <v>0</v>
          </cell>
          <cell r="Y100">
            <v>0</v>
          </cell>
        </row>
        <row r="101">
          <cell r="B101" t="str">
            <v>16 Other Overhead Costs</v>
          </cell>
          <cell r="X101">
            <v>0</v>
          </cell>
          <cell r="Y101">
            <v>0</v>
          </cell>
        </row>
        <row r="102">
          <cell r="A102">
            <v>71</v>
          </cell>
          <cell r="B102" t="str">
            <v>Insurance (Other than employee)</v>
          </cell>
          <cell r="E102">
            <v>1.3</v>
          </cell>
          <cell r="F102">
            <v>1.3</v>
          </cell>
          <cell r="G102">
            <v>1.3</v>
          </cell>
          <cell r="H102">
            <v>1.3</v>
          </cell>
          <cell r="I102">
            <v>1.3</v>
          </cell>
          <cell r="J102">
            <v>1.3</v>
          </cell>
          <cell r="K102">
            <v>1.3</v>
          </cell>
          <cell r="L102">
            <v>1.3</v>
          </cell>
          <cell r="M102">
            <v>1.3</v>
          </cell>
          <cell r="N102">
            <v>1.3</v>
          </cell>
          <cell r="O102">
            <v>1.3</v>
          </cell>
          <cell r="P102">
            <v>1.3</v>
          </cell>
          <cell r="T102">
            <v>0</v>
          </cell>
          <cell r="U102">
            <v>15.6</v>
          </cell>
          <cell r="V102">
            <v>6.6890000000000001</v>
          </cell>
          <cell r="W102">
            <v>0</v>
          </cell>
          <cell r="X102">
            <v>8.9110000000000031</v>
          </cell>
          <cell r="Y102">
            <v>15.6</v>
          </cell>
        </row>
        <row r="103">
          <cell r="A103">
            <v>72</v>
          </cell>
          <cell r="B103" t="str">
            <v>Property Taxes</v>
          </cell>
          <cell r="E103">
            <v>0</v>
          </cell>
          <cell r="F103">
            <v>0</v>
          </cell>
          <cell r="G103">
            <v>0</v>
          </cell>
          <cell r="H103">
            <v>0</v>
          </cell>
          <cell r="I103">
            <v>0</v>
          </cell>
          <cell r="J103">
            <v>0</v>
          </cell>
          <cell r="K103">
            <v>0</v>
          </cell>
          <cell r="L103">
            <v>0</v>
          </cell>
          <cell r="M103">
            <v>0</v>
          </cell>
          <cell r="N103">
            <v>0</v>
          </cell>
          <cell r="O103">
            <v>0</v>
          </cell>
          <cell r="P103">
            <v>0</v>
          </cell>
          <cell r="T103">
            <v>0</v>
          </cell>
          <cell r="U103">
            <v>0</v>
          </cell>
          <cell r="V103">
            <v>0</v>
          </cell>
          <cell r="W103">
            <v>0</v>
          </cell>
          <cell r="X103">
            <v>0</v>
          </cell>
          <cell r="Y103">
            <v>0</v>
          </cell>
        </row>
        <row r="104">
          <cell r="A104">
            <v>73</v>
          </cell>
          <cell r="B104" t="str">
            <v>Travel &amp; Entertainment</v>
          </cell>
          <cell r="E104">
            <v>2</v>
          </cell>
          <cell r="F104">
            <v>2</v>
          </cell>
          <cell r="G104">
            <v>2</v>
          </cell>
          <cell r="H104">
            <v>2</v>
          </cell>
          <cell r="I104">
            <v>2</v>
          </cell>
          <cell r="J104">
            <v>2</v>
          </cell>
          <cell r="K104">
            <v>2</v>
          </cell>
          <cell r="L104">
            <v>2</v>
          </cell>
          <cell r="M104">
            <v>2</v>
          </cell>
          <cell r="N104">
            <v>2</v>
          </cell>
          <cell r="O104">
            <v>2</v>
          </cell>
          <cell r="P104">
            <v>2</v>
          </cell>
          <cell r="T104">
            <v>0</v>
          </cell>
          <cell r="U104">
            <v>24</v>
          </cell>
          <cell r="V104">
            <v>11.341833333333334</v>
          </cell>
          <cell r="W104">
            <v>0</v>
          </cell>
          <cell r="X104">
            <v>12.658166666666666</v>
          </cell>
          <cell r="Y104">
            <v>24</v>
          </cell>
        </row>
        <row r="105">
          <cell r="A105">
            <v>74</v>
          </cell>
          <cell r="B105" t="str">
            <v>Legal &amp; Professional</v>
          </cell>
          <cell r="E105">
            <v>1</v>
          </cell>
          <cell r="F105">
            <v>1</v>
          </cell>
          <cell r="G105">
            <v>1</v>
          </cell>
          <cell r="H105">
            <v>1</v>
          </cell>
          <cell r="I105">
            <v>1</v>
          </cell>
          <cell r="J105">
            <v>1</v>
          </cell>
          <cell r="K105">
            <v>1</v>
          </cell>
          <cell r="L105">
            <v>1</v>
          </cell>
          <cell r="M105">
            <v>1</v>
          </cell>
          <cell r="N105">
            <v>1</v>
          </cell>
          <cell r="O105">
            <v>1</v>
          </cell>
          <cell r="P105">
            <v>1</v>
          </cell>
          <cell r="T105">
            <v>0</v>
          </cell>
          <cell r="U105">
            <v>12</v>
          </cell>
          <cell r="V105">
            <v>7.6019999999999985</v>
          </cell>
          <cell r="W105">
            <v>0</v>
          </cell>
          <cell r="X105">
            <v>4.3980000000000015</v>
          </cell>
          <cell r="Y105">
            <v>12</v>
          </cell>
        </row>
        <row r="106">
          <cell r="A106">
            <v>75</v>
          </cell>
          <cell r="B106" t="str">
            <v>Credit Card Charges</v>
          </cell>
          <cell r="E106">
            <v>0.5</v>
          </cell>
          <cell r="F106">
            <v>0.5</v>
          </cell>
          <cell r="G106">
            <v>0.5</v>
          </cell>
          <cell r="H106">
            <v>0.5</v>
          </cell>
          <cell r="I106">
            <v>0.5</v>
          </cell>
          <cell r="J106">
            <v>0.5</v>
          </cell>
          <cell r="K106">
            <v>0.5</v>
          </cell>
          <cell r="L106">
            <v>0.5</v>
          </cell>
          <cell r="M106">
            <v>0.5</v>
          </cell>
          <cell r="N106">
            <v>0.5</v>
          </cell>
          <cell r="O106">
            <v>0.5</v>
          </cell>
          <cell r="P106">
            <v>0.5</v>
          </cell>
          <cell r="T106">
            <v>0</v>
          </cell>
          <cell r="U106">
            <v>6</v>
          </cell>
          <cell r="V106">
            <v>0.375</v>
          </cell>
          <cell r="W106">
            <v>0</v>
          </cell>
          <cell r="X106">
            <v>5.625</v>
          </cell>
          <cell r="Y106">
            <v>6</v>
          </cell>
        </row>
        <row r="107">
          <cell r="A107">
            <v>76</v>
          </cell>
          <cell r="B107" t="str">
            <v>Membership Fees</v>
          </cell>
          <cell r="E107">
            <v>0</v>
          </cell>
          <cell r="F107">
            <v>0</v>
          </cell>
          <cell r="G107">
            <v>0</v>
          </cell>
          <cell r="H107">
            <v>0</v>
          </cell>
          <cell r="I107">
            <v>0</v>
          </cell>
          <cell r="J107">
            <v>0</v>
          </cell>
          <cell r="K107">
            <v>0</v>
          </cell>
          <cell r="L107">
            <v>0</v>
          </cell>
          <cell r="M107">
            <v>0</v>
          </cell>
          <cell r="N107">
            <v>0</v>
          </cell>
          <cell r="O107">
            <v>0</v>
          </cell>
          <cell r="P107">
            <v>0</v>
          </cell>
          <cell r="T107">
            <v>0</v>
          </cell>
          <cell r="U107">
            <v>0</v>
          </cell>
          <cell r="V107">
            <v>0</v>
          </cell>
          <cell r="W107">
            <v>0</v>
          </cell>
          <cell r="X107">
            <v>0</v>
          </cell>
          <cell r="Y107">
            <v>0</v>
          </cell>
        </row>
        <row r="108">
          <cell r="A108">
            <v>77</v>
          </cell>
          <cell r="B108" t="str">
            <v>Taxes &amp; Licences</v>
          </cell>
          <cell r="E108">
            <v>0.3</v>
          </cell>
          <cell r="F108">
            <v>0.3</v>
          </cell>
          <cell r="G108">
            <v>0.3</v>
          </cell>
          <cell r="H108">
            <v>0.3</v>
          </cell>
          <cell r="I108">
            <v>0.3</v>
          </cell>
          <cell r="J108">
            <v>0.3</v>
          </cell>
          <cell r="K108">
            <v>0.3</v>
          </cell>
          <cell r="L108">
            <v>0.3</v>
          </cell>
          <cell r="M108">
            <v>0.3</v>
          </cell>
          <cell r="N108">
            <v>0.3</v>
          </cell>
          <cell r="O108">
            <v>0.3</v>
          </cell>
          <cell r="P108">
            <v>0.3</v>
          </cell>
          <cell r="T108">
            <v>0</v>
          </cell>
          <cell r="U108">
            <v>3.6</v>
          </cell>
          <cell r="V108">
            <v>4.4026350000000001</v>
          </cell>
          <cell r="W108">
            <v>0</v>
          </cell>
          <cell r="X108">
            <v>-0.80263500000000088</v>
          </cell>
          <cell r="Y108">
            <v>3.6</v>
          </cell>
        </row>
        <row r="109">
          <cell r="A109">
            <v>78</v>
          </cell>
          <cell r="B109" t="str">
            <v>Convention expense</v>
          </cell>
          <cell r="E109">
            <v>0</v>
          </cell>
          <cell r="F109">
            <v>0</v>
          </cell>
          <cell r="G109">
            <v>0</v>
          </cell>
          <cell r="H109">
            <v>0</v>
          </cell>
          <cell r="I109">
            <v>0</v>
          </cell>
          <cell r="J109">
            <v>0</v>
          </cell>
          <cell r="K109">
            <v>0</v>
          </cell>
          <cell r="L109">
            <v>0</v>
          </cell>
          <cell r="M109">
            <v>0</v>
          </cell>
          <cell r="N109">
            <v>0</v>
          </cell>
          <cell r="O109">
            <v>0</v>
          </cell>
          <cell r="P109">
            <v>0</v>
          </cell>
          <cell r="T109">
            <v>0</v>
          </cell>
          <cell r="U109">
            <v>0</v>
          </cell>
          <cell r="V109">
            <v>0</v>
          </cell>
          <cell r="W109">
            <v>0</v>
          </cell>
          <cell r="X109">
            <v>0</v>
          </cell>
          <cell r="Y109">
            <v>0</v>
          </cell>
        </row>
        <row r="110">
          <cell r="A110">
            <v>79</v>
          </cell>
          <cell r="B110" t="str">
            <v>Contributions</v>
          </cell>
          <cell r="E110">
            <v>0</v>
          </cell>
          <cell r="F110">
            <v>0</v>
          </cell>
          <cell r="G110">
            <v>0</v>
          </cell>
          <cell r="H110">
            <v>0</v>
          </cell>
          <cell r="I110">
            <v>0</v>
          </cell>
          <cell r="J110">
            <v>0</v>
          </cell>
          <cell r="K110">
            <v>0</v>
          </cell>
          <cell r="L110">
            <v>0</v>
          </cell>
          <cell r="M110">
            <v>0</v>
          </cell>
          <cell r="N110">
            <v>0</v>
          </cell>
          <cell r="O110">
            <v>0</v>
          </cell>
          <cell r="P110">
            <v>0</v>
          </cell>
          <cell r="T110">
            <v>0</v>
          </cell>
          <cell r="U110">
            <v>0</v>
          </cell>
          <cell r="V110">
            <v>0</v>
          </cell>
          <cell r="W110">
            <v>0</v>
          </cell>
          <cell r="X110">
            <v>0</v>
          </cell>
          <cell r="Y110">
            <v>0</v>
          </cell>
        </row>
        <row r="111">
          <cell r="A111">
            <v>80</v>
          </cell>
          <cell r="B111" t="str">
            <v>Contract Cleaners</v>
          </cell>
          <cell r="E111">
            <v>5.2228800000000009</v>
          </cell>
          <cell r="F111">
            <v>5.2228800000000009</v>
          </cell>
          <cell r="G111">
            <v>5.0544000000000002</v>
          </cell>
          <cell r="H111">
            <v>5.2228800000000009</v>
          </cell>
          <cell r="I111">
            <v>5.0544000000000002</v>
          </cell>
          <cell r="J111">
            <v>5.2228800000000009</v>
          </cell>
          <cell r="K111">
            <v>5.2228800000000009</v>
          </cell>
          <cell r="L111">
            <v>7.2174399999999999</v>
          </cell>
          <cell r="M111">
            <v>5.2228800000000009</v>
          </cell>
          <cell r="N111">
            <v>5.0544000000000002</v>
          </cell>
          <cell r="O111">
            <v>5.2228800000000009</v>
          </cell>
          <cell r="P111">
            <v>5.0544000000000002</v>
          </cell>
          <cell r="T111">
            <v>0</v>
          </cell>
          <cell r="U111">
            <v>63.995200000000011</v>
          </cell>
          <cell r="V111">
            <v>35.171999999999997</v>
          </cell>
          <cell r="W111">
            <v>0</v>
          </cell>
          <cell r="X111">
            <v>28.823200000000014</v>
          </cell>
          <cell r="Y111">
            <v>63.995200000000011</v>
          </cell>
        </row>
        <row r="112">
          <cell r="A112">
            <v>81</v>
          </cell>
          <cell r="B112" t="str">
            <v>Telephone &amp; Faxes</v>
          </cell>
          <cell r="E112">
            <v>4</v>
          </cell>
          <cell r="F112">
            <v>4</v>
          </cell>
          <cell r="G112">
            <v>4</v>
          </cell>
          <cell r="H112">
            <v>4</v>
          </cell>
          <cell r="I112">
            <v>4</v>
          </cell>
          <cell r="J112">
            <v>4</v>
          </cell>
          <cell r="K112">
            <v>4</v>
          </cell>
          <cell r="L112">
            <v>4</v>
          </cell>
          <cell r="M112">
            <v>4</v>
          </cell>
          <cell r="N112">
            <v>4</v>
          </cell>
          <cell r="O112">
            <v>4</v>
          </cell>
          <cell r="P112">
            <v>4</v>
          </cell>
          <cell r="T112">
            <v>0</v>
          </cell>
          <cell r="U112">
            <v>48</v>
          </cell>
          <cell r="V112">
            <v>26.081</v>
          </cell>
          <cell r="W112">
            <v>0</v>
          </cell>
          <cell r="X112">
            <v>21.919</v>
          </cell>
          <cell r="Y112">
            <v>48</v>
          </cell>
        </row>
        <row r="113">
          <cell r="A113">
            <v>82</v>
          </cell>
          <cell r="B113" t="str">
            <v>Stationery &amp; Printing</v>
          </cell>
          <cell r="E113">
            <v>0.6</v>
          </cell>
          <cell r="F113">
            <v>0.6</v>
          </cell>
          <cell r="G113">
            <v>0.6</v>
          </cell>
          <cell r="H113">
            <v>0.6</v>
          </cell>
          <cell r="I113">
            <v>0.6</v>
          </cell>
          <cell r="J113">
            <v>0.6</v>
          </cell>
          <cell r="K113">
            <v>0.6</v>
          </cell>
          <cell r="L113">
            <v>0.6</v>
          </cell>
          <cell r="M113">
            <v>0.6</v>
          </cell>
          <cell r="N113">
            <v>0.6</v>
          </cell>
          <cell r="O113">
            <v>0.6</v>
          </cell>
          <cell r="P113">
            <v>0.6</v>
          </cell>
          <cell r="T113">
            <v>0</v>
          </cell>
          <cell r="U113">
            <v>7.2</v>
          </cell>
          <cell r="V113">
            <v>9.2729999999999997</v>
          </cell>
          <cell r="W113">
            <v>0</v>
          </cell>
          <cell r="X113">
            <v>-2.0730000000000013</v>
          </cell>
          <cell r="Y113">
            <v>7.2</v>
          </cell>
        </row>
        <row r="114">
          <cell r="A114">
            <v>83</v>
          </cell>
          <cell r="B114" t="str">
            <v>Uniforms &amp; Laundry</v>
          </cell>
          <cell r="E114">
            <v>0.2</v>
          </cell>
          <cell r="F114">
            <v>0.2</v>
          </cell>
          <cell r="G114">
            <v>0.2</v>
          </cell>
          <cell r="H114">
            <v>0.2</v>
          </cell>
          <cell r="I114">
            <v>0.2</v>
          </cell>
          <cell r="J114">
            <v>0.2</v>
          </cell>
          <cell r="K114">
            <v>0.2</v>
          </cell>
          <cell r="L114">
            <v>0.2</v>
          </cell>
          <cell r="M114">
            <v>0.2</v>
          </cell>
          <cell r="N114">
            <v>0.2</v>
          </cell>
          <cell r="O114">
            <v>0.2</v>
          </cell>
          <cell r="P114">
            <v>0.2</v>
          </cell>
          <cell r="T114">
            <v>0</v>
          </cell>
          <cell r="U114">
            <v>2.4</v>
          </cell>
          <cell r="V114">
            <v>2.62</v>
          </cell>
          <cell r="W114">
            <v>0</v>
          </cell>
          <cell r="X114">
            <v>-0.22</v>
          </cell>
          <cell r="Y114">
            <v>2.4</v>
          </cell>
        </row>
        <row r="115">
          <cell r="A115">
            <v>84</v>
          </cell>
          <cell r="B115" t="str">
            <v>Freight</v>
          </cell>
          <cell r="E115">
            <v>0.5</v>
          </cell>
          <cell r="F115">
            <v>0.5</v>
          </cell>
          <cell r="G115">
            <v>0.5</v>
          </cell>
          <cell r="H115">
            <v>0.5</v>
          </cell>
          <cell r="I115">
            <v>0.5</v>
          </cell>
          <cell r="J115">
            <v>0.5</v>
          </cell>
          <cell r="K115">
            <v>0.5</v>
          </cell>
          <cell r="L115">
            <v>0.5</v>
          </cell>
          <cell r="M115">
            <v>0.5</v>
          </cell>
          <cell r="N115">
            <v>0.5</v>
          </cell>
          <cell r="O115">
            <v>0.5</v>
          </cell>
          <cell r="P115">
            <v>0.5</v>
          </cell>
          <cell r="T115">
            <v>0</v>
          </cell>
          <cell r="U115">
            <v>6</v>
          </cell>
          <cell r="V115">
            <v>6.5140000000000011</v>
          </cell>
          <cell r="W115">
            <v>0</v>
          </cell>
          <cell r="X115">
            <v>-0.51400000000000112</v>
          </cell>
          <cell r="Y115">
            <v>6</v>
          </cell>
        </row>
        <row r="116">
          <cell r="A116">
            <v>85</v>
          </cell>
          <cell r="B116" t="str">
            <v>Data processing</v>
          </cell>
          <cell r="E116">
            <v>0</v>
          </cell>
          <cell r="F116">
            <v>0</v>
          </cell>
          <cell r="G116">
            <v>0</v>
          </cell>
          <cell r="H116">
            <v>0</v>
          </cell>
          <cell r="I116">
            <v>0</v>
          </cell>
          <cell r="J116">
            <v>0</v>
          </cell>
          <cell r="K116">
            <v>0</v>
          </cell>
          <cell r="L116">
            <v>0</v>
          </cell>
          <cell r="M116">
            <v>0</v>
          </cell>
          <cell r="N116">
            <v>0</v>
          </cell>
          <cell r="O116">
            <v>0</v>
          </cell>
          <cell r="P116">
            <v>0</v>
          </cell>
          <cell r="T116">
            <v>0</v>
          </cell>
          <cell r="U116">
            <v>0</v>
          </cell>
          <cell r="V116">
            <v>0</v>
          </cell>
          <cell r="W116">
            <v>0</v>
          </cell>
          <cell r="X116">
            <v>0</v>
          </cell>
          <cell r="Y116">
            <v>0</v>
          </cell>
        </row>
        <row r="117">
          <cell r="A117">
            <v>86</v>
          </cell>
          <cell r="B117" t="str">
            <v>Bank Charges</v>
          </cell>
          <cell r="E117">
            <v>0.2</v>
          </cell>
          <cell r="F117">
            <v>0.2</v>
          </cell>
          <cell r="G117">
            <v>0.2</v>
          </cell>
          <cell r="H117">
            <v>0.2</v>
          </cell>
          <cell r="I117">
            <v>0.2</v>
          </cell>
          <cell r="J117">
            <v>0.2</v>
          </cell>
          <cell r="K117">
            <v>0.2</v>
          </cell>
          <cell r="L117">
            <v>0.2</v>
          </cell>
          <cell r="M117">
            <v>0.2</v>
          </cell>
          <cell r="N117">
            <v>0.2</v>
          </cell>
          <cell r="O117">
            <v>0.2</v>
          </cell>
          <cell r="P117">
            <v>0.2</v>
          </cell>
          <cell r="T117">
            <v>0</v>
          </cell>
          <cell r="U117">
            <v>2.4</v>
          </cell>
          <cell r="V117">
            <v>2.81</v>
          </cell>
          <cell r="W117">
            <v>0</v>
          </cell>
          <cell r="X117">
            <v>-0.41</v>
          </cell>
          <cell r="Y117">
            <v>2.4</v>
          </cell>
        </row>
        <row r="118">
          <cell r="A118">
            <v>87</v>
          </cell>
          <cell r="B118" t="str">
            <v>Parking Expenses</v>
          </cell>
          <cell r="E118">
            <v>0</v>
          </cell>
          <cell r="F118">
            <v>0</v>
          </cell>
          <cell r="G118">
            <v>0</v>
          </cell>
          <cell r="H118">
            <v>0</v>
          </cell>
          <cell r="I118">
            <v>0</v>
          </cell>
          <cell r="J118">
            <v>0</v>
          </cell>
          <cell r="K118">
            <v>0</v>
          </cell>
          <cell r="L118">
            <v>0</v>
          </cell>
          <cell r="M118">
            <v>0</v>
          </cell>
          <cell r="N118">
            <v>0</v>
          </cell>
          <cell r="O118">
            <v>0</v>
          </cell>
          <cell r="P118">
            <v>0</v>
          </cell>
          <cell r="T118">
            <v>0</v>
          </cell>
          <cell r="U118">
            <v>0</v>
          </cell>
          <cell r="V118">
            <v>0</v>
          </cell>
          <cell r="W118">
            <v>0</v>
          </cell>
          <cell r="X118">
            <v>0</v>
          </cell>
          <cell r="Y118">
            <v>0</v>
          </cell>
        </row>
        <row r="119">
          <cell r="A119">
            <v>88</v>
          </cell>
          <cell r="B119" t="str">
            <v>Staff training</v>
          </cell>
          <cell r="E119">
            <v>0.52490848205229867</v>
          </cell>
          <cell r="F119">
            <v>0.52490848205229867</v>
          </cell>
          <cell r="G119">
            <v>0.53590848205229868</v>
          </cell>
          <cell r="H119">
            <v>0.52490848205229867</v>
          </cell>
          <cell r="I119">
            <v>0.52490848205229867</v>
          </cell>
          <cell r="J119">
            <v>0.53590848205229868</v>
          </cell>
          <cell r="K119">
            <v>0.53143640968929895</v>
          </cell>
          <cell r="L119">
            <v>0.53143640968929895</v>
          </cell>
          <cell r="M119">
            <v>0.54243640968929885</v>
          </cell>
          <cell r="N119">
            <v>0.53143640968929895</v>
          </cell>
          <cell r="O119">
            <v>0.54243640968929885</v>
          </cell>
          <cell r="P119">
            <v>0.54243640968929885</v>
          </cell>
          <cell r="T119">
            <v>0</v>
          </cell>
          <cell r="U119">
            <v>6.3930693504495846</v>
          </cell>
          <cell r="V119">
            <v>3.6731748</v>
          </cell>
          <cell r="W119">
            <v>0</v>
          </cell>
          <cell r="X119">
            <v>2.7198945504495846</v>
          </cell>
          <cell r="Y119">
            <v>6.3930693504495846</v>
          </cell>
        </row>
        <row r="120">
          <cell r="A120">
            <v>89</v>
          </cell>
          <cell r="B120" t="str">
            <v>Security</v>
          </cell>
          <cell r="E120">
            <v>1.3</v>
          </cell>
          <cell r="F120">
            <v>1.3</v>
          </cell>
          <cell r="G120">
            <v>1.3</v>
          </cell>
          <cell r="H120">
            <v>1.3</v>
          </cell>
          <cell r="I120">
            <v>1.3</v>
          </cell>
          <cell r="J120">
            <v>1.3</v>
          </cell>
          <cell r="K120">
            <v>1.3</v>
          </cell>
          <cell r="L120">
            <v>1.3</v>
          </cell>
          <cell r="M120">
            <v>1.3</v>
          </cell>
          <cell r="N120">
            <v>1.3</v>
          </cell>
          <cell r="O120">
            <v>1.3</v>
          </cell>
          <cell r="P120">
            <v>1.3</v>
          </cell>
          <cell r="U120">
            <v>15.6</v>
          </cell>
          <cell r="V120">
            <v>7.8</v>
          </cell>
          <cell r="W120">
            <v>0</v>
          </cell>
          <cell r="X120">
            <v>7.8</v>
          </cell>
          <cell r="Y120">
            <v>15.6</v>
          </cell>
        </row>
        <row r="121">
          <cell r="A121">
            <v>90</v>
          </cell>
          <cell r="B121" t="str">
            <v>Postage</v>
          </cell>
          <cell r="E121">
            <v>0</v>
          </cell>
          <cell r="F121">
            <v>0</v>
          </cell>
          <cell r="G121">
            <v>0</v>
          </cell>
          <cell r="H121">
            <v>0</v>
          </cell>
          <cell r="I121">
            <v>0</v>
          </cell>
          <cell r="J121">
            <v>0</v>
          </cell>
          <cell r="K121">
            <v>0</v>
          </cell>
          <cell r="L121">
            <v>0</v>
          </cell>
          <cell r="M121">
            <v>0</v>
          </cell>
          <cell r="N121">
            <v>0</v>
          </cell>
          <cell r="O121">
            <v>0</v>
          </cell>
          <cell r="P121">
            <v>0</v>
          </cell>
          <cell r="U121">
            <v>0</v>
          </cell>
          <cell r="V121">
            <v>0</v>
          </cell>
          <cell r="W121">
            <v>0</v>
          </cell>
          <cell r="X121">
            <v>0</v>
          </cell>
          <cell r="Y121">
            <v>0</v>
          </cell>
        </row>
        <row r="122">
          <cell r="A122">
            <v>91</v>
          </cell>
          <cell r="B122" t="str">
            <v>Chilled Water</v>
          </cell>
          <cell r="E122">
            <v>0</v>
          </cell>
          <cell r="F122">
            <v>0</v>
          </cell>
          <cell r="G122">
            <v>0</v>
          </cell>
          <cell r="H122">
            <v>0</v>
          </cell>
          <cell r="I122">
            <v>0</v>
          </cell>
          <cell r="J122">
            <v>0</v>
          </cell>
          <cell r="K122">
            <v>0</v>
          </cell>
          <cell r="L122">
            <v>0</v>
          </cell>
          <cell r="M122">
            <v>0</v>
          </cell>
          <cell r="N122">
            <v>0</v>
          </cell>
          <cell r="O122">
            <v>0</v>
          </cell>
          <cell r="P122">
            <v>0</v>
          </cell>
          <cell r="U122">
            <v>0</v>
          </cell>
          <cell r="V122">
            <v>0</v>
          </cell>
          <cell r="W122">
            <v>0</v>
          </cell>
          <cell r="X122">
            <v>0</v>
          </cell>
          <cell r="Y122">
            <v>0</v>
          </cell>
        </row>
        <row r="123">
          <cell r="A123">
            <v>92</v>
          </cell>
          <cell r="B123" t="str">
            <v>Admin Fee</v>
          </cell>
          <cell r="E123">
            <v>0</v>
          </cell>
          <cell r="F123">
            <v>0</v>
          </cell>
          <cell r="G123">
            <v>0</v>
          </cell>
          <cell r="H123">
            <v>0</v>
          </cell>
          <cell r="I123">
            <v>0</v>
          </cell>
          <cell r="J123">
            <v>0</v>
          </cell>
          <cell r="K123">
            <v>0</v>
          </cell>
          <cell r="L123">
            <v>0</v>
          </cell>
          <cell r="M123">
            <v>0</v>
          </cell>
          <cell r="N123">
            <v>0</v>
          </cell>
          <cell r="O123">
            <v>0</v>
          </cell>
          <cell r="P123">
            <v>0</v>
          </cell>
          <cell r="U123">
            <v>0</v>
          </cell>
          <cell r="V123">
            <v>0</v>
          </cell>
          <cell r="W123">
            <v>0</v>
          </cell>
          <cell r="X123">
            <v>0</v>
          </cell>
          <cell r="Y123">
            <v>0</v>
          </cell>
        </row>
        <row r="124">
          <cell r="A124">
            <v>93</v>
          </cell>
          <cell r="B124" t="str">
            <v>Miscellaneous</v>
          </cell>
          <cell r="E124">
            <v>0.3</v>
          </cell>
          <cell r="F124">
            <v>0.3</v>
          </cell>
          <cell r="G124">
            <v>0.3</v>
          </cell>
          <cell r="H124">
            <v>0.3</v>
          </cell>
          <cell r="I124">
            <v>0.3</v>
          </cell>
          <cell r="J124">
            <v>0.3</v>
          </cell>
          <cell r="K124">
            <v>0.3</v>
          </cell>
          <cell r="L124">
            <v>0.3</v>
          </cell>
          <cell r="M124">
            <v>0.3</v>
          </cell>
          <cell r="N124">
            <v>0.3</v>
          </cell>
          <cell r="O124">
            <v>0.3</v>
          </cell>
          <cell r="P124">
            <v>0.3</v>
          </cell>
          <cell r="T124">
            <v>0</v>
          </cell>
          <cell r="U124">
            <v>3.6</v>
          </cell>
          <cell r="V124">
            <v>2.8620000000000001</v>
          </cell>
          <cell r="W124">
            <v>0</v>
          </cell>
          <cell r="X124">
            <v>0.7379999999999991</v>
          </cell>
          <cell r="Y124">
            <v>3.6</v>
          </cell>
        </row>
        <row r="125">
          <cell r="C125">
            <v>0</v>
          </cell>
          <cell r="E125">
            <v>17.947788482052299</v>
          </cell>
          <cell r="F125">
            <v>17.947788482052299</v>
          </cell>
          <cell r="G125">
            <v>17.790308482052296</v>
          </cell>
          <cell r="H125">
            <v>17.947788482052299</v>
          </cell>
          <cell r="I125">
            <v>17.779308482052297</v>
          </cell>
          <cell r="J125">
            <v>17.958788482052299</v>
          </cell>
          <cell r="K125">
            <v>17.954316409689302</v>
          </cell>
          <cell r="L125">
            <v>19.948876409689298</v>
          </cell>
          <cell r="M125">
            <v>17.965316409689301</v>
          </cell>
          <cell r="N125">
            <v>17.785836409689299</v>
          </cell>
          <cell r="O125">
            <v>17.965316409689301</v>
          </cell>
          <cell r="P125">
            <v>17.796836409689298</v>
          </cell>
          <cell r="R125">
            <v>0</v>
          </cell>
          <cell r="S125">
            <v>0</v>
          </cell>
          <cell r="T125">
            <v>0</v>
          </cell>
          <cell r="U125">
            <v>216.78826935044958</v>
          </cell>
          <cell r="V125">
            <v>127.21564313333332</v>
          </cell>
          <cell r="W125">
            <v>0</v>
          </cell>
          <cell r="X125">
            <v>89.572626217116266</v>
          </cell>
          <cell r="Y125">
            <v>216.78826935044958</v>
          </cell>
        </row>
        <row r="126">
          <cell r="X126">
            <v>0</v>
          </cell>
          <cell r="Y126">
            <v>0</v>
          </cell>
        </row>
        <row r="127">
          <cell r="A127">
            <v>0</v>
          </cell>
          <cell r="B127" t="str">
            <v>23 Adjustments</v>
          </cell>
          <cell r="X127">
            <v>0</v>
          </cell>
          <cell r="Y127">
            <v>0</v>
          </cell>
        </row>
        <row r="128">
          <cell r="A128">
            <v>97</v>
          </cell>
          <cell r="B128" t="str">
            <v>Miscellaneous (Please Specify)</v>
          </cell>
          <cell r="E128">
            <v>0</v>
          </cell>
          <cell r="F128">
            <v>0</v>
          </cell>
          <cell r="G128">
            <v>0</v>
          </cell>
          <cell r="H128">
            <v>0</v>
          </cell>
          <cell r="I128">
            <v>0</v>
          </cell>
          <cell r="J128">
            <v>0</v>
          </cell>
          <cell r="K128">
            <v>0</v>
          </cell>
          <cell r="L128">
            <v>0</v>
          </cell>
          <cell r="M128">
            <v>0</v>
          </cell>
          <cell r="N128">
            <v>0</v>
          </cell>
          <cell r="O128">
            <v>0</v>
          </cell>
          <cell r="P128">
            <v>0</v>
          </cell>
          <cell r="T128">
            <v>0</v>
          </cell>
          <cell r="U128">
            <v>0</v>
          </cell>
          <cell r="V128">
            <v>0</v>
          </cell>
          <cell r="W128">
            <v>0</v>
          </cell>
          <cell r="X128">
            <v>0</v>
          </cell>
          <cell r="Y128">
            <v>0</v>
          </cell>
        </row>
        <row r="129">
          <cell r="A129">
            <v>98</v>
          </cell>
          <cell r="B129" t="str">
            <v>Mgmt fee income - CGV</v>
          </cell>
          <cell r="E129">
            <v>0</v>
          </cell>
          <cell r="F129">
            <v>0</v>
          </cell>
          <cell r="G129">
            <v>0</v>
          </cell>
          <cell r="H129">
            <v>0</v>
          </cell>
          <cell r="I129">
            <v>0</v>
          </cell>
          <cell r="J129">
            <v>0</v>
          </cell>
          <cell r="K129">
            <v>0</v>
          </cell>
          <cell r="L129">
            <v>0</v>
          </cell>
          <cell r="M129">
            <v>0</v>
          </cell>
          <cell r="N129">
            <v>0</v>
          </cell>
          <cell r="O129">
            <v>0</v>
          </cell>
          <cell r="P129">
            <v>0</v>
          </cell>
          <cell r="U129">
            <v>0</v>
          </cell>
          <cell r="V129">
            <v>0</v>
          </cell>
          <cell r="W129">
            <v>0</v>
          </cell>
          <cell r="X129">
            <v>0</v>
          </cell>
          <cell r="Y129">
            <v>0</v>
          </cell>
        </row>
        <row r="130">
          <cell r="A130">
            <v>99</v>
          </cell>
          <cell r="B130" t="str">
            <v xml:space="preserve">Pre Opening </v>
          </cell>
          <cell r="E130">
            <v>0</v>
          </cell>
          <cell r="F130">
            <v>0</v>
          </cell>
          <cell r="G130">
            <v>0</v>
          </cell>
          <cell r="H130">
            <v>0</v>
          </cell>
          <cell r="I130">
            <v>0</v>
          </cell>
          <cell r="J130">
            <v>0</v>
          </cell>
          <cell r="K130">
            <v>0</v>
          </cell>
          <cell r="L130">
            <v>0</v>
          </cell>
          <cell r="M130">
            <v>0</v>
          </cell>
          <cell r="N130">
            <v>0</v>
          </cell>
          <cell r="O130">
            <v>0</v>
          </cell>
          <cell r="P130">
            <v>0</v>
          </cell>
          <cell r="U130">
            <v>0</v>
          </cell>
          <cell r="V130">
            <v>0</v>
          </cell>
          <cell r="W130">
            <v>0</v>
          </cell>
          <cell r="X130">
            <v>0</v>
          </cell>
          <cell r="Y130">
            <v>0</v>
          </cell>
        </row>
        <row r="131">
          <cell r="A131">
            <v>100</v>
          </cell>
          <cell r="B131" t="str">
            <v>Other</v>
          </cell>
          <cell r="E131">
            <v>0</v>
          </cell>
          <cell r="F131">
            <v>0</v>
          </cell>
          <cell r="G131">
            <v>0</v>
          </cell>
          <cell r="H131">
            <v>0</v>
          </cell>
          <cell r="I131">
            <v>0</v>
          </cell>
          <cell r="J131">
            <v>0</v>
          </cell>
          <cell r="K131">
            <v>0</v>
          </cell>
          <cell r="L131">
            <v>0</v>
          </cell>
          <cell r="M131">
            <v>0</v>
          </cell>
          <cell r="N131">
            <v>0</v>
          </cell>
          <cell r="O131">
            <v>0</v>
          </cell>
          <cell r="P131">
            <v>0</v>
          </cell>
          <cell r="U131">
            <v>0</v>
          </cell>
          <cell r="V131">
            <v>0</v>
          </cell>
          <cell r="W131">
            <v>0</v>
          </cell>
          <cell r="X131">
            <v>0</v>
          </cell>
          <cell r="Y131">
            <v>0</v>
          </cell>
        </row>
        <row r="132">
          <cell r="T132">
            <v>0</v>
          </cell>
          <cell r="X132">
            <v>0</v>
          </cell>
          <cell r="Y132">
            <v>0</v>
          </cell>
        </row>
        <row r="133">
          <cell r="C133">
            <v>0</v>
          </cell>
          <cell r="E133">
            <v>0</v>
          </cell>
          <cell r="F133">
            <v>0</v>
          </cell>
          <cell r="G133">
            <v>0</v>
          </cell>
          <cell r="H133">
            <v>0</v>
          </cell>
          <cell r="I133">
            <v>0</v>
          </cell>
          <cell r="J133">
            <v>0</v>
          </cell>
          <cell r="K133">
            <v>0</v>
          </cell>
          <cell r="L133">
            <v>0</v>
          </cell>
          <cell r="M133">
            <v>0</v>
          </cell>
          <cell r="N133">
            <v>0</v>
          </cell>
          <cell r="O133">
            <v>0</v>
          </cell>
          <cell r="P133">
            <v>0</v>
          </cell>
          <cell r="R133">
            <v>0</v>
          </cell>
          <cell r="S133">
            <v>0</v>
          </cell>
          <cell r="T133">
            <v>0</v>
          </cell>
          <cell r="U133">
            <v>0</v>
          </cell>
          <cell r="V133">
            <v>0</v>
          </cell>
          <cell r="W133">
            <v>0</v>
          </cell>
          <cell r="X133">
            <v>0</v>
          </cell>
          <cell r="Y133">
            <v>0</v>
          </cell>
        </row>
      </sheetData>
      <sheetData sheetId="27" refreshError="1">
        <row r="11">
          <cell r="A11">
            <v>1</v>
          </cell>
          <cell r="B11" t="str">
            <v>Net Film Revenue</v>
          </cell>
          <cell r="E11">
            <v>591.6</v>
          </cell>
          <cell r="F11">
            <v>612</v>
          </cell>
          <cell r="G11">
            <v>816</v>
          </cell>
          <cell r="H11">
            <v>612</v>
          </cell>
          <cell r="I11">
            <v>652.79999999999995</v>
          </cell>
          <cell r="J11">
            <v>884</v>
          </cell>
          <cell r="K11">
            <v>612</v>
          </cell>
          <cell r="L11">
            <v>646</v>
          </cell>
          <cell r="M11">
            <v>802.4</v>
          </cell>
          <cell r="N11">
            <v>612</v>
          </cell>
          <cell r="O11">
            <v>816</v>
          </cell>
          <cell r="P11">
            <v>720.8</v>
          </cell>
          <cell r="Q11">
            <v>0</v>
          </cell>
          <cell r="T11">
            <v>0</v>
          </cell>
          <cell r="U11">
            <v>8377.6</v>
          </cell>
          <cell r="V11">
            <v>4429.0610000000006</v>
          </cell>
          <cell r="W11">
            <v>0</v>
          </cell>
          <cell r="X11">
            <v>3948.5389999999979</v>
          </cell>
          <cell r="Y11">
            <v>8377.6</v>
          </cell>
        </row>
        <row r="12">
          <cell r="A12">
            <v>2</v>
          </cell>
          <cell r="B12" t="str">
            <v>Concession Sales</v>
          </cell>
          <cell r="E12">
            <v>104.4</v>
          </cell>
          <cell r="F12">
            <v>108</v>
          </cell>
          <cell r="G12">
            <v>144</v>
          </cell>
          <cell r="H12">
            <v>108</v>
          </cell>
          <cell r="I12">
            <v>115.2</v>
          </cell>
          <cell r="J12">
            <v>156</v>
          </cell>
          <cell r="K12">
            <v>108</v>
          </cell>
          <cell r="L12">
            <v>114</v>
          </cell>
          <cell r="M12">
            <v>141.6</v>
          </cell>
          <cell r="N12">
            <v>108</v>
          </cell>
          <cell r="O12">
            <v>144</v>
          </cell>
          <cell r="P12">
            <v>127.2</v>
          </cell>
          <cell r="T12">
            <v>0</v>
          </cell>
          <cell r="U12">
            <v>1478.4</v>
          </cell>
          <cell r="V12">
            <v>783.50800000000004</v>
          </cell>
          <cell r="W12">
            <v>0</v>
          </cell>
          <cell r="X12">
            <v>694.89199999999983</v>
          </cell>
          <cell r="Y12">
            <v>1478.4</v>
          </cell>
        </row>
        <row r="13">
          <cell r="A13">
            <v>3</v>
          </cell>
          <cell r="B13" t="str">
            <v>Rental Income</v>
          </cell>
          <cell r="E13">
            <v>33.837000000000003</v>
          </cell>
          <cell r="F13">
            <v>33.837000000000003</v>
          </cell>
          <cell r="G13">
            <v>33.837000000000003</v>
          </cell>
          <cell r="H13">
            <v>33.837000000000003</v>
          </cell>
          <cell r="I13">
            <v>33.837000000000003</v>
          </cell>
          <cell r="J13">
            <v>33.837000000000003</v>
          </cell>
          <cell r="K13">
            <v>33.837000000000003</v>
          </cell>
          <cell r="L13">
            <v>33.837000000000003</v>
          </cell>
          <cell r="M13">
            <v>33.837000000000003</v>
          </cell>
          <cell r="N13">
            <v>33.837000000000003</v>
          </cell>
          <cell r="O13">
            <v>33.837000000000003</v>
          </cell>
          <cell r="P13">
            <v>33.837000000000003</v>
          </cell>
          <cell r="T13">
            <v>0</v>
          </cell>
          <cell r="U13">
            <v>406.04399999999993</v>
          </cell>
          <cell r="V13">
            <v>147</v>
          </cell>
          <cell r="W13">
            <v>0</v>
          </cell>
          <cell r="X13">
            <v>259.04399999999993</v>
          </cell>
          <cell r="Y13">
            <v>406.04399999999993</v>
          </cell>
        </row>
        <row r="14">
          <cell r="A14">
            <v>4</v>
          </cell>
          <cell r="B14" t="str">
            <v>Electronic Games income</v>
          </cell>
          <cell r="E14">
            <v>0</v>
          </cell>
          <cell r="F14">
            <v>0</v>
          </cell>
          <cell r="G14">
            <v>0</v>
          </cell>
          <cell r="H14">
            <v>0</v>
          </cell>
          <cell r="I14">
            <v>0</v>
          </cell>
          <cell r="J14">
            <v>0</v>
          </cell>
          <cell r="K14">
            <v>0</v>
          </cell>
          <cell r="L14">
            <v>0</v>
          </cell>
          <cell r="M14">
            <v>0</v>
          </cell>
          <cell r="N14">
            <v>0</v>
          </cell>
          <cell r="O14">
            <v>0</v>
          </cell>
          <cell r="P14">
            <v>0</v>
          </cell>
          <cell r="T14">
            <v>0</v>
          </cell>
          <cell r="U14">
            <v>0</v>
          </cell>
          <cell r="V14">
            <v>0</v>
          </cell>
          <cell r="W14">
            <v>0</v>
          </cell>
          <cell r="X14">
            <v>0</v>
          </cell>
          <cell r="Y14">
            <v>0</v>
          </cell>
        </row>
        <row r="15">
          <cell r="A15">
            <v>5</v>
          </cell>
          <cell r="B15" t="str">
            <v>Screen Advertising</v>
          </cell>
          <cell r="E15">
            <v>32.5</v>
          </cell>
          <cell r="F15">
            <v>32.5</v>
          </cell>
          <cell r="G15">
            <v>32.5</v>
          </cell>
          <cell r="H15">
            <v>32.5</v>
          </cell>
          <cell r="I15">
            <v>32.5</v>
          </cell>
          <cell r="J15">
            <v>32.5</v>
          </cell>
          <cell r="K15">
            <v>32.5</v>
          </cell>
          <cell r="L15">
            <v>32.5</v>
          </cell>
          <cell r="M15">
            <v>32.5</v>
          </cell>
          <cell r="N15">
            <v>32.5</v>
          </cell>
          <cell r="O15">
            <v>32.5</v>
          </cell>
          <cell r="P15">
            <v>32.5</v>
          </cell>
          <cell r="T15">
            <v>0</v>
          </cell>
          <cell r="U15">
            <v>390</v>
          </cell>
          <cell r="V15">
            <v>302.70999999999998</v>
          </cell>
          <cell r="W15">
            <v>0</v>
          </cell>
          <cell r="X15">
            <v>87.29</v>
          </cell>
          <cell r="Y15">
            <v>390</v>
          </cell>
        </row>
        <row r="16">
          <cell r="A16">
            <v>6</v>
          </cell>
          <cell r="B16" t="str">
            <v>Other Income</v>
          </cell>
          <cell r="C16">
            <v>0</v>
          </cell>
          <cell r="E16">
            <v>9.8899583333333325</v>
          </cell>
          <cell r="F16">
            <v>9.8899583333333325</v>
          </cell>
          <cell r="G16">
            <v>9.8899583333333325</v>
          </cell>
          <cell r="H16">
            <v>9.8899583333333325</v>
          </cell>
          <cell r="I16">
            <v>9.8899583333333325</v>
          </cell>
          <cell r="J16">
            <v>9.8899583333333325</v>
          </cell>
          <cell r="K16">
            <v>9.8899583333333325</v>
          </cell>
          <cell r="L16">
            <v>9.8899583333333325</v>
          </cell>
          <cell r="M16">
            <v>9.8899583333333325</v>
          </cell>
          <cell r="N16">
            <v>9.8899583333333325</v>
          </cell>
          <cell r="O16">
            <v>9.8899583333333325</v>
          </cell>
          <cell r="P16">
            <v>9.8899583333333325</v>
          </cell>
          <cell r="R16">
            <v>0</v>
          </cell>
          <cell r="S16">
            <v>0</v>
          </cell>
          <cell r="T16">
            <v>0</v>
          </cell>
          <cell r="U16">
            <v>118.67950000000002</v>
          </cell>
          <cell r="V16">
            <v>77.488249999999994</v>
          </cell>
          <cell r="W16">
            <v>0</v>
          </cell>
          <cell r="X16">
            <v>41.191249999999997</v>
          </cell>
          <cell r="Y16">
            <v>118.67950000000002</v>
          </cell>
        </row>
        <row r="17">
          <cell r="B17" t="str">
            <v>TOTAL REVENUE</v>
          </cell>
          <cell r="C17">
            <v>0</v>
          </cell>
          <cell r="E17">
            <v>772.2269583333333</v>
          </cell>
          <cell r="F17">
            <v>796.2269583333333</v>
          </cell>
          <cell r="G17">
            <v>1036.2269583333334</v>
          </cell>
          <cell r="H17">
            <v>796.2269583333333</v>
          </cell>
          <cell r="I17">
            <v>844.2269583333333</v>
          </cell>
          <cell r="J17">
            <v>1116.2269583333334</v>
          </cell>
          <cell r="K17">
            <v>796.2269583333333</v>
          </cell>
          <cell r="L17">
            <v>836.2269583333333</v>
          </cell>
          <cell r="M17">
            <v>1020.2269583333333</v>
          </cell>
          <cell r="N17">
            <v>796.2269583333333</v>
          </cell>
          <cell r="O17">
            <v>1036.2269583333334</v>
          </cell>
          <cell r="P17">
            <v>924.2269583333333</v>
          </cell>
          <cell r="R17">
            <v>0</v>
          </cell>
          <cell r="S17">
            <v>0</v>
          </cell>
          <cell r="T17">
            <v>0</v>
          </cell>
          <cell r="U17">
            <v>10770.7235</v>
          </cell>
          <cell r="V17">
            <v>5739.7672500000008</v>
          </cell>
          <cell r="W17">
            <v>0</v>
          </cell>
          <cell r="X17">
            <v>5030.9562499999993</v>
          </cell>
          <cell r="Y17">
            <v>10770.7235</v>
          </cell>
        </row>
        <row r="19">
          <cell r="A19">
            <v>7</v>
          </cell>
          <cell r="B19" t="str">
            <v>Film Hire</v>
          </cell>
          <cell r="E19">
            <v>275.09400000000005</v>
          </cell>
          <cell r="F19">
            <v>284.58</v>
          </cell>
          <cell r="G19">
            <v>379.44</v>
          </cell>
          <cell r="H19">
            <v>284.58</v>
          </cell>
          <cell r="I19">
            <v>303.55200000000002</v>
          </cell>
          <cell r="J19">
            <v>411.06</v>
          </cell>
          <cell r="K19">
            <v>284.58</v>
          </cell>
          <cell r="L19">
            <v>300.39</v>
          </cell>
          <cell r="M19">
            <v>373.11599999999999</v>
          </cell>
          <cell r="N19">
            <v>284.58</v>
          </cell>
          <cell r="O19">
            <v>379.44</v>
          </cell>
          <cell r="P19">
            <v>335.17199999999997</v>
          </cell>
          <cell r="U19">
            <v>3895.5839999999998</v>
          </cell>
          <cell r="V19">
            <v>2049.6968000000002</v>
          </cell>
          <cell r="W19">
            <v>0</v>
          </cell>
          <cell r="X19">
            <v>1845.8871999999997</v>
          </cell>
          <cell r="Y19">
            <v>3895.5839999999998</v>
          </cell>
        </row>
        <row r="20">
          <cell r="A20">
            <v>8</v>
          </cell>
          <cell r="B20" t="str">
            <v>Concession Cost</v>
          </cell>
          <cell r="E20">
            <v>24.012</v>
          </cell>
          <cell r="F20">
            <v>24.84</v>
          </cell>
          <cell r="G20">
            <v>33.119999999999997</v>
          </cell>
          <cell r="H20">
            <v>24.84</v>
          </cell>
          <cell r="I20">
            <v>26.495999999999999</v>
          </cell>
          <cell r="J20">
            <v>35.880000000000003</v>
          </cell>
          <cell r="K20">
            <v>24.84</v>
          </cell>
          <cell r="L20">
            <v>26.22</v>
          </cell>
          <cell r="M20">
            <v>32.567999999999998</v>
          </cell>
          <cell r="N20">
            <v>24.84</v>
          </cell>
          <cell r="O20">
            <v>33.119999999999997</v>
          </cell>
          <cell r="P20">
            <v>29.256</v>
          </cell>
          <cell r="T20">
            <v>0</v>
          </cell>
          <cell r="U20">
            <v>340.03200000000004</v>
          </cell>
          <cell r="V20">
            <v>148.9058</v>
          </cell>
          <cell r="W20">
            <v>0</v>
          </cell>
          <cell r="X20">
            <v>191.12620000000004</v>
          </cell>
          <cell r="Y20">
            <v>340.03200000000004</v>
          </cell>
        </row>
        <row r="21">
          <cell r="A21">
            <v>9</v>
          </cell>
          <cell r="B21" t="str">
            <v>Less Concession Rebates</v>
          </cell>
          <cell r="E21">
            <v>-2.61</v>
          </cell>
          <cell r="F21">
            <v>-2.7</v>
          </cell>
          <cell r="G21">
            <v>-3.6</v>
          </cell>
          <cell r="H21">
            <v>-2.7</v>
          </cell>
          <cell r="I21">
            <v>-2.88</v>
          </cell>
          <cell r="J21">
            <v>-3.9</v>
          </cell>
          <cell r="K21">
            <v>-2.7</v>
          </cell>
          <cell r="L21">
            <v>-2.85</v>
          </cell>
          <cell r="M21">
            <v>-3.54</v>
          </cell>
          <cell r="N21">
            <v>-2.7</v>
          </cell>
          <cell r="O21">
            <v>-3.6</v>
          </cell>
          <cell r="P21">
            <v>-3.18</v>
          </cell>
          <cell r="U21">
            <v>-36.96</v>
          </cell>
          <cell r="V21">
            <v>-23.1</v>
          </cell>
          <cell r="W21">
            <v>0</v>
          </cell>
          <cell r="X21">
            <v>-13.86</v>
          </cell>
          <cell r="Y21">
            <v>-36.96</v>
          </cell>
        </row>
        <row r="22">
          <cell r="A22">
            <v>10</v>
          </cell>
          <cell r="B22" t="str">
            <v>Advertising Cost</v>
          </cell>
          <cell r="E22">
            <v>13.6068</v>
          </cell>
          <cell r="F22">
            <v>14.076000000000001</v>
          </cell>
          <cell r="G22">
            <v>18.768000000000001</v>
          </cell>
          <cell r="H22">
            <v>14.076000000000001</v>
          </cell>
          <cell r="I22">
            <v>15.014399999999998</v>
          </cell>
          <cell r="J22">
            <v>20.332000000000001</v>
          </cell>
          <cell r="K22">
            <v>14.076000000000001</v>
          </cell>
          <cell r="L22">
            <v>14.858000000000001</v>
          </cell>
          <cell r="M22">
            <v>18.455199999999998</v>
          </cell>
          <cell r="N22">
            <v>14.076000000000001</v>
          </cell>
          <cell r="O22">
            <v>18.768000000000001</v>
          </cell>
          <cell r="P22">
            <v>16.578399999999998</v>
          </cell>
          <cell r="T22">
            <v>0</v>
          </cell>
          <cell r="U22">
            <v>192.68479999999997</v>
          </cell>
          <cell r="V22">
            <v>95.008440000000007</v>
          </cell>
          <cell r="W22">
            <v>0</v>
          </cell>
          <cell r="X22">
            <v>97.67635999999996</v>
          </cell>
          <cell r="Y22">
            <v>192.68479999999997</v>
          </cell>
        </row>
        <row r="23">
          <cell r="A23">
            <v>11</v>
          </cell>
          <cell r="B23" t="str">
            <v>Other Cost</v>
          </cell>
          <cell r="C23">
            <v>0</v>
          </cell>
          <cell r="E23">
            <v>1.1832</v>
          </cell>
          <cell r="F23">
            <v>1.224</v>
          </cell>
          <cell r="G23">
            <v>1.6320000000000001</v>
          </cell>
          <cell r="H23">
            <v>1.224</v>
          </cell>
          <cell r="I23">
            <v>1.3055999999999999</v>
          </cell>
          <cell r="J23">
            <v>1.768</v>
          </cell>
          <cell r="K23">
            <v>1.224</v>
          </cell>
          <cell r="L23">
            <v>1.292</v>
          </cell>
          <cell r="M23">
            <v>1.6048</v>
          </cell>
          <cell r="N23">
            <v>1.224</v>
          </cell>
          <cell r="O23">
            <v>1.6320000000000001</v>
          </cell>
          <cell r="P23">
            <v>1.4416</v>
          </cell>
          <cell r="R23">
            <v>0</v>
          </cell>
          <cell r="S23">
            <v>0</v>
          </cell>
          <cell r="T23">
            <v>0</v>
          </cell>
          <cell r="U23">
            <v>16.755199999999999</v>
          </cell>
          <cell r="V23">
            <v>8.8581220000000016</v>
          </cell>
          <cell r="W23">
            <v>0</v>
          </cell>
          <cell r="X23">
            <v>7.8970779999999969</v>
          </cell>
          <cell r="Y23">
            <v>16.755199999999999</v>
          </cell>
        </row>
        <row r="24">
          <cell r="A24">
            <v>12</v>
          </cell>
          <cell r="B24" t="str">
            <v>Direct Payroll</v>
          </cell>
          <cell r="C24">
            <v>0</v>
          </cell>
          <cell r="E24">
            <v>43.479529129827576</v>
          </cell>
          <cell r="F24">
            <v>43.479529129827576</v>
          </cell>
          <cell r="G24">
            <v>44.579529129827577</v>
          </cell>
          <cell r="H24">
            <v>43.479529129827576</v>
          </cell>
          <cell r="I24">
            <v>43.479529129827576</v>
          </cell>
          <cell r="J24">
            <v>44.579529129827577</v>
          </cell>
          <cell r="K24">
            <v>44.280345677127578</v>
          </cell>
          <cell r="L24">
            <v>44.280345677127578</v>
          </cell>
          <cell r="M24">
            <v>45.380345677127579</v>
          </cell>
          <cell r="N24">
            <v>44.280345677127578</v>
          </cell>
          <cell r="O24">
            <v>45.380345677127579</v>
          </cell>
          <cell r="P24">
            <v>45.380345677127579</v>
          </cell>
          <cell r="R24">
            <v>0</v>
          </cell>
          <cell r="S24">
            <v>0</v>
          </cell>
          <cell r="T24">
            <v>0</v>
          </cell>
          <cell r="U24">
            <v>532.05924884173089</v>
          </cell>
          <cell r="V24">
            <v>307.03711833333341</v>
          </cell>
          <cell r="W24">
            <v>0</v>
          </cell>
          <cell r="X24">
            <v>225.02213050839748</v>
          </cell>
          <cell r="Y24">
            <v>532.05924884173089</v>
          </cell>
        </row>
        <row r="25">
          <cell r="B25" t="str">
            <v>TOTAL COST</v>
          </cell>
          <cell r="C25">
            <v>0</v>
          </cell>
          <cell r="E25">
            <v>354.76552912982766</v>
          </cell>
          <cell r="F25">
            <v>365.49952912982764</v>
          </cell>
          <cell r="G25">
            <v>473.93952912982752</v>
          </cell>
          <cell r="H25">
            <v>365.49952912982764</v>
          </cell>
          <cell r="I25">
            <v>386.96752912982765</v>
          </cell>
          <cell r="J25">
            <v>509.71952912982755</v>
          </cell>
          <cell r="K25">
            <v>366.30034567712761</v>
          </cell>
          <cell r="L25">
            <v>384.1903456771276</v>
          </cell>
          <cell r="M25">
            <v>467.58434567712754</v>
          </cell>
          <cell r="N25">
            <v>366.30034567712761</v>
          </cell>
          <cell r="O25">
            <v>474.74034567712755</v>
          </cell>
          <cell r="P25">
            <v>424.64834567712757</v>
          </cell>
          <cell r="R25">
            <v>0</v>
          </cell>
          <cell r="S25">
            <v>0</v>
          </cell>
          <cell r="T25">
            <v>0</v>
          </cell>
          <cell r="U25">
            <v>4940.1552488417301</v>
          </cell>
          <cell r="V25">
            <v>2586.4062803333336</v>
          </cell>
          <cell r="W25">
            <v>0</v>
          </cell>
          <cell r="X25">
            <v>2353.7489685083965</v>
          </cell>
          <cell r="Y25">
            <v>4940.1552488417301</v>
          </cell>
        </row>
        <row r="27">
          <cell r="B27" t="str">
            <v>GROSS MARGIN</v>
          </cell>
          <cell r="C27">
            <v>0</v>
          </cell>
          <cell r="E27">
            <v>417.46142920350565</v>
          </cell>
          <cell r="F27">
            <v>430.72742920350566</v>
          </cell>
          <cell r="G27">
            <v>562.28742920350589</v>
          </cell>
          <cell r="H27">
            <v>430.72742920350566</v>
          </cell>
          <cell r="I27">
            <v>457.25942920350565</v>
          </cell>
          <cell r="J27">
            <v>606.50742920350581</v>
          </cell>
          <cell r="K27">
            <v>429.92661265620569</v>
          </cell>
          <cell r="L27">
            <v>452.0366126562057</v>
          </cell>
          <cell r="M27">
            <v>552.64261265620576</v>
          </cell>
          <cell r="N27">
            <v>429.92661265620569</v>
          </cell>
          <cell r="O27">
            <v>561.48661265620581</v>
          </cell>
          <cell r="P27">
            <v>499.57861265620573</v>
          </cell>
          <cell r="R27">
            <v>0</v>
          </cell>
          <cell r="S27">
            <v>0</v>
          </cell>
          <cell r="T27">
            <v>0</v>
          </cell>
          <cell r="U27">
            <v>5830.56825115827</v>
          </cell>
          <cell r="V27">
            <v>3153.3609696666672</v>
          </cell>
          <cell r="W27">
            <v>0</v>
          </cell>
          <cell r="X27">
            <v>2677.2072814916028</v>
          </cell>
          <cell r="Y27">
            <v>5830.56825115827</v>
          </cell>
        </row>
        <row r="28">
          <cell r="X28">
            <v>0</v>
          </cell>
          <cell r="Y28">
            <v>0</v>
          </cell>
        </row>
        <row r="29">
          <cell r="A29">
            <v>13</v>
          </cell>
          <cell r="B29" t="str">
            <v>Direct Rent</v>
          </cell>
          <cell r="E29">
            <v>139.23310000000001</v>
          </cell>
          <cell r="F29">
            <v>139.23310000000001</v>
          </cell>
          <cell r="G29">
            <v>139.23310000000001</v>
          </cell>
          <cell r="H29">
            <v>139.23310000000001</v>
          </cell>
          <cell r="I29">
            <v>139.23310000000001</v>
          </cell>
          <cell r="J29">
            <v>139.23310000000001</v>
          </cell>
          <cell r="K29">
            <v>139.23310000000001</v>
          </cell>
          <cell r="L29">
            <v>139.23310000000001</v>
          </cell>
          <cell r="M29">
            <v>139.23310000000001</v>
          </cell>
          <cell r="N29">
            <v>139.23310000000001</v>
          </cell>
          <cell r="O29">
            <v>139.23310000000001</v>
          </cell>
          <cell r="P29">
            <v>139.23310000000001</v>
          </cell>
          <cell r="T29">
            <v>0</v>
          </cell>
          <cell r="U29">
            <v>1670.7971999999997</v>
          </cell>
          <cell r="V29">
            <v>726.56246428571433</v>
          </cell>
          <cell r="W29">
            <v>0</v>
          </cell>
          <cell r="X29">
            <v>944.23473571428542</v>
          </cell>
          <cell r="Y29">
            <v>1670.7971999999997</v>
          </cell>
        </row>
        <row r="30">
          <cell r="A30">
            <v>14</v>
          </cell>
          <cell r="B30" t="str">
            <v>Light, Heat and Power</v>
          </cell>
          <cell r="E30">
            <v>19</v>
          </cell>
          <cell r="F30">
            <v>19</v>
          </cell>
          <cell r="G30">
            <v>19</v>
          </cell>
          <cell r="H30">
            <v>19</v>
          </cell>
          <cell r="I30">
            <v>19</v>
          </cell>
          <cell r="J30">
            <v>19</v>
          </cell>
          <cell r="K30">
            <v>19</v>
          </cell>
          <cell r="L30">
            <v>19</v>
          </cell>
          <cell r="M30">
            <v>19</v>
          </cell>
          <cell r="N30">
            <v>19</v>
          </cell>
          <cell r="O30">
            <v>19</v>
          </cell>
          <cell r="P30">
            <v>19</v>
          </cell>
          <cell r="Q30">
            <v>0</v>
          </cell>
          <cell r="R30">
            <v>19</v>
          </cell>
          <cell r="S30">
            <v>19</v>
          </cell>
          <cell r="T30">
            <v>19</v>
          </cell>
          <cell r="U30">
            <v>228</v>
          </cell>
          <cell r="V30">
            <v>123.25</v>
          </cell>
          <cell r="W30">
            <v>0</v>
          </cell>
          <cell r="X30">
            <v>104.75</v>
          </cell>
          <cell r="Y30">
            <v>228</v>
          </cell>
        </row>
        <row r="31">
          <cell r="A31">
            <v>15</v>
          </cell>
          <cell r="B31" t="str">
            <v>Repair &amp; Maintenance</v>
          </cell>
          <cell r="E31">
            <v>10.95</v>
          </cell>
          <cell r="F31">
            <v>35.950000000000003</v>
          </cell>
          <cell r="G31">
            <v>10.95</v>
          </cell>
          <cell r="H31">
            <v>15.95</v>
          </cell>
          <cell r="I31">
            <v>10.95</v>
          </cell>
          <cell r="J31">
            <v>12.255000000000001</v>
          </cell>
          <cell r="K31">
            <v>12.255000000000001</v>
          </cell>
          <cell r="L31">
            <v>12.255000000000001</v>
          </cell>
          <cell r="M31">
            <v>12.255000000000001</v>
          </cell>
          <cell r="N31">
            <v>12.255000000000001</v>
          </cell>
          <cell r="O31">
            <v>12.255000000000001</v>
          </cell>
          <cell r="P31">
            <v>12.255000000000001</v>
          </cell>
          <cell r="Q31">
            <v>0</v>
          </cell>
          <cell r="R31">
            <v>10.95</v>
          </cell>
          <cell r="S31">
            <v>10.95</v>
          </cell>
          <cell r="T31">
            <v>10.95</v>
          </cell>
          <cell r="U31">
            <v>170.535</v>
          </cell>
          <cell r="V31">
            <v>68.81216666666667</v>
          </cell>
          <cell r="W31">
            <v>0</v>
          </cell>
          <cell r="X31">
            <v>101.72283333333333</v>
          </cell>
          <cell r="Y31">
            <v>170.535</v>
          </cell>
        </row>
        <row r="32">
          <cell r="A32">
            <v>16</v>
          </cell>
          <cell r="B32" t="str">
            <v>Common Area Maintenance</v>
          </cell>
          <cell r="E32">
            <v>94.813320000000004</v>
          </cell>
          <cell r="F32">
            <v>94.813320000000004</v>
          </cell>
          <cell r="G32">
            <v>94.813320000000004</v>
          </cell>
          <cell r="H32">
            <v>94.813320000000004</v>
          </cell>
          <cell r="I32">
            <v>94.813320000000004</v>
          </cell>
          <cell r="J32">
            <v>94.813320000000004</v>
          </cell>
          <cell r="K32">
            <v>94.813320000000004</v>
          </cell>
          <cell r="L32">
            <v>94.813320000000004</v>
          </cell>
          <cell r="M32">
            <v>94.813320000000004</v>
          </cell>
          <cell r="N32">
            <v>94.813320000000004</v>
          </cell>
          <cell r="O32">
            <v>94.813320000000004</v>
          </cell>
          <cell r="P32">
            <v>94.813320000000004</v>
          </cell>
          <cell r="T32">
            <v>0</v>
          </cell>
          <cell r="U32">
            <v>1137.7598399999999</v>
          </cell>
          <cell r="V32">
            <v>430.04613000000006</v>
          </cell>
          <cell r="W32">
            <v>0</v>
          </cell>
          <cell r="X32">
            <v>707.71370999999988</v>
          </cell>
          <cell r="Y32">
            <v>1137.7598399999999</v>
          </cell>
        </row>
        <row r="33">
          <cell r="A33">
            <v>17</v>
          </cell>
          <cell r="B33" t="str">
            <v>Other Overhead Costs</v>
          </cell>
          <cell r="C33">
            <v>0</v>
          </cell>
          <cell r="E33">
            <v>20.947795291298277</v>
          </cell>
          <cell r="F33">
            <v>20.947795291298277</v>
          </cell>
          <cell r="G33">
            <v>20.750795291298278</v>
          </cell>
          <cell r="H33">
            <v>20.947795291298277</v>
          </cell>
          <cell r="I33">
            <v>20.739795291298279</v>
          </cell>
          <cell r="J33">
            <v>20.958795291298276</v>
          </cell>
          <cell r="K33">
            <v>20.955803456771278</v>
          </cell>
          <cell r="L33">
            <v>22.831803456771279</v>
          </cell>
          <cell r="M33">
            <v>20.966803456771277</v>
          </cell>
          <cell r="N33">
            <v>20.74780345677128</v>
          </cell>
          <cell r="O33">
            <v>20.966803456771277</v>
          </cell>
          <cell r="P33">
            <v>20.758803456771279</v>
          </cell>
          <cell r="R33">
            <v>0</v>
          </cell>
          <cell r="S33">
            <v>0</v>
          </cell>
          <cell r="T33">
            <v>0</v>
          </cell>
          <cell r="U33">
            <v>252.52059248841735</v>
          </cell>
          <cell r="V33">
            <v>193.86437853333331</v>
          </cell>
          <cell r="W33">
            <v>0</v>
          </cell>
          <cell r="X33">
            <v>58.656213955084041</v>
          </cell>
          <cell r="Y33">
            <v>252.52059248841735</v>
          </cell>
        </row>
        <row r="35">
          <cell r="B35" t="str">
            <v>Total Overhead Expenses</v>
          </cell>
          <cell r="C35">
            <v>0</v>
          </cell>
          <cell r="E35">
            <v>284.94421529129829</v>
          </cell>
          <cell r="F35">
            <v>309.94421529129835</v>
          </cell>
          <cell r="G35">
            <v>284.74721529129829</v>
          </cell>
          <cell r="H35">
            <v>289.94421529129829</v>
          </cell>
          <cell r="I35">
            <v>284.73621529129827</v>
          </cell>
          <cell r="J35">
            <v>286.26021529129827</v>
          </cell>
          <cell r="K35">
            <v>286.25722345677127</v>
          </cell>
          <cell r="L35">
            <v>288.1332234567713</v>
          </cell>
          <cell r="M35">
            <v>286.2682234567713</v>
          </cell>
          <cell r="N35">
            <v>286.0492234567713</v>
          </cell>
          <cell r="O35">
            <v>286.2682234567713</v>
          </cell>
          <cell r="P35">
            <v>286.06022345677127</v>
          </cell>
          <cell r="R35">
            <v>10.95</v>
          </cell>
          <cell r="S35">
            <v>10.95</v>
          </cell>
          <cell r="T35">
            <v>0</v>
          </cell>
          <cell r="U35">
            <v>3459.6126324884181</v>
          </cell>
          <cell r="V35">
            <v>1542.5351394857144</v>
          </cell>
          <cell r="W35">
            <v>0</v>
          </cell>
          <cell r="X35">
            <v>1917.0774930027037</v>
          </cell>
          <cell r="Y35">
            <v>3459.6126324884181</v>
          </cell>
        </row>
        <row r="37">
          <cell r="B37" t="str">
            <v>E.B.I.T.D.</v>
          </cell>
          <cell r="C37">
            <v>0</v>
          </cell>
          <cell r="E37">
            <v>132.51721391220735</v>
          </cell>
          <cell r="F37">
            <v>120.78321391220732</v>
          </cell>
          <cell r="G37">
            <v>277.54021391220761</v>
          </cell>
          <cell r="H37">
            <v>140.78321391220737</v>
          </cell>
          <cell r="I37">
            <v>172.52321391220738</v>
          </cell>
          <cell r="J37">
            <v>320.24721391220754</v>
          </cell>
          <cell r="K37">
            <v>143.66938919943442</v>
          </cell>
          <cell r="L37">
            <v>163.9033891994344</v>
          </cell>
          <cell r="M37">
            <v>266.37438919943446</v>
          </cell>
          <cell r="N37">
            <v>143.87738919943439</v>
          </cell>
          <cell r="O37">
            <v>275.21838919943451</v>
          </cell>
          <cell r="P37">
            <v>213.51838919943447</v>
          </cell>
          <cell r="R37">
            <v>-10.95</v>
          </cell>
          <cell r="S37">
            <v>-10.95</v>
          </cell>
          <cell r="T37">
            <v>0</v>
          </cell>
          <cell r="U37">
            <v>2370.9556186698519</v>
          </cell>
          <cell r="V37">
            <v>1610.8258301809528</v>
          </cell>
          <cell r="W37">
            <v>0</v>
          </cell>
          <cell r="X37">
            <v>760.12978848889907</v>
          </cell>
          <cell r="Y37">
            <v>2370.9556186698519</v>
          </cell>
        </row>
        <row r="39">
          <cell r="A39">
            <v>18</v>
          </cell>
          <cell r="B39" t="str">
            <v>Depreciation</v>
          </cell>
          <cell r="E39">
            <v>58.149062499999999</v>
          </cell>
          <cell r="F39">
            <v>58.149062499999999</v>
          </cell>
          <cell r="G39">
            <v>58.149062499999999</v>
          </cell>
          <cell r="H39">
            <v>58.149062499999999</v>
          </cell>
          <cell r="I39">
            <v>58.149062499999999</v>
          </cell>
          <cell r="J39">
            <v>58.149062499999999</v>
          </cell>
          <cell r="K39">
            <v>58.149062499999999</v>
          </cell>
          <cell r="L39">
            <v>58.149062499999999</v>
          </cell>
          <cell r="M39">
            <v>58.149062499999999</v>
          </cell>
          <cell r="N39">
            <v>58.149062499999999</v>
          </cell>
          <cell r="O39">
            <v>58.149062499999999</v>
          </cell>
          <cell r="P39">
            <v>58.149062499999999</v>
          </cell>
          <cell r="Q39">
            <v>0</v>
          </cell>
          <cell r="R39" t="e">
            <v>#REF!</v>
          </cell>
          <cell r="S39" t="e">
            <v>#REF!</v>
          </cell>
          <cell r="T39" t="e">
            <v>#REF!</v>
          </cell>
          <cell r="U39">
            <v>697.78875000000005</v>
          </cell>
          <cell r="V39">
            <v>400.42122392708336</v>
          </cell>
          <cell r="W39">
            <v>0</v>
          </cell>
          <cell r="X39">
            <v>297.36752607291669</v>
          </cell>
          <cell r="Y39">
            <v>697.78875000000005</v>
          </cell>
        </row>
        <row r="40">
          <cell r="A40">
            <v>19</v>
          </cell>
          <cell r="B40" t="str">
            <v>Fixed Assets Written Off</v>
          </cell>
          <cell r="E40">
            <v>0</v>
          </cell>
          <cell r="F40">
            <v>0</v>
          </cell>
          <cell r="G40">
            <v>0</v>
          </cell>
          <cell r="H40">
            <v>0</v>
          </cell>
          <cell r="I40">
            <v>0</v>
          </cell>
          <cell r="J40">
            <v>0</v>
          </cell>
          <cell r="K40">
            <v>0</v>
          </cell>
          <cell r="L40">
            <v>0</v>
          </cell>
          <cell r="M40">
            <v>0</v>
          </cell>
          <cell r="N40">
            <v>0</v>
          </cell>
          <cell r="O40">
            <v>0</v>
          </cell>
          <cell r="P40">
            <v>0</v>
          </cell>
          <cell r="T40">
            <v>0</v>
          </cell>
          <cell r="U40">
            <v>0</v>
          </cell>
          <cell r="V40">
            <v>0.44</v>
          </cell>
          <cell r="W40">
            <v>0</v>
          </cell>
          <cell r="X40">
            <v>-0.44</v>
          </cell>
          <cell r="Y40">
            <v>0</v>
          </cell>
        </row>
        <row r="41">
          <cell r="A41">
            <v>20</v>
          </cell>
          <cell r="B41" t="str">
            <v>External Interest</v>
          </cell>
          <cell r="T41">
            <v>0</v>
          </cell>
          <cell r="U41">
            <v>0</v>
          </cell>
          <cell r="V41">
            <v>123.2876712328767</v>
          </cell>
          <cell r="W41">
            <v>0</v>
          </cell>
          <cell r="X41">
            <v>-123.2876712328767</v>
          </cell>
          <cell r="Y41">
            <v>0</v>
          </cell>
        </row>
        <row r="42">
          <cell r="A42">
            <v>21</v>
          </cell>
          <cell r="B42" t="str">
            <v>Intercompany Interest Income</v>
          </cell>
          <cell r="T42">
            <v>0</v>
          </cell>
          <cell r="U42">
            <v>0</v>
          </cell>
          <cell r="V42">
            <v>0</v>
          </cell>
          <cell r="W42">
            <v>0</v>
          </cell>
          <cell r="X42">
            <v>0</v>
          </cell>
          <cell r="Y42">
            <v>0</v>
          </cell>
        </row>
        <row r="43">
          <cell r="A43">
            <v>22</v>
          </cell>
          <cell r="B43" t="str">
            <v>External Interest Income</v>
          </cell>
          <cell r="T43">
            <v>0</v>
          </cell>
          <cell r="U43">
            <v>0</v>
          </cell>
          <cell r="V43">
            <v>0</v>
          </cell>
          <cell r="W43">
            <v>0</v>
          </cell>
          <cell r="X43">
            <v>0</v>
          </cell>
          <cell r="Y43">
            <v>0</v>
          </cell>
        </row>
        <row r="44">
          <cell r="B44" t="str">
            <v>E.B.T.</v>
          </cell>
          <cell r="C44">
            <v>0</v>
          </cell>
          <cell r="E44">
            <v>74.368151412207354</v>
          </cell>
          <cell r="F44">
            <v>62.634151412207316</v>
          </cell>
          <cell r="G44">
            <v>219.39115141220759</v>
          </cell>
          <cell r="H44">
            <v>82.634151412207373</v>
          </cell>
          <cell r="I44">
            <v>114.37415141220738</v>
          </cell>
          <cell r="J44">
            <v>262.09815141220753</v>
          </cell>
          <cell r="K44">
            <v>85.52032669943442</v>
          </cell>
          <cell r="L44">
            <v>105.7543266994344</v>
          </cell>
          <cell r="M44">
            <v>208.22532669943445</v>
          </cell>
          <cell r="N44">
            <v>85.72832669943439</v>
          </cell>
          <cell r="O44">
            <v>217.0693266994345</v>
          </cell>
          <cell r="P44">
            <v>155.36932669943445</v>
          </cell>
          <cell r="Q44" t="e">
            <v>#VALUE!</v>
          </cell>
          <cell r="R44" t="e">
            <v>#REF!</v>
          </cell>
          <cell r="S44" t="e">
            <v>#REF!</v>
          </cell>
          <cell r="T44" t="e">
            <v>#REF!</v>
          </cell>
          <cell r="U44">
            <v>1673.1668686698517</v>
          </cell>
          <cell r="V44">
            <v>1086.6769350209929</v>
          </cell>
          <cell r="W44">
            <v>0</v>
          </cell>
          <cell r="X44">
            <v>586.48993364885882</v>
          </cell>
          <cell r="Y44">
            <v>1673.1668686698517</v>
          </cell>
        </row>
        <row r="46">
          <cell r="A46">
            <v>23</v>
          </cell>
          <cell r="B46" t="str">
            <v>Taxation</v>
          </cell>
          <cell r="E46">
            <v>0</v>
          </cell>
          <cell r="F46">
            <v>0</v>
          </cell>
          <cell r="G46">
            <v>0</v>
          </cell>
          <cell r="H46">
            <v>0</v>
          </cell>
          <cell r="I46">
            <v>0</v>
          </cell>
          <cell r="J46">
            <v>0</v>
          </cell>
          <cell r="K46">
            <v>0</v>
          </cell>
          <cell r="L46">
            <v>0</v>
          </cell>
          <cell r="M46">
            <v>0</v>
          </cell>
          <cell r="N46">
            <v>0</v>
          </cell>
          <cell r="O46">
            <v>0</v>
          </cell>
          <cell r="P46">
            <v>0</v>
          </cell>
          <cell r="T46">
            <v>0</v>
          </cell>
          <cell r="U46">
            <v>0</v>
          </cell>
          <cell r="V46">
            <v>0</v>
          </cell>
          <cell r="W46">
            <v>0</v>
          </cell>
          <cell r="X46">
            <v>0</v>
          </cell>
          <cell r="Y46">
            <v>0</v>
          </cell>
        </row>
        <row r="47">
          <cell r="A47">
            <v>24</v>
          </cell>
          <cell r="B47" t="str">
            <v>Adjustments</v>
          </cell>
          <cell r="C47">
            <v>0</v>
          </cell>
          <cell r="E47">
            <v>0</v>
          </cell>
          <cell r="F47">
            <v>0</v>
          </cell>
          <cell r="G47">
            <v>0</v>
          </cell>
          <cell r="H47">
            <v>0</v>
          </cell>
          <cell r="I47">
            <v>0</v>
          </cell>
          <cell r="J47">
            <v>0</v>
          </cell>
          <cell r="K47">
            <v>0</v>
          </cell>
          <cell r="L47">
            <v>0</v>
          </cell>
          <cell r="M47">
            <v>0</v>
          </cell>
          <cell r="N47">
            <v>0</v>
          </cell>
          <cell r="O47">
            <v>0</v>
          </cell>
          <cell r="P47">
            <v>0</v>
          </cell>
          <cell r="R47">
            <v>0</v>
          </cell>
          <cell r="S47">
            <v>0</v>
          </cell>
          <cell r="T47">
            <v>0</v>
          </cell>
          <cell r="U47">
            <v>0</v>
          </cell>
          <cell r="V47">
            <v>0</v>
          </cell>
          <cell r="W47">
            <v>0</v>
          </cell>
          <cell r="X47">
            <v>0</v>
          </cell>
          <cell r="Y47">
            <v>0</v>
          </cell>
        </row>
        <row r="48">
          <cell r="A48">
            <v>25</v>
          </cell>
          <cell r="B48" t="str">
            <v>Dividends</v>
          </cell>
          <cell r="E48">
            <v>0</v>
          </cell>
          <cell r="F48">
            <v>0</v>
          </cell>
          <cell r="G48">
            <v>0</v>
          </cell>
          <cell r="H48">
            <v>0</v>
          </cell>
          <cell r="I48">
            <v>0</v>
          </cell>
          <cell r="J48">
            <v>0</v>
          </cell>
          <cell r="K48">
            <v>0</v>
          </cell>
          <cell r="L48">
            <v>0</v>
          </cell>
          <cell r="M48">
            <v>0</v>
          </cell>
          <cell r="N48">
            <v>0</v>
          </cell>
          <cell r="O48">
            <v>0</v>
          </cell>
          <cell r="P48">
            <v>0</v>
          </cell>
          <cell r="T48">
            <v>0</v>
          </cell>
          <cell r="U48">
            <v>0</v>
          </cell>
          <cell r="V48">
            <v>0</v>
          </cell>
          <cell r="W48">
            <v>0</v>
          </cell>
          <cell r="X48">
            <v>0</v>
          </cell>
          <cell r="Y48">
            <v>0</v>
          </cell>
        </row>
        <row r="49">
          <cell r="A49">
            <v>26</v>
          </cell>
          <cell r="B49" t="str">
            <v>Extraordinary Items</v>
          </cell>
          <cell r="E49">
            <v>0</v>
          </cell>
          <cell r="F49">
            <v>0</v>
          </cell>
          <cell r="G49">
            <v>0</v>
          </cell>
          <cell r="H49">
            <v>0</v>
          </cell>
          <cell r="I49">
            <v>0</v>
          </cell>
          <cell r="J49">
            <v>0</v>
          </cell>
          <cell r="K49">
            <v>0</v>
          </cell>
          <cell r="L49">
            <v>0</v>
          </cell>
          <cell r="M49">
            <v>0</v>
          </cell>
          <cell r="N49">
            <v>0</v>
          </cell>
          <cell r="O49">
            <v>0</v>
          </cell>
          <cell r="P49">
            <v>0</v>
          </cell>
          <cell r="T49">
            <v>0</v>
          </cell>
          <cell r="U49">
            <v>0</v>
          </cell>
          <cell r="V49">
            <v>0</v>
          </cell>
          <cell r="W49">
            <v>0</v>
          </cell>
          <cell r="X49">
            <v>0</v>
          </cell>
          <cell r="Y49">
            <v>0</v>
          </cell>
        </row>
        <row r="50">
          <cell r="B50" t="str">
            <v>RETAINED PROFIT(LOSS)</v>
          </cell>
          <cell r="C50">
            <v>0</v>
          </cell>
          <cell r="E50">
            <v>74.368151412207354</v>
          </cell>
          <cell r="F50">
            <v>62.634151412207316</v>
          </cell>
          <cell r="G50">
            <v>219.39115141220759</v>
          </cell>
          <cell r="H50">
            <v>82.634151412207373</v>
          </cell>
          <cell r="I50">
            <v>114.37415141220738</v>
          </cell>
          <cell r="J50">
            <v>262.09815141220753</v>
          </cell>
          <cell r="K50">
            <v>85.52032669943442</v>
          </cell>
          <cell r="L50">
            <v>105.7543266994344</v>
          </cell>
          <cell r="M50">
            <v>208.22532669943445</v>
          </cell>
          <cell r="N50">
            <v>85.72832669943439</v>
          </cell>
          <cell r="O50">
            <v>217.0693266994345</v>
          </cell>
          <cell r="P50">
            <v>155.36932669943445</v>
          </cell>
          <cell r="Q50" t="e">
            <v>#VALUE!</v>
          </cell>
          <cell r="R50" t="e">
            <v>#REF!</v>
          </cell>
          <cell r="S50" t="e">
            <v>#REF!</v>
          </cell>
          <cell r="T50" t="e">
            <v>#REF!</v>
          </cell>
          <cell r="U50">
            <v>1673.1668686698517</v>
          </cell>
          <cell r="V50">
            <v>1086.6769350209929</v>
          </cell>
          <cell r="W50">
            <v>0</v>
          </cell>
          <cell r="X50">
            <v>586.48993364885882</v>
          </cell>
          <cell r="Y50">
            <v>1673.1668686698517</v>
          </cell>
        </row>
        <row r="52">
          <cell r="B52" t="str">
            <v>RATIOS</v>
          </cell>
        </row>
        <row r="53">
          <cell r="B53" t="str">
            <v>No of week</v>
          </cell>
          <cell r="E53">
            <v>4</v>
          </cell>
          <cell r="F53">
            <v>4</v>
          </cell>
          <cell r="G53">
            <v>5</v>
          </cell>
          <cell r="H53">
            <v>4</v>
          </cell>
          <cell r="I53">
            <v>4</v>
          </cell>
          <cell r="J53">
            <v>5</v>
          </cell>
          <cell r="K53">
            <v>4</v>
          </cell>
          <cell r="L53">
            <v>4</v>
          </cell>
          <cell r="M53">
            <v>5</v>
          </cell>
          <cell r="N53">
            <v>4</v>
          </cell>
          <cell r="O53">
            <v>5</v>
          </cell>
          <cell r="P53">
            <v>4</v>
          </cell>
          <cell r="U53">
            <v>52</v>
          </cell>
          <cell r="V53">
            <v>28</v>
          </cell>
          <cell r="W53">
            <v>52</v>
          </cell>
          <cell r="X53">
            <v>24</v>
          </cell>
          <cell r="Y53">
            <v>0</v>
          </cell>
        </row>
        <row r="54">
          <cell r="A54">
            <v>27</v>
          </cell>
          <cell r="B54" t="str">
            <v>Pd Admissions</v>
          </cell>
          <cell r="E54">
            <v>85.26</v>
          </cell>
          <cell r="F54">
            <v>88.2</v>
          </cell>
          <cell r="G54">
            <v>117.6</v>
          </cell>
          <cell r="H54">
            <v>88.2</v>
          </cell>
          <cell r="I54">
            <v>94.08</v>
          </cell>
          <cell r="J54">
            <v>127.4</v>
          </cell>
          <cell r="K54">
            <v>88.2</v>
          </cell>
          <cell r="L54">
            <v>93.1</v>
          </cell>
          <cell r="M54">
            <v>115.64</v>
          </cell>
          <cell r="N54">
            <v>88.2</v>
          </cell>
          <cell r="O54">
            <v>117.6</v>
          </cell>
          <cell r="P54">
            <v>103.88</v>
          </cell>
          <cell r="T54">
            <v>0</v>
          </cell>
          <cell r="U54">
            <v>1207.3599999999999</v>
          </cell>
          <cell r="V54">
            <v>678</v>
          </cell>
          <cell r="W54">
            <v>0</v>
          </cell>
          <cell r="X54">
            <v>529.36</v>
          </cell>
          <cell r="Y54">
            <v>1207.3599999999999</v>
          </cell>
        </row>
        <row r="55">
          <cell r="A55">
            <v>28</v>
          </cell>
          <cell r="B55" t="str">
            <v>Admissions</v>
          </cell>
          <cell r="E55">
            <v>87</v>
          </cell>
          <cell r="F55">
            <v>90</v>
          </cell>
          <cell r="G55">
            <v>120</v>
          </cell>
          <cell r="H55">
            <v>90</v>
          </cell>
          <cell r="I55">
            <v>96</v>
          </cell>
          <cell r="J55">
            <v>130</v>
          </cell>
          <cell r="K55">
            <v>90</v>
          </cell>
          <cell r="L55">
            <v>95</v>
          </cell>
          <cell r="M55">
            <v>118</v>
          </cell>
          <cell r="N55">
            <v>90</v>
          </cell>
          <cell r="O55">
            <v>120</v>
          </cell>
          <cell r="P55">
            <v>106</v>
          </cell>
          <cell r="T55">
            <v>0</v>
          </cell>
          <cell r="U55">
            <v>1232</v>
          </cell>
          <cell r="V55">
            <v>678</v>
          </cell>
          <cell r="W55">
            <v>0</v>
          </cell>
          <cell r="X55">
            <v>554</v>
          </cell>
          <cell r="Y55">
            <v>1232</v>
          </cell>
        </row>
        <row r="56">
          <cell r="B56" t="str">
            <v>Utilisation Rate</v>
          </cell>
          <cell r="E56">
            <v>0.33065766669707197</v>
          </cell>
          <cell r="F56">
            <v>0.34205965520386755</v>
          </cell>
          <cell r="G56">
            <v>0.36486363221745871</v>
          </cell>
          <cell r="H56">
            <v>0.34205965520386755</v>
          </cell>
          <cell r="I56">
            <v>0.36486363221745871</v>
          </cell>
          <cell r="J56">
            <v>0.39526893490224696</v>
          </cell>
          <cell r="K56">
            <v>0.34205965520386755</v>
          </cell>
          <cell r="L56">
            <v>0.36106296938186022</v>
          </cell>
          <cell r="M56">
            <v>0.35878257168050109</v>
          </cell>
          <cell r="N56">
            <v>0.34205965520386755</v>
          </cell>
          <cell r="O56">
            <v>0.36486363221745871</v>
          </cell>
          <cell r="P56">
            <v>0.40287026057344399</v>
          </cell>
          <cell r="Q56">
            <v>0</v>
          </cell>
          <cell r="R56" t="e">
            <v>#DIV/0!</v>
          </cell>
          <cell r="S56" t="e">
            <v>#DIV/0!</v>
          </cell>
          <cell r="T56" t="e">
            <v>#DIV/0!</v>
          </cell>
          <cell r="U56">
            <v>0.36018589334287593</v>
          </cell>
          <cell r="V56">
            <v>0.36812134321940032</v>
          </cell>
          <cell r="W56" t="str">
            <v>N.A.</v>
          </cell>
          <cell r="X56">
            <v>-7.9354498765243919E-3</v>
          </cell>
          <cell r="Y56" t="str">
            <v>N.A.</v>
          </cell>
        </row>
        <row r="57">
          <cell r="B57" t="str">
            <v>Ave. Admission Price (S$)</v>
          </cell>
          <cell r="C57" t="str">
            <v>N.A.</v>
          </cell>
          <cell r="E57">
            <v>6.8</v>
          </cell>
          <cell r="F57">
            <v>6.8</v>
          </cell>
          <cell r="G57">
            <v>6.8</v>
          </cell>
          <cell r="H57">
            <v>6.8</v>
          </cell>
          <cell r="I57">
            <v>6.8</v>
          </cell>
          <cell r="J57">
            <v>6.8</v>
          </cell>
          <cell r="K57">
            <v>6.8</v>
          </cell>
          <cell r="L57">
            <v>6.8</v>
          </cell>
          <cell r="M57">
            <v>6.8</v>
          </cell>
          <cell r="N57">
            <v>6.8</v>
          </cell>
          <cell r="O57">
            <v>6.8</v>
          </cell>
          <cell r="P57">
            <v>6.8</v>
          </cell>
          <cell r="R57" t="str">
            <v>N.A.</v>
          </cell>
          <cell r="S57" t="str">
            <v>N.A.</v>
          </cell>
          <cell r="U57">
            <v>6.8</v>
          </cell>
          <cell r="V57">
            <v>6.5325383480825971</v>
          </cell>
          <cell r="W57" t="str">
            <v>N.A.</v>
          </cell>
          <cell r="X57">
            <v>0.26746165191740179</v>
          </cell>
          <cell r="Y57" t="str">
            <v>N.A.</v>
          </cell>
        </row>
        <row r="58">
          <cell r="B58" t="str">
            <v>Advert. Cost % of Box</v>
          </cell>
          <cell r="C58" t="str">
            <v>N.A.</v>
          </cell>
          <cell r="E58">
            <v>2.3E-2</v>
          </cell>
          <cell r="F58">
            <v>2.3E-2</v>
          </cell>
          <cell r="G58">
            <v>2.3E-2</v>
          </cell>
          <cell r="H58">
            <v>2.3E-2</v>
          </cell>
          <cell r="I58">
            <v>2.3E-2</v>
          </cell>
          <cell r="J58">
            <v>2.3E-2</v>
          </cell>
          <cell r="K58">
            <v>2.3E-2</v>
          </cell>
          <cell r="L58">
            <v>2.3E-2</v>
          </cell>
          <cell r="M58">
            <v>2.3E-2</v>
          </cell>
          <cell r="N58">
            <v>2.3E-2</v>
          </cell>
          <cell r="O58">
            <v>2.3E-2</v>
          </cell>
          <cell r="P58">
            <v>2.3E-2</v>
          </cell>
          <cell r="R58">
            <v>2.5999999999999999E-2</v>
          </cell>
          <cell r="S58">
            <v>2.5999999999999999E-2</v>
          </cell>
          <cell r="T58">
            <v>2.5999999999999999E-2</v>
          </cell>
          <cell r="U58">
            <v>2.3E-2</v>
          </cell>
          <cell r="V58">
            <v>2.1451147319939825E-2</v>
          </cell>
          <cell r="W58" t="str">
            <v>N.A.</v>
          </cell>
          <cell r="X58">
            <v>1.5488526800601747E-3</v>
          </cell>
          <cell r="Y58" t="str">
            <v>N.A.</v>
          </cell>
        </row>
        <row r="59">
          <cell r="B59" t="str">
            <v>Concession Cost %</v>
          </cell>
          <cell r="C59" t="str">
            <v>N.A.</v>
          </cell>
          <cell r="E59">
            <v>0.20499999999999999</v>
          </cell>
          <cell r="F59">
            <v>0.20499999999999999</v>
          </cell>
          <cell r="G59">
            <v>0.20499999999999999</v>
          </cell>
          <cell r="H59">
            <v>0.20499999999999999</v>
          </cell>
          <cell r="I59">
            <v>0.20499999999999999</v>
          </cell>
          <cell r="J59">
            <v>0.20499999999999999</v>
          </cell>
          <cell r="K59">
            <v>0.20499999999999999</v>
          </cell>
          <cell r="L59">
            <v>0.20499999999999999</v>
          </cell>
          <cell r="M59">
            <v>0.20499999999999999</v>
          </cell>
          <cell r="N59">
            <v>0.20499999999999999</v>
          </cell>
          <cell r="O59">
            <v>0.20499999999999999</v>
          </cell>
          <cell r="P59">
            <v>0.20499999999999999</v>
          </cell>
          <cell r="Q59">
            <v>0</v>
          </cell>
          <cell r="R59" t="str">
            <v>N.A.</v>
          </cell>
          <cell r="S59" t="str">
            <v>N.A.</v>
          </cell>
          <cell r="U59">
            <v>0.20499999999999999</v>
          </cell>
          <cell r="V59">
            <v>0.16056734583437565</v>
          </cell>
          <cell r="W59" t="str">
            <v>N.A.</v>
          </cell>
          <cell r="X59">
            <v>4.4432654165624419E-2</v>
          </cell>
          <cell r="Y59" t="str">
            <v>N.A.</v>
          </cell>
        </row>
        <row r="60">
          <cell r="B60" t="str">
            <v>Concess. Rev per Patron (S$)</v>
          </cell>
          <cell r="C60" t="str">
            <v>N.A.</v>
          </cell>
          <cell r="E60">
            <v>1.2</v>
          </cell>
          <cell r="F60">
            <v>1.2</v>
          </cell>
          <cell r="G60">
            <v>1.2</v>
          </cell>
          <cell r="H60">
            <v>1.2</v>
          </cell>
          <cell r="I60">
            <v>1.2</v>
          </cell>
          <cell r="J60">
            <v>1.2</v>
          </cell>
          <cell r="K60">
            <v>1.2</v>
          </cell>
          <cell r="L60">
            <v>1.2</v>
          </cell>
          <cell r="M60">
            <v>1.2</v>
          </cell>
          <cell r="N60">
            <v>1.2</v>
          </cell>
          <cell r="O60">
            <v>1.2</v>
          </cell>
          <cell r="P60">
            <v>1.2</v>
          </cell>
          <cell r="R60" t="str">
            <v>N.A.</v>
          </cell>
          <cell r="S60" t="str">
            <v>N.A.</v>
          </cell>
          <cell r="U60">
            <v>1.2</v>
          </cell>
          <cell r="V60">
            <v>1.1556165191740413</v>
          </cell>
          <cell r="W60" t="str">
            <v>N.A.</v>
          </cell>
          <cell r="X60">
            <v>4.4383480825958666E-2</v>
          </cell>
          <cell r="Y60" t="str">
            <v>N.A.</v>
          </cell>
        </row>
        <row r="61">
          <cell r="B61" t="str">
            <v>Film Hire : % of Net Box</v>
          </cell>
          <cell r="C61" t="str">
            <v>N.A.</v>
          </cell>
          <cell r="E61">
            <v>0.46500000000000002</v>
          </cell>
          <cell r="F61">
            <v>0.46500000000000002</v>
          </cell>
          <cell r="G61">
            <v>0.46500000000000002</v>
          </cell>
          <cell r="H61">
            <v>0.46500000000000002</v>
          </cell>
          <cell r="I61">
            <v>0.46500000000000002</v>
          </cell>
          <cell r="J61">
            <v>0.46500000000000002</v>
          </cell>
          <cell r="K61">
            <v>0.46500000000000002</v>
          </cell>
          <cell r="L61">
            <v>0.46500000000000002</v>
          </cell>
          <cell r="M61">
            <v>0.46500000000000002</v>
          </cell>
          <cell r="N61">
            <v>0.46500000000000002</v>
          </cell>
          <cell r="O61">
            <v>0.46500000000000002</v>
          </cell>
          <cell r="P61">
            <v>0.46500000000000002</v>
          </cell>
          <cell r="R61" t="str">
            <v>N.A.</v>
          </cell>
          <cell r="S61" t="str">
            <v>N.A.</v>
          </cell>
          <cell r="U61">
            <v>0.46500000000000002</v>
          </cell>
          <cell r="V61">
            <v>0.46278360130962293</v>
          </cell>
          <cell r="W61" t="str">
            <v>N.A.</v>
          </cell>
          <cell r="X61">
            <v>2.2163986903771526E-3</v>
          </cell>
          <cell r="Y61" t="str">
            <v>N.A.</v>
          </cell>
        </row>
        <row r="62">
          <cell r="B62" t="str">
            <v>Direct Payroll : Net Box</v>
          </cell>
          <cell r="C62" t="str">
            <v>N.A.</v>
          </cell>
          <cell r="E62">
            <v>7.3494809212014151E-2</v>
          </cell>
          <cell r="F62">
            <v>7.1044982238280346E-2</v>
          </cell>
          <cell r="G62">
            <v>5.4631775894396543E-2</v>
          </cell>
          <cell r="H62">
            <v>7.1044982238280346E-2</v>
          </cell>
          <cell r="I62">
            <v>6.6604670848387837E-2</v>
          </cell>
          <cell r="J62">
            <v>5.0429331594827577E-2</v>
          </cell>
          <cell r="K62">
            <v>7.2353506008378393E-2</v>
          </cell>
          <cell r="L62">
            <v>6.8545426744779536E-2</v>
          </cell>
          <cell r="M62">
            <v>5.6555764802003465E-2</v>
          </cell>
          <cell r="N62">
            <v>7.2353506008378393E-2</v>
          </cell>
          <cell r="O62">
            <v>5.5613168721970072E-2</v>
          </cell>
          <cell r="P62">
            <v>6.2958304213551031E-2</v>
          </cell>
          <cell r="Q62">
            <v>0</v>
          </cell>
          <cell r="R62" t="str">
            <v>N.A.</v>
          </cell>
          <cell r="S62" t="str">
            <v>N.A.</v>
          </cell>
          <cell r="T62" t="str">
            <v>N.A.</v>
          </cell>
          <cell r="U62">
            <v>6.3509746089778815E-2</v>
          </cell>
          <cell r="V62">
            <v>6.9323298625449808E-2</v>
          </cell>
          <cell r="W62" t="str">
            <v>N.A.</v>
          </cell>
          <cell r="X62">
            <v>-5.8135525356709933E-3</v>
          </cell>
          <cell r="Y62" t="str">
            <v>N.A.</v>
          </cell>
        </row>
        <row r="63">
          <cell r="B63" t="str">
            <v>Direct Payroll : Net Box &amp; Conc.</v>
          </cell>
          <cell r="C63" t="str">
            <v>N.A.</v>
          </cell>
          <cell r="E63">
            <v>6.2470587830212032E-2</v>
          </cell>
          <cell r="F63">
            <v>6.03882349025383E-2</v>
          </cell>
          <cell r="G63">
            <v>4.6437009510237062E-2</v>
          </cell>
          <cell r="H63">
            <v>6.03882349025383E-2</v>
          </cell>
          <cell r="I63">
            <v>5.6613970221129656E-2</v>
          </cell>
          <cell r="J63">
            <v>4.2864931855603437E-2</v>
          </cell>
          <cell r="K63">
            <v>6.1500480107121634E-2</v>
          </cell>
          <cell r="L63">
            <v>5.8263612733062603E-2</v>
          </cell>
          <cell r="M63">
            <v>4.8072400081702944E-2</v>
          </cell>
          <cell r="N63">
            <v>6.1500480107121634E-2</v>
          </cell>
          <cell r="O63">
            <v>4.7271193413674563E-2</v>
          </cell>
          <cell r="P63">
            <v>5.3514558581518372E-2</v>
          </cell>
          <cell r="Q63">
            <v>0</v>
          </cell>
          <cell r="R63" t="str">
            <v>N.A.</v>
          </cell>
          <cell r="S63" t="str">
            <v>N.A.</v>
          </cell>
          <cell r="T63" t="str">
            <v>N.A.</v>
          </cell>
          <cell r="U63">
            <v>5.3983284176311992E-2</v>
          </cell>
          <cell r="V63">
            <v>5.8903223791058376E-2</v>
          </cell>
          <cell r="W63" t="str">
            <v>N.A.</v>
          </cell>
          <cell r="X63">
            <v>-4.9199396147463839E-3</v>
          </cell>
          <cell r="Y63" t="str">
            <v>N.A.</v>
          </cell>
        </row>
        <row r="64">
          <cell r="B64" t="str">
            <v>Direct Payroll of Admissions (S$)</v>
          </cell>
          <cell r="C64" t="str">
            <v>N.A.</v>
          </cell>
          <cell r="E64">
            <v>0.49976470264169626</v>
          </cell>
          <cell r="F64">
            <v>0.4831058792203064</v>
          </cell>
          <cell r="G64">
            <v>0.3714960760818965</v>
          </cell>
          <cell r="H64">
            <v>0.4831058792203064</v>
          </cell>
          <cell r="I64">
            <v>0.45291176176903725</v>
          </cell>
          <cell r="J64">
            <v>0.3429194548448275</v>
          </cell>
          <cell r="K64">
            <v>0.49200384085697307</v>
          </cell>
          <cell r="L64">
            <v>0.46610890186450082</v>
          </cell>
          <cell r="M64">
            <v>0.38457920065362355</v>
          </cell>
          <cell r="N64">
            <v>0.49200384085697307</v>
          </cell>
          <cell r="O64">
            <v>0.3781695473093965</v>
          </cell>
          <cell r="P64">
            <v>0.42811646865214698</v>
          </cell>
          <cell r="Q64">
            <v>0</v>
          </cell>
          <cell r="R64" t="e">
            <v>#DIV/0!</v>
          </cell>
          <cell r="S64" t="e">
            <v>#DIV/0!</v>
          </cell>
          <cell r="T64" t="e">
            <v>#DIV/0!</v>
          </cell>
          <cell r="U64">
            <v>0.43186627341049583</v>
          </cell>
          <cell r="V64">
            <v>0.45285710668633244</v>
          </cell>
          <cell r="W64" t="str">
            <v>N.A.</v>
          </cell>
          <cell r="X64">
            <v>-2.0990833275836618E-2</v>
          </cell>
          <cell r="Y64" t="str">
            <v>N.A.</v>
          </cell>
        </row>
        <row r="65">
          <cell r="B65" t="str">
            <v>Gross Margin :Total Rev</v>
          </cell>
          <cell r="C65" t="str">
            <v>N.A.</v>
          </cell>
          <cell r="E65">
            <v>0.54059421870546454</v>
          </cell>
          <cell r="F65">
            <v>0.54096062020445368</v>
          </cell>
          <cell r="G65">
            <v>0.54262960896895462</v>
          </cell>
          <cell r="H65">
            <v>0.54096062020445368</v>
          </cell>
          <cell r="I65">
            <v>0.5416309260085983</v>
          </cell>
          <cell r="J65">
            <v>0.54335493752014141</v>
          </cell>
          <cell r="K65">
            <v>0.53995485603267002</v>
          </cell>
          <cell r="L65">
            <v>0.54056689772014832</v>
          </cell>
          <cell r="M65">
            <v>0.5416859534460996</v>
          </cell>
          <cell r="N65">
            <v>0.53995485603267002</v>
          </cell>
          <cell r="O65">
            <v>0.54185678932663595</v>
          </cell>
          <cell r="P65">
            <v>0.540536724396246</v>
          </cell>
          <cell r="Q65">
            <v>0</v>
          </cell>
          <cell r="R65" t="e">
            <v>#DIV/0!</v>
          </cell>
          <cell r="S65" t="e">
            <v>#DIV/0!</v>
          </cell>
          <cell r="T65" t="e">
            <v>#DIV/0!</v>
          </cell>
          <cell r="U65">
            <v>0.54133487422254134</v>
          </cell>
          <cell r="V65">
            <v>0.54938829961557534</v>
          </cell>
          <cell r="W65" t="str">
            <v>N.A.</v>
          </cell>
          <cell r="X65">
            <v>-8.0534253930339972E-3</v>
          </cell>
          <cell r="Y65" t="str">
            <v>N.A.</v>
          </cell>
        </row>
        <row r="66">
          <cell r="B66" t="str">
            <v>G&amp;A % of total revenue</v>
          </cell>
          <cell r="C66" t="str">
            <v>N.A.</v>
          </cell>
          <cell r="E66">
            <v>2.712647501520676E-2</v>
          </cell>
          <cell r="F66">
            <v>2.6308824477817631E-2</v>
          </cell>
          <cell r="G66">
            <v>2.0025338198760859E-2</v>
          </cell>
          <cell r="H66">
            <v>2.6308824477817631E-2</v>
          </cell>
          <cell r="I66">
            <v>2.4566611012093988E-2</v>
          </cell>
          <cell r="J66">
            <v>1.8776463993122314E-2</v>
          </cell>
          <cell r="K66">
            <v>2.6318882119535467E-2</v>
          </cell>
          <cell r="L66">
            <v>2.7303357335282368E-2</v>
          </cell>
          <cell r="M66">
            <v>2.0551116872095931E-2</v>
          </cell>
          <cell r="N66">
            <v>2.605765007027732E-2</v>
          </cell>
          <cell r="O66">
            <v>2.023379462207224E-2</v>
          </cell>
          <cell r="P66">
            <v>2.2460720572580802E-2</v>
          </cell>
          <cell r="Q66">
            <v>0</v>
          </cell>
          <cell r="R66" t="str">
            <v>N.A.</v>
          </cell>
          <cell r="S66" t="str">
            <v>N.A.</v>
          </cell>
          <cell r="T66" t="str">
            <v>N.A.</v>
          </cell>
          <cell r="U66">
            <v>2.3445090990258672E-2</v>
          </cell>
          <cell r="V66">
            <v>3.3775651535928271E-2</v>
          </cell>
          <cell r="W66" t="str">
            <v>N.A.</v>
          </cell>
          <cell r="X66">
            <v>-1.0330560545669599E-2</v>
          </cell>
          <cell r="Y66" t="str">
            <v>N.A.</v>
          </cell>
        </row>
        <row r="67">
          <cell r="B67" t="str">
            <v>E.B.I.T.D. : Total Rev</v>
          </cell>
          <cell r="C67" t="str">
            <v>N.A.</v>
          </cell>
          <cell r="E67">
            <v>0.17160397274683856</v>
          </cell>
          <cell r="F67">
            <v>0.15169445426092004</v>
          </cell>
          <cell r="G67">
            <v>0.26783728379215599</v>
          </cell>
          <cell r="H67">
            <v>0.17681292053574219</v>
          </cell>
          <cell r="I67">
            <v>0.20435643781478083</v>
          </cell>
          <cell r="J67">
            <v>0.28690152259928997</v>
          </cell>
          <cell r="K67">
            <v>0.18043773536651408</v>
          </cell>
          <cell r="L67">
            <v>0.19600347437507501</v>
          </cell>
          <cell r="M67">
            <v>0.26109326657530196</v>
          </cell>
          <cell r="N67">
            <v>0.18069896741577218</v>
          </cell>
          <cell r="O67">
            <v>0.26559663111071297</v>
          </cell>
          <cell r="P67">
            <v>0.23102376237160846</v>
          </cell>
          <cell r="Q67">
            <v>0</v>
          </cell>
          <cell r="R67" t="e">
            <v>#DIV/0!</v>
          </cell>
          <cell r="S67" t="e">
            <v>#DIV/0!</v>
          </cell>
          <cell r="T67" t="e">
            <v>#DIV/0!</v>
          </cell>
          <cell r="U67">
            <v>0.22012965226243639</v>
          </cell>
          <cell r="V67">
            <v>0.28064305746560586</v>
          </cell>
          <cell r="W67" t="str">
            <v>N.A.</v>
          </cell>
          <cell r="X67">
            <v>-6.0513405203169474E-2</v>
          </cell>
          <cell r="Y67" t="str">
            <v>N.A.</v>
          </cell>
        </row>
        <row r="68">
          <cell r="B68" t="str">
            <v>No of Concession Transactions</v>
          </cell>
          <cell r="E68">
            <v>20</v>
          </cell>
          <cell r="F68">
            <v>23</v>
          </cell>
          <cell r="G68">
            <v>25</v>
          </cell>
          <cell r="H68">
            <v>20</v>
          </cell>
          <cell r="I68">
            <v>21</v>
          </cell>
          <cell r="J68">
            <v>28</v>
          </cell>
          <cell r="K68">
            <v>22</v>
          </cell>
          <cell r="L68">
            <v>25</v>
          </cell>
          <cell r="M68">
            <v>28</v>
          </cell>
          <cell r="N68">
            <v>21.253</v>
          </cell>
          <cell r="O68">
            <v>30</v>
          </cell>
          <cell r="P68">
            <v>30</v>
          </cell>
          <cell r="Q68">
            <v>0</v>
          </cell>
          <cell r="R68">
            <v>20.744</v>
          </cell>
          <cell r="S68">
            <v>21.744</v>
          </cell>
          <cell r="T68">
            <v>22.744</v>
          </cell>
          <cell r="U68">
            <v>293.25299999999999</v>
          </cell>
          <cell r="V68">
            <v>221</v>
          </cell>
          <cell r="W68" t="str">
            <v>N.A.</v>
          </cell>
          <cell r="X68">
            <v>72.252999999999986</v>
          </cell>
          <cell r="Y68" t="str">
            <v>N.A.</v>
          </cell>
        </row>
        <row r="69">
          <cell r="B69" t="str">
            <v>Strike Rate %(No of Trans/Adm)</v>
          </cell>
          <cell r="E69">
            <v>0.22988505747126436</v>
          </cell>
          <cell r="F69">
            <v>0.25555555555555554</v>
          </cell>
          <cell r="G69">
            <v>0.20833333333333334</v>
          </cell>
          <cell r="H69">
            <v>0.22222222222222221</v>
          </cell>
          <cell r="I69">
            <v>0.21875</v>
          </cell>
          <cell r="J69">
            <v>0.2153846153846154</v>
          </cell>
          <cell r="K69">
            <v>0.24444444444444444</v>
          </cell>
          <cell r="L69">
            <v>0.26315789473684209</v>
          </cell>
          <cell r="M69">
            <v>0.23728813559322035</v>
          </cell>
          <cell r="N69">
            <v>0.23614444444444443</v>
          </cell>
          <cell r="O69">
            <v>0.25</v>
          </cell>
          <cell r="P69">
            <v>0.28301886792452829</v>
          </cell>
          <cell r="Q69">
            <v>0</v>
          </cell>
          <cell r="R69" t="e">
            <v>#DIV/0!</v>
          </cell>
          <cell r="S69" t="e">
            <v>#DIV/0!</v>
          </cell>
          <cell r="T69" t="e">
            <v>#DIV/0!</v>
          </cell>
          <cell r="U69">
            <v>0.23803003246753246</v>
          </cell>
          <cell r="V69">
            <v>0.32595870206489674</v>
          </cell>
          <cell r="W69" t="str">
            <v>N.A.</v>
          </cell>
          <cell r="X69">
            <v>-8.7928669597364284E-2</v>
          </cell>
          <cell r="Y69" t="str">
            <v>N.A.</v>
          </cell>
        </row>
        <row r="70">
          <cell r="B70" t="str">
            <v>Ave Sales (Total Sale/No of Trans) (S$)</v>
          </cell>
          <cell r="E70">
            <v>5.22</v>
          </cell>
          <cell r="F70">
            <v>4.6956521739130439</v>
          </cell>
          <cell r="G70">
            <v>5.76</v>
          </cell>
          <cell r="H70">
            <v>5.4</v>
          </cell>
          <cell r="I70">
            <v>5.4857142857142849</v>
          </cell>
          <cell r="J70">
            <v>5.5714285714285712</v>
          </cell>
          <cell r="K70">
            <v>4.9090909090909092</v>
          </cell>
          <cell r="L70">
            <v>4.5599999999999996</v>
          </cell>
          <cell r="M70">
            <v>5.0571428571428569</v>
          </cell>
          <cell r="N70">
            <v>5.0816355338069918</v>
          </cell>
          <cell r="O70">
            <v>4.8</v>
          </cell>
          <cell r="P70">
            <v>4.24</v>
          </cell>
          <cell r="Q70">
            <v>0</v>
          </cell>
          <cell r="R70">
            <v>0</v>
          </cell>
          <cell r="S70">
            <v>0</v>
          </cell>
          <cell r="T70">
            <v>0</v>
          </cell>
          <cell r="U70">
            <v>5.0413806508373318</v>
          </cell>
          <cell r="V70">
            <v>3.5452850678733032</v>
          </cell>
          <cell r="W70" t="str">
            <v>N.A.</v>
          </cell>
          <cell r="X70">
            <v>1.4960955829640286</v>
          </cell>
          <cell r="Y70" t="str">
            <v>N.A.</v>
          </cell>
        </row>
        <row r="71">
          <cell r="B71" t="str">
            <v xml:space="preserve">Total Concession Combo Sales </v>
          </cell>
          <cell r="E71">
            <v>49</v>
          </cell>
          <cell r="F71">
            <v>50</v>
          </cell>
          <cell r="G71">
            <v>58</v>
          </cell>
          <cell r="H71">
            <v>43</v>
          </cell>
          <cell r="I71">
            <v>46</v>
          </cell>
          <cell r="J71">
            <v>68</v>
          </cell>
          <cell r="K71">
            <v>47</v>
          </cell>
          <cell r="L71">
            <v>52</v>
          </cell>
          <cell r="M71">
            <v>59</v>
          </cell>
          <cell r="N71">
            <v>45</v>
          </cell>
          <cell r="O71">
            <v>64</v>
          </cell>
          <cell r="P71">
            <v>61</v>
          </cell>
          <cell r="Q71">
            <v>0</v>
          </cell>
          <cell r="R71">
            <v>43.881999999999998</v>
          </cell>
          <cell r="S71">
            <v>44.881999999999998</v>
          </cell>
          <cell r="T71">
            <v>45.881999999999998</v>
          </cell>
          <cell r="U71">
            <v>642</v>
          </cell>
          <cell r="V71">
            <v>321</v>
          </cell>
          <cell r="W71" t="str">
            <v>N.A.</v>
          </cell>
          <cell r="X71">
            <v>321</v>
          </cell>
          <cell r="Y71" t="str">
            <v>N.A.</v>
          </cell>
        </row>
        <row r="72">
          <cell r="B72" t="str">
            <v>Combo Sales as % of Total Sales</v>
          </cell>
          <cell r="E72">
            <v>0.46934865900383144</v>
          </cell>
          <cell r="F72">
            <v>0.46296296296296297</v>
          </cell>
          <cell r="G72">
            <v>0.40277777777777779</v>
          </cell>
          <cell r="H72">
            <v>0.39814814814814814</v>
          </cell>
          <cell r="I72">
            <v>0.39930555555555558</v>
          </cell>
          <cell r="J72">
            <v>0.4358974358974359</v>
          </cell>
          <cell r="K72">
            <v>0.43518518518518517</v>
          </cell>
          <cell r="L72">
            <v>0.45614035087719296</v>
          </cell>
          <cell r="M72">
            <v>0.41666666666666669</v>
          </cell>
          <cell r="N72">
            <v>0.41666666666666669</v>
          </cell>
          <cell r="O72">
            <v>0.44444444444444442</v>
          </cell>
          <cell r="P72">
            <v>0.47955974842767302</v>
          </cell>
          <cell r="Q72">
            <v>0</v>
          </cell>
          <cell r="R72" t="e">
            <v>#DIV/0!</v>
          </cell>
          <cell r="S72" t="e">
            <v>#DIV/0!</v>
          </cell>
          <cell r="T72" t="e">
            <v>#DIV/0!</v>
          </cell>
          <cell r="U72">
            <v>0.43425324675324678</v>
          </cell>
          <cell r="V72">
            <v>0.4096958805781179</v>
          </cell>
          <cell r="W72" t="str">
            <v>N.A.</v>
          </cell>
          <cell r="X72">
            <v>2.4557366175128881E-2</v>
          </cell>
          <cell r="Y72" t="str">
            <v>N.A.</v>
          </cell>
        </row>
        <row r="73">
          <cell r="B73" t="str">
            <v>No of Payroll hours Paid</v>
          </cell>
          <cell r="E73">
            <v>4</v>
          </cell>
          <cell r="F73">
            <v>4</v>
          </cell>
          <cell r="G73">
            <v>5</v>
          </cell>
          <cell r="H73">
            <v>4</v>
          </cell>
          <cell r="I73">
            <v>4</v>
          </cell>
          <cell r="J73">
            <v>5</v>
          </cell>
          <cell r="K73">
            <v>4</v>
          </cell>
          <cell r="L73">
            <v>4</v>
          </cell>
          <cell r="M73">
            <v>5</v>
          </cell>
          <cell r="N73">
            <v>4</v>
          </cell>
          <cell r="O73">
            <v>4</v>
          </cell>
          <cell r="P73">
            <v>5</v>
          </cell>
          <cell r="Q73">
            <v>0</v>
          </cell>
          <cell r="R73">
            <v>4.5860000000000003</v>
          </cell>
          <cell r="S73">
            <v>4.5860000000000003</v>
          </cell>
          <cell r="T73">
            <v>4.5860000000000003</v>
          </cell>
          <cell r="U73">
            <v>92</v>
          </cell>
          <cell r="V73">
            <v>57</v>
          </cell>
          <cell r="W73" t="str">
            <v>N.A.</v>
          </cell>
          <cell r="X73">
            <v>35</v>
          </cell>
          <cell r="Y73" t="str">
            <v>N.A.</v>
          </cell>
        </row>
        <row r="74">
          <cell r="B74" t="str">
            <v>Admissions/labour hour paid</v>
          </cell>
          <cell r="E74">
            <v>12.428571428571429</v>
          </cell>
          <cell r="F74">
            <v>12.857142857142858</v>
          </cell>
          <cell r="G74">
            <v>13.333333333333334</v>
          </cell>
          <cell r="H74">
            <v>12.857142857142858</v>
          </cell>
          <cell r="I74">
            <v>13.714285714285714</v>
          </cell>
          <cell r="J74">
            <v>14.444444444444445</v>
          </cell>
          <cell r="K74">
            <v>12.857142857142858</v>
          </cell>
          <cell r="L74">
            <v>13.571428571428571</v>
          </cell>
          <cell r="M74">
            <v>14.75</v>
          </cell>
          <cell r="N74">
            <v>12.857142857142858</v>
          </cell>
          <cell r="O74">
            <v>13.333333333333334</v>
          </cell>
          <cell r="P74">
            <v>13.25</v>
          </cell>
          <cell r="Q74">
            <v>0</v>
          </cell>
          <cell r="R74">
            <v>0</v>
          </cell>
          <cell r="S74">
            <v>0</v>
          </cell>
          <cell r="T74">
            <v>0</v>
          </cell>
          <cell r="U74">
            <v>13.391304347826088</v>
          </cell>
          <cell r="V74">
            <v>11.894736842105264</v>
          </cell>
          <cell r="W74" t="str">
            <v>N.A.</v>
          </cell>
          <cell r="X74">
            <v>1.4965675057208241</v>
          </cell>
          <cell r="Y74" t="str">
            <v>N.A.</v>
          </cell>
        </row>
        <row r="75">
          <cell r="A75">
            <v>0</v>
          </cell>
        </row>
        <row r="76">
          <cell r="A76">
            <v>0</v>
          </cell>
          <cell r="B76" t="str">
            <v>6 Other Income</v>
          </cell>
        </row>
        <row r="77">
          <cell r="A77">
            <v>52</v>
          </cell>
          <cell r="B77" t="str">
            <v>Booking Fee</v>
          </cell>
          <cell r="E77">
            <v>2.265625</v>
          </cell>
          <cell r="F77">
            <v>2.265625</v>
          </cell>
          <cell r="G77">
            <v>2.265625</v>
          </cell>
          <cell r="H77">
            <v>2.265625</v>
          </cell>
          <cell r="I77">
            <v>2.265625</v>
          </cell>
          <cell r="J77">
            <v>2.265625</v>
          </cell>
          <cell r="K77">
            <v>2.265625</v>
          </cell>
          <cell r="L77">
            <v>2.265625</v>
          </cell>
          <cell r="M77">
            <v>2.265625</v>
          </cell>
          <cell r="N77">
            <v>2.265625</v>
          </cell>
          <cell r="O77">
            <v>2.265625</v>
          </cell>
          <cell r="P77">
            <v>2.265625</v>
          </cell>
          <cell r="T77">
            <v>0</v>
          </cell>
          <cell r="U77">
            <v>27.1875</v>
          </cell>
          <cell r="V77">
            <v>32.08625</v>
          </cell>
          <cell r="W77">
            <v>0</v>
          </cell>
          <cell r="X77">
            <v>-4.8987499999999997</v>
          </cell>
          <cell r="Y77">
            <v>27.1875</v>
          </cell>
        </row>
        <row r="78">
          <cell r="A78">
            <v>53</v>
          </cell>
          <cell r="B78" t="str">
            <v>Auditorium Rentals</v>
          </cell>
          <cell r="E78">
            <v>2</v>
          </cell>
          <cell r="F78">
            <v>2</v>
          </cell>
          <cell r="G78">
            <v>2</v>
          </cell>
          <cell r="H78">
            <v>2</v>
          </cell>
          <cell r="I78">
            <v>2</v>
          </cell>
          <cell r="J78">
            <v>2</v>
          </cell>
          <cell r="K78">
            <v>2</v>
          </cell>
          <cell r="L78">
            <v>2</v>
          </cell>
          <cell r="M78">
            <v>2</v>
          </cell>
          <cell r="N78">
            <v>2</v>
          </cell>
          <cell r="O78">
            <v>2</v>
          </cell>
          <cell r="P78">
            <v>2</v>
          </cell>
          <cell r="T78">
            <v>0</v>
          </cell>
          <cell r="U78">
            <v>24</v>
          </cell>
          <cell r="V78">
            <v>10.821999999999999</v>
          </cell>
          <cell r="W78">
            <v>0</v>
          </cell>
          <cell r="X78">
            <v>13.178000000000001</v>
          </cell>
          <cell r="Y78">
            <v>24</v>
          </cell>
        </row>
        <row r="79">
          <cell r="A79">
            <v>54</v>
          </cell>
          <cell r="B79" t="str">
            <v>Parking Revenue</v>
          </cell>
          <cell r="E79">
            <v>0</v>
          </cell>
          <cell r="F79">
            <v>0</v>
          </cell>
          <cell r="G79">
            <v>0</v>
          </cell>
          <cell r="H79">
            <v>0</v>
          </cell>
          <cell r="I79">
            <v>0</v>
          </cell>
          <cell r="J79">
            <v>0</v>
          </cell>
          <cell r="K79">
            <v>0</v>
          </cell>
          <cell r="L79">
            <v>0</v>
          </cell>
          <cell r="M79">
            <v>0</v>
          </cell>
          <cell r="N79">
            <v>0</v>
          </cell>
          <cell r="O79">
            <v>0</v>
          </cell>
          <cell r="P79">
            <v>0</v>
          </cell>
          <cell r="T79">
            <v>0</v>
          </cell>
          <cell r="U79">
            <v>0</v>
          </cell>
          <cell r="V79">
            <v>0</v>
          </cell>
          <cell r="W79">
            <v>0</v>
          </cell>
          <cell r="X79">
            <v>0</v>
          </cell>
          <cell r="Y79">
            <v>0</v>
          </cell>
        </row>
        <row r="80">
          <cell r="A80">
            <v>55</v>
          </cell>
          <cell r="B80" t="str">
            <v>Ticket Advertising</v>
          </cell>
          <cell r="E80">
            <v>0</v>
          </cell>
          <cell r="F80">
            <v>0</v>
          </cell>
          <cell r="G80">
            <v>0</v>
          </cell>
          <cell r="H80">
            <v>0</v>
          </cell>
          <cell r="I80">
            <v>0</v>
          </cell>
          <cell r="J80">
            <v>0</v>
          </cell>
          <cell r="K80">
            <v>0</v>
          </cell>
          <cell r="L80">
            <v>0</v>
          </cell>
          <cell r="M80">
            <v>0</v>
          </cell>
          <cell r="N80">
            <v>0</v>
          </cell>
          <cell r="O80">
            <v>0</v>
          </cell>
          <cell r="P80">
            <v>0</v>
          </cell>
          <cell r="T80">
            <v>0</v>
          </cell>
          <cell r="U80">
            <v>0</v>
          </cell>
          <cell r="V80">
            <v>0</v>
          </cell>
          <cell r="W80">
            <v>0</v>
          </cell>
          <cell r="X80">
            <v>0</v>
          </cell>
          <cell r="Y80">
            <v>0</v>
          </cell>
        </row>
        <row r="81">
          <cell r="A81">
            <v>56</v>
          </cell>
          <cell r="B81" t="str">
            <v>Participating</v>
          </cell>
          <cell r="E81">
            <v>0</v>
          </cell>
          <cell r="F81">
            <v>0</v>
          </cell>
          <cell r="G81">
            <v>0</v>
          </cell>
          <cell r="H81">
            <v>0</v>
          </cell>
          <cell r="I81">
            <v>0</v>
          </cell>
          <cell r="J81">
            <v>0</v>
          </cell>
          <cell r="K81">
            <v>0</v>
          </cell>
          <cell r="L81">
            <v>0</v>
          </cell>
          <cell r="M81">
            <v>0</v>
          </cell>
          <cell r="N81">
            <v>0</v>
          </cell>
          <cell r="O81">
            <v>0</v>
          </cell>
          <cell r="P81">
            <v>0</v>
          </cell>
          <cell r="T81">
            <v>0</v>
          </cell>
          <cell r="U81">
            <v>0</v>
          </cell>
          <cell r="V81">
            <v>0</v>
          </cell>
          <cell r="W81">
            <v>0</v>
          </cell>
          <cell r="X81">
            <v>0</v>
          </cell>
          <cell r="Y81">
            <v>0</v>
          </cell>
        </row>
        <row r="82">
          <cell r="A82">
            <v>57</v>
          </cell>
          <cell r="B82" t="str">
            <v>Miscellaneous</v>
          </cell>
          <cell r="E82">
            <v>5.6243333333333325</v>
          </cell>
          <cell r="F82">
            <v>5.6243333333333325</v>
          </cell>
          <cell r="G82">
            <v>5.6243333333333325</v>
          </cell>
          <cell r="H82">
            <v>5.6243333333333325</v>
          </cell>
          <cell r="I82">
            <v>5.6243333333333325</v>
          </cell>
          <cell r="J82">
            <v>5.6243333333333325</v>
          </cell>
          <cell r="K82">
            <v>5.6243333333333325</v>
          </cell>
          <cell r="L82">
            <v>5.6243333333333325</v>
          </cell>
          <cell r="M82">
            <v>5.6243333333333325</v>
          </cell>
          <cell r="N82">
            <v>5.6243333333333325</v>
          </cell>
          <cell r="O82">
            <v>5.6243333333333325</v>
          </cell>
          <cell r="P82">
            <v>5.6243333333333325</v>
          </cell>
          <cell r="T82">
            <v>0</v>
          </cell>
          <cell r="U82">
            <v>67.49199999999999</v>
          </cell>
          <cell r="V82">
            <v>34.58</v>
          </cell>
          <cell r="W82">
            <v>0</v>
          </cell>
          <cell r="X82">
            <v>32.911999999999992</v>
          </cell>
          <cell r="Y82">
            <v>67.49199999999999</v>
          </cell>
        </row>
        <row r="83">
          <cell r="C83">
            <v>0</v>
          </cell>
          <cell r="E83">
            <v>9.8899583333333325</v>
          </cell>
          <cell r="F83">
            <v>9.8899583333333325</v>
          </cell>
          <cell r="G83">
            <v>9.8899583333333325</v>
          </cell>
          <cell r="H83">
            <v>9.8899583333333325</v>
          </cell>
          <cell r="I83">
            <v>9.8899583333333325</v>
          </cell>
          <cell r="J83">
            <v>9.8899583333333325</v>
          </cell>
          <cell r="K83">
            <v>9.8899583333333325</v>
          </cell>
          <cell r="L83">
            <v>9.8899583333333325</v>
          </cell>
          <cell r="M83">
            <v>9.8899583333333325</v>
          </cell>
          <cell r="N83">
            <v>9.8899583333333325</v>
          </cell>
          <cell r="O83">
            <v>9.8899583333333325</v>
          </cell>
          <cell r="P83">
            <v>9.8899583333333325</v>
          </cell>
          <cell r="R83">
            <v>0</v>
          </cell>
          <cell r="S83">
            <v>0</v>
          </cell>
          <cell r="T83">
            <v>0</v>
          </cell>
          <cell r="U83">
            <v>118.67949999999999</v>
          </cell>
          <cell r="V83">
            <v>77.488249999999994</v>
          </cell>
          <cell r="W83">
            <v>0</v>
          </cell>
          <cell r="X83">
            <v>41.191249999999997</v>
          </cell>
          <cell r="Y83">
            <v>118.67949999999999</v>
          </cell>
        </row>
        <row r="84">
          <cell r="X84">
            <v>0</v>
          </cell>
          <cell r="Y84">
            <v>0</v>
          </cell>
        </row>
        <row r="85">
          <cell r="B85" t="str">
            <v>10 Other Cost</v>
          </cell>
          <cell r="X85">
            <v>0</v>
          </cell>
          <cell r="Y85">
            <v>0</v>
          </cell>
        </row>
        <row r="86">
          <cell r="A86">
            <v>61</v>
          </cell>
          <cell r="B86" t="str">
            <v>Authors Rights</v>
          </cell>
          <cell r="E86">
            <v>1.1832</v>
          </cell>
          <cell r="F86">
            <v>1.224</v>
          </cell>
          <cell r="G86">
            <v>1.6320000000000001</v>
          </cell>
          <cell r="H86">
            <v>1.224</v>
          </cell>
          <cell r="I86">
            <v>1.3055999999999999</v>
          </cell>
          <cell r="J86">
            <v>1.768</v>
          </cell>
          <cell r="K86">
            <v>1.224</v>
          </cell>
          <cell r="L86">
            <v>1.292</v>
          </cell>
          <cell r="M86">
            <v>1.6048</v>
          </cell>
          <cell r="N86">
            <v>1.224</v>
          </cell>
          <cell r="O86">
            <v>1.6320000000000001</v>
          </cell>
          <cell r="P86">
            <v>1.4416</v>
          </cell>
          <cell r="U86">
            <v>16.755199999999999</v>
          </cell>
          <cell r="V86">
            <v>8.8581220000000016</v>
          </cell>
          <cell r="W86">
            <v>0</v>
          </cell>
          <cell r="X86">
            <v>7.8970779999999969</v>
          </cell>
          <cell r="Y86">
            <v>16.755199999999999</v>
          </cell>
        </row>
        <row r="87">
          <cell r="A87">
            <v>62</v>
          </cell>
          <cell r="B87" t="str">
            <v>Film Levies</v>
          </cell>
          <cell r="E87">
            <v>0</v>
          </cell>
          <cell r="F87">
            <v>0</v>
          </cell>
          <cell r="G87">
            <v>0</v>
          </cell>
          <cell r="H87">
            <v>0</v>
          </cell>
          <cell r="I87">
            <v>0</v>
          </cell>
          <cell r="J87">
            <v>0</v>
          </cell>
          <cell r="K87">
            <v>0</v>
          </cell>
          <cell r="L87">
            <v>0</v>
          </cell>
          <cell r="M87">
            <v>0</v>
          </cell>
          <cell r="N87">
            <v>0</v>
          </cell>
          <cell r="O87">
            <v>0</v>
          </cell>
          <cell r="P87">
            <v>0</v>
          </cell>
          <cell r="U87">
            <v>0</v>
          </cell>
          <cell r="V87">
            <v>0</v>
          </cell>
          <cell r="W87">
            <v>0</v>
          </cell>
          <cell r="X87">
            <v>0</v>
          </cell>
          <cell r="Y87">
            <v>0</v>
          </cell>
        </row>
        <row r="88">
          <cell r="A88">
            <v>63</v>
          </cell>
          <cell r="B88" t="str">
            <v>Cultural Fees</v>
          </cell>
          <cell r="E88">
            <v>0</v>
          </cell>
          <cell r="F88">
            <v>0</v>
          </cell>
          <cell r="G88">
            <v>0</v>
          </cell>
          <cell r="H88">
            <v>0</v>
          </cell>
          <cell r="I88">
            <v>0</v>
          </cell>
          <cell r="J88">
            <v>0</v>
          </cell>
          <cell r="K88">
            <v>0</v>
          </cell>
          <cell r="L88">
            <v>0</v>
          </cell>
          <cell r="M88">
            <v>0</v>
          </cell>
          <cell r="N88">
            <v>0</v>
          </cell>
          <cell r="O88">
            <v>0</v>
          </cell>
          <cell r="P88">
            <v>0</v>
          </cell>
          <cell r="U88">
            <v>0</v>
          </cell>
          <cell r="V88">
            <v>0</v>
          </cell>
          <cell r="W88">
            <v>0</v>
          </cell>
          <cell r="X88">
            <v>0</v>
          </cell>
          <cell r="Y88">
            <v>0</v>
          </cell>
        </row>
        <row r="89">
          <cell r="A89">
            <v>64</v>
          </cell>
          <cell r="B89" t="str">
            <v>Municipal Taxes</v>
          </cell>
          <cell r="E89">
            <v>0</v>
          </cell>
          <cell r="F89">
            <v>0</v>
          </cell>
          <cell r="G89">
            <v>0</v>
          </cell>
          <cell r="H89">
            <v>0</v>
          </cell>
          <cell r="I89">
            <v>0</v>
          </cell>
          <cell r="J89">
            <v>0</v>
          </cell>
          <cell r="K89">
            <v>0</v>
          </cell>
          <cell r="L89">
            <v>0</v>
          </cell>
          <cell r="M89">
            <v>0</v>
          </cell>
          <cell r="N89">
            <v>0</v>
          </cell>
          <cell r="O89">
            <v>0</v>
          </cell>
          <cell r="P89">
            <v>0</v>
          </cell>
          <cell r="U89">
            <v>0</v>
          </cell>
          <cell r="V89">
            <v>0</v>
          </cell>
          <cell r="W89">
            <v>0</v>
          </cell>
          <cell r="X89">
            <v>0</v>
          </cell>
          <cell r="Y89">
            <v>0</v>
          </cell>
        </row>
        <row r="90">
          <cell r="A90">
            <v>65</v>
          </cell>
          <cell r="B90" t="str">
            <v>Other</v>
          </cell>
          <cell r="E90">
            <v>0</v>
          </cell>
          <cell r="F90">
            <v>0</v>
          </cell>
          <cell r="G90">
            <v>0</v>
          </cell>
          <cell r="H90">
            <v>0</v>
          </cell>
          <cell r="I90">
            <v>0</v>
          </cell>
          <cell r="J90">
            <v>0</v>
          </cell>
          <cell r="K90">
            <v>0</v>
          </cell>
          <cell r="L90">
            <v>0</v>
          </cell>
          <cell r="M90">
            <v>0</v>
          </cell>
          <cell r="N90">
            <v>0</v>
          </cell>
          <cell r="O90">
            <v>0</v>
          </cell>
          <cell r="P90">
            <v>0</v>
          </cell>
          <cell r="U90">
            <v>0</v>
          </cell>
          <cell r="V90">
            <v>0</v>
          </cell>
          <cell r="W90">
            <v>0</v>
          </cell>
          <cell r="X90">
            <v>0</v>
          </cell>
          <cell r="Y90">
            <v>0</v>
          </cell>
        </row>
        <row r="91">
          <cell r="E91">
            <v>1.1832</v>
          </cell>
          <cell r="F91">
            <v>1.224</v>
          </cell>
          <cell r="G91">
            <v>1.6320000000000001</v>
          </cell>
          <cell r="H91">
            <v>1.224</v>
          </cell>
          <cell r="I91">
            <v>1.3055999999999999</v>
          </cell>
          <cell r="J91">
            <v>1.768</v>
          </cell>
          <cell r="K91">
            <v>1.224</v>
          </cell>
          <cell r="L91">
            <v>1.292</v>
          </cell>
          <cell r="M91">
            <v>1.6048</v>
          </cell>
          <cell r="N91">
            <v>1.224</v>
          </cell>
          <cell r="O91">
            <v>1.6320000000000001</v>
          </cell>
          <cell r="P91">
            <v>1.4416</v>
          </cell>
          <cell r="U91">
            <v>16.755199999999999</v>
          </cell>
          <cell r="V91">
            <v>8.8581220000000016</v>
          </cell>
          <cell r="W91">
            <v>0</v>
          </cell>
          <cell r="X91">
            <v>7.8970779999999969</v>
          </cell>
          <cell r="Y91">
            <v>16.755199999999999</v>
          </cell>
        </row>
        <row r="92">
          <cell r="X92">
            <v>0</v>
          </cell>
          <cell r="Y92">
            <v>0</v>
          </cell>
        </row>
        <row r="93">
          <cell r="B93" t="str">
            <v>11 Direct Payroll</v>
          </cell>
          <cell r="X93">
            <v>0</v>
          </cell>
          <cell r="Y93">
            <v>0</v>
          </cell>
        </row>
        <row r="94">
          <cell r="A94">
            <v>66</v>
          </cell>
          <cell r="B94" t="str">
            <v>Salaries</v>
          </cell>
          <cell r="E94">
            <v>40.119659546494248</v>
          </cell>
          <cell r="F94">
            <v>40.119659546494248</v>
          </cell>
          <cell r="G94">
            <v>41.219659546494249</v>
          </cell>
          <cell r="H94">
            <v>40.119659546494248</v>
          </cell>
          <cell r="I94">
            <v>40.119659546494248</v>
          </cell>
          <cell r="J94">
            <v>41.219659546494249</v>
          </cell>
          <cell r="K94">
            <v>40.92047609379425</v>
          </cell>
          <cell r="L94">
            <v>40.92047609379425</v>
          </cell>
          <cell r="M94">
            <v>42.020476093794251</v>
          </cell>
          <cell r="N94">
            <v>40.92047609379425</v>
          </cell>
          <cell r="O94">
            <v>42.020476093794251</v>
          </cell>
          <cell r="P94">
            <v>42.020476093794251</v>
          </cell>
          <cell r="T94">
            <v>0</v>
          </cell>
          <cell r="U94">
            <v>491.74081384173098</v>
          </cell>
          <cell r="V94">
            <v>278.19983500000006</v>
          </cell>
          <cell r="W94">
            <v>0</v>
          </cell>
          <cell r="X94">
            <v>213.54097884173092</v>
          </cell>
          <cell r="Y94">
            <v>491.74081384173098</v>
          </cell>
        </row>
        <row r="95">
          <cell r="A95">
            <v>67</v>
          </cell>
          <cell r="B95" t="str">
            <v>Bonus/Commission</v>
          </cell>
          <cell r="E95">
            <v>2.0224695833333333</v>
          </cell>
          <cell r="F95">
            <v>2.0224695833333333</v>
          </cell>
          <cell r="G95">
            <v>2.0224695833333333</v>
          </cell>
          <cell r="H95">
            <v>2.0224695833333333</v>
          </cell>
          <cell r="I95">
            <v>2.0224695833333333</v>
          </cell>
          <cell r="J95">
            <v>2.0224695833333333</v>
          </cell>
          <cell r="K95">
            <v>2.0224695833333333</v>
          </cell>
          <cell r="L95">
            <v>2.0224695833333333</v>
          </cell>
          <cell r="M95">
            <v>2.0224695833333333</v>
          </cell>
          <cell r="N95">
            <v>2.0224695833333333</v>
          </cell>
          <cell r="O95">
            <v>2.0224695833333333</v>
          </cell>
          <cell r="P95">
            <v>2.0224695833333333</v>
          </cell>
          <cell r="T95">
            <v>0</v>
          </cell>
          <cell r="U95">
            <v>24.269634999999997</v>
          </cell>
          <cell r="V95">
            <v>18.586883333333336</v>
          </cell>
          <cell r="W95">
            <v>0</v>
          </cell>
          <cell r="X95">
            <v>5.6827516666666611</v>
          </cell>
          <cell r="Y95">
            <v>24.269634999999997</v>
          </cell>
        </row>
        <row r="96">
          <cell r="A96">
            <v>68</v>
          </cell>
          <cell r="B96" t="str">
            <v>Payroll Tax</v>
          </cell>
          <cell r="E96">
            <v>0</v>
          </cell>
          <cell r="F96">
            <v>0</v>
          </cell>
          <cell r="G96">
            <v>0</v>
          </cell>
          <cell r="H96">
            <v>0</v>
          </cell>
          <cell r="I96">
            <v>0</v>
          </cell>
          <cell r="J96">
            <v>0</v>
          </cell>
          <cell r="K96">
            <v>0</v>
          </cell>
          <cell r="L96">
            <v>0</v>
          </cell>
          <cell r="M96">
            <v>0</v>
          </cell>
          <cell r="N96">
            <v>0</v>
          </cell>
          <cell r="O96">
            <v>0</v>
          </cell>
          <cell r="P96">
            <v>0</v>
          </cell>
          <cell r="T96">
            <v>0</v>
          </cell>
          <cell r="U96">
            <v>0</v>
          </cell>
          <cell r="V96">
            <v>0</v>
          </cell>
          <cell r="W96">
            <v>0</v>
          </cell>
          <cell r="X96">
            <v>0</v>
          </cell>
          <cell r="Y96">
            <v>0</v>
          </cell>
        </row>
        <row r="97">
          <cell r="A97">
            <v>69</v>
          </cell>
          <cell r="B97" t="str">
            <v>Welfare &amp; Pension</v>
          </cell>
          <cell r="E97">
            <v>0.55300000000000005</v>
          </cell>
          <cell r="F97">
            <v>0.55300000000000005</v>
          </cell>
          <cell r="G97">
            <v>0.55300000000000005</v>
          </cell>
          <cell r="H97">
            <v>0.55300000000000005</v>
          </cell>
          <cell r="I97">
            <v>0.55300000000000005</v>
          </cell>
          <cell r="J97">
            <v>0.55300000000000005</v>
          </cell>
          <cell r="K97">
            <v>0.55300000000000005</v>
          </cell>
          <cell r="L97">
            <v>0.55300000000000005</v>
          </cell>
          <cell r="M97">
            <v>0.55300000000000005</v>
          </cell>
          <cell r="N97">
            <v>0.55300000000000005</v>
          </cell>
          <cell r="O97">
            <v>0.55300000000000005</v>
          </cell>
          <cell r="P97">
            <v>0.55300000000000005</v>
          </cell>
          <cell r="T97">
            <v>0</v>
          </cell>
          <cell r="U97">
            <v>6.6360000000000001</v>
          </cell>
          <cell r="V97">
            <v>4.76</v>
          </cell>
          <cell r="W97">
            <v>0</v>
          </cell>
          <cell r="X97">
            <v>1.8760000000000003</v>
          </cell>
          <cell r="Y97">
            <v>6.6360000000000001</v>
          </cell>
        </row>
        <row r="98">
          <cell r="A98">
            <v>70</v>
          </cell>
          <cell r="B98" t="str">
            <v>Miscellaneous</v>
          </cell>
          <cell r="E98">
            <v>0.78439999999999999</v>
          </cell>
          <cell r="F98">
            <v>0.78439999999999999</v>
          </cell>
          <cell r="G98">
            <v>0.78439999999999999</v>
          </cell>
          <cell r="H98">
            <v>0.78439999999999999</v>
          </cell>
          <cell r="I98">
            <v>0.78439999999999999</v>
          </cell>
          <cell r="J98">
            <v>0.78439999999999999</v>
          </cell>
          <cell r="K98">
            <v>0.78439999999999999</v>
          </cell>
          <cell r="L98">
            <v>0.78439999999999999</v>
          </cell>
          <cell r="M98">
            <v>0.78439999999999999</v>
          </cell>
          <cell r="N98">
            <v>0.78439999999999999</v>
          </cell>
          <cell r="O98">
            <v>0.78439999999999999</v>
          </cell>
          <cell r="P98">
            <v>0.78439999999999999</v>
          </cell>
          <cell r="T98">
            <v>0</v>
          </cell>
          <cell r="U98">
            <v>9.4127999999999989</v>
          </cell>
          <cell r="V98">
            <v>5.4904000000000011</v>
          </cell>
          <cell r="W98">
            <v>0</v>
          </cell>
          <cell r="X98">
            <v>3.9223999999999979</v>
          </cell>
          <cell r="Y98">
            <v>9.4127999999999989</v>
          </cell>
        </row>
        <row r="99">
          <cell r="C99">
            <v>0</v>
          </cell>
          <cell r="E99">
            <v>43.479529129827576</v>
          </cell>
          <cell r="F99">
            <v>43.479529129827576</v>
          </cell>
          <cell r="G99">
            <v>44.579529129827577</v>
          </cell>
          <cell r="H99">
            <v>43.479529129827576</v>
          </cell>
          <cell r="I99">
            <v>43.479529129827576</v>
          </cell>
          <cell r="J99">
            <v>44.579529129827577</v>
          </cell>
          <cell r="K99">
            <v>44.280345677127578</v>
          </cell>
          <cell r="L99">
            <v>44.280345677127578</v>
          </cell>
          <cell r="M99">
            <v>45.380345677127579</v>
          </cell>
          <cell r="N99">
            <v>44.280345677127578</v>
          </cell>
          <cell r="O99">
            <v>45.380345677127579</v>
          </cell>
          <cell r="P99">
            <v>45.380345677127579</v>
          </cell>
          <cell r="R99">
            <v>0</v>
          </cell>
          <cell r="S99">
            <v>0</v>
          </cell>
          <cell r="T99">
            <v>0</v>
          </cell>
          <cell r="U99">
            <v>532.05924884173089</v>
          </cell>
          <cell r="V99">
            <v>307.03711833333341</v>
          </cell>
          <cell r="W99">
            <v>0</v>
          </cell>
          <cell r="X99">
            <v>225.02213050839748</v>
          </cell>
          <cell r="Y99">
            <v>532.05924884173089</v>
          </cell>
        </row>
        <row r="100">
          <cell r="X100">
            <v>0</v>
          </cell>
          <cell r="Y100">
            <v>0</v>
          </cell>
        </row>
        <row r="101">
          <cell r="B101" t="str">
            <v>16 Other Overhead Costs</v>
          </cell>
          <cell r="X101">
            <v>0</v>
          </cell>
          <cell r="Y101">
            <v>0</v>
          </cell>
        </row>
        <row r="102">
          <cell r="A102">
            <v>71</v>
          </cell>
          <cell r="B102" t="str">
            <v>Insurance (Other than employee)</v>
          </cell>
          <cell r="E102">
            <v>1.3</v>
          </cell>
          <cell r="F102">
            <v>1.3</v>
          </cell>
          <cell r="G102">
            <v>1.3</v>
          </cell>
          <cell r="H102">
            <v>1.3</v>
          </cell>
          <cell r="I102">
            <v>1.3</v>
          </cell>
          <cell r="J102">
            <v>1.3</v>
          </cell>
          <cell r="K102">
            <v>1.3</v>
          </cell>
          <cell r="L102">
            <v>1.3</v>
          </cell>
          <cell r="M102">
            <v>1.3</v>
          </cell>
          <cell r="N102">
            <v>1.3</v>
          </cell>
          <cell r="O102">
            <v>1.3</v>
          </cell>
          <cell r="P102">
            <v>1.3</v>
          </cell>
          <cell r="T102">
            <v>0</v>
          </cell>
          <cell r="U102">
            <v>15.6</v>
          </cell>
          <cell r="V102">
            <v>9.6349999999999998</v>
          </cell>
          <cell r="W102">
            <v>0</v>
          </cell>
          <cell r="X102">
            <v>5.9649999999999999</v>
          </cell>
          <cell r="Y102">
            <v>15.6</v>
          </cell>
        </row>
        <row r="103">
          <cell r="A103">
            <v>72</v>
          </cell>
          <cell r="B103" t="str">
            <v>Property Taxes</v>
          </cell>
          <cell r="E103">
            <v>0</v>
          </cell>
          <cell r="F103">
            <v>0</v>
          </cell>
          <cell r="G103">
            <v>0</v>
          </cell>
          <cell r="H103">
            <v>0</v>
          </cell>
          <cell r="I103">
            <v>0</v>
          </cell>
          <cell r="J103">
            <v>0</v>
          </cell>
          <cell r="K103">
            <v>0</v>
          </cell>
          <cell r="L103">
            <v>0</v>
          </cell>
          <cell r="M103">
            <v>0</v>
          </cell>
          <cell r="N103">
            <v>0</v>
          </cell>
          <cell r="O103">
            <v>0</v>
          </cell>
          <cell r="P103">
            <v>0</v>
          </cell>
          <cell r="T103">
            <v>0</v>
          </cell>
          <cell r="U103">
            <v>0</v>
          </cell>
          <cell r="V103">
            <v>0</v>
          </cell>
          <cell r="W103">
            <v>0</v>
          </cell>
          <cell r="X103">
            <v>0</v>
          </cell>
          <cell r="Y103">
            <v>0</v>
          </cell>
        </row>
        <row r="104">
          <cell r="A104">
            <v>73</v>
          </cell>
          <cell r="B104" t="str">
            <v>Travel &amp; Entertainment</v>
          </cell>
          <cell r="E104">
            <v>2</v>
          </cell>
          <cell r="F104">
            <v>2</v>
          </cell>
          <cell r="G104">
            <v>2</v>
          </cell>
          <cell r="H104">
            <v>2</v>
          </cell>
          <cell r="I104">
            <v>2</v>
          </cell>
          <cell r="J104">
            <v>2</v>
          </cell>
          <cell r="K104">
            <v>2</v>
          </cell>
          <cell r="L104">
            <v>2</v>
          </cell>
          <cell r="M104">
            <v>2</v>
          </cell>
          <cell r="N104">
            <v>2</v>
          </cell>
          <cell r="O104">
            <v>2</v>
          </cell>
          <cell r="P104">
            <v>2</v>
          </cell>
          <cell r="T104">
            <v>0</v>
          </cell>
          <cell r="U104">
            <v>24</v>
          </cell>
          <cell r="V104">
            <v>18.335833333333333</v>
          </cell>
          <cell r="W104">
            <v>0</v>
          </cell>
          <cell r="X104">
            <v>5.6641666666666666</v>
          </cell>
          <cell r="Y104">
            <v>24</v>
          </cell>
        </row>
        <row r="105">
          <cell r="A105">
            <v>74</v>
          </cell>
          <cell r="B105" t="str">
            <v>Legal &amp; Professional</v>
          </cell>
          <cell r="E105">
            <v>1</v>
          </cell>
          <cell r="F105">
            <v>1</v>
          </cell>
          <cell r="G105">
            <v>1</v>
          </cell>
          <cell r="H105">
            <v>1</v>
          </cell>
          <cell r="I105">
            <v>1</v>
          </cell>
          <cell r="J105">
            <v>1</v>
          </cell>
          <cell r="K105">
            <v>1</v>
          </cell>
          <cell r="L105">
            <v>1</v>
          </cell>
          <cell r="M105">
            <v>1</v>
          </cell>
          <cell r="N105">
            <v>1</v>
          </cell>
          <cell r="O105">
            <v>1</v>
          </cell>
          <cell r="P105">
            <v>1</v>
          </cell>
          <cell r="T105">
            <v>0</v>
          </cell>
          <cell r="U105">
            <v>12</v>
          </cell>
          <cell r="V105">
            <v>6.3579999999999988</v>
          </cell>
          <cell r="W105">
            <v>0</v>
          </cell>
          <cell r="X105">
            <v>5.6420000000000012</v>
          </cell>
          <cell r="Y105">
            <v>12</v>
          </cell>
        </row>
        <row r="106">
          <cell r="A106">
            <v>75</v>
          </cell>
          <cell r="B106" t="str">
            <v>Credit Card Charges</v>
          </cell>
          <cell r="E106">
            <v>0.5</v>
          </cell>
          <cell r="F106">
            <v>0.5</v>
          </cell>
          <cell r="G106">
            <v>0.5</v>
          </cell>
          <cell r="H106">
            <v>0.5</v>
          </cell>
          <cell r="I106">
            <v>0.5</v>
          </cell>
          <cell r="J106">
            <v>0.5</v>
          </cell>
          <cell r="K106">
            <v>0.5</v>
          </cell>
          <cell r="L106">
            <v>0.5</v>
          </cell>
          <cell r="M106">
            <v>0.5</v>
          </cell>
          <cell r="N106">
            <v>0.5</v>
          </cell>
          <cell r="O106">
            <v>0.5</v>
          </cell>
          <cell r="P106">
            <v>0.5</v>
          </cell>
          <cell r="T106">
            <v>0</v>
          </cell>
          <cell r="U106">
            <v>6</v>
          </cell>
          <cell r="V106">
            <v>1.5549999999999999</v>
          </cell>
          <cell r="W106">
            <v>0</v>
          </cell>
          <cell r="X106">
            <v>4.4450000000000003</v>
          </cell>
          <cell r="Y106">
            <v>6</v>
          </cell>
        </row>
        <row r="107">
          <cell r="A107">
            <v>76</v>
          </cell>
          <cell r="B107" t="str">
            <v>Membership Fees</v>
          </cell>
          <cell r="E107">
            <v>0</v>
          </cell>
          <cell r="F107">
            <v>0</v>
          </cell>
          <cell r="G107">
            <v>0</v>
          </cell>
          <cell r="H107">
            <v>0</v>
          </cell>
          <cell r="I107">
            <v>0</v>
          </cell>
          <cell r="J107">
            <v>0</v>
          </cell>
          <cell r="K107">
            <v>0</v>
          </cell>
          <cell r="L107">
            <v>0</v>
          </cell>
          <cell r="M107">
            <v>0</v>
          </cell>
          <cell r="N107">
            <v>0</v>
          </cell>
          <cell r="O107">
            <v>0</v>
          </cell>
          <cell r="P107">
            <v>0</v>
          </cell>
          <cell r="T107">
            <v>0</v>
          </cell>
          <cell r="U107">
            <v>0</v>
          </cell>
          <cell r="V107">
            <v>0</v>
          </cell>
          <cell r="W107">
            <v>0</v>
          </cell>
          <cell r="X107">
            <v>0</v>
          </cell>
          <cell r="Y107">
            <v>0</v>
          </cell>
        </row>
        <row r="108">
          <cell r="A108">
            <v>77</v>
          </cell>
          <cell r="B108" t="str">
            <v>Taxes &amp; Licences</v>
          </cell>
          <cell r="E108">
            <v>0.24</v>
          </cell>
          <cell r="F108">
            <v>0.24</v>
          </cell>
          <cell r="G108">
            <v>0.24</v>
          </cell>
          <cell r="H108">
            <v>0.24</v>
          </cell>
          <cell r="I108">
            <v>0.24</v>
          </cell>
          <cell r="J108">
            <v>0.24</v>
          </cell>
          <cell r="K108">
            <v>0.24</v>
          </cell>
          <cell r="L108">
            <v>0.24</v>
          </cell>
          <cell r="M108">
            <v>0.24</v>
          </cell>
          <cell r="N108">
            <v>0.24</v>
          </cell>
          <cell r="O108">
            <v>0.24</v>
          </cell>
          <cell r="P108">
            <v>0.24</v>
          </cell>
          <cell r="T108">
            <v>0</v>
          </cell>
          <cell r="U108">
            <v>2.88</v>
          </cell>
          <cell r="V108">
            <v>3.8674779999999984</v>
          </cell>
          <cell r="W108">
            <v>0</v>
          </cell>
          <cell r="X108">
            <v>-0.98747799999999764</v>
          </cell>
          <cell r="Y108">
            <v>2.88</v>
          </cell>
        </row>
        <row r="109">
          <cell r="A109">
            <v>78</v>
          </cell>
          <cell r="B109" t="str">
            <v>Convention expense</v>
          </cell>
          <cell r="E109">
            <v>0</v>
          </cell>
          <cell r="F109">
            <v>0</v>
          </cell>
          <cell r="G109">
            <v>0</v>
          </cell>
          <cell r="H109">
            <v>0</v>
          </cell>
          <cell r="I109">
            <v>0</v>
          </cell>
          <cell r="J109">
            <v>0</v>
          </cell>
          <cell r="K109">
            <v>0</v>
          </cell>
          <cell r="L109">
            <v>0</v>
          </cell>
          <cell r="M109">
            <v>0</v>
          </cell>
          <cell r="N109">
            <v>0</v>
          </cell>
          <cell r="O109">
            <v>0</v>
          </cell>
          <cell r="P109">
            <v>0</v>
          </cell>
          <cell r="T109">
            <v>0</v>
          </cell>
          <cell r="U109">
            <v>0</v>
          </cell>
          <cell r="V109">
            <v>0</v>
          </cell>
          <cell r="W109">
            <v>0</v>
          </cell>
          <cell r="X109">
            <v>0</v>
          </cell>
          <cell r="Y109">
            <v>0</v>
          </cell>
        </row>
        <row r="110">
          <cell r="A110">
            <v>79</v>
          </cell>
          <cell r="B110" t="str">
            <v>Contributions</v>
          </cell>
          <cell r="E110">
            <v>0</v>
          </cell>
          <cell r="F110">
            <v>0</v>
          </cell>
          <cell r="G110">
            <v>0</v>
          </cell>
          <cell r="H110">
            <v>0</v>
          </cell>
          <cell r="I110">
            <v>0</v>
          </cell>
          <cell r="J110">
            <v>0</v>
          </cell>
          <cell r="K110">
            <v>0</v>
          </cell>
          <cell r="L110">
            <v>0</v>
          </cell>
          <cell r="M110">
            <v>0</v>
          </cell>
          <cell r="N110">
            <v>0</v>
          </cell>
          <cell r="O110">
            <v>0</v>
          </cell>
          <cell r="P110">
            <v>0</v>
          </cell>
          <cell r="T110">
            <v>0</v>
          </cell>
          <cell r="U110">
            <v>0</v>
          </cell>
          <cell r="V110">
            <v>0</v>
          </cell>
          <cell r="W110">
            <v>0</v>
          </cell>
          <cell r="X110">
            <v>0</v>
          </cell>
          <cell r="Y110">
            <v>0</v>
          </cell>
        </row>
        <row r="111">
          <cell r="A111">
            <v>80</v>
          </cell>
          <cell r="B111" t="str">
            <v>Contract Cleaners</v>
          </cell>
          <cell r="E111">
            <v>6.4480000000000004</v>
          </cell>
          <cell r="F111">
            <v>6.4480000000000004</v>
          </cell>
          <cell r="G111">
            <v>6.24</v>
          </cell>
          <cell r="H111">
            <v>6.4480000000000004</v>
          </cell>
          <cell r="I111">
            <v>6.24</v>
          </cell>
          <cell r="J111">
            <v>6.4480000000000004</v>
          </cell>
          <cell r="K111">
            <v>6.4480000000000004</v>
          </cell>
          <cell r="L111">
            <v>8.3239999999999998</v>
          </cell>
          <cell r="M111">
            <v>6.4480000000000004</v>
          </cell>
          <cell r="N111">
            <v>6.24</v>
          </cell>
          <cell r="O111">
            <v>6.4480000000000004</v>
          </cell>
          <cell r="P111">
            <v>6.24</v>
          </cell>
          <cell r="T111">
            <v>0</v>
          </cell>
          <cell r="U111">
            <v>78.42</v>
          </cell>
          <cell r="V111">
            <v>56.227000000000004</v>
          </cell>
          <cell r="W111">
            <v>0</v>
          </cell>
          <cell r="X111">
            <v>22.192999999999998</v>
          </cell>
          <cell r="Y111">
            <v>78.42</v>
          </cell>
        </row>
        <row r="112">
          <cell r="A112">
            <v>81</v>
          </cell>
          <cell r="B112" t="str">
            <v>Telephone &amp; Faxes</v>
          </cell>
          <cell r="E112">
            <v>4</v>
          </cell>
          <cell r="F112">
            <v>4</v>
          </cell>
          <cell r="G112">
            <v>4</v>
          </cell>
          <cell r="H112">
            <v>4</v>
          </cell>
          <cell r="I112">
            <v>4</v>
          </cell>
          <cell r="J112">
            <v>4</v>
          </cell>
          <cell r="K112">
            <v>4</v>
          </cell>
          <cell r="L112">
            <v>4</v>
          </cell>
          <cell r="M112">
            <v>4</v>
          </cell>
          <cell r="N112">
            <v>4</v>
          </cell>
          <cell r="O112">
            <v>4</v>
          </cell>
          <cell r="P112">
            <v>4</v>
          </cell>
          <cell r="T112">
            <v>0</v>
          </cell>
          <cell r="U112">
            <v>48</v>
          </cell>
          <cell r="V112">
            <v>29.887999999999998</v>
          </cell>
          <cell r="W112">
            <v>0</v>
          </cell>
          <cell r="X112">
            <v>18.112000000000002</v>
          </cell>
          <cell r="Y112">
            <v>48</v>
          </cell>
        </row>
        <row r="113">
          <cell r="A113">
            <v>82</v>
          </cell>
          <cell r="B113" t="str">
            <v>Stationery &amp; Printing</v>
          </cell>
          <cell r="E113">
            <v>0.6</v>
          </cell>
          <cell r="F113">
            <v>0.6</v>
          </cell>
          <cell r="G113">
            <v>0.6</v>
          </cell>
          <cell r="H113">
            <v>0.6</v>
          </cell>
          <cell r="I113">
            <v>0.6</v>
          </cell>
          <cell r="J113">
            <v>0.6</v>
          </cell>
          <cell r="K113">
            <v>0.6</v>
          </cell>
          <cell r="L113">
            <v>0.6</v>
          </cell>
          <cell r="M113">
            <v>0.6</v>
          </cell>
          <cell r="N113">
            <v>0.6</v>
          </cell>
          <cell r="O113">
            <v>0.6</v>
          </cell>
          <cell r="P113">
            <v>0.6</v>
          </cell>
          <cell r="T113">
            <v>0</v>
          </cell>
          <cell r="U113">
            <v>7.2</v>
          </cell>
          <cell r="V113">
            <v>10.143000000000001</v>
          </cell>
          <cell r="W113">
            <v>0</v>
          </cell>
          <cell r="X113">
            <v>-2.9430000000000023</v>
          </cell>
          <cell r="Y113">
            <v>7.2</v>
          </cell>
        </row>
        <row r="114">
          <cell r="A114">
            <v>83</v>
          </cell>
          <cell r="B114" t="str">
            <v>Uniforms &amp; Laundry</v>
          </cell>
          <cell r="E114">
            <v>0.2</v>
          </cell>
          <cell r="F114">
            <v>0.2</v>
          </cell>
          <cell r="G114">
            <v>0.2</v>
          </cell>
          <cell r="H114">
            <v>0.2</v>
          </cell>
          <cell r="I114">
            <v>0.2</v>
          </cell>
          <cell r="J114">
            <v>0.2</v>
          </cell>
          <cell r="K114">
            <v>0.2</v>
          </cell>
          <cell r="L114">
            <v>0.2</v>
          </cell>
          <cell r="M114">
            <v>0.2</v>
          </cell>
          <cell r="N114">
            <v>0.2</v>
          </cell>
          <cell r="O114">
            <v>0.2</v>
          </cell>
          <cell r="P114">
            <v>0.2</v>
          </cell>
          <cell r="T114">
            <v>0</v>
          </cell>
          <cell r="U114">
            <v>2.4</v>
          </cell>
          <cell r="V114">
            <v>2.629</v>
          </cell>
          <cell r="W114">
            <v>0</v>
          </cell>
          <cell r="X114">
            <v>-0.22900000000000009</v>
          </cell>
          <cell r="Y114">
            <v>2.4</v>
          </cell>
        </row>
        <row r="115">
          <cell r="A115">
            <v>84</v>
          </cell>
          <cell r="B115" t="str">
            <v>Freight</v>
          </cell>
          <cell r="E115">
            <v>0</v>
          </cell>
          <cell r="F115">
            <v>0</v>
          </cell>
          <cell r="G115">
            <v>0</v>
          </cell>
          <cell r="H115">
            <v>0</v>
          </cell>
          <cell r="I115">
            <v>0</v>
          </cell>
          <cell r="J115">
            <v>0</v>
          </cell>
          <cell r="K115">
            <v>0</v>
          </cell>
          <cell r="L115">
            <v>0</v>
          </cell>
          <cell r="M115">
            <v>0</v>
          </cell>
          <cell r="N115">
            <v>0</v>
          </cell>
          <cell r="O115">
            <v>0</v>
          </cell>
          <cell r="P115">
            <v>0</v>
          </cell>
          <cell r="T115">
            <v>0</v>
          </cell>
          <cell r="U115">
            <v>0</v>
          </cell>
          <cell r="V115">
            <v>12.696</v>
          </cell>
          <cell r="W115">
            <v>0</v>
          </cell>
          <cell r="X115">
            <v>-12.696</v>
          </cell>
          <cell r="Y115">
            <v>0</v>
          </cell>
        </row>
        <row r="116">
          <cell r="A116">
            <v>85</v>
          </cell>
          <cell r="B116" t="str">
            <v>Data processing</v>
          </cell>
          <cell r="E116">
            <v>0</v>
          </cell>
          <cell r="F116">
            <v>0</v>
          </cell>
          <cell r="G116">
            <v>0</v>
          </cell>
          <cell r="H116">
            <v>0</v>
          </cell>
          <cell r="I116">
            <v>0</v>
          </cell>
          <cell r="J116">
            <v>0</v>
          </cell>
          <cell r="K116">
            <v>0</v>
          </cell>
          <cell r="L116">
            <v>0</v>
          </cell>
          <cell r="M116">
            <v>0</v>
          </cell>
          <cell r="N116">
            <v>0</v>
          </cell>
          <cell r="O116">
            <v>0</v>
          </cell>
          <cell r="P116">
            <v>0</v>
          </cell>
          <cell r="T116">
            <v>0</v>
          </cell>
          <cell r="U116">
            <v>0</v>
          </cell>
          <cell r="V116">
            <v>0</v>
          </cell>
          <cell r="W116">
            <v>0</v>
          </cell>
          <cell r="X116">
            <v>0</v>
          </cell>
          <cell r="Y116">
            <v>0</v>
          </cell>
        </row>
        <row r="117">
          <cell r="A117">
            <v>86</v>
          </cell>
          <cell r="B117" t="str">
            <v>Bank Charges</v>
          </cell>
          <cell r="E117">
            <v>2.5</v>
          </cell>
          <cell r="F117">
            <v>2.5</v>
          </cell>
          <cell r="G117">
            <v>2.5</v>
          </cell>
          <cell r="H117">
            <v>2.5</v>
          </cell>
          <cell r="I117">
            <v>2.5</v>
          </cell>
          <cell r="J117">
            <v>2.5</v>
          </cell>
          <cell r="K117">
            <v>2.5</v>
          </cell>
          <cell r="L117">
            <v>2.5</v>
          </cell>
          <cell r="M117">
            <v>2.5</v>
          </cell>
          <cell r="N117">
            <v>2.5</v>
          </cell>
          <cell r="O117">
            <v>2.5</v>
          </cell>
          <cell r="P117">
            <v>2.5</v>
          </cell>
          <cell r="T117">
            <v>0</v>
          </cell>
          <cell r="U117">
            <v>30</v>
          </cell>
          <cell r="V117">
            <v>27.247</v>
          </cell>
          <cell r="W117">
            <v>0</v>
          </cell>
          <cell r="X117">
            <v>2.7530000000000001</v>
          </cell>
          <cell r="Y117">
            <v>30</v>
          </cell>
        </row>
        <row r="118">
          <cell r="A118">
            <v>87</v>
          </cell>
          <cell r="B118" t="str">
            <v>Parking Expenses</v>
          </cell>
          <cell r="E118">
            <v>0</v>
          </cell>
          <cell r="F118">
            <v>0</v>
          </cell>
          <cell r="G118">
            <v>0</v>
          </cell>
          <cell r="H118">
            <v>0</v>
          </cell>
          <cell r="I118">
            <v>0</v>
          </cell>
          <cell r="J118">
            <v>0</v>
          </cell>
          <cell r="K118">
            <v>0</v>
          </cell>
          <cell r="L118">
            <v>0</v>
          </cell>
          <cell r="M118">
            <v>0</v>
          </cell>
          <cell r="N118">
            <v>0</v>
          </cell>
          <cell r="O118">
            <v>0</v>
          </cell>
          <cell r="P118">
            <v>0</v>
          </cell>
          <cell r="T118">
            <v>0</v>
          </cell>
          <cell r="U118">
            <v>0</v>
          </cell>
          <cell r="V118">
            <v>0</v>
          </cell>
          <cell r="W118">
            <v>0</v>
          </cell>
          <cell r="X118">
            <v>0</v>
          </cell>
          <cell r="Y118">
            <v>0</v>
          </cell>
        </row>
        <row r="119">
          <cell r="A119">
            <v>88</v>
          </cell>
          <cell r="B119" t="str">
            <v>Staff training</v>
          </cell>
          <cell r="E119">
            <v>0.55979529129827588</v>
          </cell>
          <cell r="F119">
            <v>0.55979529129827588</v>
          </cell>
          <cell r="G119">
            <v>0.57079529129827589</v>
          </cell>
          <cell r="H119">
            <v>0.55979529129827588</v>
          </cell>
          <cell r="I119">
            <v>0.55979529129827588</v>
          </cell>
          <cell r="J119">
            <v>0.57079529129827589</v>
          </cell>
          <cell r="K119">
            <v>0.56780345677127586</v>
          </cell>
          <cell r="L119">
            <v>0.56780345677127586</v>
          </cell>
          <cell r="M119">
            <v>0.57880345677127587</v>
          </cell>
          <cell r="N119">
            <v>0.56780345677127586</v>
          </cell>
          <cell r="O119">
            <v>0.57880345677127587</v>
          </cell>
          <cell r="P119">
            <v>0.57880345677127587</v>
          </cell>
          <cell r="T119">
            <v>0</v>
          </cell>
          <cell r="U119">
            <v>6.8205924884173097</v>
          </cell>
          <cell r="V119">
            <v>5.0430672000000012</v>
          </cell>
          <cell r="W119">
            <v>0</v>
          </cell>
          <cell r="X119">
            <v>1.7775252884173085</v>
          </cell>
          <cell r="Y119">
            <v>6.8205924884173097</v>
          </cell>
        </row>
        <row r="120">
          <cell r="A120">
            <v>89</v>
          </cell>
          <cell r="B120" t="str">
            <v>Security</v>
          </cell>
          <cell r="E120">
            <v>1.3</v>
          </cell>
          <cell r="F120">
            <v>1.3</v>
          </cell>
          <cell r="G120">
            <v>1.3</v>
          </cell>
          <cell r="H120">
            <v>1.3</v>
          </cell>
          <cell r="I120">
            <v>1.3</v>
          </cell>
          <cell r="J120">
            <v>1.3</v>
          </cell>
          <cell r="K120">
            <v>1.3</v>
          </cell>
          <cell r="L120">
            <v>1.3</v>
          </cell>
          <cell r="M120">
            <v>1.3</v>
          </cell>
          <cell r="N120">
            <v>1.3</v>
          </cell>
          <cell r="O120">
            <v>1.3</v>
          </cell>
          <cell r="P120">
            <v>1.3</v>
          </cell>
          <cell r="U120">
            <v>15.6</v>
          </cell>
          <cell r="V120">
            <v>8.8000000000000007</v>
          </cell>
          <cell r="W120">
            <v>0</v>
          </cell>
          <cell r="X120">
            <v>6.8</v>
          </cell>
          <cell r="Y120">
            <v>15.6</v>
          </cell>
        </row>
        <row r="121">
          <cell r="A121">
            <v>90</v>
          </cell>
          <cell r="B121" t="str">
            <v>Postage</v>
          </cell>
          <cell r="E121">
            <v>0</v>
          </cell>
          <cell r="F121">
            <v>0</v>
          </cell>
          <cell r="G121">
            <v>0</v>
          </cell>
          <cell r="H121">
            <v>0</v>
          </cell>
          <cell r="I121">
            <v>0</v>
          </cell>
          <cell r="J121">
            <v>0</v>
          </cell>
          <cell r="K121">
            <v>0</v>
          </cell>
          <cell r="L121">
            <v>0</v>
          </cell>
          <cell r="M121">
            <v>0</v>
          </cell>
          <cell r="N121">
            <v>0</v>
          </cell>
          <cell r="O121">
            <v>0</v>
          </cell>
          <cell r="P121">
            <v>0</v>
          </cell>
          <cell r="U121">
            <v>0</v>
          </cell>
          <cell r="V121">
            <v>0</v>
          </cell>
          <cell r="W121">
            <v>0</v>
          </cell>
          <cell r="X121">
            <v>0</v>
          </cell>
          <cell r="Y121">
            <v>0</v>
          </cell>
        </row>
        <row r="122">
          <cell r="A122">
            <v>91</v>
          </cell>
          <cell r="B122" t="str">
            <v>Chilled Water</v>
          </cell>
          <cell r="E122">
            <v>0</v>
          </cell>
          <cell r="F122">
            <v>0</v>
          </cell>
          <cell r="G122">
            <v>0</v>
          </cell>
          <cell r="H122">
            <v>0</v>
          </cell>
          <cell r="I122">
            <v>0</v>
          </cell>
          <cell r="J122">
            <v>0</v>
          </cell>
          <cell r="K122">
            <v>0</v>
          </cell>
          <cell r="L122">
            <v>0</v>
          </cell>
          <cell r="M122">
            <v>0</v>
          </cell>
          <cell r="N122">
            <v>0</v>
          </cell>
          <cell r="O122">
            <v>0</v>
          </cell>
          <cell r="P122">
            <v>0</v>
          </cell>
          <cell r="U122">
            <v>0</v>
          </cell>
          <cell r="V122">
            <v>0</v>
          </cell>
          <cell r="W122">
            <v>0</v>
          </cell>
          <cell r="X122">
            <v>0</v>
          </cell>
          <cell r="Y122">
            <v>0</v>
          </cell>
        </row>
        <row r="123">
          <cell r="A123">
            <v>92</v>
          </cell>
          <cell r="B123" t="str">
            <v>Admin Fee</v>
          </cell>
          <cell r="E123">
            <v>0</v>
          </cell>
          <cell r="F123">
            <v>0</v>
          </cell>
          <cell r="G123">
            <v>0</v>
          </cell>
          <cell r="H123">
            <v>0</v>
          </cell>
          <cell r="I123">
            <v>0</v>
          </cell>
          <cell r="J123">
            <v>0</v>
          </cell>
          <cell r="K123">
            <v>0</v>
          </cell>
          <cell r="L123">
            <v>0</v>
          </cell>
          <cell r="M123">
            <v>0</v>
          </cell>
          <cell r="N123">
            <v>0</v>
          </cell>
          <cell r="O123">
            <v>0</v>
          </cell>
          <cell r="P123">
            <v>0</v>
          </cell>
          <cell r="U123">
            <v>0</v>
          </cell>
          <cell r="V123">
            <v>0</v>
          </cell>
          <cell r="W123">
            <v>0</v>
          </cell>
          <cell r="X123">
            <v>0</v>
          </cell>
          <cell r="Y123">
            <v>0</v>
          </cell>
        </row>
        <row r="124">
          <cell r="A124">
            <v>93</v>
          </cell>
          <cell r="B124" t="str">
            <v>Miscellaneous</v>
          </cell>
          <cell r="E124">
            <v>0.3</v>
          </cell>
          <cell r="F124">
            <v>0.3</v>
          </cell>
          <cell r="G124">
            <v>0.3</v>
          </cell>
          <cell r="H124">
            <v>0.3</v>
          </cell>
          <cell r="I124">
            <v>0.3</v>
          </cell>
          <cell r="J124">
            <v>0.3</v>
          </cell>
          <cell r="K124">
            <v>0.3</v>
          </cell>
          <cell r="L124">
            <v>0.3</v>
          </cell>
          <cell r="M124">
            <v>0.3</v>
          </cell>
          <cell r="N124">
            <v>0.3</v>
          </cell>
          <cell r="O124">
            <v>0.3</v>
          </cell>
          <cell r="P124">
            <v>0.3</v>
          </cell>
          <cell r="T124">
            <v>0</v>
          </cell>
          <cell r="U124">
            <v>3.6</v>
          </cell>
          <cell r="V124">
            <v>1.44</v>
          </cell>
          <cell r="W124">
            <v>0</v>
          </cell>
          <cell r="X124">
            <v>2.16</v>
          </cell>
          <cell r="Y124">
            <v>3.6</v>
          </cell>
        </row>
        <row r="125">
          <cell r="C125">
            <v>0</v>
          </cell>
          <cell r="E125">
            <v>20.947795291298277</v>
          </cell>
          <cell r="F125">
            <v>20.947795291298277</v>
          </cell>
          <cell r="G125">
            <v>20.750795291298278</v>
          </cell>
          <cell r="H125">
            <v>20.947795291298277</v>
          </cell>
          <cell r="I125">
            <v>20.739795291298279</v>
          </cell>
          <cell r="J125">
            <v>20.958795291298276</v>
          </cell>
          <cell r="K125">
            <v>20.955803456771278</v>
          </cell>
          <cell r="L125">
            <v>22.831803456771279</v>
          </cell>
          <cell r="M125">
            <v>20.966803456771277</v>
          </cell>
          <cell r="N125">
            <v>20.74780345677128</v>
          </cell>
          <cell r="O125">
            <v>20.966803456771277</v>
          </cell>
          <cell r="P125">
            <v>20.758803456771279</v>
          </cell>
          <cell r="R125">
            <v>0</v>
          </cell>
          <cell r="S125">
            <v>0</v>
          </cell>
          <cell r="T125">
            <v>0</v>
          </cell>
          <cell r="U125">
            <v>252.52059248841729</v>
          </cell>
          <cell r="V125">
            <v>193.86437853333331</v>
          </cell>
          <cell r="W125">
            <v>0</v>
          </cell>
          <cell r="X125">
            <v>58.656213955083985</v>
          </cell>
          <cell r="Y125">
            <v>252.52059248841729</v>
          </cell>
        </row>
        <row r="126">
          <cell r="X126">
            <v>0</v>
          </cell>
          <cell r="Y126">
            <v>0</v>
          </cell>
        </row>
        <row r="127">
          <cell r="A127">
            <v>0</v>
          </cell>
          <cell r="B127" t="str">
            <v>23 Adjustments</v>
          </cell>
          <cell r="X127">
            <v>0</v>
          </cell>
          <cell r="Y127">
            <v>0</v>
          </cell>
        </row>
        <row r="128">
          <cell r="A128">
            <v>97</v>
          </cell>
          <cell r="B128" t="str">
            <v>Miscellaneous (Please Specify)</v>
          </cell>
          <cell r="E128">
            <v>0</v>
          </cell>
          <cell r="F128">
            <v>0</v>
          </cell>
          <cell r="G128">
            <v>0</v>
          </cell>
          <cell r="H128">
            <v>0</v>
          </cell>
          <cell r="I128">
            <v>0</v>
          </cell>
          <cell r="J128">
            <v>0</v>
          </cell>
          <cell r="K128">
            <v>0</v>
          </cell>
          <cell r="L128">
            <v>0</v>
          </cell>
          <cell r="M128">
            <v>0</v>
          </cell>
          <cell r="N128">
            <v>0</v>
          </cell>
          <cell r="O128">
            <v>0</v>
          </cell>
          <cell r="P128">
            <v>0</v>
          </cell>
          <cell r="T128">
            <v>0</v>
          </cell>
          <cell r="U128">
            <v>0</v>
          </cell>
          <cell r="V128">
            <v>0</v>
          </cell>
          <cell r="W128">
            <v>0</v>
          </cell>
          <cell r="X128">
            <v>0</v>
          </cell>
          <cell r="Y128">
            <v>0</v>
          </cell>
        </row>
        <row r="129">
          <cell r="A129">
            <v>98</v>
          </cell>
          <cell r="B129" t="str">
            <v>Mgmt fee income - CGV</v>
          </cell>
          <cell r="E129">
            <v>0</v>
          </cell>
          <cell r="F129">
            <v>0</v>
          </cell>
          <cell r="G129">
            <v>0</v>
          </cell>
          <cell r="H129">
            <v>0</v>
          </cell>
          <cell r="I129">
            <v>0</v>
          </cell>
          <cell r="J129">
            <v>0</v>
          </cell>
          <cell r="K129">
            <v>0</v>
          </cell>
          <cell r="L129">
            <v>0</v>
          </cell>
          <cell r="M129">
            <v>0</v>
          </cell>
          <cell r="N129">
            <v>0</v>
          </cell>
          <cell r="O129">
            <v>0</v>
          </cell>
          <cell r="P129">
            <v>0</v>
          </cell>
          <cell r="U129">
            <v>0</v>
          </cell>
          <cell r="V129">
            <v>0</v>
          </cell>
          <cell r="W129">
            <v>0</v>
          </cell>
          <cell r="X129">
            <v>0</v>
          </cell>
          <cell r="Y129">
            <v>0</v>
          </cell>
        </row>
        <row r="130">
          <cell r="A130">
            <v>99</v>
          </cell>
          <cell r="B130" t="str">
            <v xml:space="preserve">Pre Opening </v>
          </cell>
          <cell r="E130">
            <v>0</v>
          </cell>
          <cell r="F130">
            <v>0</v>
          </cell>
          <cell r="G130">
            <v>0</v>
          </cell>
          <cell r="H130">
            <v>0</v>
          </cell>
          <cell r="I130">
            <v>0</v>
          </cell>
          <cell r="J130">
            <v>0</v>
          </cell>
          <cell r="K130">
            <v>0</v>
          </cell>
          <cell r="L130">
            <v>0</v>
          </cell>
          <cell r="M130">
            <v>0</v>
          </cell>
          <cell r="N130">
            <v>0</v>
          </cell>
          <cell r="O130">
            <v>0</v>
          </cell>
          <cell r="P130">
            <v>0</v>
          </cell>
          <cell r="U130">
            <v>0</v>
          </cell>
          <cell r="V130">
            <v>0</v>
          </cell>
          <cell r="W130">
            <v>0</v>
          </cell>
          <cell r="X130">
            <v>0</v>
          </cell>
          <cell r="Y130">
            <v>0</v>
          </cell>
        </row>
        <row r="131">
          <cell r="A131">
            <v>100</v>
          </cell>
          <cell r="B131" t="str">
            <v>Other</v>
          </cell>
          <cell r="E131">
            <v>0</v>
          </cell>
          <cell r="F131">
            <v>0</v>
          </cell>
          <cell r="G131">
            <v>0</v>
          </cell>
          <cell r="H131">
            <v>0</v>
          </cell>
          <cell r="I131">
            <v>0</v>
          </cell>
          <cell r="J131">
            <v>0</v>
          </cell>
          <cell r="K131">
            <v>0</v>
          </cell>
          <cell r="L131">
            <v>0</v>
          </cell>
          <cell r="M131">
            <v>0</v>
          </cell>
          <cell r="N131">
            <v>0</v>
          </cell>
          <cell r="O131">
            <v>0</v>
          </cell>
          <cell r="P131">
            <v>0</v>
          </cell>
          <cell r="U131">
            <v>0</v>
          </cell>
          <cell r="V131">
            <v>0</v>
          </cell>
          <cell r="W131">
            <v>0</v>
          </cell>
          <cell r="X131">
            <v>0</v>
          </cell>
          <cell r="Y131">
            <v>0</v>
          </cell>
        </row>
        <row r="132">
          <cell r="T132">
            <v>0</v>
          </cell>
          <cell r="W132">
            <v>0</v>
          </cell>
          <cell r="X132">
            <v>0</v>
          </cell>
          <cell r="Y132">
            <v>0</v>
          </cell>
        </row>
        <row r="133">
          <cell r="C133">
            <v>0</v>
          </cell>
          <cell r="E133">
            <v>0</v>
          </cell>
          <cell r="F133">
            <v>0</v>
          </cell>
          <cell r="G133">
            <v>0</v>
          </cell>
          <cell r="H133">
            <v>0</v>
          </cell>
          <cell r="I133">
            <v>0</v>
          </cell>
          <cell r="J133">
            <v>0</v>
          </cell>
          <cell r="K133">
            <v>0</v>
          </cell>
          <cell r="L133">
            <v>0</v>
          </cell>
          <cell r="M133">
            <v>0</v>
          </cell>
          <cell r="N133">
            <v>0</v>
          </cell>
          <cell r="O133">
            <v>0</v>
          </cell>
          <cell r="P133">
            <v>0</v>
          </cell>
          <cell r="R133">
            <v>0</v>
          </cell>
          <cell r="S133">
            <v>0</v>
          </cell>
          <cell r="T133">
            <v>0</v>
          </cell>
          <cell r="U133">
            <v>0</v>
          </cell>
          <cell r="V133">
            <v>0</v>
          </cell>
          <cell r="W133">
            <v>0</v>
          </cell>
          <cell r="X133">
            <v>0</v>
          </cell>
          <cell r="Y133">
            <v>0</v>
          </cell>
        </row>
      </sheetData>
      <sheetData sheetId="28" refreshError="1"/>
      <sheetData sheetId="29" refreshError="1">
        <row r="11">
          <cell r="A11">
            <v>1</v>
          </cell>
          <cell r="B11" t="str">
            <v>Net Film Revenue</v>
          </cell>
          <cell r="E11">
            <v>0</v>
          </cell>
          <cell r="F11">
            <v>0</v>
          </cell>
          <cell r="G11">
            <v>0</v>
          </cell>
          <cell r="H11">
            <v>0</v>
          </cell>
          <cell r="I11">
            <v>0</v>
          </cell>
          <cell r="J11">
            <v>0</v>
          </cell>
          <cell r="K11">
            <v>0</v>
          </cell>
          <cell r="L11">
            <v>0</v>
          </cell>
          <cell r="M11">
            <v>0</v>
          </cell>
          <cell r="N11">
            <v>0</v>
          </cell>
          <cell r="O11">
            <v>0</v>
          </cell>
          <cell r="P11">
            <v>0</v>
          </cell>
          <cell r="Q11">
            <v>0</v>
          </cell>
          <cell r="T11">
            <v>0</v>
          </cell>
          <cell r="U11">
            <v>0</v>
          </cell>
          <cell r="V11">
            <v>0</v>
          </cell>
          <cell r="W11">
            <v>0</v>
          </cell>
          <cell r="X11">
            <v>0</v>
          </cell>
          <cell r="Y11">
            <v>0</v>
          </cell>
        </row>
        <row r="12">
          <cell r="A12">
            <v>2</v>
          </cell>
          <cell r="B12" t="str">
            <v>Concession Sales</v>
          </cell>
          <cell r="E12">
            <v>0</v>
          </cell>
          <cell r="F12">
            <v>0</v>
          </cell>
          <cell r="G12">
            <v>0</v>
          </cell>
          <cell r="H12">
            <v>0</v>
          </cell>
          <cell r="I12">
            <v>0</v>
          </cell>
          <cell r="J12">
            <v>0</v>
          </cell>
          <cell r="K12">
            <v>0</v>
          </cell>
          <cell r="L12">
            <v>0</v>
          </cell>
          <cell r="M12">
            <v>0</v>
          </cell>
          <cell r="N12">
            <v>0</v>
          </cell>
          <cell r="O12">
            <v>0</v>
          </cell>
          <cell r="P12">
            <v>0</v>
          </cell>
          <cell r="T12">
            <v>0</v>
          </cell>
          <cell r="U12">
            <v>0</v>
          </cell>
          <cell r="V12">
            <v>0</v>
          </cell>
          <cell r="W12">
            <v>0</v>
          </cell>
          <cell r="X12">
            <v>0</v>
          </cell>
          <cell r="Y12">
            <v>0</v>
          </cell>
        </row>
        <row r="13">
          <cell r="A13">
            <v>3</v>
          </cell>
          <cell r="B13" t="str">
            <v>Rental Income</v>
          </cell>
          <cell r="E13">
            <v>0</v>
          </cell>
          <cell r="F13">
            <v>0</v>
          </cell>
          <cell r="G13">
            <v>0</v>
          </cell>
          <cell r="H13">
            <v>0</v>
          </cell>
          <cell r="I13">
            <v>0</v>
          </cell>
          <cell r="J13">
            <v>0</v>
          </cell>
          <cell r="K13">
            <v>0</v>
          </cell>
          <cell r="L13">
            <v>0</v>
          </cell>
          <cell r="M13">
            <v>0</v>
          </cell>
          <cell r="N13">
            <v>0</v>
          </cell>
          <cell r="O13">
            <v>0</v>
          </cell>
          <cell r="P13">
            <v>0</v>
          </cell>
          <cell r="T13">
            <v>0</v>
          </cell>
          <cell r="U13">
            <v>0</v>
          </cell>
          <cell r="V13">
            <v>0</v>
          </cell>
          <cell r="W13">
            <v>0</v>
          </cell>
          <cell r="X13">
            <v>0</v>
          </cell>
          <cell r="Y13">
            <v>0</v>
          </cell>
        </row>
        <row r="14">
          <cell r="A14">
            <v>4</v>
          </cell>
          <cell r="B14" t="str">
            <v>Electronic Games income</v>
          </cell>
          <cell r="E14">
            <v>0</v>
          </cell>
          <cell r="F14">
            <v>0</v>
          </cell>
          <cell r="G14">
            <v>0</v>
          </cell>
          <cell r="H14">
            <v>0</v>
          </cell>
          <cell r="I14">
            <v>0</v>
          </cell>
          <cell r="J14">
            <v>0</v>
          </cell>
          <cell r="K14">
            <v>0</v>
          </cell>
          <cell r="L14">
            <v>0</v>
          </cell>
          <cell r="M14">
            <v>0</v>
          </cell>
          <cell r="N14">
            <v>0</v>
          </cell>
          <cell r="O14">
            <v>0</v>
          </cell>
          <cell r="P14">
            <v>0</v>
          </cell>
          <cell r="T14">
            <v>0</v>
          </cell>
          <cell r="U14">
            <v>0</v>
          </cell>
          <cell r="V14">
            <v>0</v>
          </cell>
          <cell r="W14">
            <v>0</v>
          </cell>
          <cell r="X14">
            <v>0</v>
          </cell>
          <cell r="Y14">
            <v>0</v>
          </cell>
        </row>
        <row r="15">
          <cell r="A15">
            <v>5</v>
          </cell>
          <cell r="B15" t="str">
            <v>Screen Advertising</v>
          </cell>
          <cell r="E15">
            <v>0</v>
          </cell>
          <cell r="F15">
            <v>0</v>
          </cell>
          <cell r="G15">
            <v>0</v>
          </cell>
          <cell r="H15">
            <v>0</v>
          </cell>
          <cell r="I15">
            <v>0</v>
          </cell>
          <cell r="J15">
            <v>0</v>
          </cell>
          <cell r="K15">
            <v>0</v>
          </cell>
          <cell r="L15">
            <v>0</v>
          </cell>
          <cell r="M15">
            <v>0</v>
          </cell>
          <cell r="N15">
            <v>0</v>
          </cell>
          <cell r="O15">
            <v>0</v>
          </cell>
          <cell r="P15">
            <v>0</v>
          </cell>
          <cell r="T15">
            <v>0</v>
          </cell>
          <cell r="U15">
            <v>0</v>
          </cell>
          <cell r="V15">
            <v>0</v>
          </cell>
          <cell r="W15">
            <v>0</v>
          </cell>
          <cell r="X15">
            <v>0</v>
          </cell>
          <cell r="Y15">
            <v>0</v>
          </cell>
        </row>
        <row r="16">
          <cell r="A16">
            <v>6</v>
          </cell>
          <cell r="B16" t="str">
            <v>Other Income</v>
          </cell>
          <cell r="C16">
            <v>0</v>
          </cell>
          <cell r="E16">
            <v>0.5</v>
          </cell>
          <cell r="F16">
            <v>0.5</v>
          </cell>
          <cell r="G16">
            <v>0.5</v>
          </cell>
          <cell r="H16">
            <v>0.5</v>
          </cell>
          <cell r="I16">
            <v>0.5</v>
          </cell>
          <cell r="J16">
            <v>0.5</v>
          </cell>
          <cell r="K16">
            <v>0.5</v>
          </cell>
          <cell r="L16">
            <v>0.5</v>
          </cell>
          <cell r="M16">
            <v>0.5</v>
          </cell>
          <cell r="N16">
            <v>0.5</v>
          </cell>
          <cell r="O16">
            <v>0.5</v>
          </cell>
          <cell r="P16">
            <v>0.5</v>
          </cell>
          <cell r="R16">
            <v>0</v>
          </cell>
          <cell r="S16">
            <v>0</v>
          </cell>
          <cell r="T16">
            <v>0</v>
          </cell>
          <cell r="U16">
            <v>6</v>
          </cell>
          <cell r="V16">
            <v>13.6</v>
          </cell>
          <cell r="W16">
            <v>5.0979999999999999</v>
          </cell>
          <cell r="X16">
            <v>-7.6</v>
          </cell>
          <cell r="Y16">
            <v>0.90200000000000014</v>
          </cell>
        </row>
        <row r="17">
          <cell r="B17" t="str">
            <v>TOTAL REVENUE</v>
          </cell>
          <cell r="C17">
            <v>0</v>
          </cell>
          <cell r="E17">
            <v>0.5</v>
          </cell>
          <cell r="F17">
            <v>0.5</v>
          </cell>
          <cell r="G17">
            <v>0.5</v>
          </cell>
          <cell r="H17">
            <v>0.5</v>
          </cell>
          <cell r="I17">
            <v>0.5</v>
          </cell>
          <cell r="J17">
            <v>0.5</v>
          </cell>
          <cell r="K17">
            <v>0.5</v>
          </cell>
          <cell r="L17">
            <v>0.5</v>
          </cell>
          <cell r="M17">
            <v>0.5</v>
          </cell>
          <cell r="N17">
            <v>0.5</v>
          </cell>
          <cell r="O17">
            <v>0.5</v>
          </cell>
          <cell r="P17">
            <v>0.5</v>
          </cell>
          <cell r="R17">
            <v>0</v>
          </cell>
          <cell r="S17">
            <v>0</v>
          </cell>
          <cell r="T17">
            <v>0</v>
          </cell>
          <cell r="U17">
            <v>6</v>
          </cell>
          <cell r="V17">
            <v>13.6</v>
          </cell>
          <cell r="W17">
            <v>5.0979999999999999</v>
          </cell>
          <cell r="X17">
            <v>-7.6</v>
          </cell>
          <cell r="Y17">
            <v>0.90200000000000014</v>
          </cell>
        </row>
        <row r="19">
          <cell r="A19">
            <v>7</v>
          </cell>
          <cell r="B19" t="str">
            <v>Film Hire</v>
          </cell>
          <cell r="E19">
            <v>0</v>
          </cell>
          <cell r="F19">
            <v>0</v>
          </cell>
          <cell r="G19">
            <v>0</v>
          </cell>
          <cell r="H19">
            <v>0</v>
          </cell>
          <cell r="I19">
            <v>0</v>
          </cell>
          <cell r="J19">
            <v>0</v>
          </cell>
          <cell r="K19">
            <v>0</v>
          </cell>
          <cell r="L19">
            <v>0</v>
          </cell>
          <cell r="M19">
            <v>0</v>
          </cell>
          <cell r="N19">
            <v>0</v>
          </cell>
          <cell r="O19">
            <v>0</v>
          </cell>
          <cell r="P19">
            <v>0</v>
          </cell>
          <cell r="U19">
            <v>0</v>
          </cell>
          <cell r="V19">
            <v>0</v>
          </cell>
          <cell r="W19">
            <v>0</v>
          </cell>
          <cell r="X19">
            <v>0</v>
          </cell>
          <cell r="Y19">
            <v>0</v>
          </cell>
        </row>
        <row r="20">
          <cell r="A20">
            <v>8</v>
          </cell>
          <cell r="B20" t="str">
            <v>Concession Cost</v>
          </cell>
          <cell r="E20">
            <v>0</v>
          </cell>
          <cell r="F20">
            <v>0</v>
          </cell>
          <cell r="G20">
            <v>0</v>
          </cell>
          <cell r="H20">
            <v>0</v>
          </cell>
          <cell r="I20">
            <v>0</v>
          </cell>
          <cell r="J20">
            <v>0</v>
          </cell>
          <cell r="K20">
            <v>0</v>
          </cell>
          <cell r="L20">
            <v>0</v>
          </cell>
          <cell r="M20">
            <v>0</v>
          </cell>
          <cell r="N20">
            <v>0</v>
          </cell>
          <cell r="O20">
            <v>0</v>
          </cell>
          <cell r="P20">
            <v>0</v>
          </cell>
          <cell r="T20">
            <v>0</v>
          </cell>
          <cell r="U20">
            <v>0</v>
          </cell>
          <cell r="V20">
            <v>0</v>
          </cell>
          <cell r="W20">
            <v>0</v>
          </cell>
          <cell r="X20">
            <v>0</v>
          </cell>
          <cell r="Y20">
            <v>0</v>
          </cell>
        </row>
        <row r="21">
          <cell r="A21">
            <v>9</v>
          </cell>
          <cell r="B21" t="str">
            <v>Less Concession Rebates</v>
          </cell>
          <cell r="E21">
            <v>0</v>
          </cell>
          <cell r="F21">
            <v>0</v>
          </cell>
          <cell r="G21">
            <v>0</v>
          </cell>
          <cell r="H21">
            <v>0</v>
          </cell>
          <cell r="I21">
            <v>0</v>
          </cell>
          <cell r="J21">
            <v>0</v>
          </cell>
          <cell r="K21">
            <v>0</v>
          </cell>
          <cell r="L21">
            <v>0</v>
          </cell>
          <cell r="M21">
            <v>0</v>
          </cell>
          <cell r="N21">
            <v>0</v>
          </cell>
          <cell r="O21">
            <v>0</v>
          </cell>
          <cell r="P21">
            <v>0</v>
          </cell>
          <cell r="U21">
            <v>0</v>
          </cell>
          <cell r="V21">
            <v>0</v>
          </cell>
          <cell r="W21">
            <v>0</v>
          </cell>
          <cell r="X21">
            <v>0</v>
          </cell>
          <cell r="Y21">
            <v>0</v>
          </cell>
        </row>
        <row r="22">
          <cell r="A22">
            <v>10</v>
          </cell>
          <cell r="B22" t="str">
            <v>Advertising Cost</v>
          </cell>
          <cell r="E22">
            <v>0</v>
          </cell>
          <cell r="F22">
            <v>0</v>
          </cell>
          <cell r="G22">
            <v>0</v>
          </cell>
          <cell r="H22">
            <v>0</v>
          </cell>
          <cell r="I22">
            <v>0</v>
          </cell>
          <cell r="J22">
            <v>0</v>
          </cell>
          <cell r="K22">
            <v>0</v>
          </cell>
          <cell r="L22">
            <v>0</v>
          </cell>
          <cell r="M22">
            <v>0</v>
          </cell>
          <cell r="N22">
            <v>0</v>
          </cell>
          <cell r="O22">
            <v>0</v>
          </cell>
          <cell r="P22">
            <v>0</v>
          </cell>
          <cell r="T22">
            <v>0</v>
          </cell>
          <cell r="U22">
            <v>0</v>
          </cell>
          <cell r="V22">
            <v>0</v>
          </cell>
          <cell r="W22">
            <v>1</v>
          </cell>
          <cell r="X22">
            <v>0</v>
          </cell>
          <cell r="Y22">
            <v>-1</v>
          </cell>
        </row>
        <row r="23">
          <cell r="A23">
            <v>11</v>
          </cell>
          <cell r="B23" t="str">
            <v>Other Cost</v>
          </cell>
          <cell r="C23">
            <v>0</v>
          </cell>
          <cell r="E23">
            <v>0</v>
          </cell>
          <cell r="F23">
            <v>0</v>
          </cell>
          <cell r="G23">
            <v>0</v>
          </cell>
          <cell r="H23">
            <v>0</v>
          </cell>
          <cell r="I23">
            <v>0</v>
          </cell>
          <cell r="J23">
            <v>0</v>
          </cell>
          <cell r="K23">
            <v>0</v>
          </cell>
          <cell r="L23">
            <v>0</v>
          </cell>
          <cell r="M23">
            <v>0</v>
          </cell>
          <cell r="N23">
            <v>0</v>
          </cell>
          <cell r="O23">
            <v>0</v>
          </cell>
          <cell r="P23">
            <v>0</v>
          </cell>
          <cell r="R23">
            <v>0</v>
          </cell>
          <cell r="S23">
            <v>0</v>
          </cell>
          <cell r="T23">
            <v>0</v>
          </cell>
          <cell r="U23">
            <v>0</v>
          </cell>
          <cell r="V23">
            <v>0</v>
          </cell>
          <cell r="W23">
            <v>0</v>
          </cell>
          <cell r="X23">
            <v>0</v>
          </cell>
          <cell r="Y23">
            <v>0</v>
          </cell>
        </row>
        <row r="24">
          <cell r="A24">
            <v>12</v>
          </cell>
          <cell r="B24" t="str">
            <v>Direct Payroll</v>
          </cell>
          <cell r="C24">
            <v>0</v>
          </cell>
          <cell r="E24">
            <v>90.765082916666657</v>
          </cell>
          <cell r="F24">
            <v>90.765082916666657</v>
          </cell>
          <cell r="G24">
            <v>88.735082916666656</v>
          </cell>
          <cell r="H24">
            <v>87.865082916666665</v>
          </cell>
          <cell r="I24">
            <v>87.865082916666665</v>
          </cell>
          <cell r="J24">
            <v>87.865082916666665</v>
          </cell>
          <cell r="K24">
            <v>89.941772916666679</v>
          </cell>
          <cell r="L24">
            <v>89.941772916666679</v>
          </cell>
          <cell r="M24">
            <v>89.941772916666679</v>
          </cell>
          <cell r="N24">
            <v>89.941772916666679</v>
          </cell>
          <cell r="O24">
            <v>89.941772916666679</v>
          </cell>
          <cell r="P24">
            <v>89.941772916666679</v>
          </cell>
          <cell r="R24">
            <v>0</v>
          </cell>
          <cell r="S24">
            <v>0</v>
          </cell>
          <cell r="T24">
            <v>0</v>
          </cell>
          <cell r="U24">
            <v>1073.511135</v>
          </cell>
          <cell r="V24">
            <v>1092.7482116666667</v>
          </cell>
          <cell r="W24">
            <v>1211.7870000000003</v>
          </cell>
          <cell r="X24">
            <v>-19.237076666666781</v>
          </cell>
          <cell r="Y24">
            <v>-138.27586500000029</v>
          </cell>
        </row>
        <row r="25">
          <cell r="B25" t="str">
            <v>TOTAL COST</v>
          </cell>
          <cell r="C25">
            <v>0</v>
          </cell>
          <cell r="E25">
            <v>90.765082916666657</v>
          </cell>
          <cell r="F25">
            <v>90.765082916666657</v>
          </cell>
          <cell r="G25">
            <v>88.735082916666656</v>
          </cell>
          <cell r="H25">
            <v>87.865082916666665</v>
          </cell>
          <cell r="I25">
            <v>87.865082916666665</v>
          </cell>
          <cell r="J25">
            <v>87.865082916666665</v>
          </cell>
          <cell r="K25">
            <v>89.941772916666679</v>
          </cell>
          <cell r="L25">
            <v>89.941772916666679</v>
          </cell>
          <cell r="M25">
            <v>89.941772916666679</v>
          </cell>
          <cell r="N25">
            <v>89.941772916666679</v>
          </cell>
          <cell r="O25">
            <v>89.941772916666679</v>
          </cell>
          <cell r="P25">
            <v>89.941772916666679</v>
          </cell>
          <cell r="R25">
            <v>0</v>
          </cell>
          <cell r="S25">
            <v>0</v>
          </cell>
          <cell r="T25">
            <v>0</v>
          </cell>
          <cell r="U25">
            <v>1073.511135</v>
          </cell>
          <cell r="V25">
            <v>1092.7482116666667</v>
          </cell>
          <cell r="W25">
            <v>1212.7870000000003</v>
          </cell>
          <cell r="X25">
            <v>-19.237076666666781</v>
          </cell>
          <cell r="Y25">
            <v>-139.27586500000029</v>
          </cell>
        </row>
        <row r="27">
          <cell r="B27" t="str">
            <v>GROSS MARGIN</v>
          </cell>
          <cell r="C27">
            <v>0</v>
          </cell>
          <cell r="E27">
            <v>-90.265082916666657</v>
          </cell>
          <cell r="F27">
            <v>-90.265082916666657</v>
          </cell>
          <cell r="G27">
            <v>-88.235082916666656</v>
          </cell>
          <cell r="H27">
            <v>-87.365082916666665</v>
          </cell>
          <cell r="I27">
            <v>-87.365082916666665</v>
          </cell>
          <cell r="J27">
            <v>-87.365082916666665</v>
          </cell>
          <cell r="K27">
            <v>-89.441772916666679</v>
          </cell>
          <cell r="L27">
            <v>-89.441772916666679</v>
          </cell>
          <cell r="M27">
            <v>-89.441772916666679</v>
          </cell>
          <cell r="N27">
            <v>-89.441772916666679</v>
          </cell>
          <cell r="O27">
            <v>-89.441772916666679</v>
          </cell>
          <cell r="P27">
            <v>-89.441772916666679</v>
          </cell>
          <cell r="R27">
            <v>0</v>
          </cell>
          <cell r="S27">
            <v>0</v>
          </cell>
          <cell r="T27">
            <v>0</v>
          </cell>
          <cell r="U27">
            <v>-1067.511135</v>
          </cell>
          <cell r="V27">
            <v>-1079.1482116666668</v>
          </cell>
          <cell r="W27">
            <v>-1207.6890000000003</v>
          </cell>
          <cell r="X27">
            <v>11.637076666666871</v>
          </cell>
          <cell r="Y27">
            <v>140.17786500000034</v>
          </cell>
        </row>
        <row r="28">
          <cell r="X28">
            <v>0</v>
          </cell>
          <cell r="Y28">
            <v>0</v>
          </cell>
        </row>
        <row r="29">
          <cell r="A29">
            <v>13</v>
          </cell>
          <cell r="B29" t="str">
            <v>Direct Rent</v>
          </cell>
          <cell r="E29">
            <v>20.953899999999997</v>
          </cell>
          <cell r="F29">
            <v>20.953899999999997</v>
          </cell>
          <cell r="G29">
            <v>20.953899999999997</v>
          </cell>
          <cell r="H29">
            <v>20.953899999999997</v>
          </cell>
          <cell r="I29">
            <v>20.953899999999997</v>
          </cell>
          <cell r="J29">
            <v>20.953899999999997</v>
          </cell>
          <cell r="K29">
            <v>20.953899999999997</v>
          </cell>
          <cell r="L29">
            <v>20.953899999999997</v>
          </cell>
          <cell r="M29">
            <v>20.953899999999997</v>
          </cell>
          <cell r="N29">
            <v>20.953899999999997</v>
          </cell>
          <cell r="O29">
            <v>20.953899999999997</v>
          </cell>
          <cell r="P29">
            <v>20.953899999999997</v>
          </cell>
          <cell r="T29">
            <v>0</v>
          </cell>
          <cell r="U29">
            <v>251.44680000000002</v>
          </cell>
          <cell r="V29">
            <v>216.42934491871819</v>
          </cell>
          <cell r="W29">
            <v>199.74</v>
          </cell>
          <cell r="X29">
            <v>35.017455081281838</v>
          </cell>
          <cell r="Y29">
            <v>51.706800000000015</v>
          </cell>
        </row>
        <row r="30">
          <cell r="A30">
            <v>14</v>
          </cell>
          <cell r="B30" t="str">
            <v>Light, Heat and Power</v>
          </cell>
          <cell r="E30">
            <v>1</v>
          </cell>
          <cell r="F30">
            <v>1</v>
          </cell>
          <cell r="G30">
            <v>1</v>
          </cell>
          <cell r="H30">
            <v>1</v>
          </cell>
          <cell r="I30">
            <v>1</v>
          </cell>
          <cell r="J30">
            <v>1</v>
          </cell>
          <cell r="K30">
            <v>1</v>
          </cell>
          <cell r="L30">
            <v>1</v>
          </cell>
          <cell r="M30">
            <v>1</v>
          </cell>
          <cell r="N30">
            <v>1</v>
          </cell>
          <cell r="O30">
            <v>1</v>
          </cell>
          <cell r="P30">
            <v>1</v>
          </cell>
          <cell r="T30">
            <v>0</v>
          </cell>
          <cell r="U30">
            <v>12</v>
          </cell>
          <cell r="V30">
            <v>7.7254799999999983</v>
          </cell>
          <cell r="W30">
            <v>7.9870000000000001</v>
          </cell>
          <cell r="X30">
            <v>4.2745200000000017</v>
          </cell>
          <cell r="Y30">
            <v>4.0129999999999999</v>
          </cell>
        </row>
        <row r="31">
          <cell r="A31">
            <v>15</v>
          </cell>
          <cell r="B31" t="str">
            <v>Repair &amp; Maintenance</v>
          </cell>
          <cell r="E31">
            <v>4.2</v>
          </cell>
          <cell r="F31">
            <v>4.2</v>
          </cell>
          <cell r="G31">
            <v>4.2</v>
          </cell>
          <cell r="H31">
            <v>4.2</v>
          </cell>
          <cell r="I31">
            <v>4.2</v>
          </cell>
          <cell r="J31">
            <v>4.2</v>
          </cell>
          <cell r="K31">
            <v>4.2</v>
          </cell>
          <cell r="L31">
            <v>4.2</v>
          </cell>
          <cell r="M31">
            <v>4.2</v>
          </cell>
          <cell r="N31">
            <v>4.2</v>
          </cell>
          <cell r="O31">
            <v>4.2</v>
          </cell>
          <cell r="P31">
            <v>4.2</v>
          </cell>
          <cell r="T31">
            <v>0</v>
          </cell>
          <cell r="U31">
            <v>50.4</v>
          </cell>
          <cell r="V31">
            <v>71.554509999999993</v>
          </cell>
          <cell r="W31">
            <v>40.314999999999998</v>
          </cell>
          <cell r="X31">
            <v>-21.154509999999981</v>
          </cell>
          <cell r="Y31">
            <v>10.085000000000001</v>
          </cell>
        </row>
        <row r="32">
          <cell r="A32">
            <v>16</v>
          </cell>
          <cell r="B32" t="str">
            <v>Common Area Maintenance</v>
          </cell>
          <cell r="E32">
            <v>0</v>
          </cell>
          <cell r="F32">
            <v>0</v>
          </cell>
          <cell r="G32">
            <v>0</v>
          </cell>
          <cell r="H32">
            <v>0</v>
          </cell>
          <cell r="I32">
            <v>0</v>
          </cell>
          <cell r="J32">
            <v>0</v>
          </cell>
          <cell r="K32">
            <v>0</v>
          </cell>
          <cell r="L32">
            <v>0</v>
          </cell>
          <cell r="M32">
            <v>0</v>
          </cell>
          <cell r="N32">
            <v>0</v>
          </cell>
          <cell r="O32">
            <v>0</v>
          </cell>
          <cell r="P32">
            <v>0</v>
          </cell>
          <cell r="T32">
            <v>0</v>
          </cell>
          <cell r="U32">
            <v>0</v>
          </cell>
          <cell r="V32">
            <v>0</v>
          </cell>
          <cell r="W32">
            <v>0</v>
          </cell>
          <cell r="X32">
            <v>0</v>
          </cell>
          <cell r="Y32">
            <v>0</v>
          </cell>
        </row>
        <row r="33">
          <cell r="A33">
            <v>17</v>
          </cell>
          <cell r="B33" t="str">
            <v>Other Overhead Costs</v>
          </cell>
          <cell r="C33">
            <v>0</v>
          </cell>
          <cell r="E33">
            <v>37.070150829166664</v>
          </cell>
          <cell r="F33">
            <v>37.070150829166664</v>
          </cell>
          <cell r="G33">
            <v>37.049850829166672</v>
          </cell>
          <cell r="H33">
            <v>37.041150829166668</v>
          </cell>
          <cell r="I33">
            <v>37.041150829166668</v>
          </cell>
          <cell r="J33">
            <v>37.041150829166668</v>
          </cell>
          <cell r="K33">
            <v>37.061917729166666</v>
          </cell>
          <cell r="L33">
            <v>37.061917729166666</v>
          </cell>
          <cell r="M33">
            <v>37.061917729166666</v>
          </cell>
          <cell r="N33">
            <v>37.061917729166666</v>
          </cell>
          <cell r="O33">
            <v>37.061917729166666</v>
          </cell>
          <cell r="P33">
            <v>37.061917729166666</v>
          </cell>
          <cell r="R33">
            <v>0</v>
          </cell>
          <cell r="S33">
            <v>0</v>
          </cell>
          <cell r="T33">
            <v>0</v>
          </cell>
          <cell r="U33">
            <v>444.68511135000006</v>
          </cell>
          <cell r="V33">
            <v>496.03872999999999</v>
          </cell>
          <cell r="W33">
            <v>694.47800000000007</v>
          </cell>
          <cell r="X33">
            <v>-51.35361864999993</v>
          </cell>
          <cell r="Y33">
            <v>-249.79288865000001</v>
          </cell>
        </row>
        <row r="35">
          <cell r="B35" t="str">
            <v>Total Overhead Expenses</v>
          </cell>
          <cell r="C35">
            <v>0</v>
          </cell>
          <cell r="E35">
            <v>63.224050829166657</v>
          </cell>
          <cell r="F35">
            <v>63.224050829166657</v>
          </cell>
          <cell r="G35">
            <v>63.203750829166665</v>
          </cell>
          <cell r="H35">
            <v>63.195050829166661</v>
          </cell>
          <cell r="I35">
            <v>63.195050829166661</v>
          </cell>
          <cell r="J35">
            <v>63.195050829166661</v>
          </cell>
          <cell r="K35">
            <v>63.215817729166659</v>
          </cell>
          <cell r="L35">
            <v>63.215817729166659</v>
          </cell>
          <cell r="M35">
            <v>63.215817729166659</v>
          </cell>
          <cell r="N35">
            <v>63.215817729166659</v>
          </cell>
          <cell r="O35">
            <v>63.215817729166659</v>
          </cell>
          <cell r="P35">
            <v>63.215817729166659</v>
          </cell>
          <cell r="R35">
            <v>0</v>
          </cell>
          <cell r="S35">
            <v>0</v>
          </cell>
          <cell r="T35">
            <v>0</v>
          </cell>
          <cell r="U35">
            <v>758.53191135000009</v>
          </cell>
          <cell r="V35">
            <v>791.74806491871823</v>
          </cell>
          <cell r="W35">
            <v>942.52</v>
          </cell>
          <cell r="X35">
            <v>-33.216153568718141</v>
          </cell>
          <cell r="Y35">
            <v>-183.98808865000001</v>
          </cell>
        </row>
        <row r="37">
          <cell r="B37" t="str">
            <v>E.B.I.T.D.</v>
          </cell>
          <cell r="C37">
            <v>0</v>
          </cell>
          <cell r="E37">
            <v>-153.48913374583333</v>
          </cell>
          <cell r="F37">
            <v>-153.48913374583333</v>
          </cell>
          <cell r="G37">
            <v>-151.43883374583334</v>
          </cell>
          <cell r="H37">
            <v>-150.56013374583333</v>
          </cell>
          <cell r="I37">
            <v>-150.56013374583333</v>
          </cell>
          <cell r="J37">
            <v>-150.56013374583333</v>
          </cell>
          <cell r="K37">
            <v>-152.65759064583335</v>
          </cell>
          <cell r="L37">
            <v>-152.65759064583335</v>
          </cell>
          <cell r="M37">
            <v>-152.65759064583335</v>
          </cell>
          <cell r="N37">
            <v>-152.65759064583335</v>
          </cell>
          <cell r="O37">
            <v>-152.65759064583335</v>
          </cell>
          <cell r="P37">
            <v>-152.65759064583335</v>
          </cell>
          <cell r="R37">
            <v>0</v>
          </cell>
          <cell r="S37">
            <v>0</v>
          </cell>
          <cell r="T37">
            <v>0</v>
          </cell>
          <cell r="U37">
            <v>-1826.0430463500002</v>
          </cell>
          <cell r="V37">
            <v>-1870.8962765853851</v>
          </cell>
          <cell r="W37">
            <v>-2150.2090000000003</v>
          </cell>
          <cell r="X37">
            <v>44.853230235385013</v>
          </cell>
          <cell r="Y37">
            <v>324.16595365000035</v>
          </cell>
        </row>
        <row r="39">
          <cell r="A39">
            <v>18</v>
          </cell>
          <cell r="B39" t="str">
            <v>Depreciation</v>
          </cell>
          <cell r="E39">
            <v>33.989666666666665</v>
          </cell>
          <cell r="F39">
            <v>33.989666666666665</v>
          </cell>
          <cell r="G39">
            <v>33.989666666666665</v>
          </cell>
          <cell r="H39">
            <v>33.989666666666665</v>
          </cell>
          <cell r="I39">
            <v>33.989666666666665</v>
          </cell>
          <cell r="J39">
            <v>33.989666666666665</v>
          </cell>
          <cell r="K39">
            <v>33.989666666666665</v>
          </cell>
          <cell r="L39">
            <v>33.989666666666665</v>
          </cell>
          <cell r="M39">
            <v>33.989666666666665</v>
          </cell>
          <cell r="N39">
            <v>33.989666666666665</v>
          </cell>
          <cell r="O39">
            <v>33.989666666666665</v>
          </cell>
          <cell r="P39">
            <v>33.989666666666665</v>
          </cell>
          <cell r="T39">
            <v>0</v>
          </cell>
          <cell r="U39">
            <v>407.87599999999998</v>
          </cell>
          <cell r="V39">
            <v>122.57752000000001</v>
          </cell>
          <cell r="W39">
            <v>103.379</v>
          </cell>
          <cell r="X39">
            <v>285.29847999999998</v>
          </cell>
          <cell r="Y39">
            <v>304.49699999999996</v>
          </cell>
        </row>
        <row r="40">
          <cell r="A40">
            <v>19</v>
          </cell>
          <cell r="B40" t="str">
            <v>Fixed Assets Written Off</v>
          </cell>
          <cell r="E40">
            <v>0</v>
          </cell>
          <cell r="F40">
            <v>0</v>
          </cell>
          <cell r="G40">
            <v>0</v>
          </cell>
          <cell r="H40">
            <v>0</v>
          </cell>
          <cell r="I40">
            <v>0</v>
          </cell>
          <cell r="J40">
            <v>0</v>
          </cell>
          <cell r="K40">
            <v>0</v>
          </cell>
          <cell r="L40">
            <v>0</v>
          </cell>
          <cell r="M40">
            <v>0</v>
          </cell>
          <cell r="N40">
            <v>0</v>
          </cell>
          <cell r="O40">
            <v>0</v>
          </cell>
          <cell r="P40">
            <v>0</v>
          </cell>
          <cell r="T40">
            <v>0</v>
          </cell>
          <cell r="U40">
            <v>0</v>
          </cell>
          <cell r="V40">
            <v>47.983849821315353</v>
          </cell>
          <cell r="W40">
            <v>0.125</v>
          </cell>
          <cell r="X40">
            <v>-47.983849821315353</v>
          </cell>
          <cell r="Y40">
            <v>-0.125</v>
          </cell>
        </row>
        <row r="41">
          <cell r="A41">
            <v>20</v>
          </cell>
          <cell r="B41" t="str">
            <v>External Interest</v>
          </cell>
          <cell r="E41">
            <v>127.83253424657536</v>
          </cell>
          <cell r="F41">
            <v>127.19554794520549</v>
          </cell>
          <cell r="G41">
            <v>122.47602739726027</v>
          </cell>
          <cell r="H41">
            <v>124.22294520547948</v>
          </cell>
          <cell r="I41">
            <v>119.59931506849318</v>
          </cell>
          <cell r="J41">
            <v>120.38510273972605</v>
          </cell>
          <cell r="K41">
            <v>118.3998287671233</v>
          </cell>
          <cell r="L41">
            <v>106.36643835616439</v>
          </cell>
          <cell r="M41">
            <v>117.12585616438356</v>
          </cell>
          <cell r="N41">
            <v>112.73116438356166</v>
          </cell>
          <cell r="O41">
            <v>114.04708904109589</v>
          </cell>
          <cell r="P41">
            <v>107.27054794520549</v>
          </cell>
          <cell r="T41">
            <v>0</v>
          </cell>
          <cell r="U41">
            <v>1417.652397260274</v>
          </cell>
          <cell r="V41">
            <v>3.9070800000000001</v>
          </cell>
          <cell r="W41">
            <v>0</v>
          </cell>
          <cell r="X41">
            <v>1413.7453172602741</v>
          </cell>
          <cell r="Y41">
            <v>1417.652397260274</v>
          </cell>
        </row>
        <row r="42">
          <cell r="A42">
            <v>21</v>
          </cell>
          <cell r="B42" t="str">
            <v>Intercompany Interest Income</v>
          </cell>
          <cell r="E42">
            <v>0</v>
          </cell>
          <cell r="F42">
            <v>0</v>
          </cell>
          <cell r="G42">
            <v>0</v>
          </cell>
          <cell r="H42">
            <v>0</v>
          </cell>
          <cell r="I42">
            <v>0</v>
          </cell>
          <cell r="J42">
            <v>0</v>
          </cell>
          <cell r="K42">
            <v>0</v>
          </cell>
          <cell r="L42">
            <v>0</v>
          </cell>
          <cell r="M42">
            <v>0</v>
          </cell>
          <cell r="N42">
            <v>0</v>
          </cell>
          <cell r="O42">
            <v>0</v>
          </cell>
          <cell r="P42">
            <v>0</v>
          </cell>
          <cell r="T42">
            <v>0</v>
          </cell>
          <cell r="U42">
            <v>0</v>
          </cell>
          <cell r="V42">
            <v>0</v>
          </cell>
          <cell r="W42">
            <v>0</v>
          </cell>
          <cell r="X42">
            <v>0</v>
          </cell>
          <cell r="Y42">
            <v>0</v>
          </cell>
        </row>
        <row r="43">
          <cell r="A43">
            <v>22</v>
          </cell>
          <cell r="B43" t="str">
            <v>External Interest Income</v>
          </cell>
          <cell r="E43">
            <v>0</v>
          </cell>
          <cell r="F43">
            <v>0</v>
          </cell>
          <cell r="G43">
            <v>0</v>
          </cell>
          <cell r="H43">
            <v>0</v>
          </cell>
          <cell r="I43">
            <v>0.16900000000000001</v>
          </cell>
          <cell r="J43">
            <v>0.222</v>
          </cell>
          <cell r="K43">
            <v>0</v>
          </cell>
          <cell r="L43">
            <v>0</v>
          </cell>
          <cell r="M43">
            <v>0</v>
          </cell>
          <cell r="N43">
            <v>0</v>
          </cell>
          <cell r="O43">
            <v>0</v>
          </cell>
          <cell r="P43">
            <v>0</v>
          </cell>
          <cell r="T43">
            <v>0</v>
          </cell>
          <cell r="U43">
            <v>0.39100000000000001</v>
          </cell>
          <cell r="V43">
            <v>0</v>
          </cell>
          <cell r="W43">
            <v>0</v>
          </cell>
          <cell r="X43">
            <v>0.39100000000000001</v>
          </cell>
          <cell r="Y43">
            <v>0.39100000000000001</v>
          </cell>
        </row>
        <row r="44">
          <cell r="B44" t="str">
            <v>E.B.T.</v>
          </cell>
          <cell r="C44">
            <v>0</v>
          </cell>
          <cell r="E44">
            <v>-315.31133465907533</v>
          </cell>
          <cell r="F44">
            <v>-314.67434835770547</v>
          </cell>
          <cell r="G44">
            <v>-307.90452780976028</v>
          </cell>
          <cell r="H44">
            <v>-308.77274561797947</v>
          </cell>
          <cell r="I44">
            <v>-303.98011548099316</v>
          </cell>
          <cell r="J44">
            <v>-304.71290315222609</v>
          </cell>
          <cell r="K44">
            <v>-305.04708607962334</v>
          </cell>
          <cell r="L44">
            <v>-293.01369566866441</v>
          </cell>
          <cell r="M44">
            <v>-303.77311347688357</v>
          </cell>
          <cell r="N44">
            <v>-299.37842169606165</v>
          </cell>
          <cell r="O44">
            <v>-300.6943463535959</v>
          </cell>
          <cell r="P44">
            <v>-293.91780525770548</v>
          </cell>
          <cell r="Q44">
            <v>0</v>
          </cell>
          <cell r="R44">
            <v>0</v>
          </cell>
          <cell r="S44">
            <v>0</v>
          </cell>
          <cell r="T44">
            <v>0</v>
          </cell>
          <cell r="U44">
            <v>-3651.1804436102739</v>
          </cell>
          <cell r="V44">
            <v>-2045.3647264067004</v>
          </cell>
          <cell r="W44">
            <v>-2253.7130000000002</v>
          </cell>
          <cell r="X44">
            <v>-1605.8157172035735</v>
          </cell>
          <cell r="Y44">
            <v>-1397.4674436102737</v>
          </cell>
        </row>
        <row r="46">
          <cell r="A46">
            <v>23</v>
          </cell>
          <cell r="B46" t="str">
            <v>Taxation</v>
          </cell>
          <cell r="E46">
            <v>0</v>
          </cell>
          <cell r="F46">
            <v>0</v>
          </cell>
          <cell r="G46">
            <v>0</v>
          </cell>
          <cell r="H46">
            <v>0</v>
          </cell>
          <cell r="I46">
            <v>0</v>
          </cell>
          <cell r="J46">
            <v>0</v>
          </cell>
          <cell r="K46">
            <v>0</v>
          </cell>
          <cell r="L46">
            <v>0</v>
          </cell>
          <cell r="M46">
            <v>0</v>
          </cell>
          <cell r="N46">
            <v>0</v>
          </cell>
          <cell r="O46">
            <v>0</v>
          </cell>
          <cell r="P46">
            <v>0</v>
          </cell>
          <cell r="T46">
            <v>0</v>
          </cell>
          <cell r="U46">
            <v>0</v>
          </cell>
          <cell r="V46">
            <v>0</v>
          </cell>
          <cell r="W46">
            <v>0</v>
          </cell>
          <cell r="X46">
            <v>0</v>
          </cell>
          <cell r="Y46">
            <v>0</v>
          </cell>
        </row>
        <row r="47">
          <cell r="A47">
            <v>24</v>
          </cell>
          <cell r="B47" t="str">
            <v>Adjustments</v>
          </cell>
          <cell r="C47">
            <v>0</v>
          </cell>
          <cell r="E47">
            <v>-18.3</v>
          </cell>
          <cell r="F47">
            <v>-18.3</v>
          </cell>
          <cell r="G47">
            <v>-18.3</v>
          </cell>
          <cell r="H47">
            <v>-18.3</v>
          </cell>
          <cell r="I47">
            <v>-18.3</v>
          </cell>
          <cell r="J47">
            <v>-18.3</v>
          </cell>
          <cell r="K47">
            <v>-18.3</v>
          </cell>
          <cell r="L47">
            <v>-18.3</v>
          </cell>
          <cell r="M47">
            <v>-18.3</v>
          </cell>
          <cell r="N47">
            <v>-18.3</v>
          </cell>
          <cell r="O47">
            <v>-18.3</v>
          </cell>
          <cell r="P47">
            <v>-18.3</v>
          </cell>
          <cell r="R47">
            <v>0</v>
          </cell>
          <cell r="S47">
            <v>0</v>
          </cell>
          <cell r="T47">
            <v>0</v>
          </cell>
          <cell r="U47">
            <v>-219.6</v>
          </cell>
          <cell r="V47">
            <v>-231.23731502155525</v>
          </cell>
          <cell r="W47">
            <v>-52.8</v>
          </cell>
          <cell r="X47">
            <v>11.637315021555196</v>
          </cell>
          <cell r="Y47">
            <v>-166.8</v>
          </cell>
        </row>
        <row r="48">
          <cell r="A48">
            <v>25</v>
          </cell>
          <cell r="B48" t="str">
            <v>Dividends</v>
          </cell>
          <cell r="E48">
            <v>0</v>
          </cell>
          <cell r="F48">
            <v>0</v>
          </cell>
          <cell r="G48">
            <v>0</v>
          </cell>
          <cell r="H48">
            <v>0</v>
          </cell>
          <cell r="I48">
            <v>0</v>
          </cell>
          <cell r="J48">
            <v>0</v>
          </cell>
          <cell r="K48">
            <v>0</v>
          </cell>
          <cell r="L48">
            <v>0</v>
          </cell>
          <cell r="M48">
            <v>0</v>
          </cell>
          <cell r="N48">
            <v>0</v>
          </cell>
          <cell r="O48">
            <v>0</v>
          </cell>
          <cell r="P48">
            <v>0</v>
          </cell>
          <cell r="T48">
            <v>0</v>
          </cell>
          <cell r="U48">
            <v>0</v>
          </cell>
          <cell r="V48">
            <v>0</v>
          </cell>
          <cell r="W48">
            <v>0</v>
          </cell>
          <cell r="X48">
            <v>0</v>
          </cell>
          <cell r="Y48">
            <v>0</v>
          </cell>
        </row>
        <row r="49">
          <cell r="A49">
            <v>26</v>
          </cell>
          <cell r="B49" t="str">
            <v>Extraordinary Items</v>
          </cell>
          <cell r="E49">
            <v>0</v>
          </cell>
          <cell r="F49">
            <v>0</v>
          </cell>
          <cell r="G49">
            <v>0</v>
          </cell>
          <cell r="H49">
            <v>0</v>
          </cell>
          <cell r="I49">
            <v>0</v>
          </cell>
          <cell r="J49">
            <v>0</v>
          </cell>
          <cell r="K49">
            <v>0</v>
          </cell>
          <cell r="L49">
            <v>0</v>
          </cell>
          <cell r="M49">
            <v>0</v>
          </cell>
          <cell r="N49">
            <v>0</v>
          </cell>
          <cell r="O49">
            <v>0</v>
          </cell>
          <cell r="P49">
            <v>0</v>
          </cell>
          <cell r="T49">
            <v>0</v>
          </cell>
          <cell r="U49">
            <v>0</v>
          </cell>
          <cell r="V49">
            <v>0</v>
          </cell>
          <cell r="W49">
            <v>0</v>
          </cell>
          <cell r="X49">
            <v>0</v>
          </cell>
          <cell r="Y49">
            <v>0</v>
          </cell>
        </row>
        <row r="50">
          <cell r="B50" t="str">
            <v>RETAINED PROFIT(LOSS)</v>
          </cell>
          <cell r="C50">
            <v>0</v>
          </cell>
          <cell r="E50">
            <v>-297.01133465907532</v>
          </cell>
          <cell r="F50">
            <v>-296.37434835770546</v>
          </cell>
          <cell r="G50">
            <v>-289.60452780976027</v>
          </cell>
          <cell r="H50">
            <v>-290.47274561797946</v>
          </cell>
          <cell r="I50">
            <v>-285.68011548099315</v>
          </cell>
          <cell r="J50">
            <v>-286.41290315222608</v>
          </cell>
          <cell r="K50">
            <v>-286.74708607962333</v>
          </cell>
          <cell r="L50">
            <v>-274.7136956686644</v>
          </cell>
          <cell r="M50">
            <v>-285.47311347688355</v>
          </cell>
          <cell r="N50">
            <v>-281.07842169606164</v>
          </cell>
          <cell r="O50">
            <v>-282.39434635359589</v>
          </cell>
          <cell r="P50">
            <v>-275.61780525770547</v>
          </cell>
          <cell r="Q50">
            <v>0</v>
          </cell>
          <cell r="R50">
            <v>0</v>
          </cell>
          <cell r="S50">
            <v>0</v>
          </cell>
          <cell r="T50">
            <v>0</v>
          </cell>
          <cell r="U50">
            <v>-3431.580443610274</v>
          </cell>
          <cell r="V50">
            <v>-1814.127411385145</v>
          </cell>
          <cell r="W50">
            <v>-2200.913</v>
          </cell>
          <cell r="X50">
            <v>-1617.4530322251289</v>
          </cell>
          <cell r="Y50">
            <v>-1230.6674436102739</v>
          </cell>
        </row>
        <row r="52">
          <cell r="B52" t="str">
            <v>RATIOS</v>
          </cell>
        </row>
        <row r="53">
          <cell r="B53" t="str">
            <v>No of week</v>
          </cell>
          <cell r="E53">
            <v>4</v>
          </cell>
          <cell r="F53">
            <v>4</v>
          </cell>
          <cell r="G53">
            <v>5</v>
          </cell>
          <cell r="H53">
            <v>4</v>
          </cell>
          <cell r="I53">
            <v>4</v>
          </cell>
          <cell r="J53">
            <v>5</v>
          </cell>
          <cell r="K53">
            <v>4</v>
          </cell>
          <cell r="L53">
            <v>4</v>
          </cell>
          <cell r="M53">
            <v>5</v>
          </cell>
          <cell r="N53">
            <v>4</v>
          </cell>
          <cell r="O53">
            <v>5</v>
          </cell>
          <cell r="P53">
            <v>4</v>
          </cell>
          <cell r="U53">
            <v>52</v>
          </cell>
          <cell r="V53">
            <v>52</v>
          </cell>
          <cell r="W53">
            <v>52</v>
          </cell>
          <cell r="X53">
            <v>0</v>
          </cell>
          <cell r="Y53">
            <v>0</v>
          </cell>
        </row>
        <row r="54">
          <cell r="A54">
            <v>27</v>
          </cell>
          <cell r="B54" t="str">
            <v>Pd Admissions</v>
          </cell>
          <cell r="E54">
            <v>0</v>
          </cell>
          <cell r="F54">
            <v>0</v>
          </cell>
          <cell r="G54">
            <v>0</v>
          </cell>
          <cell r="H54">
            <v>0</v>
          </cell>
          <cell r="I54">
            <v>0</v>
          </cell>
          <cell r="J54">
            <v>0</v>
          </cell>
          <cell r="K54">
            <v>0</v>
          </cell>
          <cell r="L54">
            <v>0</v>
          </cell>
          <cell r="M54">
            <v>0</v>
          </cell>
          <cell r="N54">
            <v>0</v>
          </cell>
          <cell r="O54">
            <v>0</v>
          </cell>
          <cell r="P54">
            <v>0</v>
          </cell>
          <cell r="T54">
            <v>0</v>
          </cell>
          <cell r="U54">
            <v>0</v>
          </cell>
          <cell r="V54">
            <v>0</v>
          </cell>
          <cell r="W54">
            <v>0</v>
          </cell>
          <cell r="X54">
            <v>0</v>
          </cell>
          <cell r="Y54">
            <v>0</v>
          </cell>
        </row>
        <row r="55">
          <cell r="A55">
            <v>28</v>
          </cell>
          <cell r="B55" t="str">
            <v>Admissions</v>
          </cell>
          <cell r="E55">
            <v>0</v>
          </cell>
          <cell r="F55">
            <v>0</v>
          </cell>
          <cell r="G55">
            <v>0</v>
          </cell>
          <cell r="H55">
            <v>0</v>
          </cell>
          <cell r="I55">
            <v>0</v>
          </cell>
          <cell r="J55">
            <v>0</v>
          </cell>
          <cell r="K55">
            <v>0</v>
          </cell>
          <cell r="L55">
            <v>0</v>
          </cell>
          <cell r="M55">
            <v>0</v>
          </cell>
          <cell r="N55">
            <v>0</v>
          </cell>
          <cell r="O55">
            <v>0</v>
          </cell>
          <cell r="P55">
            <v>0</v>
          </cell>
          <cell r="T55">
            <v>0</v>
          </cell>
          <cell r="U55">
            <v>0</v>
          </cell>
          <cell r="V55">
            <v>0</v>
          </cell>
          <cell r="W55">
            <v>0</v>
          </cell>
          <cell r="X55">
            <v>0</v>
          </cell>
          <cell r="Y55">
            <v>0</v>
          </cell>
        </row>
        <row r="56">
          <cell r="B56" t="str">
            <v>Utilisation Rate</v>
          </cell>
          <cell r="E56" t="str">
            <v>N.A.</v>
          </cell>
          <cell r="F56" t="str">
            <v>N.A.</v>
          </cell>
          <cell r="G56" t="str">
            <v>N.A.</v>
          </cell>
          <cell r="H56" t="str">
            <v>N.A.</v>
          </cell>
          <cell r="I56" t="str">
            <v>N.A.</v>
          </cell>
          <cell r="J56" t="str">
            <v>N.A.</v>
          </cell>
          <cell r="K56" t="str">
            <v>N.A.</v>
          </cell>
          <cell r="L56" t="str">
            <v>N.A.</v>
          </cell>
          <cell r="M56" t="str">
            <v>N.A.</v>
          </cell>
          <cell r="N56" t="str">
            <v>N.A.</v>
          </cell>
          <cell r="O56" t="str">
            <v>N.A.</v>
          </cell>
          <cell r="P56" t="str">
            <v>N.A.</v>
          </cell>
          <cell r="U56" t="str">
            <v>N.A.</v>
          </cell>
          <cell r="V56" t="str">
            <v>N.A.</v>
          </cell>
          <cell r="W56" t="str">
            <v>N.A.</v>
          </cell>
          <cell r="X56" t="str">
            <v>N.A.</v>
          </cell>
          <cell r="Y56" t="str">
            <v>N.A.</v>
          </cell>
        </row>
        <row r="57">
          <cell r="B57" t="str">
            <v>Ave. Admission Price (S$)</v>
          </cell>
          <cell r="C57" t="str">
            <v>N.A.</v>
          </cell>
          <cell r="E57" t="str">
            <v>N.A.</v>
          </cell>
          <cell r="F57" t="str">
            <v>N.A.</v>
          </cell>
          <cell r="G57" t="str">
            <v>N.A.</v>
          </cell>
          <cell r="H57" t="str">
            <v>N.A.</v>
          </cell>
          <cell r="I57" t="str">
            <v>N.A.</v>
          </cell>
          <cell r="J57" t="str">
            <v>N.A.</v>
          </cell>
          <cell r="K57" t="str">
            <v>N.A.</v>
          </cell>
          <cell r="L57" t="str">
            <v>N.A.</v>
          </cell>
          <cell r="M57" t="str">
            <v>N.A.</v>
          </cell>
          <cell r="N57" t="str">
            <v>N.A.</v>
          </cell>
          <cell r="O57" t="str">
            <v>N.A.</v>
          </cell>
          <cell r="P57" t="str">
            <v>N.A.</v>
          </cell>
          <cell r="R57" t="str">
            <v>N.A.</v>
          </cell>
          <cell r="S57" t="str">
            <v>N.A.</v>
          </cell>
          <cell r="T57" t="str">
            <v>N.A.</v>
          </cell>
          <cell r="U57" t="str">
            <v>N.A.</v>
          </cell>
          <cell r="V57" t="str">
            <v>N.A.</v>
          </cell>
          <cell r="W57" t="str">
            <v>N.A.</v>
          </cell>
          <cell r="X57" t="str">
            <v>N.A.</v>
          </cell>
          <cell r="Y57" t="str">
            <v>N.A.</v>
          </cell>
        </row>
        <row r="58">
          <cell r="B58" t="str">
            <v>Advert. Cost % of Box</v>
          </cell>
          <cell r="C58" t="str">
            <v>N.A.</v>
          </cell>
          <cell r="E58" t="str">
            <v>N.A.</v>
          </cell>
          <cell r="F58" t="str">
            <v>N.A.</v>
          </cell>
          <cell r="G58" t="str">
            <v>N.A.</v>
          </cell>
          <cell r="H58" t="str">
            <v>N.A.</v>
          </cell>
          <cell r="I58" t="str">
            <v>N.A.</v>
          </cell>
          <cell r="J58" t="str">
            <v>N.A.</v>
          </cell>
          <cell r="K58" t="str">
            <v>N.A.</v>
          </cell>
          <cell r="L58" t="str">
            <v>N.A.</v>
          </cell>
          <cell r="M58" t="str">
            <v>N.A.</v>
          </cell>
          <cell r="N58" t="str">
            <v>N.A.</v>
          </cell>
          <cell r="O58" t="str">
            <v>N.A.</v>
          </cell>
          <cell r="P58" t="str">
            <v>N.A.</v>
          </cell>
          <cell r="R58" t="str">
            <v>N.A.</v>
          </cell>
          <cell r="S58" t="str">
            <v>N.A.</v>
          </cell>
          <cell r="T58" t="str">
            <v>N.A.</v>
          </cell>
          <cell r="U58" t="str">
            <v>N.A.</v>
          </cell>
          <cell r="V58" t="str">
            <v>N.A.</v>
          </cell>
          <cell r="W58" t="str">
            <v>N.A.</v>
          </cell>
          <cell r="X58" t="str">
            <v>N.A.</v>
          </cell>
          <cell r="Y58" t="str">
            <v>N.A.</v>
          </cell>
        </row>
        <row r="59">
          <cell r="B59" t="str">
            <v>Concession Cost %</v>
          </cell>
          <cell r="C59" t="str">
            <v>N.A.</v>
          </cell>
          <cell r="E59" t="str">
            <v>N.A.</v>
          </cell>
          <cell r="F59" t="str">
            <v>N.A.</v>
          </cell>
          <cell r="G59" t="str">
            <v>N.A.</v>
          </cell>
          <cell r="H59" t="str">
            <v>N.A.</v>
          </cell>
          <cell r="I59" t="str">
            <v>N.A.</v>
          </cell>
          <cell r="J59" t="str">
            <v>N.A.</v>
          </cell>
          <cell r="K59" t="str">
            <v>N.A.</v>
          </cell>
          <cell r="L59" t="str">
            <v>N.A.</v>
          </cell>
          <cell r="M59" t="str">
            <v>N.A.</v>
          </cell>
          <cell r="N59" t="str">
            <v>N.A.</v>
          </cell>
          <cell r="O59" t="str">
            <v>N.A.</v>
          </cell>
          <cell r="P59" t="str">
            <v>N.A.</v>
          </cell>
          <cell r="R59" t="str">
            <v>N.A.</v>
          </cell>
          <cell r="S59" t="str">
            <v>N.A.</v>
          </cell>
          <cell r="T59" t="str">
            <v>N.A.</v>
          </cell>
          <cell r="U59" t="str">
            <v>N.A.</v>
          </cell>
          <cell r="V59" t="str">
            <v>N.A.</v>
          </cell>
          <cell r="W59" t="str">
            <v>N.A.</v>
          </cell>
          <cell r="X59" t="str">
            <v>N.A.</v>
          </cell>
          <cell r="Y59" t="str">
            <v>N.A.</v>
          </cell>
        </row>
        <row r="60">
          <cell r="B60" t="str">
            <v>Concess. Rev per Patron (S$)</v>
          </cell>
          <cell r="C60" t="str">
            <v>N.A.</v>
          </cell>
          <cell r="E60" t="str">
            <v>N.A.</v>
          </cell>
          <cell r="F60" t="str">
            <v>N.A.</v>
          </cell>
          <cell r="G60" t="str">
            <v>N.A.</v>
          </cell>
          <cell r="H60" t="str">
            <v>N.A.</v>
          </cell>
          <cell r="I60" t="str">
            <v>N.A.</v>
          </cell>
          <cell r="J60" t="str">
            <v>N.A.</v>
          </cell>
          <cell r="K60" t="str">
            <v>N.A.</v>
          </cell>
          <cell r="L60" t="str">
            <v>N.A.</v>
          </cell>
          <cell r="M60" t="str">
            <v>N.A.</v>
          </cell>
          <cell r="N60" t="str">
            <v>N.A.</v>
          </cell>
          <cell r="O60" t="str">
            <v>N.A.</v>
          </cell>
          <cell r="P60" t="str">
            <v>N.A.</v>
          </cell>
          <cell r="R60" t="str">
            <v>N.A.</v>
          </cell>
          <cell r="S60" t="str">
            <v>N.A.</v>
          </cell>
          <cell r="T60" t="str">
            <v>N.A.</v>
          </cell>
          <cell r="U60" t="str">
            <v>N.A.</v>
          </cell>
          <cell r="V60" t="str">
            <v>N.A.</v>
          </cell>
          <cell r="W60" t="str">
            <v>N.A.</v>
          </cell>
          <cell r="X60" t="str">
            <v>N.A.</v>
          </cell>
          <cell r="Y60" t="str">
            <v>N.A.</v>
          </cell>
        </row>
        <row r="61">
          <cell r="B61" t="str">
            <v>Film Hire : % of Net Box</v>
          </cell>
          <cell r="C61" t="str">
            <v>N.A.</v>
          </cell>
          <cell r="E61" t="str">
            <v>N.A.</v>
          </cell>
          <cell r="F61" t="str">
            <v>N.A.</v>
          </cell>
          <cell r="G61" t="str">
            <v>N.A.</v>
          </cell>
          <cell r="H61" t="str">
            <v>N.A.</v>
          </cell>
          <cell r="I61" t="str">
            <v>N.A.</v>
          </cell>
          <cell r="J61" t="str">
            <v>N.A.</v>
          </cell>
          <cell r="K61" t="str">
            <v>N.A.</v>
          </cell>
          <cell r="L61" t="str">
            <v>N.A.</v>
          </cell>
          <cell r="M61" t="str">
            <v>N.A.</v>
          </cell>
          <cell r="N61" t="str">
            <v>N.A.</v>
          </cell>
          <cell r="O61" t="str">
            <v>N.A.</v>
          </cell>
          <cell r="P61" t="str">
            <v>N.A.</v>
          </cell>
          <cell r="R61" t="str">
            <v>N.A.</v>
          </cell>
          <cell r="S61" t="str">
            <v>N.A.</v>
          </cell>
          <cell r="T61" t="str">
            <v>N.A.</v>
          </cell>
          <cell r="U61" t="str">
            <v>N.A.</v>
          </cell>
          <cell r="V61" t="str">
            <v>N.A.</v>
          </cell>
          <cell r="W61" t="str">
            <v>N.A.</v>
          </cell>
          <cell r="X61" t="str">
            <v>N.A.</v>
          </cell>
          <cell r="Y61" t="str">
            <v>N.A.</v>
          </cell>
        </row>
        <row r="62">
          <cell r="B62" t="str">
            <v>Direct Payroll : Net Box</v>
          </cell>
          <cell r="C62" t="str">
            <v>N.A.</v>
          </cell>
          <cell r="E62" t="str">
            <v>N.A.</v>
          </cell>
          <cell r="F62" t="str">
            <v>N.A.</v>
          </cell>
          <cell r="G62" t="str">
            <v>N.A.</v>
          </cell>
          <cell r="H62" t="str">
            <v>N.A.</v>
          </cell>
          <cell r="I62" t="str">
            <v>N.A.</v>
          </cell>
          <cell r="J62" t="str">
            <v>N.A.</v>
          </cell>
          <cell r="K62" t="str">
            <v>N.A.</v>
          </cell>
          <cell r="L62" t="str">
            <v>N.A.</v>
          </cell>
          <cell r="M62" t="str">
            <v>N.A.</v>
          </cell>
          <cell r="N62" t="str">
            <v>N.A.</v>
          </cell>
          <cell r="O62" t="str">
            <v>N.A.</v>
          </cell>
          <cell r="P62" t="str">
            <v>N.A.</v>
          </cell>
          <cell r="R62" t="str">
            <v>N.A.</v>
          </cell>
          <cell r="S62" t="str">
            <v>N.A.</v>
          </cell>
          <cell r="T62" t="str">
            <v>N.A.</v>
          </cell>
          <cell r="U62" t="str">
            <v>N.A.</v>
          </cell>
          <cell r="V62" t="str">
            <v>N.A.</v>
          </cell>
          <cell r="W62" t="str">
            <v>N.A.</v>
          </cell>
          <cell r="X62" t="str">
            <v>N.A.</v>
          </cell>
          <cell r="Y62" t="str">
            <v>N.A.</v>
          </cell>
        </row>
        <row r="63">
          <cell r="B63" t="str">
            <v>Direct Payroll : Net Box &amp; Conc.</v>
          </cell>
          <cell r="C63" t="str">
            <v>N.A.</v>
          </cell>
          <cell r="E63" t="str">
            <v>N.A.</v>
          </cell>
          <cell r="F63" t="str">
            <v>N.A.</v>
          </cell>
          <cell r="G63" t="str">
            <v>N.A.</v>
          </cell>
          <cell r="H63" t="str">
            <v>N.A.</v>
          </cell>
          <cell r="I63" t="str">
            <v>N.A.</v>
          </cell>
          <cell r="J63" t="str">
            <v>N.A.</v>
          </cell>
          <cell r="K63" t="str">
            <v>N.A.</v>
          </cell>
          <cell r="L63" t="str">
            <v>N.A.</v>
          </cell>
          <cell r="M63" t="str">
            <v>N.A.</v>
          </cell>
          <cell r="N63" t="str">
            <v>N.A.</v>
          </cell>
          <cell r="O63" t="str">
            <v>N.A.</v>
          </cell>
          <cell r="P63" t="str">
            <v>N.A.</v>
          </cell>
          <cell r="Q63">
            <v>0</v>
          </cell>
          <cell r="R63" t="str">
            <v>N.A.</v>
          </cell>
          <cell r="S63" t="str">
            <v>N.A.</v>
          </cell>
          <cell r="T63" t="str">
            <v>N.A.</v>
          </cell>
          <cell r="U63" t="str">
            <v>N.A.</v>
          </cell>
          <cell r="V63" t="str">
            <v>N.A.</v>
          </cell>
          <cell r="W63" t="str">
            <v>N.A.</v>
          </cell>
          <cell r="X63" t="str">
            <v>N.A.</v>
          </cell>
          <cell r="Y63" t="str">
            <v>N.A.</v>
          </cell>
        </row>
        <row r="64">
          <cell r="B64" t="str">
            <v>Direct Payroll of Admissions (S$)</v>
          </cell>
          <cell r="C64" t="str">
            <v>N.A.</v>
          </cell>
          <cell r="E64" t="str">
            <v>N.A.</v>
          </cell>
          <cell r="F64" t="str">
            <v>N.A.</v>
          </cell>
          <cell r="G64" t="str">
            <v>N.A.</v>
          </cell>
          <cell r="H64" t="str">
            <v>N.A.</v>
          </cell>
          <cell r="I64" t="str">
            <v>N.A.</v>
          </cell>
          <cell r="J64" t="str">
            <v>N.A.</v>
          </cell>
          <cell r="K64" t="str">
            <v>N.A.</v>
          </cell>
          <cell r="L64" t="str">
            <v>N.A.</v>
          </cell>
          <cell r="M64" t="str">
            <v>N.A.</v>
          </cell>
          <cell r="N64" t="str">
            <v>N.A.</v>
          </cell>
          <cell r="O64" t="str">
            <v>N.A.</v>
          </cell>
          <cell r="P64" t="str">
            <v>N.A.</v>
          </cell>
          <cell r="Q64">
            <v>0</v>
          </cell>
          <cell r="R64" t="str">
            <v>N.A.</v>
          </cell>
          <cell r="S64" t="str">
            <v>N.A.</v>
          </cell>
          <cell r="T64" t="str">
            <v>N.A.</v>
          </cell>
          <cell r="U64" t="str">
            <v>N.A.</v>
          </cell>
          <cell r="V64" t="str">
            <v>N.A.</v>
          </cell>
          <cell r="W64" t="str">
            <v>N.A.</v>
          </cell>
          <cell r="X64" t="str">
            <v>N.A.</v>
          </cell>
          <cell r="Y64" t="str">
            <v>N.A.</v>
          </cell>
        </row>
        <row r="65">
          <cell r="B65" t="str">
            <v>Gross Margin :Total Rev</v>
          </cell>
          <cell r="C65" t="str">
            <v>N.A.</v>
          </cell>
          <cell r="E65" t="str">
            <v>N.A.</v>
          </cell>
          <cell r="F65" t="str">
            <v>N.A.</v>
          </cell>
          <cell r="G65" t="str">
            <v>N.A.</v>
          </cell>
          <cell r="H65" t="str">
            <v>N.A.</v>
          </cell>
          <cell r="I65" t="str">
            <v>N.A.</v>
          </cell>
          <cell r="J65" t="str">
            <v>N.A.</v>
          </cell>
          <cell r="K65" t="str">
            <v>N.A.</v>
          </cell>
          <cell r="L65" t="str">
            <v>N.A.</v>
          </cell>
          <cell r="M65" t="str">
            <v>N.A.</v>
          </cell>
          <cell r="N65" t="str">
            <v>N.A.</v>
          </cell>
          <cell r="O65" t="str">
            <v>N.A.</v>
          </cell>
          <cell r="P65" t="str">
            <v>N.A.</v>
          </cell>
          <cell r="Q65">
            <v>0</v>
          </cell>
          <cell r="R65" t="str">
            <v>N.A.</v>
          </cell>
          <cell r="S65" t="str">
            <v>N.A.</v>
          </cell>
          <cell r="T65" t="str">
            <v>N.A.</v>
          </cell>
          <cell r="U65" t="str">
            <v>N.A.</v>
          </cell>
          <cell r="V65" t="str">
            <v>N.A.</v>
          </cell>
          <cell r="W65" t="str">
            <v>N.A.</v>
          </cell>
          <cell r="X65" t="str">
            <v>N.A.</v>
          </cell>
          <cell r="Y65" t="str">
            <v>N.A.</v>
          </cell>
        </row>
        <row r="66">
          <cell r="B66" t="str">
            <v>G&amp;A % of total revenue</v>
          </cell>
          <cell r="C66" t="str">
            <v>N.A.</v>
          </cell>
          <cell r="E66" t="str">
            <v>N.A.</v>
          </cell>
          <cell r="F66" t="str">
            <v>N.A.</v>
          </cell>
          <cell r="G66" t="str">
            <v>N.A.</v>
          </cell>
          <cell r="H66" t="str">
            <v>N.A.</v>
          </cell>
          <cell r="I66" t="str">
            <v>N.A.</v>
          </cell>
          <cell r="J66" t="str">
            <v>N.A.</v>
          </cell>
          <cell r="K66" t="str">
            <v>N.A.</v>
          </cell>
          <cell r="L66" t="str">
            <v>N.A.</v>
          </cell>
          <cell r="M66" t="str">
            <v>N.A.</v>
          </cell>
          <cell r="N66" t="str">
            <v>N.A.</v>
          </cell>
          <cell r="O66" t="str">
            <v>N.A.</v>
          </cell>
          <cell r="P66" t="str">
            <v>N.A.</v>
          </cell>
          <cell r="Q66">
            <v>0</v>
          </cell>
          <cell r="R66" t="str">
            <v>N.A.</v>
          </cell>
          <cell r="S66" t="str">
            <v>N.A.</v>
          </cell>
          <cell r="T66" t="str">
            <v>N.A.</v>
          </cell>
          <cell r="U66" t="str">
            <v>N.A.</v>
          </cell>
          <cell r="V66" t="str">
            <v>N.A.</v>
          </cell>
          <cell r="W66" t="str">
            <v>N.A.</v>
          </cell>
          <cell r="X66" t="str">
            <v>N.A.</v>
          </cell>
          <cell r="Y66" t="str">
            <v>N.A.</v>
          </cell>
        </row>
        <row r="67">
          <cell r="B67" t="str">
            <v>E.B.I.T.D. : Total Rev</v>
          </cell>
          <cell r="C67" t="str">
            <v>N.A.</v>
          </cell>
          <cell r="E67" t="str">
            <v>N.A.</v>
          </cell>
          <cell r="F67" t="str">
            <v>N.A.</v>
          </cell>
          <cell r="G67" t="str">
            <v>N.A.</v>
          </cell>
          <cell r="H67" t="str">
            <v>N.A.</v>
          </cell>
          <cell r="I67" t="str">
            <v>N.A.</v>
          </cell>
          <cell r="J67" t="str">
            <v>N.A.</v>
          </cell>
          <cell r="K67" t="str">
            <v>N.A.</v>
          </cell>
          <cell r="L67" t="str">
            <v>N.A.</v>
          </cell>
          <cell r="M67" t="str">
            <v>N.A.</v>
          </cell>
          <cell r="N67" t="str">
            <v>N.A.</v>
          </cell>
          <cell r="O67" t="str">
            <v>N.A.</v>
          </cell>
          <cell r="P67" t="str">
            <v>N.A.</v>
          </cell>
          <cell r="Q67">
            <v>0</v>
          </cell>
          <cell r="R67" t="str">
            <v>N.A.</v>
          </cell>
          <cell r="S67" t="str">
            <v>N.A.</v>
          </cell>
          <cell r="T67" t="str">
            <v>N.A.</v>
          </cell>
          <cell r="U67" t="str">
            <v>N.A.</v>
          </cell>
          <cell r="V67" t="str">
            <v>N.A.</v>
          </cell>
          <cell r="W67" t="str">
            <v>N.A.</v>
          </cell>
          <cell r="X67" t="str">
            <v>N.A.</v>
          </cell>
          <cell r="Y67" t="str">
            <v>N.A.</v>
          </cell>
        </row>
        <row r="68">
          <cell r="B68" t="str">
            <v>No of Concession Transactions</v>
          </cell>
          <cell r="E68" t="str">
            <v>N.A.</v>
          </cell>
          <cell r="F68" t="str">
            <v>N.A.</v>
          </cell>
          <cell r="G68" t="str">
            <v>N.A.</v>
          </cell>
          <cell r="H68" t="str">
            <v>N.A.</v>
          </cell>
          <cell r="I68" t="str">
            <v>N.A.</v>
          </cell>
          <cell r="J68" t="str">
            <v>N.A.</v>
          </cell>
          <cell r="K68" t="str">
            <v>N.A.</v>
          </cell>
          <cell r="L68" t="str">
            <v>N.A.</v>
          </cell>
          <cell r="M68" t="str">
            <v>N.A.</v>
          </cell>
          <cell r="N68" t="str">
            <v>N.A.</v>
          </cell>
          <cell r="O68" t="str">
            <v>N.A.</v>
          </cell>
          <cell r="P68" t="str">
            <v>N.A.</v>
          </cell>
          <cell r="Q68">
            <v>0</v>
          </cell>
          <cell r="R68">
            <v>30.731000000000002</v>
          </cell>
          <cell r="S68">
            <v>31.731000000000002</v>
          </cell>
          <cell r="T68">
            <v>32.731000000000002</v>
          </cell>
          <cell r="U68" t="str">
            <v>N.A.</v>
          </cell>
          <cell r="V68" t="str">
            <v>N.A.</v>
          </cell>
          <cell r="W68" t="str">
            <v>N.A.</v>
          </cell>
          <cell r="X68" t="str">
            <v>N.A.</v>
          </cell>
          <cell r="Y68" t="str">
            <v>N.A.</v>
          </cell>
        </row>
        <row r="69">
          <cell r="B69" t="str">
            <v>Strike Rate %(No of Trans/Adm)</v>
          </cell>
          <cell r="E69" t="str">
            <v>N.A.</v>
          </cell>
          <cell r="F69" t="str">
            <v>N.A.</v>
          </cell>
          <cell r="G69" t="str">
            <v>N.A.</v>
          </cell>
          <cell r="H69" t="str">
            <v>N.A.</v>
          </cell>
          <cell r="I69" t="str">
            <v>N.A.</v>
          </cell>
          <cell r="J69" t="str">
            <v>N.A.</v>
          </cell>
          <cell r="K69" t="str">
            <v>N.A.</v>
          </cell>
          <cell r="L69" t="str">
            <v>N.A.</v>
          </cell>
          <cell r="M69" t="str">
            <v>N.A.</v>
          </cell>
          <cell r="N69" t="str">
            <v>N.A.</v>
          </cell>
          <cell r="O69" t="str">
            <v>N.A.</v>
          </cell>
          <cell r="P69" t="str">
            <v>N.A.</v>
          </cell>
          <cell r="Q69">
            <v>0</v>
          </cell>
          <cell r="R69" t="e">
            <v>#DIV/0!</v>
          </cell>
          <cell r="S69" t="e">
            <v>#DIV/0!</v>
          </cell>
          <cell r="T69" t="e">
            <v>#DIV/0!</v>
          </cell>
          <cell r="U69" t="str">
            <v>N.A.</v>
          </cell>
          <cell r="V69" t="str">
            <v>N.A.</v>
          </cell>
          <cell r="W69" t="str">
            <v>N.A.</v>
          </cell>
          <cell r="X69" t="str">
            <v>N.A.</v>
          </cell>
          <cell r="Y69" t="str">
            <v>N.A.</v>
          </cell>
        </row>
        <row r="70">
          <cell r="B70" t="str">
            <v>Ave Sales (Total Sale/No of Trans) (S$)</v>
          </cell>
          <cell r="E70" t="str">
            <v>N.A.</v>
          </cell>
          <cell r="F70" t="str">
            <v>N.A.</v>
          </cell>
          <cell r="G70" t="str">
            <v>N.A.</v>
          </cell>
          <cell r="H70" t="str">
            <v>N.A.</v>
          </cell>
          <cell r="I70" t="str">
            <v>N.A.</v>
          </cell>
          <cell r="J70" t="str">
            <v>N.A.</v>
          </cell>
          <cell r="K70" t="str">
            <v>N.A.</v>
          </cell>
          <cell r="L70" t="str">
            <v>N.A.</v>
          </cell>
          <cell r="M70" t="str">
            <v>N.A.</v>
          </cell>
          <cell r="N70" t="str">
            <v>N.A.</v>
          </cell>
          <cell r="O70" t="str">
            <v>N.A.</v>
          </cell>
          <cell r="P70" t="str">
            <v>N.A.</v>
          </cell>
          <cell r="Q70">
            <v>0</v>
          </cell>
          <cell r="R70">
            <v>0</v>
          </cell>
          <cell r="S70">
            <v>0</v>
          </cell>
          <cell r="T70">
            <v>0</v>
          </cell>
          <cell r="U70" t="str">
            <v>N.A.</v>
          </cell>
          <cell r="V70" t="str">
            <v>N.A.</v>
          </cell>
          <cell r="W70" t="str">
            <v>N.A.</v>
          </cell>
          <cell r="X70" t="str">
            <v>N.A.</v>
          </cell>
          <cell r="Y70" t="str">
            <v>N.A.</v>
          </cell>
        </row>
        <row r="71">
          <cell r="B71" t="str">
            <v xml:space="preserve">Total Concession Combo Sales </v>
          </cell>
          <cell r="E71" t="str">
            <v>N.A.</v>
          </cell>
          <cell r="F71" t="str">
            <v>N.A.</v>
          </cell>
          <cell r="G71" t="str">
            <v>N.A.</v>
          </cell>
          <cell r="H71" t="str">
            <v>N.A.</v>
          </cell>
          <cell r="I71" t="str">
            <v>N.A.</v>
          </cell>
          <cell r="J71" t="str">
            <v>N.A.</v>
          </cell>
          <cell r="K71" t="str">
            <v>N.A.</v>
          </cell>
          <cell r="L71" t="str">
            <v>N.A.</v>
          </cell>
          <cell r="M71" t="str">
            <v>N.A.</v>
          </cell>
          <cell r="N71" t="str">
            <v>N.A.</v>
          </cell>
          <cell r="O71" t="str">
            <v>N.A.</v>
          </cell>
          <cell r="P71" t="str">
            <v>N.A.</v>
          </cell>
          <cell r="Q71">
            <v>0</v>
          </cell>
          <cell r="R71">
            <v>74.369</v>
          </cell>
          <cell r="S71">
            <v>75.369</v>
          </cell>
          <cell r="T71">
            <v>76.369</v>
          </cell>
          <cell r="U71" t="str">
            <v>N.A.</v>
          </cell>
          <cell r="V71" t="str">
            <v>N.A.</v>
          </cell>
          <cell r="W71" t="str">
            <v>N.A.</v>
          </cell>
          <cell r="X71" t="str">
            <v>N.A.</v>
          </cell>
          <cell r="Y71" t="str">
            <v>N.A.</v>
          </cell>
        </row>
        <row r="72">
          <cell r="B72" t="str">
            <v>Combo Sales as % of Total Sales</v>
          </cell>
          <cell r="E72" t="str">
            <v>N.A.</v>
          </cell>
          <cell r="F72" t="str">
            <v>N.A.</v>
          </cell>
          <cell r="G72" t="str">
            <v>N.A.</v>
          </cell>
          <cell r="H72" t="str">
            <v>N.A.</v>
          </cell>
          <cell r="I72" t="str">
            <v>N.A.</v>
          </cell>
          <cell r="J72" t="str">
            <v>N.A.</v>
          </cell>
          <cell r="K72" t="str">
            <v>N.A.</v>
          </cell>
          <cell r="L72" t="str">
            <v>N.A.</v>
          </cell>
          <cell r="M72" t="str">
            <v>N.A.</v>
          </cell>
          <cell r="N72" t="str">
            <v>N.A.</v>
          </cell>
          <cell r="O72" t="str">
            <v>N.A.</v>
          </cell>
          <cell r="P72" t="str">
            <v>N.A.</v>
          </cell>
          <cell r="Q72">
            <v>0</v>
          </cell>
          <cell r="R72" t="e">
            <v>#DIV/0!</v>
          </cell>
          <cell r="S72" t="e">
            <v>#DIV/0!</v>
          </cell>
          <cell r="T72" t="e">
            <v>#DIV/0!</v>
          </cell>
          <cell r="U72" t="str">
            <v>N.A.</v>
          </cell>
          <cell r="V72" t="str">
            <v>N.A.</v>
          </cell>
          <cell r="W72" t="str">
            <v>N.A.</v>
          </cell>
          <cell r="X72" t="str">
            <v>N.A.</v>
          </cell>
          <cell r="Y72" t="str">
            <v>N.A.</v>
          </cell>
        </row>
        <row r="73">
          <cell r="B73" t="str">
            <v>No of Payroll hours Paid</v>
          </cell>
          <cell r="E73" t="str">
            <v>N.A.</v>
          </cell>
          <cell r="F73" t="str">
            <v>N.A.</v>
          </cell>
          <cell r="G73" t="str">
            <v>N.A.</v>
          </cell>
          <cell r="H73" t="str">
            <v>N.A.</v>
          </cell>
          <cell r="I73" t="str">
            <v>N.A.</v>
          </cell>
          <cell r="J73" t="str">
            <v>N.A.</v>
          </cell>
          <cell r="K73" t="str">
            <v>N.A.</v>
          </cell>
          <cell r="L73" t="str">
            <v>N.A.</v>
          </cell>
          <cell r="M73" t="str">
            <v>N.A.</v>
          </cell>
          <cell r="N73" t="str">
            <v>N.A.</v>
          </cell>
          <cell r="O73" t="str">
            <v>N.A.</v>
          </cell>
          <cell r="P73" t="str">
            <v>N.A.</v>
          </cell>
          <cell r="Q73">
            <v>0</v>
          </cell>
          <cell r="R73">
            <v>4.5520000000000005</v>
          </cell>
          <cell r="S73">
            <v>4.5520000000000005</v>
          </cell>
          <cell r="T73">
            <v>4.5520000000000005</v>
          </cell>
          <cell r="U73" t="str">
            <v>N.A.</v>
          </cell>
          <cell r="V73" t="str">
            <v>N.A.</v>
          </cell>
          <cell r="W73" t="str">
            <v>N.A.</v>
          </cell>
          <cell r="X73" t="str">
            <v>N.A.</v>
          </cell>
          <cell r="Y73" t="str">
            <v>N.A.</v>
          </cell>
        </row>
        <row r="74">
          <cell r="B74" t="str">
            <v>Admissions/labour hour paid</v>
          </cell>
          <cell r="E74" t="str">
            <v>N.A.</v>
          </cell>
          <cell r="F74" t="str">
            <v>N.A.</v>
          </cell>
          <cell r="G74" t="str">
            <v>N.A.</v>
          </cell>
          <cell r="H74" t="str">
            <v>N.A.</v>
          </cell>
          <cell r="I74" t="str">
            <v>N.A.</v>
          </cell>
          <cell r="J74" t="str">
            <v>N.A.</v>
          </cell>
          <cell r="K74" t="str">
            <v>N.A.</v>
          </cell>
          <cell r="L74" t="str">
            <v>N.A.</v>
          </cell>
          <cell r="M74" t="str">
            <v>N.A.</v>
          </cell>
          <cell r="N74" t="str">
            <v>N.A.</v>
          </cell>
          <cell r="O74" t="str">
            <v>N.A.</v>
          </cell>
          <cell r="P74" t="str">
            <v>N.A.</v>
          </cell>
          <cell r="Q74">
            <v>0</v>
          </cell>
          <cell r="R74">
            <v>0</v>
          </cell>
          <cell r="S74">
            <v>0</v>
          </cell>
          <cell r="T74">
            <v>0</v>
          </cell>
          <cell r="U74" t="str">
            <v>N.A.</v>
          </cell>
          <cell r="V74" t="str">
            <v>N.A.</v>
          </cell>
          <cell r="W74" t="str">
            <v>N.A.</v>
          </cell>
          <cell r="X74" t="str">
            <v>N.A.</v>
          </cell>
          <cell r="Y74" t="str">
            <v>N.A.</v>
          </cell>
        </row>
        <row r="75">
          <cell r="A75">
            <v>0</v>
          </cell>
        </row>
        <row r="76">
          <cell r="A76">
            <v>0</v>
          </cell>
          <cell r="B76" t="str">
            <v>6 Other Income</v>
          </cell>
        </row>
        <row r="77">
          <cell r="A77">
            <v>52</v>
          </cell>
          <cell r="B77" t="str">
            <v>Booking Fee</v>
          </cell>
          <cell r="E77">
            <v>0</v>
          </cell>
          <cell r="F77">
            <v>0</v>
          </cell>
          <cell r="G77">
            <v>0</v>
          </cell>
          <cell r="H77">
            <v>0</v>
          </cell>
          <cell r="I77">
            <v>0</v>
          </cell>
          <cell r="J77">
            <v>0</v>
          </cell>
          <cell r="K77">
            <v>0</v>
          </cell>
          <cell r="L77">
            <v>0</v>
          </cell>
          <cell r="M77">
            <v>0</v>
          </cell>
          <cell r="N77">
            <v>0</v>
          </cell>
          <cell r="O77">
            <v>0</v>
          </cell>
          <cell r="P77">
            <v>0</v>
          </cell>
          <cell r="T77">
            <v>0</v>
          </cell>
          <cell r="U77">
            <v>0</v>
          </cell>
          <cell r="V77">
            <v>0.5</v>
          </cell>
          <cell r="W77">
            <v>0</v>
          </cell>
          <cell r="X77">
            <v>-0.5</v>
          </cell>
          <cell r="Y77">
            <v>0</v>
          </cell>
        </row>
        <row r="78">
          <cell r="A78">
            <v>53</v>
          </cell>
          <cell r="B78" t="str">
            <v>Auditorium Rentals</v>
          </cell>
          <cell r="E78">
            <v>0</v>
          </cell>
          <cell r="F78">
            <v>0</v>
          </cell>
          <cell r="G78">
            <v>0</v>
          </cell>
          <cell r="H78">
            <v>0</v>
          </cell>
          <cell r="I78">
            <v>0</v>
          </cell>
          <cell r="J78">
            <v>0</v>
          </cell>
          <cell r="K78">
            <v>0</v>
          </cell>
          <cell r="L78">
            <v>0</v>
          </cell>
          <cell r="M78">
            <v>0</v>
          </cell>
          <cell r="N78">
            <v>0</v>
          </cell>
          <cell r="O78">
            <v>0</v>
          </cell>
          <cell r="P78">
            <v>0</v>
          </cell>
          <cell r="T78">
            <v>0</v>
          </cell>
          <cell r="U78">
            <v>0</v>
          </cell>
          <cell r="V78">
            <v>0</v>
          </cell>
          <cell r="W78">
            <v>0</v>
          </cell>
          <cell r="X78">
            <v>0</v>
          </cell>
          <cell r="Y78">
            <v>0</v>
          </cell>
        </row>
        <row r="79">
          <cell r="A79">
            <v>54</v>
          </cell>
          <cell r="B79" t="str">
            <v>Parking Revenue</v>
          </cell>
          <cell r="E79">
            <v>0</v>
          </cell>
          <cell r="F79">
            <v>0</v>
          </cell>
          <cell r="G79">
            <v>0</v>
          </cell>
          <cell r="H79">
            <v>0</v>
          </cell>
          <cell r="I79">
            <v>0</v>
          </cell>
          <cell r="J79">
            <v>0</v>
          </cell>
          <cell r="K79">
            <v>0</v>
          </cell>
          <cell r="L79">
            <v>0</v>
          </cell>
          <cell r="M79">
            <v>0</v>
          </cell>
          <cell r="N79">
            <v>0</v>
          </cell>
          <cell r="O79">
            <v>0</v>
          </cell>
          <cell r="P79">
            <v>0</v>
          </cell>
          <cell r="T79">
            <v>0</v>
          </cell>
          <cell r="U79">
            <v>0</v>
          </cell>
          <cell r="V79">
            <v>0</v>
          </cell>
          <cell r="W79">
            <v>0</v>
          </cell>
          <cell r="X79">
            <v>0</v>
          </cell>
          <cell r="Y79">
            <v>0</v>
          </cell>
        </row>
        <row r="80">
          <cell r="A80">
            <v>55</v>
          </cell>
          <cell r="B80" t="str">
            <v>Ticket Advertising</v>
          </cell>
          <cell r="E80">
            <v>0</v>
          </cell>
          <cell r="F80">
            <v>0</v>
          </cell>
          <cell r="G80">
            <v>0</v>
          </cell>
          <cell r="H80">
            <v>0</v>
          </cell>
          <cell r="I80">
            <v>0</v>
          </cell>
          <cell r="J80">
            <v>0</v>
          </cell>
          <cell r="K80">
            <v>0</v>
          </cell>
          <cell r="L80">
            <v>0</v>
          </cell>
          <cell r="M80">
            <v>0</v>
          </cell>
          <cell r="N80">
            <v>0</v>
          </cell>
          <cell r="O80">
            <v>0</v>
          </cell>
          <cell r="P80">
            <v>0</v>
          </cell>
          <cell r="T80">
            <v>0</v>
          </cell>
          <cell r="U80">
            <v>0</v>
          </cell>
          <cell r="V80">
            <v>0</v>
          </cell>
          <cell r="W80">
            <v>0</v>
          </cell>
          <cell r="X80">
            <v>0</v>
          </cell>
          <cell r="Y80">
            <v>0</v>
          </cell>
        </row>
        <row r="81">
          <cell r="A81">
            <v>56</v>
          </cell>
          <cell r="B81" t="str">
            <v>Participating</v>
          </cell>
          <cell r="E81">
            <v>0</v>
          </cell>
          <cell r="F81">
            <v>0</v>
          </cell>
          <cell r="G81">
            <v>0</v>
          </cell>
          <cell r="H81">
            <v>0</v>
          </cell>
          <cell r="I81">
            <v>0</v>
          </cell>
          <cell r="J81">
            <v>0</v>
          </cell>
          <cell r="K81">
            <v>0</v>
          </cell>
          <cell r="L81">
            <v>0</v>
          </cell>
          <cell r="M81">
            <v>0</v>
          </cell>
          <cell r="N81">
            <v>0</v>
          </cell>
          <cell r="O81">
            <v>0</v>
          </cell>
          <cell r="P81">
            <v>0</v>
          </cell>
          <cell r="T81">
            <v>0</v>
          </cell>
          <cell r="U81">
            <v>0</v>
          </cell>
          <cell r="V81">
            <v>0</v>
          </cell>
          <cell r="W81">
            <v>0</v>
          </cell>
          <cell r="X81">
            <v>0</v>
          </cell>
          <cell r="Y81">
            <v>0</v>
          </cell>
        </row>
        <row r="82">
          <cell r="A82">
            <v>57</v>
          </cell>
          <cell r="B82" t="str">
            <v>Miscellaneous</v>
          </cell>
          <cell r="E82">
            <v>0.5</v>
          </cell>
          <cell r="F82">
            <v>0.5</v>
          </cell>
          <cell r="G82">
            <v>0.5</v>
          </cell>
          <cell r="H82">
            <v>0.5</v>
          </cell>
          <cell r="I82">
            <v>0.5</v>
          </cell>
          <cell r="J82">
            <v>0.5</v>
          </cell>
          <cell r="K82">
            <v>0.5</v>
          </cell>
          <cell r="L82">
            <v>0.5</v>
          </cell>
          <cell r="M82">
            <v>0.5</v>
          </cell>
          <cell r="N82">
            <v>0.5</v>
          </cell>
          <cell r="O82">
            <v>0.5</v>
          </cell>
          <cell r="P82">
            <v>0.5</v>
          </cell>
          <cell r="T82">
            <v>0</v>
          </cell>
          <cell r="U82">
            <v>6</v>
          </cell>
          <cell r="V82">
            <v>13</v>
          </cell>
          <cell r="W82">
            <v>5.0979999999999999</v>
          </cell>
          <cell r="X82">
            <v>-7</v>
          </cell>
          <cell r="Y82">
            <v>0.90200000000000014</v>
          </cell>
        </row>
        <row r="83">
          <cell r="C83">
            <v>0</v>
          </cell>
          <cell r="E83">
            <v>0.5</v>
          </cell>
          <cell r="F83">
            <v>0.5</v>
          </cell>
          <cell r="G83">
            <v>0.5</v>
          </cell>
          <cell r="H83">
            <v>0.5</v>
          </cell>
          <cell r="I83">
            <v>0.5</v>
          </cell>
          <cell r="J83">
            <v>0.5</v>
          </cell>
          <cell r="K83">
            <v>0.5</v>
          </cell>
          <cell r="L83">
            <v>0.5</v>
          </cell>
          <cell r="M83">
            <v>0.5</v>
          </cell>
          <cell r="N83">
            <v>0.5</v>
          </cell>
          <cell r="O83">
            <v>0.5</v>
          </cell>
          <cell r="P83">
            <v>0.5</v>
          </cell>
          <cell r="R83">
            <v>0</v>
          </cell>
          <cell r="S83">
            <v>0</v>
          </cell>
          <cell r="T83">
            <v>0</v>
          </cell>
          <cell r="U83">
            <v>6</v>
          </cell>
          <cell r="V83">
            <v>13.5</v>
          </cell>
          <cell r="W83">
            <v>5.0979999999999999</v>
          </cell>
          <cell r="X83">
            <v>-7.5</v>
          </cell>
          <cell r="Y83">
            <v>0.90200000000000014</v>
          </cell>
        </row>
        <row r="84">
          <cell r="X84">
            <v>0</v>
          </cell>
          <cell r="Y84">
            <v>0</v>
          </cell>
        </row>
        <row r="85">
          <cell r="B85" t="str">
            <v>10 Other Cost</v>
          </cell>
          <cell r="X85">
            <v>0</v>
          </cell>
          <cell r="Y85">
            <v>0</v>
          </cell>
        </row>
        <row r="86">
          <cell r="A86">
            <v>61</v>
          </cell>
          <cell r="B86" t="str">
            <v>Authors Rights</v>
          </cell>
          <cell r="E86">
            <v>0</v>
          </cell>
          <cell r="F86">
            <v>0</v>
          </cell>
          <cell r="G86">
            <v>0</v>
          </cell>
          <cell r="H86">
            <v>0</v>
          </cell>
          <cell r="I86">
            <v>0</v>
          </cell>
          <cell r="J86">
            <v>0</v>
          </cell>
          <cell r="K86">
            <v>0</v>
          </cell>
          <cell r="L86">
            <v>0</v>
          </cell>
          <cell r="M86">
            <v>0</v>
          </cell>
          <cell r="N86">
            <v>0</v>
          </cell>
          <cell r="O86">
            <v>0</v>
          </cell>
          <cell r="P86">
            <v>0</v>
          </cell>
          <cell r="U86">
            <v>0</v>
          </cell>
          <cell r="V86">
            <v>0</v>
          </cell>
          <cell r="W86">
            <v>0</v>
          </cell>
          <cell r="X86">
            <v>0</v>
          </cell>
          <cell r="Y86">
            <v>0</v>
          </cell>
        </row>
        <row r="87">
          <cell r="A87">
            <v>62</v>
          </cell>
          <cell r="B87" t="str">
            <v>Film Levies</v>
          </cell>
          <cell r="E87">
            <v>0</v>
          </cell>
          <cell r="F87">
            <v>0</v>
          </cell>
          <cell r="G87">
            <v>0</v>
          </cell>
          <cell r="H87">
            <v>0</v>
          </cell>
          <cell r="I87">
            <v>0</v>
          </cell>
          <cell r="J87">
            <v>0</v>
          </cell>
          <cell r="K87">
            <v>0</v>
          </cell>
          <cell r="L87">
            <v>0</v>
          </cell>
          <cell r="M87">
            <v>0</v>
          </cell>
          <cell r="N87">
            <v>0</v>
          </cell>
          <cell r="O87">
            <v>0</v>
          </cell>
          <cell r="P87">
            <v>0</v>
          </cell>
          <cell r="U87">
            <v>0</v>
          </cell>
          <cell r="V87">
            <v>0</v>
          </cell>
          <cell r="W87">
            <v>0</v>
          </cell>
          <cell r="X87">
            <v>0</v>
          </cell>
          <cell r="Y87">
            <v>0</v>
          </cell>
        </row>
        <row r="88">
          <cell r="A88">
            <v>63</v>
          </cell>
          <cell r="B88" t="str">
            <v>Cultural Fees</v>
          </cell>
          <cell r="E88">
            <v>0</v>
          </cell>
          <cell r="F88">
            <v>0</v>
          </cell>
          <cell r="G88">
            <v>0</v>
          </cell>
          <cell r="H88">
            <v>0</v>
          </cell>
          <cell r="I88">
            <v>0</v>
          </cell>
          <cell r="J88">
            <v>0</v>
          </cell>
          <cell r="K88">
            <v>0</v>
          </cell>
          <cell r="L88">
            <v>0</v>
          </cell>
          <cell r="M88">
            <v>0</v>
          </cell>
          <cell r="N88">
            <v>0</v>
          </cell>
          <cell r="O88">
            <v>0</v>
          </cell>
          <cell r="P88">
            <v>0</v>
          </cell>
          <cell r="U88">
            <v>0</v>
          </cell>
          <cell r="V88">
            <v>0</v>
          </cell>
          <cell r="W88">
            <v>0</v>
          </cell>
          <cell r="X88">
            <v>0</v>
          </cell>
          <cell r="Y88">
            <v>0</v>
          </cell>
        </row>
        <row r="89">
          <cell r="A89">
            <v>64</v>
          </cell>
          <cell r="B89" t="str">
            <v>Municipal Taxes</v>
          </cell>
          <cell r="E89">
            <v>0</v>
          </cell>
          <cell r="F89">
            <v>0</v>
          </cell>
          <cell r="G89">
            <v>0</v>
          </cell>
          <cell r="H89">
            <v>0</v>
          </cell>
          <cell r="I89">
            <v>0</v>
          </cell>
          <cell r="J89">
            <v>0</v>
          </cell>
          <cell r="K89">
            <v>0</v>
          </cell>
          <cell r="L89">
            <v>0</v>
          </cell>
          <cell r="M89">
            <v>0</v>
          </cell>
          <cell r="N89">
            <v>0</v>
          </cell>
          <cell r="O89">
            <v>0</v>
          </cell>
          <cell r="P89">
            <v>0</v>
          </cell>
          <cell r="U89">
            <v>0</v>
          </cell>
          <cell r="V89">
            <v>0</v>
          </cell>
          <cell r="W89">
            <v>0</v>
          </cell>
          <cell r="X89">
            <v>0</v>
          </cell>
          <cell r="Y89">
            <v>0</v>
          </cell>
        </row>
        <row r="90">
          <cell r="A90">
            <v>65</v>
          </cell>
          <cell r="B90" t="str">
            <v>Other</v>
          </cell>
          <cell r="E90">
            <v>0</v>
          </cell>
          <cell r="F90">
            <v>0</v>
          </cell>
          <cell r="G90">
            <v>0</v>
          </cell>
          <cell r="H90">
            <v>0</v>
          </cell>
          <cell r="I90">
            <v>0</v>
          </cell>
          <cell r="J90">
            <v>0</v>
          </cell>
          <cell r="K90">
            <v>0</v>
          </cell>
          <cell r="L90">
            <v>0</v>
          </cell>
          <cell r="M90">
            <v>0</v>
          </cell>
          <cell r="N90">
            <v>0</v>
          </cell>
          <cell r="O90">
            <v>0</v>
          </cell>
          <cell r="P90">
            <v>0</v>
          </cell>
          <cell r="U90">
            <v>0</v>
          </cell>
          <cell r="V90">
            <v>0</v>
          </cell>
          <cell r="W90">
            <v>0</v>
          </cell>
          <cell r="X90">
            <v>0</v>
          </cell>
          <cell r="Y90">
            <v>0</v>
          </cell>
        </row>
        <row r="91">
          <cell r="E91">
            <v>0</v>
          </cell>
          <cell r="F91">
            <v>0</v>
          </cell>
          <cell r="G91">
            <v>0</v>
          </cell>
          <cell r="H91">
            <v>0</v>
          </cell>
          <cell r="I91">
            <v>0</v>
          </cell>
          <cell r="J91">
            <v>0</v>
          </cell>
          <cell r="K91">
            <v>0</v>
          </cell>
          <cell r="L91">
            <v>0</v>
          </cell>
          <cell r="M91">
            <v>0</v>
          </cell>
          <cell r="N91">
            <v>0</v>
          </cell>
          <cell r="O91">
            <v>0</v>
          </cell>
          <cell r="P91">
            <v>0</v>
          </cell>
          <cell r="U91">
            <v>0</v>
          </cell>
          <cell r="V91">
            <v>0</v>
          </cell>
          <cell r="W91">
            <v>0</v>
          </cell>
          <cell r="X91">
            <v>0</v>
          </cell>
          <cell r="Y91">
            <v>0</v>
          </cell>
        </row>
        <row r="92">
          <cell r="X92">
            <v>0</v>
          </cell>
          <cell r="Y92">
            <v>0</v>
          </cell>
        </row>
        <row r="93">
          <cell r="B93" t="str">
            <v>11 Direct Payroll</v>
          </cell>
          <cell r="X93">
            <v>0</v>
          </cell>
          <cell r="Y93">
            <v>0</v>
          </cell>
        </row>
        <row r="94">
          <cell r="A94">
            <v>66</v>
          </cell>
          <cell r="B94" t="str">
            <v>Salaries</v>
          </cell>
          <cell r="E94">
            <v>74.415462083333338</v>
          </cell>
          <cell r="F94">
            <v>74.415462083333338</v>
          </cell>
          <cell r="G94">
            <v>74.415462083333338</v>
          </cell>
          <cell r="H94">
            <v>74.415462083333338</v>
          </cell>
          <cell r="I94">
            <v>74.415462083333338</v>
          </cell>
          <cell r="J94">
            <v>74.415462083333338</v>
          </cell>
          <cell r="K94">
            <v>76.492152083333337</v>
          </cell>
          <cell r="L94">
            <v>76.492152083333337</v>
          </cell>
          <cell r="M94">
            <v>76.492152083333337</v>
          </cell>
          <cell r="N94">
            <v>76.492152083333337</v>
          </cell>
          <cell r="O94">
            <v>76.492152083333337</v>
          </cell>
          <cell r="P94">
            <v>76.492152083333337</v>
          </cell>
          <cell r="Q94">
            <v>0</v>
          </cell>
          <cell r="T94">
            <v>0</v>
          </cell>
          <cell r="U94">
            <v>905.44568500000037</v>
          </cell>
          <cell r="V94">
            <v>921.25519499999984</v>
          </cell>
          <cell r="W94">
            <v>918.11300000000006</v>
          </cell>
          <cell r="X94">
            <v>-15.809509999999477</v>
          </cell>
          <cell r="Y94">
            <v>-12.667314999999689</v>
          </cell>
        </row>
        <row r="95">
          <cell r="A95">
            <v>67</v>
          </cell>
          <cell r="B95" t="str">
            <v>Bonus/Commission</v>
          </cell>
          <cell r="E95">
            <v>5.6696208333333331</v>
          </cell>
          <cell r="F95">
            <v>5.6696208333333331</v>
          </cell>
          <cell r="G95">
            <v>5.6696208333333331</v>
          </cell>
          <cell r="H95">
            <v>5.6696208333333331</v>
          </cell>
          <cell r="I95">
            <v>5.6696208333333331</v>
          </cell>
          <cell r="J95">
            <v>5.6696208333333331</v>
          </cell>
          <cell r="K95">
            <v>5.6696208333333331</v>
          </cell>
          <cell r="L95">
            <v>5.6696208333333331</v>
          </cell>
          <cell r="M95">
            <v>5.6696208333333331</v>
          </cell>
          <cell r="N95">
            <v>5.6696208333333331</v>
          </cell>
          <cell r="O95">
            <v>5.6696208333333331</v>
          </cell>
          <cell r="P95">
            <v>5.6696208333333331</v>
          </cell>
          <cell r="Q95">
            <v>0</v>
          </cell>
          <cell r="T95">
            <v>0</v>
          </cell>
          <cell r="U95">
            <v>68.035449999999997</v>
          </cell>
          <cell r="V95">
            <v>65.161416666666668</v>
          </cell>
          <cell r="W95">
            <v>136.34299999999999</v>
          </cell>
          <cell r="X95">
            <v>2.8740333333333297</v>
          </cell>
          <cell r="Y95">
            <v>-68.307549999999992</v>
          </cell>
        </row>
        <row r="96">
          <cell r="A96">
            <v>68</v>
          </cell>
          <cell r="B96" t="str">
            <v>Payroll Tax</v>
          </cell>
          <cell r="E96">
            <v>0</v>
          </cell>
          <cell r="F96">
            <v>0</v>
          </cell>
          <cell r="G96">
            <v>0</v>
          </cell>
          <cell r="H96">
            <v>0</v>
          </cell>
          <cell r="I96">
            <v>0</v>
          </cell>
          <cell r="J96">
            <v>0</v>
          </cell>
          <cell r="K96">
            <v>0</v>
          </cell>
          <cell r="L96">
            <v>0</v>
          </cell>
          <cell r="M96">
            <v>0</v>
          </cell>
          <cell r="N96">
            <v>0</v>
          </cell>
          <cell r="O96">
            <v>0</v>
          </cell>
          <cell r="P96">
            <v>0</v>
          </cell>
          <cell r="Q96">
            <v>0</v>
          </cell>
          <cell r="T96">
            <v>0</v>
          </cell>
          <cell r="U96">
            <v>0</v>
          </cell>
          <cell r="V96">
            <v>0</v>
          </cell>
          <cell r="W96">
            <v>0</v>
          </cell>
          <cell r="X96">
            <v>0</v>
          </cell>
          <cell r="Y96">
            <v>0</v>
          </cell>
        </row>
        <row r="97">
          <cell r="A97">
            <v>69</v>
          </cell>
          <cell r="B97" t="str">
            <v>Welfare &amp; Pension</v>
          </cell>
          <cell r="E97">
            <v>1.74</v>
          </cell>
          <cell r="F97">
            <v>1.74</v>
          </cell>
          <cell r="G97">
            <v>1.74</v>
          </cell>
          <cell r="H97">
            <v>1.74</v>
          </cell>
          <cell r="I97">
            <v>1.74</v>
          </cell>
          <cell r="J97">
            <v>1.74</v>
          </cell>
          <cell r="K97">
            <v>1.74</v>
          </cell>
          <cell r="L97">
            <v>1.74</v>
          </cell>
          <cell r="M97">
            <v>1.74</v>
          </cell>
          <cell r="N97">
            <v>1.74</v>
          </cell>
          <cell r="O97">
            <v>1.74</v>
          </cell>
          <cell r="P97">
            <v>1.74</v>
          </cell>
          <cell r="Q97">
            <v>0</v>
          </cell>
          <cell r="T97">
            <v>0</v>
          </cell>
          <cell r="U97">
            <v>20.88</v>
          </cell>
          <cell r="V97">
            <v>15.915600000000001</v>
          </cell>
          <cell r="W97">
            <v>25.748000000000001</v>
          </cell>
          <cell r="X97">
            <v>4.9643999999999942</v>
          </cell>
          <cell r="Y97">
            <v>-4.8680000000000057</v>
          </cell>
        </row>
        <row r="98">
          <cell r="A98">
            <v>70</v>
          </cell>
          <cell r="B98" t="str">
            <v>Miscellaneous</v>
          </cell>
          <cell r="E98">
            <v>8.94</v>
          </cell>
          <cell r="F98">
            <v>8.94</v>
          </cell>
          <cell r="G98">
            <v>6.91</v>
          </cell>
          <cell r="H98">
            <v>6.04</v>
          </cell>
          <cell r="I98">
            <v>6.04</v>
          </cell>
          <cell r="J98">
            <v>6.04</v>
          </cell>
          <cell r="K98">
            <v>6.04</v>
          </cell>
          <cell r="L98">
            <v>6.04</v>
          </cell>
          <cell r="M98">
            <v>6.04</v>
          </cell>
          <cell r="N98">
            <v>6.04</v>
          </cell>
          <cell r="O98">
            <v>6.04</v>
          </cell>
          <cell r="P98">
            <v>6.04</v>
          </cell>
          <cell r="Q98">
            <v>0</v>
          </cell>
          <cell r="T98">
            <v>0</v>
          </cell>
          <cell r="U98">
            <v>79.150000000000006</v>
          </cell>
          <cell r="V98">
            <v>90.41400000000003</v>
          </cell>
          <cell r="W98">
            <v>131.583</v>
          </cell>
          <cell r="X98">
            <v>-11.264000000000024</v>
          </cell>
          <cell r="Y98">
            <v>-52.432999999999993</v>
          </cell>
        </row>
        <row r="99">
          <cell r="C99">
            <v>0</v>
          </cell>
          <cell r="E99">
            <v>90.765082916666657</v>
          </cell>
          <cell r="F99">
            <v>90.765082916666657</v>
          </cell>
          <cell r="G99">
            <v>88.735082916666656</v>
          </cell>
          <cell r="H99">
            <v>87.865082916666665</v>
          </cell>
          <cell r="I99">
            <v>87.865082916666665</v>
          </cell>
          <cell r="J99">
            <v>87.865082916666665</v>
          </cell>
          <cell r="K99">
            <v>89.941772916666679</v>
          </cell>
          <cell r="L99">
            <v>89.941772916666679</v>
          </cell>
          <cell r="M99">
            <v>89.941772916666679</v>
          </cell>
          <cell r="N99">
            <v>89.941772916666679</v>
          </cell>
          <cell r="O99">
            <v>89.941772916666679</v>
          </cell>
          <cell r="P99">
            <v>89.941772916666679</v>
          </cell>
          <cell r="Q99">
            <v>0</v>
          </cell>
          <cell r="R99">
            <v>0</v>
          </cell>
          <cell r="S99">
            <v>0</v>
          </cell>
          <cell r="T99">
            <v>0</v>
          </cell>
          <cell r="U99">
            <v>1073.5111350000004</v>
          </cell>
          <cell r="V99">
            <v>1092.7462116666666</v>
          </cell>
          <cell r="W99">
            <v>1211.7870000000003</v>
          </cell>
          <cell r="X99">
            <v>-19.235076666666146</v>
          </cell>
          <cell r="Y99">
            <v>-138.27586499999984</v>
          </cell>
        </row>
        <row r="100">
          <cell r="Q100">
            <v>0</v>
          </cell>
          <cell r="X100">
            <v>0</v>
          </cell>
          <cell r="Y100">
            <v>0</v>
          </cell>
        </row>
        <row r="101">
          <cell r="B101" t="str">
            <v>16 Other Overhead Costs</v>
          </cell>
          <cell r="Q101">
            <v>0</v>
          </cell>
          <cell r="X101">
            <v>0</v>
          </cell>
          <cell r="Y101">
            <v>0</v>
          </cell>
        </row>
        <row r="102">
          <cell r="A102">
            <v>71</v>
          </cell>
          <cell r="B102" t="str">
            <v>Insurance (Other than employee)</v>
          </cell>
          <cell r="E102">
            <v>1.5</v>
          </cell>
          <cell r="F102">
            <v>1.5</v>
          </cell>
          <cell r="G102">
            <v>1.5</v>
          </cell>
          <cell r="H102">
            <v>1.5</v>
          </cell>
          <cell r="I102">
            <v>1.5</v>
          </cell>
          <cell r="J102">
            <v>1.5</v>
          </cell>
          <cell r="K102">
            <v>1.5</v>
          </cell>
          <cell r="L102">
            <v>1.5</v>
          </cell>
          <cell r="M102">
            <v>1.5</v>
          </cell>
          <cell r="N102">
            <v>1.5</v>
          </cell>
          <cell r="O102">
            <v>1.5</v>
          </cell>
          <cell r="P102">
            <v>1.5</v>
          </cell>
          <cell r="Q102">
            <v>0</v>
          </cell>
          <cell r="T102">
            <v>0</v>
          </cell>
          <cell r="U102">
            <v>18</v>
          </cell>
          <cell r="V102">
            <v>15.72799</v>
          </cell>
          <cell r="W102">
            <v>20.826000000000001</v>
          </cell>
          <cell r="X102">
            <v>2.2720099999999999</v>
          </cell>
          <cell r="Y102">
            <v>-2.8260000000000005</v>
          </cell>
        </row>
        <row r="103">
          <cell r="A103">
            <v>72</v>
          </cell>
          <cell r="B103" t="str">
            <v>Property Taxes</v>
          </cell>
          <cell r="E103">
            <v>0</v>
          </cell>
          <cell r="F103">
            <v>0</v>
          </cell>
          <cell r="G103">
            <v>0</v>
          </cell>
          <cell r="H103">
            <v>0</v>
          </cell>
          <cell r="I103">
            <v>0</v>
          </cell>
          <cell r="J103">
            <v>0</v>
          </cell>
          <cell r="K103">
            <v>0</v>
          </cell>
          <cell r="L103">
            <v>0</v>
          </cell>
          <cell r="M103">
            <v>0</v>
          </cell>
          <cell r="N103">
            <v>0</v>
          </cell>
          <cell r="O103">
            <v>0</v>
          </cell>
          <cell r="P103">
            <v>0</v>
          </cell>
          <cell r="Q103">
            <v>0</v>
          </cell>
          <cell r="T103">
            <v>0</v>
          </cell>
          <cell r="U103">
            <v>0</v>
          </cell>
          <cell r="V103">
            <v>0</v>
          </cell>
          <cell r="W103">
            <v>0</v>
          </cell>
          <cell r="X103">
            <v>0</v>
          </cell>
          <cell r="Y103">
            <v>0</v>
          </cell>
        </row>
        <row r="104">
          <cell r="A104">
            <v>73</v>
          </cell>
          <cell r="B104" t="str">
            <v>Travel &amp; Entertainment</v>
          </cell>
          <cell r="E104">
            <v>9</v>
          </cell>
          <cell r="F104">
            <v>9</v>
          </cell>
          <cell r="G104">
            <v>9</v>
          </cell>
          <cell r="H104">
            <v>9</v>
          </cell>
          <cell r="I104">
            <v>9</v>
          </cell>
          <cell r="J104">
            <v>9</v>
          </cell>
          <cell r="K104">
            <v>9</v>
          </cell>
          <cell r="L104">
            <v>9</v>
          </cell>
          <cell r="M104">
            <v>9</v>
          </cell>
          <cell r="N104">
            <v>9</v>
          </cell>
          <cell r="O104">
            <v>9</v>
          </cell>
          <cell r="P104">
            <v>9</v>
          </cell>
          <cell r="T104">
            <v>0</v>
          </cell>
          <cell r="U104">
            <v>108</v>
          </cell>
          <cell r="V104">
            <v>88.448200000000014</v>
          </cell>
          <cell r="W104">
            <v>70.89</v>
          </cell>
          <cell r="X104">
            <v>19.551799999999986</v>
          </cell>
          <cell r="Y104">
            <v>37.11</v>
          </cell>
        </row>
        <row r="105">
          <cell r="A105">
            <v>74</v>
          </cell>
          <cell r="B105" t="str">
            <v>Legal &amp; Professional</v>
          </cell>
          <cell r="E105">
            <v>1</v>
          </cell>
          <cell r="F105">
            <v>1</v>
          </cell>
          <cell r="G105">
            <v>1</v>
          </cell>
          <cell r="H105">
            <v>1</v>
          </cell>
          <cell r="I105">
            <v>1</v>
          </cell>
          <cell r="J105">
            <v>1</v>
          </cell>
          <cell r="K105">
            <v>1</v>
          </cell>
          <cell r="L105">
            <v>1</v>
          </cell>
          <cell r="M105">
            <v>1</v>
          </cell>
          <cell r="N105">
            <v>1</v>
          </cell>
          <cell r="O105">
            <v>1</v>
          </cell>
          <cell r="P105">
            <v>1</v>
          </cell>
          <cell r="T105">
            <v>0</v>
          </cell>
          <cell r="U105">
            <v>12</v>
          </cell>
          <cell r="V105">
            <v>52.978819999999992</v>
          </cell>
          <cell r="W105">
            <v>132.49100000000001</v>
          </cell>
          <cell r="X105">
            <v>-40.978819999999992</v>
          </cell>
          <cell r="Y105">
            <v>-120.49100000000001</v>
          </cell>
        </row>
        <row r="106">
          <cell r="A106">
            <v>75</v>
          </cell>
          <cell r="B106" t="str">
            <v>Credit Card Charges</v>
          </cell>
          <cell r="E106">
            <v>0</v>
          </cell>
          <cell r="F106">
            <v>0</v>
          </cell>
          <cell r="G106">
            <v>0</v>
          </cell>
          <cell r="H106">
            <v>0</v>
          </cell>
          <cell r="I106">
            <v>0</v>
          </cell>
          <cell r="J106">
            <v>0</v>
          </cell>
          <cell r="K106">
            <v>0</v>
          </cell>
          <cell r="L106">
            <v>0</v>
          </cell>
          <cell r="M106">
            <v>0</v>
          </cell>
          <cell r="N106">
            <v>0</v>
          </cell>
          <cell r="O106">
            <v>0</v>
          </cell>
          <cell r="P106">
            <v>0</v>
          </cell>
          <cell r="T106">
            <v>0</v>
          </cell>
          <cell r="U106">
            <v>0</v>
          </cell>
          <cell r="V106">
            <v>0.22500000000000001</v>
          </cell>
          <cell r="W106">
            <v>0</v>
          </cell>
          <cell r="X106">
            <v>-0.22500000000000001</v>
          </cell>
          <cell r="Y106">
            <v>0</v>
          </cell>
        </row>
        <row r="107">
          <cell r="A107">
            <v>76</v>
          </cell>
          <cell r="B107" t="str">
            <v>Membership Fees</v>
          </cell>
          <cell r="E107">
            <v>0</v>
          </cell>
          <cell r="F107">
            <v>0</v>
          </cell>
          <cell r="G107">
            <v>0</v>
          </cell>
          <cell r="H107">
            <v>0</v>
          </cell>
          <cell r="I107">
            <v>0</v>
          </cell>
          <cell r="J107">
            <v>0</v>
          </cell>
          <cell r="K107">
            <v>0</v>
          </cell>
          <cell r="L107">
            <v>0</v>
          </cell>
          <cell r="M107">
            <v>0</v>
          </cell>
          <cell r="N107">
            <v>0</v>
          </cell>
          <cell r="O107">
            <v>0</v>
          </cell>
          <cell r="P107">
            <v>0</v>
          </cell>
          <cell r="T107">
            <v>0</v>
          </cell>
          <cell r="U107">
            <v>0</v>
          </cell>
          <cell r="V107">
            <v>0</v>
          </cell>
          <cell r="W107">
            <v>0</v>
          </cell>
          <cell r="X107">
            <v>0</v>
          </cell>
          <cell r="Y107">
            <v>0</v>
          </cell>
        </row>
        <row r="108">
          <cell r="A108">
            <v>77</v>
          </cell>
          <cell r="B108" t="str">
            <v>Taxes &amp; Licences</v>
          </cell>
          <cell r="E108">
            <v>0</v>
          </cell>
          <cell r="F108">
            <v>0</v>
          </cell>
          <cell r="G108">
            <v>0</v>
          </cell>
          <cell r="H108">
            <v>0</v>
          </cell>
          <cell r="I108">
            <v>0</v>
          </cell>
          <cell r="J108">
            <v>0</v>
          </cell>
          <cell r="K108">
            <v>0</v>
          </cell>
          <cell r="L108">
            <v>0</v>
          </cell>
          <cell r="M108">
            <v>0</v>
          </cell>
          <cell r="N108">
            <v>0</v>
          </cell>
          <cell r="O108">
            <v>0</v>
          </cell>
          <cell r="P108">
            <v>0</v>
          </cell>
          <cell r="T108">
            <v>0</v>
          </cell>
          <cell r="U108">
            <v>0</v>
          </cell>
          <cell r="V108">
            <v>0</v>
          </cell>
          <cell r="W108">
            <v>0</v>
          </cell>
          <cell r="X108">
            <v>0</v>
          </cell>
          <cell r="Y108">
            <v>0</v>
          </cell>
        </row>
        <row r="109">
          <cell r="A109">
            <v>78</v>
          </cell>
          <cell r="B109" t="str">
            <v>Convention expense</v>
          </cell>
          <cell r="E109">
            <v>0</v>
          </cell>
          <cell r="F109">
            <v>0</v>
          </cell>
          <cell r="G109">
            <v>0</v>
          </cell>
          <cell r="H109">
            <v>0</v>
          </cell>
          <cell r="I109">
            <v>0</v>
          </cell>
          <cell r="J109">
            <v>0</v>
          </cell>
          <cell r="K109">
            <v>0</v>
          </cell>
          <cell r="L109">
            <v>0</v>
          </cell>
          <cell r="M109">
            <v>0</v>
          </cell>
          <cell r="N109">
            <v>0</v>
          </cell>
          <cell r="O109">
            <v>0</v>
          </cell>
          <cell r="P109">
            <v>0</v>
          </cell>
          <cell r="T109">
            <v>0</v>
          </cell>
          <cell r="U109">
            <v>0</v>
          </cell>
          <cell r="V109">
            <v>0</v>
          </cell>
          <cell r="W109">
            <v>0</v>
          </cell>
          <cell r="X109">
            <v>0</v>
          </cell>
          <cell r="Y109">
            <v>0</v>
          </cell>
        </row>
        <row r="110">
          <cell r="A110">
            <v>79</v>
          </cell>
          <cell r="B110" t="str">
            <v>Contributions</v>
          </cell>
          <cell r="E110">
            <v>0</v>
          </cell>
          <cell r="F110">
            <v>0</v>
          </cell>
          <cell r="G110">
            <v>0</v>
          </cell>
          <cell r="H110">
            <v>0</v>
          </cell>
          <cell r="I110">
            <v>0</v>
          </cell>
          <cell r="J110">
            <v>0</v>
          </cell>
          <cell r="K110">
            <v>0</v>
          </cell>
          <cell r="L110">
            <v>0</v>
          </cell>
          <cell r="M110">
            <v>0</v>
          </cell>
          <cell r="N110">
            <v>0</v>
          </cell>
          <cell r="O110">
            <v>0</v>
          </cell>
          <cell r="P110">
            <v>0</v>
          </cell>
          <cell r="T110">
            <v>0</v>
          </cell>
          <cell r="U110">
            <v>0</v>
          </cell>
          <cell r="V110">
            <v>0</v>
          </cell>
          <cell r="W110">
            <v>0</v>
          </cell>
          <cell r="X110">
            <v>0</v>
          </cell>
          <cell r="Y110">
            <v>0</v>
          </cell>
        </row>
        <row r="111">
          <cell r="A111">
            <v>80</v>
          </cell>
          <cell r="B111" t="str">
            <v>Contract Cleaners</v>
          </cell>
          <cell r="E111">
            <v>0.5</v>
          </cell>
          <cell r="F111">
            <v>0.5</v>
          </cell>
          <cell r="G111">
            <v>0.5</v>
          </cell>
          <cell r="H111">
            <v>0.5</v>
          </cell>
          <cell r="I111">
            <v>0.5</v>
          </cell>
          <cell r="J111">
            <v>0.5</v>
          </cell>
          <cell r="K111">
            <v>0.5</v>
          </cell>
          <cell r="L111">
            <v>0.5</v>
          </cell>
          <cell r="M111">
            <v>0.5</v>
          </cell>
          <cell r="N111">
            <v>0.5</v>
          </cell>
          <cell r="O111">
            <v>0.5</v>
          </cell>
          <cell r="P111">
            <v>0.5</v>
          </cell>
          <cell r="T111">
            <v>0</v>
          </cell>
          <cell r="U111">
            <v>6</v>
          </cell>
          <cell r="V111">
            <v>3.9910000000000005</v>
          </cell>
          <cell r="W111">
            <v>3.956</v>
          </cell>
          <cell r="X111">
            <v>2.0089999999999995</v>
          </cell>
          <cell r="Y111">
            <v>2.044</v>
          </cell>
        </row>
        <row r="112">
          <cell r="A112">
            <v>81</v>
          </cell>
          <cell r="B112" t="str">
            <v>Telephone &amp; Faxes</v>
          </cell>
          <cell r="E112">
            <v>10</v>
          </cell>
          <cell r="F112">
            <v>10</v>
          </cell>
          <cell r="G112">
            <v>10</v>
          </cell>
          <cell r="H112">
            <v>10</v>
          </cell>
          <cell r="I112">
            <v>10</v>
          </cell>
          <cell r="J112">
            <v>10</v>
          </cell>
          <cell r="K112">
            <v>10</v>
          </cell>
          <cell r="L112">
            <v>10</v>
          </cell>
          <cell r="M112">
            <v>10</v>
          </cell>
          <cell r="N112">
            <v>10</v>
          </cell>
          <cell r="O112">
            <v>10</v>
          </cell>
          <cell r="P112">
            <v>10</v>
          </cell>
          <cell r="T112">
            <v>0</v>
          </cell>
          <cell r="U112">
            <v>120</v>
          </cell>
          <cell r="V112">
            <v>127.40438999999998</v>
          </cell>
          <cell r="W112">
            <v>98.522999999999996</v>
          </cell>
          <cell r="X112">
            <v>-7.404389999999978</v>
          </cell>
          <cell r="Y112">
            <v>21.477000000000004</v>
          </cell>
        </row>
        <row r="113">
          <cell r="A113">
            <v>82</v>
          </cell>
          <cell r="B113" t="str">
            <v>Stationery &amp; Printing</v>
          </cell>
          <cell r="E113">
            <v>3</v>
          </cell>
          <cell r="F113">
            <v>3</v>
          </cell>
          <cell r="G113">
            <v>3</v>
          </cell>
          <cell r="H113">
            <v>3</v>
          </cell>
          <cell r="I113">
            <v>3</v>
          </cell>
          <cell r="J113">
            <v>3</v>
          </cell>
          <cell r="K113">
            <v>3</v>
          </cell>
          <cell r="L113">
            <v>3</v>
          </cell>
          <cell r="M113">
            <v>3</v>
          </cell>
          <cell r="N113">
            <v>3</v>
          </cell>
          <cell r="O113">
            <v>3</v>
          </cell>
          <cell r="P113">
            <v>3</v>
          </cell>
          <cell r="T113">
            <v>0</v>
          </cell>
          <cell r="U113">
            <v>36</v>
          </cell>
          <cell r="V113">
            <v>34.327619999999996</v>
          </cell>
          <cell r="W113">
            <v>33.523000000000003</v>
          </cell>
          <cell r="X113">
            <v>1.672380000000004</v>
          </cell>
          <cell r="Y113">
            <v>2.4769999999999968</v>
          </cell>
        </row>
        <row r="114">
          <cell r="A114">
            <v>83</v>
          </cell>
          <cell r="B114" t="str">
            <v>Uniforms &amp; Laundry</v>
          </cell>
          <cell r="E114">
            <v>0</v>
          </cell>
          <cell r="F114">
            <v>0</v>
          </cell>
          <cell r="G114">
            <v>0</v>
          </cell>
          <cell r="H114">
            <v>0</v>
          </cell>
          <cell r="I114">
            <v>0</v>
          </cell>
          <cell r="J114">
            <v>0</v>
          </cell>
          <cell r="K114">
            <v>0</v>
          </cell>
          <cell r="L114">
            <v>0</v>
          </cell>
          <cell r="M114">
            <v>0</v>
          </cell>
          <cell r="N114">
            <v>0</v>
          </cell>
          <cell r="O114">
            <v>0</v>
          </cell>
          <cell r="P114">
            <v>0</v>
          </cell>
          <cell r="T114">
            <v>0</v>
          </cell>
          <cell r="U114">
            <v>0</v>
          </cell>
          <cell r="V114">
            <v>0</v>
          </cell>
          <cell r="W114">
            <v>0</v>
          </cell>
          <cell r="X114">
            <v>0</v>
          </cell>
          <cell r="Y114">
            <v>0</v>
          </cell>
        </row>
        <row r="115">
          <cell r="A115">
            <v>84</v>
          </cell>
          <cell r="B115" t="str">
            <v>Freight</v>
          </cell>
          <cell r="E115">
            <v>2</v>
          </cell>
          <cell r="F115">
            <v>2</v>
          </cell>
          <cell r="G115">
            <v>2</v>
          </cell>
          <cell r="H115">
            <v>2</v>
          </cell>
          <cell r="I115">
            <v>2</v>
          </cell>
          <cell r="J115">
            <v>2</v>
          </cell>
          <cell r="K115">
            <v>2</v>
          </cell>
          <cell r="L115">
            <v>2</v>
          </cell>
          <cell r="M115">
            <v>2</v>
          </cell>
          <cell r="N115">
            <v>2</v>
          </cell>
          <cell r="O115">
            <v>2</v>
          </cell>
          <cell r="P115">
            <v>2</v>
          </cell>
          <cell r="T115">
            <v>0</v>
          </cell>
          <cell r="U115">
            <v>24</v>
          </cell>
          <cell r="V115">
            <v>12.452110000000003</v>
          </cell>
          <cell r="W115">
            <v>33.911999999999999</v>
          </cell>
          <cell r="X115">
            <v>11.547889999999997</v>
          </cell>
          <cell r="Y115">
            <v>-9.911999999999999</v>
          </cell>
        </row>
        <row r="116">
          <cell r="A116">
            <v>85</v>
          </cell>
          <cell r="B116" t="str">
            <v>Data processing</v>
          </cell>
          <cell r="E116">
            <v>0</v>
          </cell>
          <cell r="F116">
            <v>0</v>
          </cell>
          <cell r="G116">
            <v>0</v>
          </cell>
          <cell r="H116">
            <v>0</v>
          </cell>
          <cell r="I116">
            <v>0</v>
          </cell>
          <cell r="J116">
            <v>0</v>
          </cell>
          <cell r="K116">
            <v>0</v>
          </cell>
          <cell r="L116">
            <v>0</v>
          </cell>
          <cell r="M116">
            <v>0</v>
          </cell>
          <cell r="N116">
            <v>0</v>
          </cell>
          <cell r="O116">
            <v>0</v>
          </cell>
          <cell r="P116">
            <v>0</v>
          </cell>
          <cell r="T116">
            <v>0</v>
          </cell>
          <cell r="U116">
            <v>0</v>
          </cell>
          <cell r="V116">
            <v>0</v>
          </cell>
          <cell r="W116">
            <v>0</v>
          </cell>
          <cell r="X116">
            <v>0</v>
          </cell>
          <cell r="Y116">
            <v>0</v>
          </cell>
        </row>
        <row r="117">
          <cell r="A117">
            <v>86</v>
          </cell>
          <cell r="B117" t="str">
            <v>Bank Charges</v>
          </cell>
          <cell r="E117">
            <v>3.7499999999999999E-2</v>
          </cell>
          <cell r="F117">
            <v>3.7499999999999999E-2</v>
          </cell>
          <cell r="G117">
            <v>3.7499999999999999E-2</v>
          </cell>
          <cell r="H117">
            <v>3.7499999999999999E-2</v>
          </cell>
          <cell r="I117">
            <v>3.7499999999999999E-2</v>
          </cell>
          <cell r="J117">
            <v>3.7499999999999999E-2</v>
          </cell>
          <cell r="K117">
            <v>3.7499999999999999E-2</v>
          </cell>
          <cell r="L117">
            <v>3.7499999999999999E-2</v>
          </cell>
          <cell r="M117">
            <v>3.7499999999999999E-2</v>
          </cell>
          <cell r="N117">
            <v>3.7499999999999999E-2</v>
          </cell>
          <cell r="O117">
            <v>3.7499999999999999E-2</v>
          </cell>
          <cell r="P117">
            <v>3.7499999999999999E-2</v>
          </cell>
          <cell r="T117">
            <v>0</v>
          </cell>
          <cell r="U117">
            <v>0.45</v>
          </cell>
          <cell r="V117">
            <v>0.72349999999999992</v>
          </cell>
          <cell r="W117">
            <v>0.77700000000000002</v>
          </cell>
          <cell r="X117">
            <v>-0.27350000000000002</v>
          </cell>
          <cell r="Y117">
            <v>-0.32700000000000012</v>
          </cell>
        </row>
        <row r="118">
          <cell r="A118">
            <v>87</v>
          </cell>
          <cell r="B118" t="str">
            <v>Parking Expenses</v>
          </cell>
          <cell r="E118">
            <v>0</v>
          </cell>
          <cell r="F118">
            <v>0</v>
          </cell>
          <cell r="G118">
            <v>0</v>
          </cell>
          <cell r="H118">
            <v>0</v>
          </cell>
          <cell r="I118">
            <v>0</v>
          </cell>
          <cell r="J118">
            <v>0</v>
          </cell>
          <cell r="K118">
            <v>0</v>
          </cell>
          <cell r="L118">
            <v>0</v>
          </cell>
          <cell r="M118">
            <v>0</v>
          </cell>
          <cell r="N118">
            <v>0</v>
          </cell>
          <cell r="O118">
            <v>0</v>
          </cell>
          <cell r="P118">
            <v>0</v>
          </cell>
          <cell r="T118">
            <v>0</v>
          </cell>
          <cell r="U118">
            <v>0</v>
          </cell>
          <cell r="V118">
            <v>0</v>
          </cell>
          <cell r="W118">
            <v>0</v>
          </cell>
          <cell r="X118">
            <v>0</v>
          </cell>
          <cell r="Y118">
            <v>0</v>
          </cell>
        </row>
        <row r="119">
          <cell r="A119">
            <v>88</v>
          </cell>
          <cell r="B119" t="str">
            <v>Staff training</v>
          </cell>
          <cell r="E119">
            <v>1.0326508291666667</v>
          </cell>
          <cell r="F119">
            <v>1.0326508291666667</v>
          </cell>
          <cell r="G119">
            <v>1.0123508291666667</v>
          </cell>
          <cell r="H119">
            <v>1.0036508291666666</v>
          </cell>
          <cell r="I119">
            <v>1.0036508291666666</v>
          </cell>
          <cell r="J119">
            <v>1.0036508291666666</v>
          </cell>
          <cell r="K119">
            <v>1.0244177291666667</v>
          </cell>
          <cell r="L119">
            <v>1.0244177291666667</v>
          </cell>
          <cell r="M119">
            <v>1.0244177291666667</v>
          </cell>
          <cell r="N119">
            <v>1.0244177291666667</v>
          </cell>
          <cell r="O119">
            <v>1.0244177291666667</v>
          </cell>
          <cell r="P119">
            <v>1.0244177291666667</v>
          </cell>
          <cell r="T119">
            <v>0</v>
          </cell>
          <cell r="U119">
            <v>12.235111349999997</v>
          </cell>
          <cell r="V119">
            <v>14.345000000000001</v>
          </cell>
          <cell r="W119">
            <v>11.03</v>
          </cell>
          <cell r="X119">
            <v>-2.1098886500000038</v>
          </cell>
          <cell r="Y119">
            <v>1.2051113499999975</v>
          </cell>
        </row>
        <row r="120">
          <cell r="A120">
            <v>89</v>
          </cell>
          <cell r="B120" t="str">
            <v>Security</v>
          </cell>
          <cell r="E120">
            <v>0</v>
          </cell>
          <cell r="F120">
            <v>0</v>
          </cell>
          <cell r="G120">
            <v>0</v>
          </cell>
          <cell r="H120">
            <v>0</v>
          </cell>
          <cell r="I120">
            <v>0</v>
          </cell>
          <cell r="J120">
            <v>0</v>
          </cell>
          <cell r="K120">
            <v>0</v>
          </cell>
          <cell r="L120">
            <v>0</v>
          </cell>
          <cell r="M120">
            <v>0</v>
          </cell>
          <cell r="N120">
            <v>0</v>
          </cell>
          <cell r="O120">
            <v>0</v>
          </cell>
          <cell r="P120">
            <v>0</v>
          </cell>
          <cell r="U120">
            <v>0</v>
          </cell>
          <cell r="V120">
            <v>0</v>
          </cell>
          <cell r="W120">
            <v>0</v>
          </cell>
          <cell r="X120">
            <v>0</v>
          </cell>
          <cell r="Y120">
            <v>0</v>
          </cell>
        </row>
        <row r="121">
          <cell r="A121">
            <v>90</v>
          </cell>
          <cell r="B121" t="str">
            <v>Postage</v>
          </cell>
          <cell r="E121">
            <v>0</v>
          </cell>
          <cell r="F121">
            <v>0</v>
          </cell>
          <cell r="G121">
            <v>0</v>
          </cell>
          <cell r="H121">
            <v>0</v>
          </cell>
          <cell r="I121">
            <v>0</v>
          </cell>
          <cell r="J121">
            <v>0</v>
          </cell>
          <cell r="K121">
            <v>0</v>
          </cell>
          <cell r="L121">
            <v>0</v>
          </cell>
          <cell r="M121">
            <v>0</v>
          </cell>
          <cell r="N121">
            <v>0</v>
          </cell>
          <cell r="O121">
            <v>0</v>
          </cell>
          <cell r="P121">
            <v>0</v>
          </cell>
          <cell r="U121">
            <v>0</v>
          </cell>
          <cell r="V121">
            <v>0</v>
          </cell>
          <cell r="W121">
            <v>0</v>
          </cell>
          <cell r="X121">
            <v>0</v>
          </cell>
          <cell r="Y121">
            <v>0</v>
          </cell>
        </row>
        <row r="122">
          <cell r="A122">
            <v>91</v>
          </cell>
          <cell r="B122" t="str">
            <v>Chilled Water</v>
          </cell>
          <cell r="E122">
            <v>0</v>
          </cell>
          <cell r="F122">
            <v>0</v>
          </cell>
          <cell r="G122">
            <v>0</v>
          </cell>
          <cell r="H122">
            <v>0</v>
          </cell>
          <cell r="I122">
            <v>0</v>
          </cell>
          <cell r="J122">
            <v>0</v>
          </cell>
          <cell r="K122">
            <v>0</v>
          </cell>
          <cell r="L122">
            <v>0</v>
          </cell>
          <cell r="M122">
            <v>0</v>
          </cell>
          <cell r="N122">
            <v>0</v>
          </cell>
          <cell r="O122">
            <v>0</v>
          </cell>
          <cell r="P122">
            <v>0</v>
          </cell>
          <cell r="U122">
            <v>0</v>
          </cell>
          <cell r="V122">
            <v>0</v>
          </cell>
          <cell r="W122">
            <v>0</v>
          </cell>
          <cell r="X122">
            <v>0</v>
          </cell>
          <cell r="Y122">
            <v>0</v>
          </cell>
        </row>
        <row r="123">
          <cell r="A123">
            <v>92</v>
          </cell>
          <cell r="B123" t="str">
            <v>Admin Fee</v>
          </cell>
          <cell r="E123">
            <v>0</v>
          </cell>
          <cell r="F123">
            <v>0</v>
          </cell>
          <cell r="G123">
            <v>0</v>
          </cell>
          <cell r="H123">
            <v>0</v>
          </cell>
          <cell r="I123">
            <v>0</v>
          </cell>
          <cell r="J123">
            <v>0</v>
          </cell>
          <cell r="K123">
            <v>0</v>
          </cell>
          <cell r="L123">
            <v>0</v>
          </cell>
          <cell r="M123">
            <v>0</v>
          </cell>
          <cell r="N123">
            <v>0</v>
          </cell>
          <cell r="O123">
            <v>0</v>
          </cell>
          <cell r="P123">
            <v>0</v>
          </cell>
          <cell r="U123">
            <v>0</v>
          </cell>
          <cell r="V123">
            <v>0</v>
          </cell>
          <cell r="W123">
            <v>0</v>
          </cell>
          <cell r="X123">
            <v>0</v>
          </cell>
          <cell r="Y123">
            <v>0</v>
          </cell>
        </row>
        <row r="124">
          <cell r="A124">
            <v>93</v>
          </cell>
          <cell r="B124" t="str">
            <v>Miscellaneous</v>
          </cell>
          <cell r="E124">
            <v>9</v>
          </cell>
          <cell r="F124">
            <v>9</v>
          </cell>
          <cell r="G124">
            <v>9</v>
          </cell>
          <cell r="H124">
            <v>9</v>
          </cell>
          <cell r="I124">
            <v>9</v>
          </cell>
          <cell r="J124">
            <v>9</v>
          </cell>
          <cell r="K124">
            <v>9</v>
          </cell>
          <cell r="L124">
            <v>9</v>
          </cell>
          <cell r="M124">
            <v>9</v>
          </cell>
          <cell r="N124">
            <v>9</v>
          </cell>
          <cell r="O124">
            <v>9</v>
          </cell>
          <cell r="P124">
            <v>9</v>
          </cell>
          <cell r="T124">
            <v>0</v>
          </cell>
          <cell r="U124">
            <v>108</v>
          </cell>
          <cell r="V124">
            <v>145.4151</v>
          </cell>
          <cell r="W124">
            <v>288.55</v>
          </cell>
          <cell r="X124">
            <v>-37.415099999999995</v>
          </cell>
          <cell r="Y124">
            <v>-180.55</v>
          </cell>
        </row>
        <row r="125">
          <cell r="C125">
            <v>0</v>
          </cell>
          <cell r="E125">
            <v>37.070150829166664</v>
          </cell>
          <cell r="F125">
            <v>37.070150829166664</v>
          </cell>
          <cell r="G125">
            <v>37.049850829166672</v>
          </cell>
          <cell r="H125">
            <v>37.041150829166668</v>
          </cell>
          <cell r="I125">
            <v>37.041150829166668</v>
          </cell>
          <cell r="J125">
            <v>37.041150829166668</v>
          </cell>
          <cell r="K125">
            <v>37.061917729166666</v>
          </cell>
          <cell r="L125">
            <v>37.061917729166666</v>
          </cell>
          <cell r="M125">
            <v>37.061917729166666</v>
          </cell>
          <cell r="N125">
            <v>37.061917729166666</v>
          </cell>
          <cell r="O125">
            <v>37.061917729166666</v>
          </cell>
          <cell r="P125">
            <v>37.061917729166666</v>
          </cell>
          <cell r="R125">
            <v>0</v>
          </cell>
          <cell r="S125">
            <v>0</v>
          </cell>
          <cell r="T125">
            <v>0</v>
          </cell>
          <cell r="U125">
            <v>444.68511135</v>
          </cell>
          <cell r="V125">
            <v>496.03873000000004</v>
          </cell>
          <cell r="W125">
            <v>694.47800000000007</v>
          </cell>
          <cell r="X125">
            <v>-51.353618650000044</v>
          </cell>
          <cell r="Y125">
            <v>-249.79288865000007</v>
          </cell>
        </row>
        <row r="126">
          <cell r="X126">
            <v>0</v>
          </cell>
          <cell r="Y126">
            <v>0</v>
          </cell>
        </row>
        <row r="127">
          <cell r="A127">
            <v>0</v>
          </cell>
          <cell r="B127" t="str">
            <v>23 Adjustments</v>
          </cell>
          <cell r="X127">
            <v>0</v>
          </cell>
          <cell r="Y127">
            <v>0</v>
          </cell>
        </row>
        <row r="128">
          <cell r="A128">
            <v>97</v>
          </cell>
          <cell r="B128" t="str">
            <v>Miscellaneous (Please Specify)</v>
          </cell>
          <cell r="E128">
            <v>0</v>
          </cell>
          <cell r="F128">
            <v>0</v>
          </cell>
          <cell r="G128">
            <v>0</v>
          </cell>
          <cell r="H128">
            <v>0</v>
          </cell>
          <cell r="I128">
            <v>0</v>
          </cell>
          <cell r="J128">
            <v>0</v>
          </cell>
          <cell r="K128">
            <v>0</v>
          </cell>
          <cell r="L128">
            <v>0</v>
          </cell>
          <cell r="M128">
            <v>0</v>
          </cell>
          <cell r="N128">
            <v>0</v>
          </cell>
          <cell r="O128">
            <v>0</v>
          </cell>
          <cell r="P128">
            <v>0</v>
          </cell>
          <cell r="T128">
            <v>0</v>
          </cell>
          <cell r="U128">
            <v>0</v>
          </cell>
          <cell r="V128">
            <v>0</v>
          </cell>
          <cell r="W128">
            <v>0</v>
          </cell>
          <cell r="X128">
            <v>0</v>
          </cell>
          <cell r="Y128">
            <v>0</v>
          </cell>
        </row>
        <row r="129">
          <cell r="A129">
            <v>98</v>
          </cell>
          <cell r="B129" t="str">
            <v>Mgme fee income - CGV</v>
          </cell>
          <cell r="E129">
            <v>-18.3</v>
          </cell>
          <cell r="F129">
            <v>-18.3</v>
          </cell>
          <cell r="G129">
            <v>-18.3</v>
          </cell>
          <cell r="H129">
            <v>-18.3</v>
          </cell>
          <cell r="I129">
            <v>-18.3</v>
          </cell>
          <cell r="J129">
            <v>-18.3</v>
          </cell>
          <cell r="K129">
            <v>-18.3</v>
          </cell>
          <cell r="L129">
            <v>-18.3</v>
          </cell>
          <cell r="M129">
            <v>-18.3</v>
          </cell>
          <cell r="N129">
            <v>-18.3</v>
          </cell>
          <cell r="O129">
            <v>-18.3</v>
          </cell>
          <cell r="P129">
            <v>-18.3</v>
          </cell>
          <cell r="T129">
            <v>0</v>
          </cell>
          <cell r="U129">
            <v>-219.6</v>
          </cell>
          <cell r="V129">
            <v>-52.8</v>
          </cell>
          <cell r="W129">
            <v>-52.8</v>
          </cell>
          <cell r="X129">
            <v>-166.8</v>
          </cell>
          <cell r="Y129">
            <v>-166.8</v>
          </cell>
        </row>
        <row r="130">
          <cell r="A130">
            <v>99</v>
          </cell>
          <cell r="B130" t="str">
            <v xml:space="preserve">Pre Opening </v>
          </cell>
          <cell r="E130">
            <v>0</v>
          </cell>
          <cell r="F130">
            <v>0</v>
          </cell>
          <cell r="G130">
            <v>0</v>
          </cell>
          <cell r="H130">
            <v>0</v>
          </cell>
          <cell r="I130">
            <v>0</v>
          </cell>
          <cell r="J130">
            <v>0</v>
          </cell>
          <cell r="K130">
            <v>0</v>
          </cell>
          <cell r="L130">
            <v>0</v>
          </cell>
          <cell r="M130">
            <v>0</v>
          </cell>
          <cell r="N130">
            <v>0</v>
          </cell>
          <cell r="O130">
            <v>0</v>
          </cell>
          <cell r="P130">
            <v>0</v>
          </cell>
          <cell r="U130">
            <v>0</v>
          </cell>
          <cell r="V130">
            <v>0</v>
          </cell>
          <cell r="W130">
            <v>0</v>
          </cell>
          <cell r="X130">
            <v>0</v>
          </cell>
          <cell r="Y130">
            <v>0</v>
          </cell>
        </row>
        <row r="131">
          <cell r="A131">
            <v>100</v>
          </cell>
          <cell r="B131" t="str">
            <v>Other</v>
          </cell>
          <cell r="E131">
            <v>0</v>
          </cell>
          <cell r="F131">
            <v>0</v>
          </cell>
          <cell r="G131">
            <v>0</v>
          </cell>
          <cell r="H131">
            <v>0</v>
          </cell>
          <cell r="I131">
            <v>0</v>
          </cell>
          <cell r="J131">
            <v>0</v>
          </cell>
          <cell r="K131">
            <v>0</v>
          </cell>
          <cell r="L131">
            <v>0</v>
          </cell>
          <cell r="M131">
            <v>0</v>
          </cell>
          <cell r="N131">
            <v>0</v>
          </cell>
          <cell r="O131">
            <v>0</v>
          </cell>
          <cell r="P131">
            <v>0</v>
          </cell>
          <cell r="U131">
            <v>0</v>
          </cell>
          <cell r="V131">
            <v>0</v>
          </cell>
          <cell r="W131">
            <v>0</v>
          </cell>
          <cell r="X131">
            <v>0</v>
          </cell>
          <cell r="Y131">
            <v>0</v>
          </cell>
        </row>
        <row r="132">
          <cell r="F132">
            <v>0</v>
          </cell>
          <cell r="T132">
            <v>0</v>
          </cell>
          <cell r="X132">
            <v>0</v>
          </cell>
          <cell r="Y132">
            <v>0</v>
          </cell>
        </row>
        <row r="133">
          <cell r="C133">
            <v>0</v>
          </cell>
          <cell r="E133">
            <v>-18.3</v>
          </cell>
          <cell r="F133">
            <v>-18.3</v>
          </cell>
          <cell r="G133">
            <v>-18.3</v>
          </cell>
          <cell r="H133">
            <v>-18.3</v>
          </cell>
          <cell r="I133">
            <v>-18.3</v>
          </cell>
          <cell r="J133">
            <v>-18.3</v>
          </cell>
          <cell r="K133">
            <v>-18.3</v>
          </cell>
          <cell r="L133">
            <v>-18.3</v>
          </cell>
          <cell r="M133">
            <v>-18.3</v>
          </cell>
          <cell r="N133">
            <v>-18.3</v>
          </cell>
          <cell r="O133">
            <v>-18.3</v>
          </cell>
          <cell r="P133">
            <v>-18.3</v>
          </cell>
          <cell r="R133">
            <v>0</v>
          </cell>
          <cell r="S133">
            <v>0</v>
          </cell>
          <cell r="T133">
            <v>0</v>
          </cell>
          <cell r="U133">
            <v>-219.6</v>
          </cell>
          <cell r="V133">
            <v>-52.8</v>
          </cell>
          <cell r="W133">
            <v>-52.8</v>
          </cell>
          <cell r="X133">
            <v>-166.8</v>
          </cell>
          <cell r="Y133">
            <v>-166.8</v>
          </cell>
        </row>
      </sheetData>
      <sheetData sheetId="30">
        <row r="11">
          <cell r="A11">
            <v>1</v>
          </cell>
        </row>
      </sheetData>
      <sheetData sheetId="31">
        <row r="11">
          <cell r="A11">
            <v>1</v>
          </cell>
        </row>
      </sheetData>
      <sheetData sheetId="32">
        <row r="11">
          <cell r="A11">
            <v>1</v>
          </cell>
        </row>
      </sheetData>
      <sheetData sheetId="33">
        <row r="11">
          <cell r="A11">
            <v>1</v>
          </cell>
        </row>
      </sheetData>
      <sheetData sheetId="34">
        <row r="11">
          <cell r="A11">
            <v>1</v>
          </cell>
        </row>
      </sheetData>
      <sheetData sheetId="35">
        <row r="11">
          <cell r="A11">
            <v>1</v>
          </cell>
        </row>
      </sheetData>
      <sheetData sheetId="36">
        <row r="11">
          <cell r="A11">
            <v>1</v>
          </cell>
        </row>
      </sheetData>
      <sheetData sheetId="37">
        <row r="11">
          <cell r="A11">
            <v>1</v>
          </cell>
        </row>
      </sheetData>
      <sheetData sheetId="38">
        <row r="11">
          <cell r="A11">
            <v>1</v>
          </cell>
        </row>
      </sheetData>
      <sheetData sheetId="39" refreshError="1"/>
      <sheetData sheetId="40" refreshError="1"/>
      <sheetData sheetId="41" refreshError="1"/>
      <sheetData sheetId="42" refreshError="1"/>
      <sheetData sheetId="43" refreshError="1"/>
      <sheetData sheetId="44" refreshError="1"/>
      <sheetData sheetId="45">
        <row r="11">
          <cell r="A11">
            <v>1</v>
          </cell>
        </row>
      </sheetData>
      <sheetData sheetId="46">
        <row r="11">
          <cell r="A11">
            <v>1</v>
          </cell>
        </row>
      </sheetData>
      <sheetData sheetId="47" refreshError="1"/>
      <sheetData sheetId="48" refreshError="1"/>
      <sheetData sheetId="49" refreshError="1"/>
      <sheetData sheetId="50" refreshError="1"/>
      <sheetData sheetId="51" refreshError="1"/>
      <sheetData sheetId="52">
        <row r="11">
          <cell r="A11">
            <v>1</v>
          </cell>
        </row>
      </sheetData>
      <sheetData sheetId="53">
        <row r="11">
          <cell r="A11">
            <v>1</v>
          </cell>
        </row>
      </sheetData>
      <sheetData sheetId="54">
        <row r="11">
          <cell r="A11">
            <v>1</v>
          </cell>
        </row>
      </sheetData>
      <sheetData sheetId="55">
        <row r="11">
          <cell r="A11">
            <v>1</v>
          </cell>
        </row>
      </sheetData>
      <sheetData sheetId="56">
        <row r="11">
          <cell r="A11">
            <v>1</v>
          </cell>
        </row>
      </sheetData>
      <sheetData sheetId="57">
        <row r="11">
          <cell r="A11">
            <v>1</v>
          </cell>
        </row>
      </sheetData>
      <sheetData sheetId="58">
        <row r="11">
          <cell r="A11">
            <v>1</v>
          </cell>
        </row>
      </sheetData>
      <sheetData sheetId="59">
        <row r="11">
          <cell r="A11">
            <v>1</v>
          </cell>
        </row>
      </sheetData>
      <sheetData sheetId="60">
        <row r="11">
          <cell r="A11">
            <v>1</v>
          </cell>
        </row>
      </sheetData>
      <sheetData sheetId="61">
        <row r="11">
          <cell r="A11">
            <v>1</v>
          </cell>
        </row>
      </sheetData>
      <sheetData sheetId="62" refreshError="1"/>
      <sheetData sheetId="63" refreshError="1"/>
      <sheetData sheetId="64">
        <row r="11">
          <cell r="A11">
            <v>1</v>
          </cell>
        </row>
      </sheetData>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ow r="11">
          <cell r="A11">
            <v>1</v>
          </cell>
        </row>
      </sheetData>
      <sheetData sheetId="79">
        <row r="11">
          <cell r="A11">
            <v>1</v>
          </cell>
        </row>
      </sheetData>
      <sheetData sheetId="80">
        <row r="11">
          <cell r="A11">
            <v>1</v>
          </cell>
        </row>
      </sheetData>
      <sheetData sheetId="81">
        <row r="11">
          <cell r="A11">
            <v>1</v>
          </cell>
        </row>
      </sheetData>
      <sheetData sheetId="82">
        <row r="11">
          <cell r="A11">
            <v>1</v>
          </cell>
        </row>
      </sheetData>
      <sheetData sheetId="83">
        <row r="11">
          <cell r="A11">
            <v>1</v>
          </cell>
        </row>
      </sheetData>
      <sheetData sheetId="84">
        <row r="11">
          <cell r="A11">
            <v>1</v>
          </cell>
        </row>
      </sheetData>
      <sheetData sheetId="85">
        <row r="11">
          <cell r="A11">
            <v>1</v>
          </cell>
        </row>
      </sheetData>
      <sheetData sheetId="86">
        <row r="11">
          <cell r="A11">
            <v>1</v>
          </cell>
        </row>
      </sheetData>
      <sheetData sheetId="87">
        <row r="11">
          <cell r="A11">
            <v>1</v>
          </cell>
        </row>
      </sheetData>
      <sheetData sheetId="88">
        <row r="11">
          <cell r="A11">
            <v>1</v>
          </cell>
        </row>
      </sheetData>
      <sheetData sheetId="89">
        <row r="11">
          <cell r="A11">
            <v>1</v>
          </cell>
        </row>
      </sheetData>
      <sheetData sheetId="90">
        <row r="11">
          <cell r="A11">
            <v>1</v>
          </cell>
        </row>
      </sheetData>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ered "/>
      <sheetName val="IND RECD 01.06.2006 TO 30.06"/>
      <sheetName val="ho"/>
      <sheetName val="wo"/>
      <sheetName val="pending indent"/>
      <sheetName val="Consolidation Q1"/>
    </sheetNames>
    <sheetDataSet>
      <sheetData sheetId="0"/>
      <sheetData sheetId="1"/>
      <sheetData sheetId="2"/>
      <sheetData sheetId="3"/>
      <sheetData sheetId="4"/>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schedule"/>
      <sheetName val="debt schedule-tyres"/>
      <sheetName val="debt schedule -sugar"/>
      <sheetName val="debt-IDBI"/>
      <sheetName val="debt -ICICI"/>
      <sheetName val="debt -IFCI"/>
      <sheetName val="debt-SBI"/>
      <sheetName val="debt schedule - Corpo"/>
      <sheetName val="debt schedule - JKDPL"/>
      <sheetName val="debt-sugar"/>
      <sheetName val="debt -tyres"/>
      <sheetName val="debt - Corp"/>
      <sheetName val="BL-Bud"/>
      <sheetName val="BS-Bud"/>
      <sheetName val="GW-Bud"/>
      <sheetName val="Head Office-Bud"/>
      <sheetName val="MS-Bud"/>
      <sheetName val="PL-Bud"/>
      <sheetName val="TB-Bud"/>
      <sheetName val="TM-Bud"/>
      <sheetName val="YS-Bud"/>
      <sheetName val="CoverSheet"/>
      <sheetName val="debt_schedule"/>
      <sheetName val="debt_schedule-tyres"/>
      <sheetName val="debt_schedule_-sugar"/>
      <sheetName val="debt_-ICICI"/>
      <sheetName val="debt_-IFCI"/>
      <sheetName val="debt_schedule_-_Corpo"/>
      <sheetName val="debt_schedule_-_JKDPL"/>
      <sheetName val="debt_-tyres"/>
      <sheetName val="debt_-_Corp"/>
      <sheetName val="Head_Office-Bud"/>
      <sheetName val="aug stat 06 (2)"/>
      <sheetName val="14-17-23-25  "/>
      <sheetName val="debt_schedule1"/>
      <sheetName val="debt_schedule-tyres1"/>
      <sheetName val="debt_schedule_-sugar1"/>
      <sheetName val="debt_-ICICI1"/>
      <sheetName val="debt_-IFCI1"/>
      <sheetName val="debt_schedule_-_Corpo1"/>
      <sheetName val="debt_schedule_-_JKDPL1"/>
      <sheetName val="debt_-tyres1"/>
      <sheetName val="debt_-_Corp1"/>
      <sheetName val="Head_Office-Bud1"/>
      <sheetName val="aug_stat_06_(2)"/>
      <sheetName val="14-17-23-25__"/>
      <sheetName val="Ann -1"/>
      <sheetName val="Returns (2)"/>
      <sheetName val="Customers Wise"/>
      <sheetName val="OTY"/>
      <sheetName val="GL Tally UpTo Dec'19"/>
      <sheetName val="Sheet1"/>
      <sheetName val="Invoice wise Pivot"/>
      <sheetName val="Sheet3"/>
      <sheetName val="Sheet4"/>
      <sheetName val="Sheet5"/>
      <sheetName val="Master Reg"/>
      <sheetName val="Cut Off"/>
      <sheetName val="Sale Dumpsite Billing PvTable"/>
      <sheetName val="Liquidated Damages"/>
      <sheetName val="Sales-Rate Difference"/>
      <sheetName val="Bend Transfer To Job Work"/>
      <sheetName val="ANN 3"/>
      <sheetName val="Sheet2"/>
      <sheetName val="Chq Payout"/>
      <sheetName val="LOCAL RATES"/>
      <sheetName val="ANALYSIS"/>
      <sheetName val="Interest 30-11-01 not PA 7%"/>
      <sheetName val="x-rate"/>
      <sheetName val="bs &amp; P&amp;l (2)"/>
      <sheetName val="Assumptions"/>
      <sheetName val="Data"/>
      <sheetName val="IMPACT"/>
      <sheetName val="ACCOUNTS"/>
      <sheetName val="인사현황(부서)"/>
      <sheetName val="P&amp;LSC"/>
      <sheetName val="Itercompany"/>
      <sheetName val="CF"/>
      <sheetName val="15"/>
      <sheetName val="Additions9900"/>
      <sheetName val="Challan"/>
      <sheetName val="Macrow"/>
      <sheetName val="BSHEET"/>
      <sheetName val="NC"/>
      <sheetName val="Ageing Due Date"/>
      <sheetName val="Prov. Comm. Inv."/>
      <sheetName val="Cover Page"/>
      <sheetName val="Control"/>
      <sheetName val="PV"/>
      <sheetName val="427"/>
      <sheetName val=" new Codes used"/>
      <sheetName val="MASTER"/>
      <sheetName val="Trial - City"/>
      <sheetName val="Trial - Space"/>
      <sheetName val="Trial - VL"/>
      <sheetName val="gen"/>
      <sheetName val="Validate Circuits"/>
      <sheetName val="Introduction"/>
      <sheetName val="Lg"/>
      <sheetName val="ISO Currency Codes"/>
      <sheetName val="Do not delete"/>
      <sheetName val="Financial Codes"/>
      <sheetName val="Financials"/>
      <sheetName val="Cabinet details"/>
      <sheetName val="XLR_NoRangeSheet"/>
      <sheetName val="Input-Pack Level"/>
      <sheetName val="CII"/>
      <sheetName val="2300"/>
      <sheetName val="Route 1"/>
      <sheetName val="TBAL9697 -group wise  sdpl"/>
      <sheetName val="inputs"/>
      <sheetName val="BUSREP"/>
      <sheetName val="PL"/>
      <sheetName val="Settings"/>
      <sheetName val="#REF"/>
      <sheetName val="MODEL"/>
      <sheetName val="BBH"/>
      <sheetName val="Headcount"/>
      <sheetName val="SCEL Funding"/>
      <sheetName val="CC_map"/>
      <sheetName val="Class_map"/>
      <sheetName val="HOUSE RENT DEPO."/>
      <sheetName val="Bb+Hubs Costs Split NORMALISED"/>
      <sheetName val="Final"/>
      <sheetName val="Summary-Price_New"/>
      <sheetName val="AN-2K"/>
      <sheetName val="Switch V16"/>
      <sheetName val="pl-41a"/>
      <sheetName val="CHG97_98"/>
      <sheetName val="Categ"/>
      <sheetName val="WORKINGS"/>
      <sheetName val="Model (Telecorp)"/>
      <sheetName val="Regions"/>
      <sheetName val="cap"/>
      <sheetName val="Other Revenue Items"/>
      <sheetName val="Mapping-Table "/>
      <sheetName val="TG"/>
      <sheetName val="P&amp;L Input Sheet (TG)"/>
      <sheetName val="Debt schedule-JKI"/>
      <sheetName val="Sch4_14"/>
      <sheetName val="Sch1_3"/>
      <sheetName val="Bal.Sht.Sch."/>
      <sheetName val="Challan-Service"/>
      <sheetName val="SAP GL master"/>
      <sheetName val="Pg_6_7_8_9"/>
      <sheetName val="machines"/>
      <sheetName val="dbase"/>
      <sheetName val="Schedules"/>
      <sheetName val="2003 by Month"/>
      <sheetName val="Input-Pack_Level"/>
      <sheetName val="Debt_schedule-JKI"/>
      <sheetName val="Ann_-1"/>
      <sheetName val="debt_schedule2"/>
      <sheetName val="debt_schedule-tyres2"/>
      <sheetName val="debt_schedule_-sugar2"/>
      <sheetName val="debt_-ICICI2"/>
      <sheetName val="debt_-IFCI2"/>
      <sheetName val="debt_schedule_-_Corpo2"/>
      <sheetName val="debt_schedule_-_JKDPL2"/>
      <sheetName val="debt_-tyres2"/>
      <sheetName val="debt_-_Corp2"/>
      <sheetName val="Head_Office-Bud2"/>
      <sheetName val="Input-Pack_Level1"/>
      <sheetName val="Debt_schedule-JKI1"/>
      <sheetName val="14-17-23-25__1"/>
      <sheetName val="Ann_-11"/>
      <sheetName val="aug_stat_06_(2)1"/>
      <sheetName val="debt_schedule3"/>
      <sheetName val="debt_schedule-tyres3"/>
      <sheetName val="debt_schedule_-sugar3"/>
      <sheetName val="debt_-ICICI3"/>
      <sheetName val="debt_-IFCI3"/>
      <sheetName val="debt_schedule_-_Corpo3"/>
      <sheetName val="debt_schedule_-_JKDPL3"/>
      <sheetName val="debt_-tyres3"/>
      <sheetName val="debt_-_Corp3"/>
      <sheetName val="Head_Office-Bud3"/>
      <sheetName val="Input-Pack_Level2"/>
      <sheetName val="Debt_schedule-JKI2"/>
      <sheetName val="14-17-23-25__2"/>
      <sheetName val="Ann_-12"/>
      <sheetName val="aug_stat_06_(2)2"/>
      <sheetName val="debt_schedule4"/>
      <sheetName val="debt_schedule-tyres4"/>
      <sheetName val="debt_schedule_-sugar4"/>
      <sheetName val="debt_-ICICI4"/>
      <sheetName val="debt_-IFCI4"/>
      <sheetName val="debt_schedule_-_Corpo4"/>
      <sheetName val="debt_schedule_-_JKDPL4"/>
      <sheetName val="debt_-tyres4"/>
      <sheetName val="debt_-_Corp4"/>
      <sheetName val="Head_Office-Bud4"/>
      <sheetName val="Input-Pack_Level3"/>
      <sheetName val="Debt_schedule-JKI3"/>
      <sheetName val="14-17-23-25__3"/>
      <sheetName val="Ann_-13"/>
      <sheetName val="aug_stat_06_(2)3"/>
      <sheetName val="debt_schedule5"/>
      <sheetName val="debt_schedule-tyres5"/>
      <sheetName val="debt_schedule_-sugar5"/>
      <sheetName val="debt_-ICICI5"/>
      <sheetName val="debt_-IFCI5"/>
      <sheetName val="debt_schedule_-_Corpo5"/>
      <sheetName val="debt_schedule_-_JKDPL5"/>
      <sheetName val="debt_-tyres5"/>
      <sheetName val="debt_-_Corp5"/>
      <sheetName val="Head_Office-Bud5"/>
      <sheetName val="Input-Pack_Level4"/>
      <sheetName val="Debt_schedule-JKI4"/>
      <sheetName val="14-17-23-25__4"/>
      <sheetName val="Ann_-14"/>
      <sheetName val="aug_stat_06_(2)4"/>
      <sheetName val="debt_schedule6"/>
      <sheetName val="debt_schedule-tyres6"/>
      <sheetName val="debt_schedule_-sugar6"/>
      <sheetName val="debt_-ICICI6"/>
      <sheetName val="debt_-IFCI6"/>
      <sheetName val="debt_schedule_-_Corpo6"/>
      <sheetName val="debt_schedule_-_JKDPL6"/>
      <sheetName val="debt_-tyres6"/>
      <sheetName val="debt_-_Corp6"/>
      <sheetName val="Head_Office-Bud6"/>
      <sheetName val="Input-Pack_Level5"/>
      <sheetName val="Debt_schedule-JKI5"/>
      <sheetName val="14-17-23-25__5"/>
      <sheetName val="Ann_-15"/>
      <sheetName val="aug_stat_06_(2)5"/>
      <sheetName val="Lists (Hide)"/>
      <sheetName val="UBRS"/>
      <sheetName val="UBSR"/>
      <sheetName val="KPM DT"/>
      <sheetName val="PPAC SUM"/>
      <sheetName val="cdipts"/>
      <sheetName val="employee"/>
      <sheetName val="CS"/>
      <sheetName val="S.Tax Reco"/>
      <sheetName val="PL CE"/>
      <sheetName val="PL FR"/>
      <sheetName val="RW"/>
      <sheetName val="PL UK"/>
      <sheetName val="FilterTable"/>
      <sheetName val="Main_Menu"/>
      <sheetName val="LINKS"/>
      <sheetName val="NonUnitItems"/>
      <sheetName val="CostTable"/>
      <sheetName val="PriceTable"/>
      <sheetName val="Masters"/>
      <sheetName val="Customer Master"/>
      <sheetName val="Database"/>
      <sheetName val="Invoice Entry"/>
      <sheetName val="Validation"/>
      <sheetName val="A-General"/>
      <sheetName val="PROFC"/>
      <sheetName val="PROFE"/>
      <sheetName val="환율"/>
      <sheetName val="R - Seats Requirement"/>
      <sheetName val="Historical Data 1"/>
      <sheetName val="FORECAST"/>
      <sheetName val="New Business"/>
      <sheetName val="Seat Data"/>
      <sheetName val="Checklist"/>
      <sheetName val="Cash Flow - CY Workings"/>
      <sheetName val="april200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refreshError="1"/>
      <sheetData sheetId="31"/>
      <sheetData sheetId="32"/>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 Costing"/>
      <sheetName val="D&amp;C_Pkg"/>
      <sheetName val="CostDetails"/>
      <sheetName val="sortpart"/>
      <sheetName val="Yarn Rates"/>
      <sheetName val="QUATERLY YARN RATES"/>
      <sheetName val="Input_B_V"/>
      <sheetName val="BL-Bud"/>
      <sheetName val="BS-Bud"/>
      <sheetName val="GW-Bud"/>
      <sheetName val="Head Office-Bud"/>
      <sheetName val="MS-Bud"/>
      <sheetName val="PL-Bud"/>
      <sheetName val="TB-Bud"/>
      <sheetName val="TM-Bud"/>
      <sheetName val="YS-Bud"/>
      <sheetName val="Banquet Equipment"/>
      <sheetName val="China Bqt RS ADD RM STAFF"/>
      <sheetName val="Cleaning Equipment"/>
      <sheetName val="Dining Accessories"/>
      <sheetName val="Engineering Tools"/>
      <sheetName val="Glassware BQT STAFF"/>
      <sheetName val="Minor Electrical Equipment"/>
      <sheetName val="Guestr.HSK Acc"/>
      <sheetName val="Material Trucks"/>
      <sheetName val="Office Furniture"/>
      <sheetName val="Recreational Equipment"/>
      <sheetName val="Shelving &amp; Lockers"/>
      <sheetName val="Silverware"/>
      <sheetName val="Uniforms"/>
      <sheetName val="Vehicles"/>
      <sheetName val="F&amp;B Special"/>
    </sheetNames>
    <sheetDataSet>
      <sheetData sheetId="0"/>
      <sheetData sheetId="1" refreshError="1">
        <row r="4">
          <cell r="L4" t="str">
            <v>Key -2</v>
          </cell>
          <cell r="M4" t="str">
            <v>Dyes</v>
          </cell>
          <cell r="N4" t="str">
            <v>Chemical</v>
          </cell>
          <cell r="O4" t="str">
            <v>PTR</v>
          </cell>
          <cell r="P4" t="str">
            <v>CDR</v>
          </cell>
          <cell r="Q4" t="str">
            <v>FSG</v>
          </cell>
          <cell r="R4" t="str">
            <v>Dyes</v>
          </cell>
          <cell r="S4" t="str">
            <v>Chem</v>
          </cell>
          <cell r="T4" t="str">
            <v>Total</v>
          </cell>
          <cell r="U4" t="str">
            <v>Pkg Cost</v>
          </cell>
        </row>
        <row r="5">
          <cell r="L5" t="str">
            <v>ExportTargetWaverlyUSABath76x142L</v>
          </cell>
          <cell r="M5">
            <v>1.21</v>
          </cell>
          <cell r="N5">
            <v>9.81</v>
          </cell>
          <cell r="R5">
            <v>1.21</v>
          </cell>
          <cell r="S5">
            <v>9.81</v>
          </cell>
          <cell r="T5">
            <v>11.02</v>
          </cell>
          <cell r="U5">
            <v>8.43</v>
          </cell>
        </row>
        <row r="6">
          <cell r="L6" t="str">
            <v>ExportTargetWaverlyUSABath76x142M</v>
          </cell>
          <cell r="M6">
            <v>4.22</v>
          </cell>
          <cell r="N6">
            <v>9.7200000000000006</v>
          </cell>
          <cell r="R6">
            <v>4.22</v>
          </cell>
          <cell r="S6">
            <v>9.7200000000000006</v>
          </cell>
          <cell r="T6">
            <v>13.940000000000001</v>
          </cell>
          <cell r="U6">
            <v>8.43</v>
          </cell>
        </row>
        <row r="7">
          <cell r="L7" t="str">
            <v>ExportTargetWaverlyUSABath76x142D</v>
          </cell>
          <cell r="M7">
            <v>14.66</v>
          </cell>
          <cell r="N7">
            <v>9.98</v>
          </cell>
          <cell r="R7">
            <v>14.66</v>
          </cell>
          <cell r="S7">
            <v>9.98</v>
          </cell>
          <cell r="T7">
            <v>24.64</v>
          </cell>
          <cell r="U7">
            <v>8.43</v>
          </cell>
        </row>
        <row r="8">
          <cell r="L8" t="str">
            <v>ExportTargetWaverlyUSAHand41x76L</v>
          </cell>
          <cell r="M8">
            <v>1.21</v>
          </cell>
          <cell r="N8">
            <v>9.81</v>
          </cell>
          <cell r="R8">
            <v>1.21</v>
          </cell>
          <cell r="S8">
            <v>9.81</v>
          </cell>
          <cell r="T8">
            <v>11.02</v>
          </cell>
          <cell r="U8">
            <v>19.39</v>
          </cell>
        </row>
        <row r="9">
          <cell r="L9" t="str">
            <v>ExportTargetWaverlyUSAHand41x76M</v>
          </cell>
          <cell r="M9">
            <v>4.22</v>
          </cell>
          <cell r="N9">
            <v>9.7200000000000006</v>
          </cell>
          <cell r="R9">
            <v>4.22</v>
          </cell>
          <cell r="S9">
            <v>9.7200000000000006</v>
          </cell>
          <cell r="T9">
            <v>13.940000000000001</v>
          </cell>
          <cell r="U9">
            <v>19.39</v>
          </cell>
        </row>
        <row r="10">
          <cell r="L10" t="str">
            <v>ExportTargetWaverlyUSAHand41x76D</v>
          </cell>
          <cell r="M10">
            <v>14.66</v>
          </cell>
          <cell r="N10">
            <v>9.98</v>
          </cell>
          <cell r="R10">
            <v>14.66</v>
          </cell>
          <cell r="S10">
            <v>9.98</v>
          </cell>
          <cell r="T10">
            <v>24.64</v>
          </cell>
          <cell r="U10">
            <v>19.39</v>
          </cell>
        </row>
        <row r="11">
          <cell r="L11" t="str">
            <v>ExportTargetWaverlyUSAWash30x30L</v>
          </cell>
          <cell r="M11">
            <v>1.21</v>
          </cell>
          <cell r="N11">
            <v>9.81</v>
          </cell>
          <cell r="R11">
            <v>1.21</v>
          </cell>
          <cell r="S11">
            <v>9.81</v>
          </cell>
          <cell r="T11">
            <v>11.02</v>
          </cell>
          <cell r="U11">
            <v>49.08</v>
          </cell>
        </row>
        <row r="12">
          <cell r="L12" t="str">
            <v>ExportTargetWaverlyUSAWash30x30M</v>
          </cell>
          <cell r="M12">
            <v>4.22</v>
          </cell>
          <cell r="N12">
            <v>9.7200000000000006</v>
          </cell>
          <cell r="R12">
            <v>4.22</v>
          </cell>
          <cell r="S12">
            <v>9.7200000000000006</v>
          </cell>
          <cell r="T12">
            <v>13.940000000000001</v>
          </cell>
          <cell r="U12">
            <v>49.08</v>
          </cell>
        </row>
        <row r="13">
          <cell r="L13" t="str">
            <v>ExportTargetWaverlyUSAWash30x30D</v>
          </cell>
          <cell r="M13">
            <v>14.66</v>
          </cell>
          <cell r="N13">
            <v>9.98</v>
          </cell>
          <cell r="R13">
            <v>14.66</v>
          </cell>
          <cell r="S13">
            <v>9.98</v>
          </cell>
          <cell r="T13">
            <v>24.64</v>
          </cell>
          <cell r="U13">
            <v>49.08</v>
          </cell>
        </row>
        <row r="14">
          <cell r="L14" t="str">
            <v>ExportWalmartHome TrendsUSABath76x132L</v>
          </cell>
          <cell r="M14">
            <v>1.21</v>
          </cell>
          <cell r="N14">
            <v>9.81</v>
          </cell>
          <cell r="R14">
            <v>1.21</v>
          </cell>
          <cell r="S14">
            <v>9.81</v>
          </cell>
          <cell r="T14">
            <v>11.02</v>
          </cell>
          <cell r="U14">
            <v>7.81</v>
          </cell>
        </row>
        <row r="15">
          <cell r="L15" t="str">
            <v>ExportWalmartHome TrendsUSABath76x132M</v>
          </cell>
          <cell r="M15">
            <v>4.22</v>
          </cell>
          <cell r="N15">
            <v>9.7200000000000006</v>
          </cell>
          <cell r="R15">
            <v>4.22</v>
          </cell>
          <cell r="S15">
            <v>9.7200000000000006</v>
          </cell>
          <cell r="T15">
            <v>13.940000000000001</v>
          </cell>
          <cell r="U15">
            <v>7.81</v>
          </cell>
        </row>
        <row r="16">
          <cell r="L16" t="str">
            <v>ExportWalmartHome TrendsUSABath76x132D</v>
          </cell>
          <cell r="M16">
            <v>14.66</v>
          </cell>
          <cell r="N16">
            <v>9.98</v>
          </cell>
          <cell r="R16">
            <v>14.66</v>
          </cell>
          <cell r="S16">
            <v>9.98</v>
          </cell>
          <cell r="T16">
            <v>24.64</v>
          </cell>
          <cell r="U16">
            <v>7.81</v>
          </cell>
        </row>
        <row r="17">
          <cell r="L17" t="str">
            <v>ExportWalmartHome TrendsUSAHand41x69L</v>
          </cell>
          <cell r="M17">
            <v>1.21</v>
          </cell>
          <cell r="N17">
            <v>9.81</v>
          </cell>
          <cell r="R17">
            <v>1.21</v>
          </cell>
          <cell r="S17">
            <v>9.81</v>
          </cell>
          <cell r="T17">
            <v>11.02</v>
          </cell>
          <cell r="U17">
            <v>13.26</v>
          </cell>
        </row>
        <row r="18">
          <cell r="L18" t="str">
            <v>ExportWalmartHome TrendsUSAHand41x69M</v>
          </cell>
          <cell r="M18">
            <v>4.22</v>
          </cell>
          <cell r="N18">
            <v>9.7200000000000006</v>
          </cell>
          <cell r="R18">
            <v>4.22</v>
          </cell>
          <cell r="S18">
            <v>9.7200000000000006</v>
          </cell>
          <cell r="T18">
            <v>13.940000000000001</v>
          </cell>
          <cell r="U18">
            <v>13.26</v>
          </cell>
        </row>
        <row r="19">
          <cell r="L19" t="str">
            <v>ExportWalmartHome TrendsUSAHand41x69D</v>
          </cell>
          <cell r="M19">
            <v>14.66</v>
          </cell>
          <cell r="N19">
            <v>9.98</v>
          </cell>
          <cell r="R19">
            <v>14.66</v>
          </cell>
          <cell r="S19">
            <v>9.98</v>
          </cell>
          <cell r="T19">
            <v>24.64</v>
          </cell>
          <cell r="U19">
            <v>13.26</v>
          </cell>
        </row>
        <row r="20">
          <cell r="L20" t="str">
            <v>ExportWalmartHome TrendsUSAWash33x33L</v>
          </cell>
          <cell r="M20">
            <v>1.21</v>
          </cell>
          <cell r="N20">
            <v>9.81</v>
          </cell>
          <cell r="R20">
            <v>1.21</v>
          </cell>
          <cell r="S20">
            <v>9.81</v>
          </cell>
          <cell r="T20">
            <v>11.02</v>
          </cell>
          <cell r="U20">
            <v>49.58</v>
          </cell>
        </row>
        <row r="21">
          <cell r="L21" t="str">
            <v>ExportWalmartHome TrendsUSAWash33x33M</v>
          </cell>
          <cell r="M21">
            <v>4.22</v>
          </cell>
          <cell r="N21">
            <v>9.7200000000000006</v>
          </cell>
          <cell r="R21">
            <v>4.22</v>
          </cell>
          <cell r="S21">
            <v>9.7200000000000006</v>
          </cell>
          <cell r="T21">
            <v>13.940000000000001</v>
          </cell>
          <cell r="U21">
            <v>49.58</v>
          </cell>
        </row>
        <row r="22">
          <cell r="L22" t="str">
            <v>ExportWalmartHome TrendsUSAWash33x33D</v>
          </cell>
          <cell r="M22">
            <v>14.66</v>
          </cell>
          <cell r="N22">
            <v>9.98</v>
          </cell>
          <cell r="R22">
            <v>14.66</v>
          </cell>
          <cell r="S22">
            <v>9.98</v>
          </cell>
          <cell r="T22">
            <v>24.64</v>
          </cell>
          <cell r="U22">
            <v>49.58</v>
          </cell>
        </row>
        <row r="23">
          <cell r="L23" t="str">
            <v>ExportMill WorkingCannon LandmarkUSABath76x137L</v>
          </cell>
          <cell r="M23">
            <v>1.21</v>
          </cell>
          <cell r="N23">
            <v>9.81</v>
          </cell>
          <cell r="R23">
            <v>1.21</v>
          </cell>
          <cell r="S23">
            <v>9.81</v>
          </cell>
          <cell r="T23">
            <v>11.02</v>
          </cell>
          <cell r="U23">
            <v>12.35</v>
          </cell>
        </row>
        <row r="24">
          <cell r="L24" t="str">
            <v>ExportMill WorkingCannon LandmarkUSABath76x137M</v>
          </cell>
          <cell r="M24">
            <v>4.22</v>
          </cell>
          <cell r="N24">
            <v>9.7200000000000006</v>
          </cell>
          <cell r="R24">
            <v>4.22</v>
          </cell>
          <cell r="S24">
            <v>9.7200000000000006</v>
          </cell>
          <cell r="T24">
            <v>13.940000000000001</v>
          </cell>
          <cell r="U24">
            <v>12.35</v>
          </cell>
        </row>
        <row r="25">
          <cell r="L25" t="str">
            <v>ExportMill WorkingCannon LandmarkUSABath76x137D</v>
          </cell>
          <cell r="M25">
            <v>14.66</v>
          </cell>
          <cell r="N25">
            <v>9.98</v>
          </cell>
          <cell r="R25">
            <v>14.66</v>
          </cell>
          <cell r="S25">
            <v>9.98</v>
          </cell>
          <cell r="T25">
            <v>24.64</v>
          </cell>
          <cell r="U25">
            <v>12.35</v>
          </cell>
        </row>
        <row r="26">
          <cell r="L26" t="str">
            <v>ExportMill WorkingCannon LandmarkUSAHand41x76L</v>
          </cell>
          <cell r="M26">
            <v>1.21</v>
          </cell>
          <cell r="N26">
            <v>9.81</v>
          </cell>
          <cell r="R26">
            <v>1.21</v>
          </cell>
          <cell r="S26">
            <v>9.81</v>
          </cell>
          <cell r="T26">
            <v>11.02</v>
          </cell>
          <cell r="U26">
            <v>24.95</v>
          </cell>
        </row>
        <row r="27">
          <cell r="L27" t="str">
            <v>ExportMill WorkingCannon LandmarkUSAHand41x76M</v>
          </cell>
          <cell r="M27">
            <v>4.22</v>
          </cell>
          <cell r="N27">
            <v>9.7200000000000006</v>
          </cell>
          <cell r="R27">
            <v>4.22</v>
          </cell>
          <cell r="S27">
            <v>9.7200000000000006</v>
          </cell>
          <cell r="T27">
            <v>13.940000000000001</v>
          </cell>
          <cell r="U27">
            <v>24.95</v>
          </cell>
        </row>
        <row r="28">
          <cell r="L28" t="str">
            <v>ExportMill WorkingCannon LandmarkUSAHand41x76D</v>
          </cell>
          <cell r="M28">
            <v>14.66</v>
          </cell>
          <cell r="N28">
            <v>9.98</v>
          </cell>
          <cell r="R28">
            <v>14.66</v>
          </cell>
          <cell r="S28">
            <v>9.98</v>
          </cell>
          <cell r="T28">
            <v>24.64</v>
          </cell>
          <cell r="U28">
            <v>24.95</v>
          </cell>
        </row>
        <row r="29">
          <cell r="L29" t="str">
            <v>ExportMill WorkingCannon LandmarkUSAWash33x33L</v>
          </cell>
          <cell r="M29">
            <v>1.21</v>
          </cell>
          <cell r="N29">
            <v>9.81</v>
          </cell>
          <cell r="R29">
            <v>1.21</v>
          </cell>
          <cell r="S29">
            <v>9.81</v>
          </cell>
          <cell r="T29">
            <v>11.02</v>
          </cell>
          <cell r="U29">
            <v>47.86</v>
          </cell>
        </row>
        <row r="30">
          <cell r="L30" t="str">
            <v>ExportMill WorkingCannon LandmarkUSAWash33x33M</v>
          </cell>
          <cell r="M30">
            <v>4.22</v>
          </cell>
          <cell r="N30">
            <v>9.7200000000000006</v>
          </cell>
          <cell r="R30">
            <v>4.22</v>
          </cell>
          <cell r="S30">
            <v>9.7200000000000006</v>
          </cell>
          <cell r="T30">
            <v>13.940000000000001</v>
          </cell>
          <cell r="U30">
            <v>47.86</v>
          </cell>
        </row>
        <row r="31">
          <cell r="L31" t="str">
            <v>ExportMill WorkingCannon LandmarkUSAWash33x33D</v>
          </cell>
          <cell r="M31">
            <v>14.66</v>
          </cell>
          <cell r="N31">
            <v>9.98</v>
          </cell>
          <cell r="R31">
            <v>14.66</v>
          </cell>
          <cell r="S31">
            <v>9.98</v>
          </cell>
          <cell r="T31">
            <v>24.64</v>
          </cell>
          <cell r="U31">
            <v>47.86</v>
          </cell>
        </row>
        <row r="32">
          <cell r="L32" t="str">
            <v>ExportMill WorkingCannon MilestoneUSABath76x137L</v>
          </cell>
          <cell r="M32">
            <v>1.21</v>
          </cell>
          <cell r="N32">
            <v>9.81</v>
          </cell>
          <cell r="R32">
            <v>1.21</v>
          </cell>
          <cell r="S32">
            <v>9.81</v>
          </cell>
          <cell r="T32">
            <v>11.02</v>
          </cell>
          <cell r="U32">
            <v>12.35</v>
          </cell>
        </row>
        <row r="33">
          <cell r="L33" t="str">
            <v>ExportMill WorkingCannon MilestoneUSABath76x137M</v>
          </cell>
          <cell r="M33">
            <v>4.22</v>
          </cell>
          <cell r="N33">
            <v>9.7200000000000006</v>
          </cell>
          <cell r="R33">
            <v>4.22</v>
          </cell>
          <cell r="S33">
            <v>9.7200000000000006</v>
          </cell>
          <cell r="T33">
            <v>13.940000000000001</v>
          </cell>
          <cell r="U33">
            <v>12.35</v>
          </cell>
        </row>
        <row r="34">
          <cell r="L34" t="str">
            <v>ExportMill WorkingCannon MilestoneUSABath76x137D</v>
          </cell>
          <cell r="M34">
            <v>14.66</v>
          </cell>
          <cell r="N34">
            <v>9.98</v>
          </cell>
          <cell r="R34">
            <v>14.66</v>
          </cell>
          <cell r="S34">
            <v>9.98</v>
          </cell>
          <cell r="T34">
            <v>24.64</v>
          </cell>
          <cell r="U34">
            <v>12.35</v>
          </cell>
        </row>
        <row r="35">
          <cell r="L35" t="str">
            <v>ExportMill WorkingCannon MilestoneUSAHand41x76L</v>
          </cell>
          <cell r="M35">
            <v>1.21</v>
          </cell>
          <cell r="N35">
            <v>9.81</v>
          </cell>
          <cell r="R35">
            <v>1.21</v>
          </cell>
          <cell r="S35">
            <v>9.81</v>
          </cell>
          <cell r="T35">
            <v>11.02</v>
          </cell>
          <cell r="U35">
            <v>24.95</v>
          </cell>
        </row>
        <row r="36">
          <cell r="L36" t="str">
            <v>ExportMill WorkingCannon MilestoneUSAHand41x76M</v>
          </cell>
          <cell r="M36">
            <v>4.22</v>
          </cell>
          <cell r="N36">
            <v>9.7200000000000006</v>
          </cell>
          <cell r="R36">
            <v>4.22</v>
          </cell>
          <cell r="S36">
            <v>9.7200000000000006</v>
          </cell>
          <cell r="T36">
            <v>13.940000000000001</v>
          </cell>
          <cell r="U36">
            <v>24.95</v>
          </cell>
        </row>
        <row r="37">
          <cell r="L37" t="str">
            <v>ExportMill WorkingCannon MilestoneUSAHand41x76D</v>
          </cell>
          <cell r="M37">
            <v>14.66</v>
          </cell>
          <cell r="N37">
            <v>9.98</v>
          </cell>
          <cell r="R37">
            <v>14.66</v>
          </cell>
          <cell r="S37">
            <v>9.98</v>
          </cell>
          <cell r="T37">
            <v>24.64</v>
          </cell>
          <cell r="U37">
            <v>24.95</v>
          </cell>
        </row>
        <row r="38">
          <cell r="L38" t="str">
            <v>ExportMill WorkingCannon MilestoneUSAWash33x33L</v>
          </cell>
          <cell r="M38">
            <v>1.21</v>
          </cell>
          <cell r="N38">
            <v>9.81</v>
          </cell>
          <cell r="R38">
            <v>1.21</v>
          </cell>
          <cell r="S38">
            <v>9.81</v>
          </cell>
          <cell r="T38">
            <v>11.02</v>
          </cell>
          <cell r="U38">
            <v>47.86</v>
          </cell>
        </row>
        <row r="39">
          <cell r="L39" t="str">
            <v>ExportMill WorkingCannon MilestoneUSAWash33x33M</v>
          </cell>
          <cell r="M39">
            <v>4.22</v>
          </cell>
          <cell r="N39">
            <v>9.7200000000000006</v>
          </cell>
          <cell r="R39">
            <v>4.22</v>
          </cell>
          <cell r="S39">
            <v>9.7200000000000006</v>
          </cell>
          <cell r="T39">
            <v>13.940000000000001</v>
          </cell>
          <cell r="U39">
            <v>47.86</v>
          </cell>
        </row>
        <row r="40">
          <cell r="L40" t="str">
            <v>ExportMill WorkingCannon MilestoneUSAWash33x33D</v>
          </cell>
          <cell r="M40">
            <v>14.66</v>
          </cell>
          <cell r="N40">
            <v>9.98</v>
          </cell>
          <cell r="R40">
            <v>14.66</v>
          </cell>
          <cell r="S40">
            <v>9.98</v>
          </cell>
          <cell r="T40">
            <v>24.64</v>
          </cell>
          <cell r="U40">
            <v>47.86</v>
          </cell>
        </row>
        <row r="41">
          <cell r="L41" t="str">
            <v>ExportWelspun USAEsplamaUSABath76x137L</v>
          </cell>
          <cell r="M41">
            <v>1.21</v>
          </cell>
          <cell r="N41">
            <v>9.81</v>
          </cell>
          <cell r="R41">
            <v>1.21</v>
          </cell>
          <cell r="S41">
            <v>9.81</v>
          </cell>
          <cell r="T41">
            <v>11.02</v>
          </cell>
          <cell r="U41">
            <v>4.83</v>
          </cell>
        </row>
        <row r="42">
          <cell r="L42" t="str">
            <v>ExportWelspun USAEsplamaUSABath76x137M</v>
          </cell>
          <cell r="M42">
            <v>4.22</v>
          </cell>
          <cell r="N42">
            <v>9.7200000000000006</v>
          </cell>
          <cell r="R42">
            <v>4.22</v>
          </cell>
          <cell r="S42">
            <v>9.7200000000000006</v>
          </cell>
          <cell r="T42">
            <v>13.940000000000001</v>
          </cell>
          <cell r="U42">
            <v>4.83</v>
          </cell>
        </row>
        <row r="43">
          <cell r="L43" t="str">
            <v>ExportWelspun USAEsplamaUSABath76x137D</v>
          </cell>
          <cell r="M43">
            <v>14.66</v>
          </cell>
          <cell r="N43">
            <v>9.98</v>
          </cell>
          <cell r="R43">
            <v>14.66</v>
          </cell>
          <cell r="S43">
            <v>9.98</v>
          </cell>
          <cell r="T43">
            <v>24.64</v>
          </cell>
          <cell r="U43">
            <v>4.83</v>
          </cell>
        </row>
        <row r="44">
          <cell r="L44" t="str">
            <v>ExportWelspun USAEsplamaUSAHand41x71L</v>
          </cell>
          <cell r="M44">
            <v>1.21</v>
          </cell>
          <cell r="N44">
            <v>9.81</v>
          </cell>
          <cell r="R44">
            <v>1.21</v>
          </cell>
          <cell r="S44">
            <v>9.81</v>
          </cell>
          <cell r="T44">
            <v>11.02</v>
          </cell>
          <cell r="U44">
            <v>10.32</v>
          </cell>
        </row>
        <row r="45">
          <cell r="L45" t="str">
            <v>ExportWelspun USAEsplamaUSAHand41x71M</v>
          </cell>
          <cell r="M45">
            <v>4.22</v>
          </cell>
          <cell r="N45">
            <v>9.7200000000000006</v>
          </cell>
          <cell r="R45">
            <v>4.22</v>
          </cell>
          <cell r="S45">
            <v>9.7200000000000006</v>
          </cell>
          <cell r="T45">
            <v>13.940000000000001</v>
          </cell>
          <cell r="U45">
            <v>10.32</v>
          </cell>
        </row>
        <row r="46">
          <cell r="L46" t="str">
            <v>ExportWelspun USAEsplamaUSAHand41x71D</v>
          </cell>
          <cell r="M46">
            <v>14.66</v>
          </cell>
          <cell r="N46">
            <v>9.98</v>
          </cell>
          <cell r="R46">
            <v>14.66</v>
          </cell>
          <cell r="S46">
            <v>9.98</v>
          </cell>
          <cell r="T46">
            <v>24.64</v>
          </cell>
          <cell r="U46">
            <v>10.32</v>
          </cell>
        </row>
        <row r="47">
          <cell r="L47" t="str">
            <v>ExportWelspun USAEsplamaUSAWash33x33L</v>
          </cell>
          <cell r="M47">
            <v>1.21</v>
          </cell>
          <cell r="N47">
            <v>9.81</v>
          </cell>
          <cell r="R47">
            <v>1.21</v>
          </cell>
          <cell r="S47">
            <v>9.81</v>
          </cell>
          <cell r="T47">
            <v>11.02</v>
          </cell>
          <cell r="U47">
            <v>25.14</v>
          </cell>
        </row>
        <row r="48">
          <cell r="L48" t="str">
            <v>ExportWelspun USAEsplamaUSAWash33x33M</v>
          </cell>
          <cell r="M48">
            <v>4.22</v>
          </cell>
          <cell r="N48">
            <v>9.7200000000000006</v>
          </cell>
          <cell r="R48">
            <v>4.22</v>
          </cell>
          <cell r="S48">
            <v>9.7200000000000006</v>
          </cell>
          <cell r="T48">
            <v>13.940000000000001</v>
          </cell>
          <cell r="U48">
            <v>25.14</v>
          </cell>
        </row>
        <row r="49">
          <cell r="L49" t="str">
            <v>ExportWelspun USAEsplamaUSAWash33x33D</v>
          </cell>
          <cell r="M49">
            <v>14.66</v>
          </cell>
          <cell r="N49">
            <v>9.98</v>
          </cell>
          <cell r="R49">
            <v>14.66</v>
          </cell>
          <cell r="S49">
            <v>9.98</v>
          </cell>
          <cell r="T49">
            <v>24.64</v>
          </cell>
          <cell r="U49">
            <v>25.14</v>
          </cell>
        </row>
        <row r="50">
          <cell r="L50" t="str">
            <v>ExportLNTManorUSABath76x147L</v>
          </cell>
          <cell r="M50">
            <v>1.21</v>
          </cell>
          <cell r="N50">
            <v>9.81</v>
          </cell>
          <cell r="R50">
            <v>1.21</v>
          </cell>
          <cell r="S50">
            <v>9.81</v>
          </cell>
          <cell r="T50">
            <v>11.02</v>
          </cell>
          <cell r="U50">
            <v>13.19</v>
          </cell>
        </row>
        <row r="51">
          <cell r="L51" t="str">
            <v>ExportLNTManorUSABath76x147M</v>
          </cell>
          <cell r="M51">
            <v>4.22</v>
          </cell>
          <cell r="N51">
            <v>9.7200000000000006</v>
          </cell>
          <cell r="R51">
            <v>4.22</v>
          </cell>
          <cell r="S51">
            <v>9.7200000000000006</v>
          </cell>
          <cell r="T51">
            <v>13.940000000000001</v>
          </cell>
          <cell r="U51">
            <v>13.19</v>
          </cell>
        </row>
        <row r="52">
          <cell r="L52" t="str">
            <v>ExportLNTManorUSABath76x147D</v>
          </cell>
          <cell r="M52">
            <v>14.66</v>
          </cell>
          <cell r="N52">
            <v>9.98</v>
          </cell>
          <cell r="R52">
            <v>14.66</v>
          </cell>
          <cell r="S52">
            <v>9.98</v>
          </cell>
          <cell r="T52">
            <v>24.64</v>
          </cell>
          <cell r="U52">
            <v>13.19</v>
          </cell>
        </row>
        <row r="53">
          <cell r="L53" t="str">
            <v>ExportLNTManorUSAHand51x76L</v>
          </cell>
          <cell r="M53">
            <v>1.21</v>
          </cell>
          <cell r="N53">
            <v>9.81</v>
          </cell>
          <cell r="R53">
            <v>1.21</v>
          </cell>
          <cell r="S53">
            <v>9.81</v>
          </cell>
          <cell r="T53">
            <v>11.02</v>
          </cell>
          <cell r="U53">
            <v>15.63</v>
          </cell>
        </row>
        <row r="54">
          <cell r="L54" t="str">
            <v>ExportLNTManorUSAHand51x76M</v>
          </cell>
          <cell r="M54">
            <v>4.22</v>
          </cell>
          <cell r="N54">
            <v>9.7200000000000006</v>
          </cell>
          <cell r="R54">
            <v>4.22</v>
          </cell>
          <cell r="S54">
            <v>9.7200000000000006</v>
          </cell>
          <cell r="T54">
            <v>13.940000000000001</v>
          </cell>
          <cell r="U54">
            <v>15.63</v>
          </cell>
        </row>
        <row r="55">
          <cell r="L55" t="str">
            <v>ExportLNTManorUSAHand51x76D</v>
          </cell>
          <cell r="M55">
            <v>14.66</v>
          </cell>
          <cell r="N55">
            <v>9.98</v>
          </cell>
          <cell r="R55">
            <v>14.66</v>
          </cell>
          <cell r="S55">
            <v>9.98</v>
          </cell>
          <cell r="T55">
            <v>24.64</v>
          </cell>
          <cell r="U55">
            <v>15.63</v>
          </cell>
        </row>
        <row r="56">
          <cell r="L56" t="str">
            <v>ExportLNTManorUSAWash33x33L</v>
          </cell>
          <cell r="M56">
            <v>1.21</v>
          </cell>
          <cell r="N56">
            <v>9.81</v>
          </cell>
          <cell r="R56">
            <v>1.21</v>
          </cell>
          <cell r="S56">
            <v>9.81</v>
          </cell>
          <cell r="T56">
            <v>11.02</v>
          </cell>
          <cell r="U56">
            <v>60.77</v>
          </cell>
        </row>
        <row r="57">
          <cell r="L57" t="str">
            <v>ExportLNTManorUSAWash33x33M</v>
          </cell>
          <cell r="M57">
            <v>4.22</v>
          </cell>
          <cell r="N57">
            <v>9.7200000000000006</v>
          </cell>
          <cell r="R57">
            <v>4.22</v>
          </cell>
          <cell r="S57">
            <v>9.7200000000000006</v>
          </cell>
          <cell r="T57">
            <v>13.940000000000001</v>
          </cell>
          <cell r="U57">
            <v>60.77</v>
          </cell>
        </row>
        <row r="58">
          <cell r="L58" t="str">
            <v>ExportLNTManorUSAWash33x33D</v>
          </cell>
          <cell r="M58">
            <v>14.66</v>
          </cell>
          <cell r="N58">
            <v>9.98</v>
          </cell>
          <cell r="R58">
            <v>14.66</v>
          </cell>
          <cell r="S58">
            <v>9.98</v>
          </cell>
          <cell r="T58">
            <v>24.64</v>
          </cell>
          <cell r="U58">
            <v>60.77</v>
          </cell>
        </row>
        <row r="59">
          <cell r="L59" t="str">
            <v>ExportLNTNewUSABath76x147L</v>
          </cell>
          <cell r="M59">
            <v>1.21</v>
          </cell>
          <cell r="N59">
            <v>9.81</v>
          </cell>
          <cell r="R59">
            <v>1.21</v>
          </cell>
          <cell r="S59">
            <v>9.81</v>
          </cell>
          <cell r="T59">
            <v>11.02</v>
          </cell>
          <cell r="U59">
            <v>13.19</v>
          </cell>
        </row>
        <row r="60">
          <cell r="L60" t="str">
            <v>ExportLNTNewUSABath76x147M</v>
          </cell>
          <cell r="M60">
            <v>4.22</v>
          </cell>
          <cell r="N60">
            <v>9.7200000000000006</v>
          </cell>
          <cell r="R60">
            <v>4.22</v>
          </cell>
          <cell r="S60">
            <v>9.7200000000000006</v>
          </cell>
          <cell r="T60">
            <v>13.940000000000001</v>
          </cell>
          <cell r="U60">
            <v>13.19</v>
          </cell>
        </row>
        <row r="61">
          <cell r="L61" t="str">
            <v>ExportLNTNewUSABath76x147D</v>
          </cell>
          <cell r="M61">
            <v>14.66</v>
          </cell>
          <cell r="N61">
            <v>9.98</v>
          </cell>
          <cell r="R61">
            <v>14.66</v>
          </cell>
          <cell r="S61">
            <v>9.98</v>
          </cell>
          <cell r="T61">
            <v>24.64</v>
          </cell>
          <cell r="U61">
            <v>13.19</v>
          </cell>
        </row>
        <row r="62">
          <cell r="L62" t="str">
            <v>ExportLNTNewUSAHand51x76L</v>
          </cell>
          <cell r="M62">
            <v>1.21</v>
          </cell>
          <cell r="N62">
            <v>9.81</v>
          </cell>
          <cell r="R62">
            <v>1.21</v>
          </cell>
          <cell r="S62">
            <v>9.81</v>
          </cell>
          <cell r="T62">
            <v>11.02</v>
          </cell>
          <cell r="U62">
            <v>15.63</v>
          </cell>
        </row>
        <row r="63">
          <cell r="L63" t="str">
            <v>ExportLNTNewUSAHand51x76M</v>
          </cell>
          <cell r="M63">
            <v>4.22</v>
          </cell>
          <cell r="N63">
            <v>9.7200000000000006</v>
          </cell>
          <cell r="R63">
            <v>4.22</v>
          </cell>
          <cell r="S63">
            <v>9.7200000000000006</v>
          </cell>
          <cell r="T63">
            <v>13.940000000000001</v>
          </cell>
          <cell r="U63">
            <v>15.63</v>
          </cell>
        </row>
        <row r="64">
          <cell r="L64" t="str">
            <v>ExportLNTNewUSAHand51x76D</v>
          </cell>
          <cell r="M64">
            <v>14.66</v>
          </cell>
          <cell r="N64">
            <v>9.98</v>
          </cell>
          <cell r="R64">
            <v>14.66</v>
          </cell>
          <cell r="S64">
            <v>9.98</v>
          </cell>
          <cell r="T64">
            <v>24.64</v>
          </cell>
          <cell r="U64">
            <v>15.63</v>
          </cell>
        </row>
        <row r="65">
          <cell r="L65" t="str">
            <v>ExportLNTNewUSAWash33x33L</v>
          </cell>
          <cell r="M65">
            <v>1.21</v>
          </cell>
          <cell r="N65">
            <v>9.81</v>
          </cell>
          <cell r="R65">
            <v>1.21</v>
          </cell>
          <cell r="S65">
            <v>9.81</v>
          </cell>
          <cell r="T65">
            <v>11.02</v>
          </cell>
          <cell r="U65">
            <v>60.77</v>
          </cell>
        </row>
        <row r="66">
          <cell r="L66" t="str">
            <v>ExportLNTNewUSAWash33x33M</v>
          </cell>
          <cell r="M66">
            <v>4.22</v>
          </cell>
          <cell r="N66">
            <v>9.7200000000000006</v>
          </cell>
          <cell r="R66">
            <v>4.22</v>
          </cell>
          <cell r="S66">
            <v>9.7200000000000006</v>
          </cell>
          <cell r="T66">
            <v>13.940000000000001</v>
          </cell>
          <cell r="U66">
            <v>60.77</v>
          </cell>
        </row>
        <row r="67">
          <cell r="L67" t="str">
            <v>ExportLNTNewUSAWash33x33D</v>
          </cell>
          <cell r="M67">
            <v>14.66</v>
          </cell>
          <cell r="N67">
            <v>9.98</v>
          </cell>
          <cell r="R67">
            <v>14.66</v>
          </cell>
          <cell r="S67">
            <v>9.98</v>
          </cell>
          <cell r="T67">
            <v>24.64</v>
          </cell>
          <cell r="U67">
            <v>60.77</v>
          </cell>
        </row>
        <row r="68">
          <cell r="L68" t="str">
            <v>ExportKohlsBig One StripeUSABath76x137L</v>
          </cell>
          <cell r="M68">
            <v>1.21</v>
          </cell>
          <cell r="N68">
            <v>9.81</v>
          </cell>
          <cell r="R68">
            <v>1.21</v>
          </cell>
          <cell r="S68">
            <v>9.81</v>
          </cell>
          <cell r="T68">
            <v>11.02</v>
          </cell>
          <cell r="U68">
            <v>9.26</v>
          </cell>
        </row>
        <row r="69">
          <cell r="L69" t="str">
            <v>ExportKohlsBig One StripeUSABath76x137M</v>
          </cell>
          <cell r="M69">
            <v>4.22</v>
          </cell>
          <cell r="N69">
            <v>9.7200000000000006</v>
          </cell>
          <cell r="R69">
            <v>4.22</v>
          </cell>
          <cell r="S69">
            <v>9.7200000000000006</v>
          </cell>
          <cell r="T69">
            <v>13.940000000000001</v>
          </cell>
          <cell r="U69">
            <v>9.26</v>
          </cell>
        </row>
        <row r="70">
          <cell r="L70" t="str">
            <v>ExportKohlsBig One StripeUSABath76x137D</v>
          </cell>
          <cell r="M70">
            <v>14.66</v>
          </cell>
          <cell r="N70">
            <v>9.98</v>
          </cell>
          <cell r="R70">
            <v>14.66</v>
          </cell>
          <cell r="S70">
            <v>9.98</v>
          </cell>
          <cell r="T70">
            <v>24.64</v>
          </cell>
          <cell r="U70">
            <v>9.26</v>
          </cell>
        </row>
        <row r="71">
          <cell r="L71" t="str">
            <v>ExportKohlsBig One StripeUSAHand41x71L</v>
          </cell>
          <cell r="M71">
            <v>1.21</v>
          </cell>
          <cell r="N71">
            <v>9.81</v>
          </cell>
          <cell r="R71">
            <v>1.21</v>
          </cell>
          <cell r="S71">
            <v>9.81</v>
          </cell>
          <cell r="T71">
            <v>11.02</v>
          </cell>
          <cell r="U71">
            <v>9.61</v>
          </cell>
        </row>
        <row r="72">
          <cell r="L72" t="str">
            <v>ExportKohlsBig One StripeUSAHand41x71M</v>
          </cell>
          <cell r="M72">
            <v>4.22</v>
          </cell>
          <cell r="N72">
            <v>9.7200000000000006</v>
          </cell>
          <cell r="R72">
            <v>4.22</v>
          </cell>
          <cell r="S72">
            <v>9.7200000000000006</v>
          </cell>
          <cell r="T72">
            <v>13.940000000000001</v>
          </cell>
          <cell r="U72">
            <v>9.61</v>
          </cell>
        </row>
        <row r="73">
          <cell r="L73" t="str">
            <v>ExportKohlsBig One StripeUSAHand41x71D</v>
          </cell>
          <cell r="M73">
            <v>14.66</v>
          </cell>
          <cell r="N73">
            <v>9.98</v>
          </cell>
          <cell r="R73">
            <v>14.66</v>
          </cell>
          <cell r="S73">
            <v>9.98</v>
          </cell>
          <cell r="T73">
            <v>24.64</v>
          </cell>
          <cell r="U73">
            <v>9.61</v>
          </cell>
        </row>
        <row r="74">
          <cell r="L74" t="str">
            <v>ExportKohlsBig One StripeUSAWash30x30L</v>
          </cell>
          <cell r="M74">
            <v>1.21</v>
          </cell>
          <cell r="N74">
            <v>9.81</v>
          </cell>
          <cell r="R74">
            <v>1.21</v>
          </cell>
          <cell r="S74">
            <v>9.81</v>
          </cell>
          <cell r="T74">
            <v>11.02</v>
          </cell>
          <cell r="U74">
            <v>32.75</v>
          </cell>
        </row>
        <row r="75">
          <cell r="L75" t="str">
            <v>ExportKohlsBig One StripeUSAWash30x30M</v>
          </cell>
          <cell r="M75">
            <v>4.22</v>
          </cell>
          <cell r="N75">
            <v>9.7200000000000006</v>
          </cell>
          <cell r="R75">
            <v>4.22</v>
          </cell>
          <cell r="S75">
            <v>9.7200000000000006</v>
          </cell>
          <cell r="T75">
            <v>13.940000000000001</v>
          </cell>
          <cell r="U75">
            <v>32.75</v>
          </cell>
        </row>
        <row r="76">
          <cell r="L76" t="str">
            <v>ExportKohlsBig One StripeUSAWash30x30D</v>
          </cell>
          <cell r="M76">
            <v>14.66</v>
          </cell>
          <cell r="N76">
            <v>9.98</v>
          </cell>
          <cell r="R76">
            <v>14.66</v>
          </cell>
          <cell r="S76">
            <v>9.98</v>
          </cell>
          <cell r="T76">
            <v>24.64</v>
          </cell>
          <cell r="U76">
            <v>32.75</v>
          </cell>
        </row>
        <row r="77">
          <cell r="L77" t="str">
            <v>ExportKohlsBig One SolidUSABath76x137L</v>
          </cell>
          <cell r="M77">
            <v>1.21</v>
          </cell>
          <cell r="N77">
            <v>9.81</v>
          </cell>
          <cell r="R77">
            <v>1.21</v>
          </cell>
          <cell r="S77">
            <v>9.81</v>
          </cell>
          <cell r="T77">
            <v>11.02</v>
          </cell>
          <cell r="U77">
            <v>9.26</v>
          </cell>
        </row>
        <row r="78">
          <cell r="L78" t="str">
            <v>ExportKohlsBig One SolidUSABath76x137M</v>
          </cell>
          <cell r="M78">
            <v>4.22</v>
          </cell>
          <cell r="N78">
            <v>9.7200000000000006</v>
          </cell>
          <cell r="R78">
            <v>4.22</v>
          </cell>
          <cell r="S78">
            <v>9.7200000000000006</v>
          </cell>
          <cell r="T78">
            <v>13.940000000000001</v>
          </cell>
          <cell r="U78">
            <v>9.26</v>
          </cell>
        </row>
        <row r="79">
          <cell r="L79" t="str">
            <v>ExportKohlsBig One SolidUSABath76x137D</v>
          </cell>
          <cell r="M79">
            <v>14.66</v>
          </cell>
          <cell r="N79">
            <v>9.98</v>
          </cell>
          <cell r="R79">
            <v>14.66</v>
          </cell>
          <cell r="S79">
            <v>9.98</v>
          </cell>
          <cell r="T79">
            <v>24.64</v>
          </cell>
          <cell r="U79">
            <v>9.26</v>
          </cell>
        </row>
        <row r="80">
          <cell r="L80" t="str">
            <v>ExportKohlsBig One SolidUSAHand41x71L</v>
          </cell>
          <cell r="M80">
            <v>1.21</v>
          </cell>
          <cell r="N80">
            <v>9.81</v>
          </cell>
          <cell r="R80">
            <v>1.21</v>
          </cell>
          <cell r="S80">
            <v>9.81</v>
          </cell>
          <cell r="T80">
            <v>11.02</v>
          </cell>
          <cell r="U80">
            <v>9.61</v>
          </cell>
        </row>
        <row r="81">
          <cell r="L81" t="str">
            <v>ExportKohlsBig One SolidUSAHand41x71M</v>
          </cell>
          <cell r="M81">
            <v>4.22</v>
          </cell>
          <cell r="N81">
            <v>9.7200000000000006</v>
          </cell>
          <cell r="R81">
            <v>4.22</v>
          </cell>
          <cell r="S81">
            <v>9.7200000000000006</v>
          </cell>
          <cell r="T81">
            <v>13.940000000000001</v>
          </cell>
          <cell r="U81">
            <v>9.61</v>
          </cell>
        </row>
        <row r="82">
          <cell r="L82" t="str">
            <v>ExportKohlsBig One SolidUSAHand41x71D</v>
          </cell>
          <cell r="M82">
            <v>14.66</v>
          </cell>
          <cell r="N82">
            <v>9.98</v>
          </cell>
          <cell r="R82">
            <v>14.66</v>
          </cell>
          <cell r="S82">
            <v>9.98</v>
          </cell>
          <cell r="T82">
            <v>24.64</v>
          </cell>
          <cell r="U82">
            <v>9.61</v>
          </cell>
        </row>
        <row r="83">
          <cell r="L83" t="str">
            <v>ExportKohlsBig One SolidUSAWash30x30L</v>
          </cell>
          <cell r="M83">
            <v>1.21</v>
          </cell>
          <cell r="N83">
            <v>9.81</v>
          </cell>
          <cell r="R83">
            <v>1.21</v>
          </cell>
          <cell r="S83">
            <v>9.81</v>
          </cell>
          <cell r="T83">
            <v>11.02</v>
          </cell>
          <cell r="U83">
            <v>32.75</v>
          </cell>
        </row>
        <row r="84">
          <cell r="L84" t="str">
            <v>ExportKohlsBig One SolidUSAWash30x30M</v>
          </cell>
          <cell r="M84">
            <v>4.22</v>
          </cell>
          <cell r="N84">
            <v>9.7200000000000006</v>
          </cell>
          <cell r="R84">
            <v>4.22</v>
          </cell>
          <cell r="S84">
            <v>9.7200000000000006</v>
          </cell>
          <cell r="T84">
            <v>13.940000000000001</v>
          </cell>
          <cell r="U84">
            <v>32.75</v>
          </cell>
        </row>
        <row r="85">
          <cell r="L85" t="str">
            <v>ExportKohlsBig One SolidUSAWash30x30D</v>
          </cell>
          <cell r="M85">
            <v>14.66</v>
          </cell>
          <cell r="N85">
            <v>9.98</v>
          </cell>
          <cell r="R85">
            <v>14.66</v>
          </cell>
          <cell r="S85">
            <v>9.98</v>
          </cell>
          <cell r="T85">
            <v>24.64</v>
          </cell>
          <cell r="U85">
            <v>32.75</v>
          </cell>
        </row>
        <row r="86">
          <cell r="L86" t="str">
            <v>ExportIst New Buyer00Bath76x137L</v>
          </cell>
          <cell r="M86">
            <v>1.21</v>
          </cell>
          <cell r="N86">
            <v>9.81</v>
          </cell>
          <cell r="R86">
            <v>1.21</v>
          </cell>
          <cell r="S86">
            <v>9.81</v>
          </cell>
          <cell r="T86">
            <v>11.02</v>
          </cell>
          <cell r="U86">
            <v>12.35</v>
          </cell>
        </row>
        <row r="87">
          <cell r="L87" t="str">
            <v>ExportIst New Buyer00Bath76x137M</v>
          </cell>
          <cell r="M87">
            <v>4.22</v>
          </cell>
          <cell r="N87">
            <v>9.7200000000000006</v>
          </cell>
          <cell r="R87">
            <v>4.22</v>
          </cell>
          <cell r="S87">
            <v>9.7200000000000006</v>
          </cell>
          <cell r="T87">
            <v>13.940000000000001</v>
          </cell>
          <cell r="U87">
            <v>12.35</v>
          </cell>
        </row>
        <row r="88">
          <cell r="L88" t="str">
            <v>ExportIst New Buyer00Bath76x137D</v>
          </cell>
          <cell r="M88">
            <v>14.66</v>
          </cell>
          <cell r="N88">
            <v>9.98</v>
          </cell>
          <cell r="R88">
            <v>14.66</v>
          </cell>
          <cell r="S88">
            <v>9.98</v>
          </cell>
          <cell r="T88">
            <v>24.64</v>
          </cell>
          <cell r="U88">
            <v>12.35</v>
          </cell>
        </row>
        <row r="89">
          <cell r="L89" t="str">
            <v>ExportIst New Buyer00Hand41x76L</v>
          </cell>
          <cell r="M89">
            <v>1.21</v>
          </cell>
          <cell r="N89">
            <v>9.81</v>
          </cell>
          <cell r="R89">
            <v>1.21</v>
          </cell>
          <cell r="S89">
            <v>9.81</v>
          </cell>
          <cell r="T89">
            <v>11.02</v>
          </cell>
          <cell r="U89">
            <v>24.95</v>
          </cell>
        </row>
        <row r="90">
          <cell r="L90" t="str">
            <v>ExportIst New Buyer00Hand41x76M</v>
          </cell>
          <cell r="M90">
            <v>4.22</v>
          </cell>
          <cell r="N90">
            <v>9.7200000000000006</v>
          </cell>
          <cell r="R90">
            <v>4.22</v>
          </cell>
          <cell r="S90">
            <v>9.7200000000000006</v>
          </cell>
          <cell r="T90">
            <v>13.940000000000001</v>
          </cell>
          <cell r="U90">
            <v>24.95</v>
          </cell>
        </row>
        <row r="91">
          <cell r="L91" t="str">
            <v>ExportIst New Buyer00Hand41x76D</v>
          </cell>
          <cell r="M91">
            <v>14.66</v>
          </cell>
          <cell r="N91">
            <v>9.98</v>
          </cell>
          <cell r="R91">
            <v>14.66</v>
          </cell>
          <cell r="S91">
            <v>9.98</v>
          </cell>
          <cell r="T91">
            <v>24.64</v>
          </cell>
          <cell r="U91">
            <v>24.95</v>
          </cell>
        </row>
        <row r="92">
          <cell r="L92" t="str">
            <v>ExportIst New Buyer00Wash33x33L</v>
          </cell>
          <cell r="M92">
            <v>1.21</v>
          </cell>
          <cell r="N92">
            <v>9.81</v>
          </cell>
          <cell r="R92">
            <v>1.21</v>
          </cell>
          <cell r="S92">
            <v>9.81</v>
          </cell>
          <cell r="T92">
            <v>11.02</v>
          </cell>
          <cell r="U92">
            <v>47.86</v>
          </cell>
        </row>
        <row r="93">
          <cell r="L93" t="str">
            <v>ExportIst New Buyer00Wash33x33M</v>
          </cell>
          <cell r="M93">
            <v>4.22</v>
          </cell>
          <cell r="N93">
            <v>9.7200000000000006</v>
          </cell>
          <cell r="R93">
            <v>4.22</v>
          </cell>
          <cell r="S93">
            <v>9.7200000000000006</v>
          </cell>
          <cell r="T93">
            <v>13.940000000000001</v>
          </cell>
          <cell r="U93">
            <v>47.86</v>
          </cell>
        </row>
        <row r="94">
          <cell r="L94" t="str">
            <v>ExportIst New Buyer00Wash33x33D</v>
          </cell>
          <cell r="M94">
            <v>14.66</v>
          </cell>
          <cell r="N94">
            <v>9.98</v>
          </cell>
          <cell r="R94">
            <v>14.66</v>
          </cell>
          <cell r="S94">
            <v>9.98</v>
          </cell>
          <cell r="T94">
            <v>24.64</v>
          </cell>
          <cell r="U94">
            <v>47.86</v>
          </cell>
        </row>
        <row r="95">
          <cell r="L95" t="str">
            <v>Export2nd New Buyer00Bath76x137L</v>
          </cell>
          <cell r="M95">
            <v>1.21</v>
          </cell>
          <cell r="N95">
            <v>9.81</v>
          </cell>
          <cell r="R95">
            <v>1.21</v>
          </cell>
          <cell r="S95">
            <v>9.81</v>
          </cell>
          <cell r="T95">
            <v>11.02</v>
          </cell>
          <cell r="U95">
            <v>12.35</v>
          </cell>
        </row>
        <row r="96">
          <cell r="L96" t="str">
            <v>Export2nd New Buyer00Bath76x137M</v>
          </cell>
          <cell r="M96">
            <v>4.22</v>
          </cell>
          <cell r="N96">
            <v>9.7200000000000006</v>
          </cell>
          <cell r="R96">
            <v>4.22</v>
          </cell>
          <cell r="S96">
            <v>9.7200000000000006</v>
          </cell>
          <cell r="T96">
            <v>13.940000000000001</v>
          </cell>
          <cell r="U96">
            <v>12.35</v>
          </cell>
        </row>
        <row r="97">
          <cell r="L97" t="str">
            <v>Export2nd New Buyer00Bath76x137D</v>
          </cell>
          <cell r="M97">
            <v>14.66</v>
          </cell>
          <cell r="N97">
            <v>9.98</v>
          </cell>
          <cell r="R97">
            <v>14.66</v>
          </cell>
          <cell r="S97">
            <v>9.98</v>
          </cell>
          <cell r="T97">
            <v>24.64</v>
          </cell>
          <cell r="U97">
            <v>12.35</v>
          </cell>
        </row>
        <row r="98">
          <cell r="L98" t="str">
            <v>Export2nd New Buyer00Hand41x76L</v>
          </cell>
          <cell r="M98">
            <v>1.21</v>
          </cell>
          <cell r="N98">
            <v>9.81</v>
          </cell>
          <cell r="R98">
            <v>1.21</v>
          </cell>
          <cell r="S98">
            <v>9.81</v>
          </cell>
          <cell r="T98">
            <v>11.02</v>
          </cell>
          <cell r="U98">
            <v>24.95</v>
          </cell>
        </row>
        <row r="99">
          <cell r="L99" t="str">
            <v>Export2nd New Buyer00Hand41x76M</v>
          </cell>
          <cell r="M99">
            <v>4.22</v>
          </cell>
          <cell r="N99">
            <v>9.7200000000000006</v>
          </cell>
          <cell r="R99">
            <v>4.22</v>
          </cell>
          <cell r="S99">
            <v>9.7200000000000006</v>
          </cell>
          <cell r="T99">
            <v>13.940000000000001</v>
          </cell>
          <cell r="U99">
            <v>24.95</v>
          </cell>
        </row>
        <row r="100">
          <cell r="L100" t="str">
            <v>Export2nd New Buyer00Hand41x76D</v>
          </cell>
          <cell r="M100">
            <v>14.66</v>
          </cell>
          <cell r="N100">
            <v>9.98</v>
          </cell>
          <cell r="R100">
            <v>14.66</v>
          </cell>
          <cell r="S100">
            <v>9.98</v>
          </cell>
          <cell r="T100">
            <v>24.64</v>
          </cell>
          <cell r="U100">
            <v>24.95</v>
          </cell>
        </row>
        <row r="101">
          <cell r="L101" t="str">
            <v>Export2nd New Buyer00Wash33x33L</v>
          </cell>
          <cell r="M101">
            <v>1.21</v>
          </cell>
          <cell r="N101">
            <v>9.81</v>
          </cell>
          <cell r="R101">
            <v>1.21</v>
          </cell>
          <cell r="S101">
            <v>9.81</v>
          </cell>
          <cell r="T101">
            <v>11.02</v>
          </cell>
          <cell r="U101">
            <v>47.86</v>
          </cell>
        </row>
        <row r="102">
          <cell r="L102" t="str">
            <v>Export2nd New Buyer00Wash33x33M</v>
          </cell>
          <cell r="M102">
            <v>4.22</v>
          </cell>
          <cell r="N102">
            <v>9.7200000000000006</v>
          </cell>
          <cell r="R102">
            <v>4.22</v>
          </cell>
          <cell r="S102">
            <v>9.7200000000000006</v>
          </cell>
          <cell r="T102">
            <v>13.940000000000001</v>
          </cell>
          <cell r="U102">
            <v>47.86</v>
          </cell>
        </row>
        <row r="103">
          <cell r="L103" t="str">
            <v>Export2nd New Buyer00Wash33x33D</v>
          </cell>
          <cell r="M103">
            <v>14.66</v>
          </cell>
          <cell r="N103">
            <v>9.98</v>
          </cell>
          <cell r="R103">
            <v>14.66</v>
          </cell>
          <cell r="S103">
            <v>9.98</v>
          </cell>
          <cell r="T103">
            <v>24.64</v>
          </cell>
          <cell r="U103">
            <v>47.86</v>
          </cell>
        </row>
        <row r="104">
          <cell r="L104" t="str">
            <v>Export3rd New Buyer00Bath0x0L</v>
          </cell>
          <cell r="M104">
            <v>1.21</v>
          </cell>
          <cell r="N104">
            <v>9.81</v>
          </cell>
          <cell r="R104">
            <v>1.21</v>
          </cell>
          <cell r="S104">
            <v>9.81</v>
          </cell>
          <cell r="T104">
            <v>11.02</v>
          </cell>
          <cell r="U104">
            <v>0</v>
          </cell>
        </row>
        <row r="105">
          <cell r="L105" t="str">
            <v>Export3rd New Buyer00Bath0x0M</v>
          </cell>
          <cell r="M105">
            <v>4.22</v>
          </cell>
          <cell r="N105">
            <v>9.7200000000000006</v>
          </cell>
          <cell r="R105">
            <v>4.22</v>
          </cell>
          <cell r="S105">
            <v>9.7200000000000006</v>
          </cell>
          <cell r="T105">
            <v>13.940000000000001</v>
          </cell>
          <cell r="U105">
            <v>0</v>
          </cell>
        </row>
        <row r="106">
          <cell r="L106" t="str">
            <v>Export3rd New Buyer00Bath0x0D</v>
          </cell>
          <cell r="M106">
            <v>14.66</v>
          </cell>
          <cell r="N106">
            <v>9.98</v>
          </cell>
          <cell r="R106">
            <v>14.66</v>
          </cell>
          <cell r="S106">
            <v>9.98</v>
          </cell>
          <cell r="T106">
            <v>24.64</v>
          </cell>
          <cell r="U106">
            <v>0</v>
          </cell>
        </row>
      </sheetData>
      <sheetData sheetId="2" refreshError="1">
        <row r="4">
          <cell r="K4" t="str">
            <v>Key -3</v>
          </cell>
          <cell r="L4" t="str">
            <v>Key -2</v>
          </cell>
          <cell r="M4" t="str">
            <v>Pile 1</v>
          </cell>
          <cell r="N4" t="str">
            <v>Pile 2</v>
          </cell>
          <cell r="O4" t="str">
            <v>Ground</v>
          </cell>
          <cell r="P4" t="str">
            <v>Weft  1</v>
          </cell>
          <cell r="Q4" t="str">
            <v xml:space="preserve">Weft 2 </v>
          </cell>
          <cell r="R4" t="str">
            <v xml:space="preserve">Weft 3 </v>
          </cell>
          <cell r="S4" t="str">
            <v xml:space="preserve">Weft 4 </v>
          </cell>
          <cell r="T4" t="str">
            <v>Grey Wt</v>
          </cell>
          <cell r="U4" t="str">
            <v>Net Wt</v>
          </cell>
          <cell r="V4" t="str">
            <v>FRC%</v>
          </cell>
          <cell r="W4" t="str">
            <v>Rem/Oth Waste%</v>
          </cell>
          <cell r="X4" t="str">
            <v>Sizing Gain-Pile%</v>
          </cell>
          <cell r="Y4" t="str">
            <v>SizingGain-Grnd %</v>
          </cell>
          <cell r="Z4" t="str">
            <v>Wt Loss %</v>
          </cell>
          <cell r="AA4" t="str">
            <v>Hard Waste %</v>
          </cell>
          <cell r="AB4" t="str">
            <v>GSM Var %</v>
          </cell>
          <cell r="AC4" t="str">
            <v>FRC</v>
          </cell>
          <cell r="AD4" t="str">
            <v>Rem/Oth Waste</v>
          </cell>
          <cell r="AE4" t="str">
            <v>Sizing Wt Gain-Pile</v>
          </cell>
          <cell r="AF4" t="str">
            <v>Sizing Wt Gain-Grnd</v>
          </cell>
          <cell r="AG4" t="str">
            <v>Wt Loss</v>
          </cell>
          <cell r="AH4" t="str">
            <v xml:space="preserve">Hard Waste </v>
          </cell>
          <cell r="AI4" t="str">
            <v xml:space="preserve">GSM Var </v>
          </cell>
          <cell r="AJ4" t="str">
            <v>Total Waste</v>
          </cell>
          <cell r="AK4" t="str">
            <v>Yarn Consumn</v>
          </cell>
          <cell r="AL4" t="str">
            <v>Pile 1</v>
          </cell>
          <cell r="AM4" t="str">
            <v>Pile  2</v>
          </cell>
          <cell r="AN4" t="str">
            <v>Ground</v>
          </cell>
          <cell r="AO4" t="str">
            <v>Weft  1</v>
          </cell>
          <cell r="AP4" t="str">
            <v xml:space="preserve">Weft 2 </v>
          </cell>
          <cell r="AQ4" t="str">
            <v xml:space="preserve">Weft 3 </v>
          </cell>
          <cell r="AR4" t="str">
            <v xml:space="preserve">Weft 4 </v>
          </cell>
          <cell r="AS4" t="str">
            <v>Pile 1</v>
          </cell>
          <cell r="AT4" t="str">
            <v>Pile 2</v>
          </cell>
          <cell r="AU4" t="str">
            <v>Ground</v>
          </cell>
          <cell r="AV4" t="str">
            <v>Weft  1</v>
          </cell>
          <cell r="AW4" t="str">
            <v xml:space="preserve">Weft 2 </v>
          </cell>
          <cell r="AX4" t="str">
            <v xml:space="preserve">Weft 3 </v>
          </cell>
          <cell r="AY4" t="str">
            <v xml:space="preserve">Weft 4 </v>
          </cell>
          <cell r="AZ4" t="str">
            <v xml:space="preserve">Pile </v>
          </cell>
          <cell r="BA4" t="str">
            <v>Ground</v>
          </cell>
          <cell r="BB4" t="str">
            <v>Weft  1</v>
          </cell>
          <cell r="BC4" t="str">
            <v xml:space="preserve">Weft 2 </v>
          </cell>
          <cell r="BD4" t="str">
            <v xml:space="preserve">Weft 3 </v>
          </cell>
          <cell r="BE4" t="str">
            <v>FRC</v>
          </cell>
          <cell r="BF4" t="str">
            <v>Rem/Oth Waste</v>
          </cell>
          <cell r="BG4" t="str">
            <v>Sizing Gain-Pile</v>
          </cell>
          <cell r="BH4" t="str">
            <v xml:space="preserve">SizingGain-Grnd </v>
          </cell>
          <cell r="BI4" t="str">
            <v xml:space="preserve">Wt Loss </v>
          </cell>
          <cell r="BJ4" t="str">
            <v xml:space="preserve">Hard Waste </v>
          </cell>
          <cell r="BK4" t="str">
            <v xml:space="preserve">GSM Var </v>
          </cell>
          <cell r="BL4" t="str">
            <v>Total Recovery</v>
          </cell>
          <cell r="BM4" t="str">
            <v>FRC</v>
          </cell>
          <cell r="BN4" t="str">
            <v>Rem/Oth Waste</v>
          </cell>
          <cell r="BO4" t="str">
            <v>Sizing Gain-Pile</v>
          </cell>
          <cell r="BP4" t="str">
            <v xml:space="preserve">SizingGain-Grnd </v>
          </cell>
          <cell r="BQ4" t="str">
            <v xml:space="preserve">Wt Loss </v>
          </cell>
          <cell r="BR4" t="str">
            <v xml:space="preserve">Hard Waste </v>
          </cell>
          <cell r="BS4" t="str">
            <v xml:space="preserve">GSM Var </v>
          </cell>
          <cell r="BT4" t="str">
            <v>Total Recovery</v>
          </cell>
          <cell r="BU4" t="str">
            <v>Gross</v>
          </cell>
          <cell r="BV4" t="str">
            <v>Waste Recovery</v>
          </cell>
          <cell r="BW4" t="str">
            <v>Net Cost</v>
          </cell>
          <cell r="BX4" t="str">
            <v>Gross</v>
          </cell>
          <cell r="BY4" t="str">
            <v>Waste Recovery</v>
          </cell>
          <cell r="BZ4" t="str">
            <v>Net Cost</v>
          </cell>
          <cell r="CA4" t="str">
            <v>Gross</v>
          </cell>
          <cell r="CB4" t="str">
            <v>Waste Recovery</v>
          </cell>
          <cell r="CC4" t="str">
            <v>Net Cost</v>
          </cell>
          <cell r="CD4" t="str">
            <v>Vikol -Qty gms/pc</v>
          </cell>
          <cell r="CE4" t="str">
            <v>Vikol -Rate</v>
          </cell>
          <cell r="CF4" t="str">
            <v>Vikol -Cost Rs/fsd kg</v>
          </cell>
          <cell r="CG4" t="str">
            <v>Sizabond -Qty</v>
          </cell>
          <cell r="CH4" t="str">
            <v>Sizabond -Rate</v>
          </cell>
          <cell r="CI4" t="str">
            <v>Sizabond -Cost</v>
          </cell>
          <cell r="CJ4" t="str">
            <v>Total Sizing Cost</v>
          </cell>
          <cell r="CK4" t="str">
            <v>Steam -Sizing-Pile</v>
          </cell>
          <cell r="CL4" t="str">
            <v>Steam -Sizing-Ground</v>
          </cell>
          <cell r="CM4" t="str">
            <v>Steam -Process</v>
          </cell>
          <cell r="CN4" t="str">
            <v>Steam Cost Total</v>
          </cell>
          <cell r="CO4" t="str">
            <v>Water -Sizing</v>
          </cell>
          <cell r="CP4" t="str">
            <v>Water -Process</v>
          </cell>
          <cell r="CQ4" t="str">
            <v>Water Total</v>
          </cell>
          <cell r="CR4" t="str">
            <v>Dyes</v>
          </cell>
          <cell r="CS4" t="str">
            <v>Chemical</v>
          </cell>
          <cell r="CT4" t="str">
            <v>Pkg Cost</v>
          </cell>
          <cell r="CU4" t="str">
            <v xml:space="preserve">Others </v>
          </cell>
          <cell r="CV4" t="str">
            <v>Total cost</v>
          </cell>
        </row>
        <row r="5">
          <cell r="K5" t="str">
            <v>ExportTargetWaverlyUSABath76x142L</v>
          </cell>
          <cell r="L5">
            <v>0</v>
          </cell>
          <cell r="M5">
            <v>483.24</v>
          </cell>
          <cell r="N5">
            <v>0</v>
          </cell>
          <cell r="O5">
            <v>74.06</v>
          </cell>
          <cell r="P5">
            <v>89.668999999999997</v>
          </cell>
          <cell r="Q5">
            <v>34.369999999999997</v>
          </cell>
          <cell r="R5">
            <v>9.0609999999999999</v>
          </cell>
          <cell r="S5">
            <v>0</v>
          </cell>
          <cell r="T5">
            <v>690.4</v>
          </cell>
          <cell r="U5">
            <v>642.07199999999989</v>
          </cell>
          <cell r="V5">
            <v>2.5000000000000001E-3</v>
          </cell>
          <cell r="W5">
            <v>0</v>
          </cell>
          <cell r="X5">
            <v>-1.3999999999999999E-2</v>
          </cell>
          <cell r="Y5">
            <v>-2.5000000000000001E-2</v>
          </cell>
          <cell r="Z5">
            <v>7.0000000000000173E-2</v>
          </cell>
          <cell r="AA5">
            <v>1.4999999999999999E-2</v>
          </cell>
          <cell r="AB5">
            <v>0.01</v>
          </cell>
          <cell r="AC5">
            <v>1.6092030075187966</v>
          </cell>
          <cell r="AD5">
            <v>0</v>
          </cell>
          <cell r="AE5">
            <v>-6.7653599999999994</v>
          </cell>
          <cell r="AF5">
            <v>-1.8515000000000001</v>
          </cell>
          <cell r="AG5">
            <v>48.328000000000117</v>
          </cell>
          <cell r="AH5">
            <v>9.7777461928933995</v>
          </cell>
          <cell r="AI5">
            <v>6.4855757575757575</v>
          </cell>
          <cell r="AJ5">
            <v>57.583664957988077</v>
          </cell>
          <cell r="AK5">
            <v>699.65566495798794</v>
          </cell>
          <cell r="AL5" t="str">
            <v>1/13  Comb</v>
          </cell>
          <cell r="AM5">
            <v>0</v>
          </cell>
          <cell r="AN5" t="str">
            <v>2/30  KC</v>
          </cell>
          <cell r="AO5" t="str">
            <v xml:space="preserve">1/16OE  </v>
          </cell>
          <cell r="AP5" t="str">
            <v>2/20  KC</v>
          </cell>
          <cell r="AQ5" t="str">
            <v>/450  Den</v>
          </cell>
          <cell r="AR5">
            <v>0</v>
          </cell>
          <cell r="AS5">
            <v>96.5</v>
          </cell>
          <cell r="AT5">
            <v>0</v>
          </cell>
          <cell r="AU5">
            <v>118.5</v>
          </cell>
          <cell r="AV5">
            <v>77.75</v>
          </cell>
          <cell r="AW5">
            <v>107.5</v>
          </cell>
          <cell r="AX5">
            <v>127.25</v>
          </cell>
          <cell r="AY5">
            <v>0</v>
          </cell>
          <cell r="AZ5">
            <v>46.632660000000001</v>
          </cell>
          <cell r="BA5">
            <v>8.776110000000001</v>
          </cell>
          <cell r="BB5">
            <v>6.9717647499999993</v>
          </cell>
          <cell r="BC5">
            <v>3.6947749999999995</v>
          </cell>
          <cell r="BD5">
            <v>1.15301225</v>
          </cell>
          <cell r="BE5">
            <v>0.15669759263157892</v>
          </cell>
          <cell r="BF5">
            <v>0</v>
          </cell>
          <cell r="BI5">
            <v>0</v>
          </cell>
          <cell r="BJ5">
            <v>0.95211684456852785</v>
          </cell>
          <cell r="BK5">
            <v>0.63153878242424255</v>
          </cell>
          <cell r="BL5">
            <v>1.7403532196243492</v>
          </cell>
          <cell r="BM5">
            <v>-4.0230075187969914E-2</v>
          </cell>
          <cell r="BN5">
            <v>0</v>
          </cell>
          <cell r="BO5">
            <v>0</v>
          </cell>
          <cell r="BP5">
            <v>0</v>
          </cell>
          <cell r="BQ5">
            <v>0</v>
          </cell>
          <cell r="BR5">
            <v>-0.24444365482233499</v>
          </cell>
          <cell r="BS5">
            <v>0</v>
          </cell>
          <cell r="BT5">
            <v>-0.28467373001030488</v>
          </cell>
          <cell r="BU5">
            <v>99.896690642561367</v>
          </cell>
          <cell r="BV5">
            <v>-0.35406091370558368</v>
          </cell>
          <cell r="BW5">
            <v>99.542629728855786</v>
          </cell>
          <cell r="BX5">
            <v>107.41579638985094</v>
          </cell>
          <cell r="BY5">
            <v>-0.38071065989847708</v>
          </cell>
          <cell r="BZ5">
            <v>107.03508572995246</v>
          </cell>
          <cell r="CA5">
            <v>107.41579638985094</v>
          </cell>
          <cell r="CB5">
            <v>-0.44336730150248715</v>
          </cell>
          <cell r="CC5">
            <v>106.97242908834845</v>
          </cell>
          <cell r="CD5">
            <v>6.7653599999999994</v>
          </cell>
          <cell r="CE5">
            <v>200</v>
          </cell>
          <cell r="CF5">
            <v>2.1073524464546036</v>
          </cell>
          <cell r="CG5">
            <v>1.8515000000000001</v>
          </cell>
          <cell r="CH5">
            <v>140</v>
          </cell>
          <cell r="CI5">
            <v>0.40370861834809818</v>
          </cell>
          <cell r="CJ5">
            <v>2.5110610648027016</v>
          </cell>
          <cell r="CK5">
            <v>0.67736328636040821</v>
          </cell>
          <cell r="CL5">
            <v>0.10381078757522522</v>
          </cell>
          <cell r="CM5">
            <v>2.903225806451613</v>
          </cell>
          <cell r="CN5">
            <v>3.6843998803872466</v>
          </cell>
          <cell r="CO5">
            <v>1.4074103838821817E-2</v>
          </cell>
          <cell r="CP5">
            <v>1.2795698924731187</v>
          </cell>
          <cell r="CQ5">
            <v>1.2936439963119406</v>
          </cell>
          <cell r="CR5">
            <v>1.21</v>
          </cell>
          <cell r="CS5">
            <v>9.81</v>
          </cell>
          <cell r="CT5">
            <v>8.43</v>
          </cell>
          <cell r="CU5">
            <v>0</v>
          </cell>
          <cell r="CV5">
            <v>133.91153402985034</v>
          </cell>
        </row>
        <row r="6">
          <cell r="K6" t="str">
            <v>ExportTargetWaverlyUSABath76x142M</v>
          </cell>
          <cell r="L6">
            <v>0</v>
          </cell>
          <cell r="M6">
            <v>483.24</v>
          </cell>
          <cell r="N6">
            <v>0</v>
          </cell>
          <cell r="O6">
            <v>74.06</v>
          </cell>
          <cell r="P6">
            <v>89.668999999999997</v>
          </cell>
          <cell r="Q6">
            <v>34.369999999999997</v>
          </cell>
          <cell r="R6">
            <v>9.0609999999999999</v>
          </cell>
          <cell r="S6">
            <v>0</v>
          </cell>
          <cell r="T6">
            <v>690.4</v>
          </cell>
          <cell r="U6">
            <v>642.07199999999989</v>
          </cell>
          <cell r="V6">
            <v>2.5000000000000001E-3</v>
          </cell>
          <cell r="W6">
            <v>0</v>
          </cell>
          <cell r="X6">
            <v>-1.3999999999999999E-2</v>
          </cell>
          <cell r="Y6">
            <v>-2.5000000000000001E-2</v>
          </cell>
          <cell r="Z6">
            <v>7.0000000000000173E-2</v>
          </cell>
          <cell r="AA6">
            <v>1.4999999999999999E-2</v>
          </cell>
          <cell r="AB6">
            <v>0.01</v>
          </cell>
          <cell r="AC6">
            <v>1.6092030075187966</v>
          </cell>
          <cell r="AD6">
            <v>0</v>
          </cell>
          <cell r="AE6">
            <v>-6.7653599999999994</v>
          </cell>
          <cell r="AF6">
            <v>-1.8515000000000001</v>
          </cell>
          <cell r="AG6">
            <v>48.328000000000117</v>
          </cell>
          <cell r="AH6">
            <v>9.7777461928933995</v>
          </cell>
          <cell r="AI6">
            <v>6.4855757575757575</v>
          </cell>
          <cell r="AJ6">
            <v>57.583664957988077</v>
          </cell>
          <cell r="AK6">
            <v>699.65566495798794</v>
          </cell>
          <cell r="AL6" t="str">
            <v>1/13  Comb</v>
          </cell>
          <cell r="AM6">
            <v>0</v>
          </cell>
          <cell r="AN6" t="str">
            <v>2/30  KC</v>
          </cell>
          <cell r="AO6" t="str">
            <v xml:space="preserve">1/16OE  </v>
          </cell>
          <cell r="AP6" t="str">
            <v>2/20  KC</v>
          </cell>
          <cell r="AQ6" t="str">
            <v>/450  Den</v>
          </cell>
          <cell r="AR6">
            <v>0</v>
          </cell>
          <cell r="AS6">
            <v>96.5</v>
          </cell>
          <cell r="AT6">
            <v>0</v>
          </cell>
          <cell r="AU6">
            <v>118.5</v>
          </cell>
          <cell r="AV6">
            <v>77.75</v>
          </cell>
          <cell r="AW6">
            <v>107.5</v>
          </cell>
          <cell r="AX6">
            <v>127.25</v>
          </cell>
          <cell r="AY6">
            <v>0</v>
          </cell>
          <cell r="AZ6">
            <v>46.632660000000001</v>
          </cell>
          <cell r="BA6">
            <v>8.776110000000001</v>
          </cell>
          <cell r="BB6">
            <v>6.9717647499999993</v>
          </cell>
          <cell r="BC6">
            <v>3.6947749999999995</v>
          </cell>
          <cell r="BD6">
            <v>1.15301225</v>
          </cell>
          <cell r="BE6">
            <v>0.15669759263157892</v>
          </cell>
          <cell r="BF6">
            <v>0</v>
          </cell>
          <cell r="BI6">
            <v>0</v>
          </cell>
          <cell r="BJ6">
            <v>0.95211684456852785</v>
          </cell>
          <cell r="BK6">
            <v>0.63153878242424255</v>
          </cell>
          <cell r="BL6">
            <v>1.7403532196243492</v>
          </cell>
          <cell r="BM6">
            <v>-4.0230075187969914E-2</v>
          </cell>
          <cell r="BN6">
            <v>0</v>
          </cell>
          <cell r="BO6">
            <v>0</v>
          </cell>
          <cell r="BP6">
            <v>0</v>
          </cell>
          <cell r="BQ6">
            <v>0</v>
          </cell>
          <cell r="BR6">
            <v>-0.24444365482233499</v>
          </cell>
          <cell r="BS6">
            <v>0</v>
          </cell>
          <cell r="BT6">
            <v>-0.28467373001030488</v>
          </cell>
          <cell r="BU6">
            <v>99.896690642561367</v>
          </cell>
          <cell r="BV6">
            <v>-0.35406091370558368</v>
          </cell>
          <cell r="BW6">
            <v>99.542629728855786</v>
          </cell>
          <cell r="BX6">
            <v>107.41579638985094</v>
          </cell>
          <cell r="BY6">
            <v>-0.38071065989847708</v>
          </cell>
          <cell r="BZ6">
            <v>107.03508572995246</v>
          </cell>
          <cell r="CA6">
            <v>107.41579638985094</v>
          </cell>
          <cell r="CB6">
            <v>-0.44336730150248715</v>
          </cell>
          <cell r="CC6">
            <v>106.97242908834845</v>
          </cell>
          <cell r="CD6">
            <v>6.7653599999999994</v>
          </cell>
          <cell r="CE6">
            <v>200</v>
          </cell>
          <cell r="CF6">
            <v>2.1073524464546036</v>
          </cell>
          <cell r="CG6">
            <v>1.8515000000000001</v>
          </cell>
          <cell r="CH6">
            <v>140</v>
          </cell>
          <cell r="CI6">
            <v>0.40370861834809818</v>
          </cell>
          <cell r="CJ6">
            <v>2.5110610648027016</v>
          </cell>
          <cell r="CK6">
            <v>0.67736328636040821</v>
          </cell>
          <cell r="CL6">
            <v>0.10381078757522522</v>
          </cell>
          <cell r="CM6">
            <v>2.903225806451613</v>
          </cell>
          <cell r="CN6">
            <v>3.6843998803872466</v>
          </cell>
          <cell r="CO6">
            <v>1.4074103838821817E-2</v>
          </cell>
          <cell r="CP6">
            <v>1.2795698924731187</v>
          </cell>
          <cell r="CQ6">
            <v>1.2936439963119406</v>
          </cell>
          <cell r="CR6">
            <v>4.22</v>
          </cell>
          <cell r="CS6">
            <v>9.7200000000000006</v>
          </cell>
          <cell r="CT6">
            <v>8.43</v>
          </cell>
          <cell r="CU6">
            <v>0</v>
          </cell>
          <cell r="CV6">
            <v>136.83153402985033</v>
          </cell>
        </row>
        <row r="7">
          <cell r="K7" t="str">
            <v>ExportTargetWaverlyUSABath76x142D</v>
          </cell>
          <cell r="L7">
            <v>0</v>
          </cell>
          <cell r="M7">
            <v>483.24</v>
          </cell>
          <cell r="N7">
            <v>0</v>
          </cell>
          <cell r="O7">
            <v>74.06</v>
          </cell>
          <cell r="P7">
            <v>89.668999999999997</v>
          </cell>
          <cell r="Q7">
            <v>34.369999999999997</v>
          </cell>
          <cell r="R7">
            <v>9.0609999999999999</v>
          </cell>
          <cell r="S7">
            <v>0</v>
          </cell>
          <cell r="T7">
            <v>690.4</v>
          </cell>
          <cell r="U7">
            <v>642.07199999999989</v>
          </cell>
          <cell r="V7">
            <v>2.5000000000000001E-3</v>
          </cell>
          <cell r="W7">
            <v>0</v>
          </cell>
          <cell r="X7">
            <v>-1.3999999999999999E-2</v>
          </cell>
          <cell r="Y7">
            <v>-2.5000000000000001E-2</v>
          </cell>
          <cell r="Z7">
            <v>7.0000000000000173E-2</v>
          </cell>
          <cell r="AA7">
            <v>1.4999999999999999E-2</v>
          </cell>
          <cell r="AB7">
            <v>0.01</v>
          </cell>
          <cell r="AC7">
            <v>1.6092030075187966</v>
          </cell>
          <cell r="AD7">
            <v>0</v>
          </cell>
          <cell r="AE7">
            <v>-6.7653599999999994</v>
          </cell>
          <cell r="AF7">
            <v>-1.8515000000000001</v>
          </cell>
          <cell r="AG7">
            <v>48.328000000000117</v>
          </cell>
          <cell r="AH7">
            <v>9.7777461928933995</v>
          </cell>
          <cell r="AI7">
            <v>6.4855757575757575</v>
          </cell>
          <cell r="AJ7">
            <v>57.583664957988077</v>
          </cell>
          <cell r="AK7">
            <v>699.65566495798794</v>
          </cell>
          <cell r="AL7" t="str">
            <v>1/13  Comb</v>
          </cell>
          <cell r="AM7">
            <v>0</v>
          </cell>
          <cell r="AN7" t="str">
            <v>2/30  KC</v>
          </cell>
          <cell r="AO7" t="str">
            <v xml:space="preserve">1/16OE  </v>
          </cell>
          <cell r="AP7" t="str">
            <v>2/20  KC</v>
          </cell>
          <cell r="AQ7" t="str">
            <v>/450  Den</v>
          </cell>
          <cell r="AR7">
            <v>0</v>
          </cell>
          <cell r="AS7">
            <v>96.5</v>
          </cell>
          <cell r="AT7">
            <v>0</v>
          </cell>
          <cell r="AU7">
            <v>118.5</v>
          </cell>
          <cell r="AV7">
            <v>77.75</v>
          </cell>
          <cell r="AW7">
            <v>107.5</v>
          </cell>
          <cell r="AX7">
            <v>127.25</v>
          </cell>
          <cell r="AY7">
            <v>0</v>
          </cell>
          <cell r="AZ7">
            <v>46.632660000000001</v>
          </cell>
          <cell r="BA7">
            <v>8.776110000000001</v>
          </cell>
          <cell r="BB7">
            <v>6.9717647499999993</v>
          </cell>
          <cell r="BC7">
            <v>3.6947749999999995</v>
          </cell>
          <cell r="BD7">
            <v>1.15301225</v>
          </cell>
          <cell r="BE7">
            <v>0.15669759263157892</v>
          </cell>
          <cell r="BF7">
            <v>0</v>
          </cell>
          <cell r="BI7">
            <v>0</v>
          </cell>
          <cell r="BJ7">
            <v>0.95211684456852785</v>
          </cell>
          <cell r="BK7">
            <v>0.63153878242424255</v>
          </cell>
          <cell r="BL7">
            <v>1.7403532196243492</v>
          </cell>
          <cell r="BM7">
            <v>-4.0230075187969914E-2</v>
          </cell>
          <cell r="BN7">
            <v>0</v>
          </cell>
          <cell r="BO7">
            <v>0</v>
          </cell>
          <cell r="BP7">
            <v>0</v>
          </cell>
          <cell r="BQ7">
            <v>0</v>
          </cell>
          <cell r="BR7">
            <v>-0.24444365482233499</v>
          </cell>
          <cell r="BS7">
            <v>0</v>
          </cell>
          <cell r="BT7">
            <v>-0.28467373001030488</v>
          </cell>
          <cell r="BU7">
            <v>99.896690642561367</v>
          </cell>
          <cell r="BV7">
            <v>-0.35406091370558368</v>
          </cell>
          <cell r="BW7">
            <v>99.542629728855786</v>
          </cell>
          <cell r="BX7">
            <v>107.41579638985094</v>
          </cell>
          <cell r="BY7">
            <v>-0.38071065989847708</v>
          </cell>
          <cell r="BZ7">
            <v>107.03508572995246</v>
          </cell>
          <cell r="CA7">
            <v>107.41579638985094</v>
          </cell>
          <cell r="CB7">
            <v>-0.44336730150248715</v>
          </cell>
          <cell r="CC7">
            <v>106.97242908834845</v>
          </cell>
          <cell r="CD7">
            <v>6.7653599999999994</v>
          </cell>
          <cell r="CE7">
            <v>200</v>
          </cell>
          <cell r="CF7">
            <v>2.1073524464546036</v>
          </cell>
          <cell r="CG7">
            <v>1.8515000000000001</v>
          </cell>
          <cell r="CH7">
            <v>140</v>
          </cell>
          <cell r="CI7">
            <v>0.40370861834809818</v>
          </cell>
          <cell r="CJ7">
            <v>2.5110610648027016</v>
          </cell>
          <cell r="CK7">
            <v>0.67736328636040821</v>
          </cell>
          <cell r="CL7">
            <v>0.10381078757522522</v>
          </cell>
          <cell r="CM7">
            <v>2.903225806451613</v>
          </cell>
          <cell r="CN7">
            <v>3.6843998803872466</v>
          </cell>
          <cell r="CO7">
            <v>1.4074103838821817E-2</v>
          </cell>
          <cell r="CP7">
            <v>1.2795698924731187</v>
          </cell>
          <cell r="CQ7">
            <v>1.2936439963119406</v>
          </cell>
          <cell r="CR7">
            <v>14.66</v>
          </cell>
          <cell r="CS7">
            <v>9.98</v>
          </cell>
          <cell r="CT7">
            <v>8.43</v>
          </cell>
          <cell r="CU7">
            <v>0</v>
          </cell>
          <cell r="CV7">
            <v>147.53153402985035</v>
          </cell>
        </row>
        <row r="8">
          <cell r="K8" t="str">
            <v>ExportTargetWaverlyUSAHand41x76L</v>
          </cell>
          <cell r="L8">
            <v>0</v>
          </cell>
          <cell r="M8">
            <v>133.83000000000001</v>
          </cell>
          <cell r="N8">
            <v>0</v>
          </cell>
          <cell r="O8">
            <v>22.79</v>
          </cell>
          <cell r="P8">
            <v>29.478000000000002</v>
          </cell>
          <cell r="Q8">
            <v>15.87</v>
          </cell>
          <cell r="R8">
            <v>3.7370000000000001</v>
          </cell>
          <cell r="S8">
            <v>0</v>
          </cell>
          <cell r="T8">
            <v>205.70500000000001</v>
          </cell>
          <cell r="U8">
            <v>191.30564999999999</v>
          </cell>
          <cell r="V8">
            <v>2.5000000000000001E-3</v>
          </cell>
          <cell r="W8">
            <v>0</v>
          </cell>
          <cell r="X8">
            <v>-1.3999999999999999E-2</v>
          </cell>
          <cell r="Y8">
            <v>-2.5000000000000001E-2</v>
          </cell>
          <cell r="Z8">
            <v>7.0000000000000173E-2</v>
          </cell>
          <cell r="AA8">
            <v>1.4999999999999999E-2</v>
          </cell>
          <cell r="AB8">
            <v>0.01</v>
          </cell>
          <cell r="AC8">
            <v>0.47946278195488717</v>
          </cell>
          <cell r="AD8">
            <v>0</v>
          </cell>
          <cell r="AE8">
            <v>-1.8736200000000001</v>
          </cell>
          <cell r="AF8">
            <v>-0.56974999999999998</v>
          </cell>
          <cell r="AG8">
            <v>14.399350000000036</v>
          </cell>
          <cell r="AH8">
            <v>2.9132840101522843</v>
          </cell>
          <cell r="AI8">
            <v>1.9323803030303028</v>
          </cell>
          <cell r="AJ8">
            <v>17.281107095137511</v>
          </cell>
          <cell r="AK8">
            <v>208.5867570951375</v>
          </cell>
          <cell r="AL8" t="str">
            <v>1/13  Comb</v>
          </cell>
          <cell r="AM8">
            <v>0</v>
          </cell>
          <cell r="AN8" t="str">
            <v>2/30  KC</v>
          </cell>
          <cell r="AO8" t="str">
            <v xml:space="preserve">1/16OE  </v>
          </cell>
          <cell r="AP8" t="str">
            <v>2/20  KC</v>
          </cell>
          <cell r="AQ8" t="str">
            <v>/450  Den</v>
          </cell>
          <cell r="AR8">
            <v>0</v>
          </cell>
          <cell r="AS8">
            <v>96.5</v>
          </cell>
          <cell r="AT8">
            <v>0</v>
          </cell>
          <cell r="AU8">
            <v>118.5</v>
          </cell>
          <cell r="AV8">
            <v>77.75</v>
          </cell>
          <cell r="AW8">
            <v>107.5</v>
          </cell>
          <cell r="AX8">
            <v>127.25</v>
          </cell>
          <cell r="AY8">
            <v>0</v>
          </cell>
          <cell r="AZ8">
            <v>12.914595000000002</v>
          </cell>
          <cell r="BA8">
            <v>2.700615</v>
          </cell>
          <cell r="BB8">
            <v>2.2919145000000003</v>
          </cell>
          <cell r="BC8">
            <v>1.7060249999999999</v>
          </cell>
          <cell r="BD8">
            <v>0.47553325000000002</v>
          </cell>
          <cell r="BE8">
            <v>4.6823245507518797E-2</v>
          </cell>
          <cell r="BF8">
            <v>0</v>
          </cell>
          <cell r="BI8">
            <v>0</v>
          </cell>
          <cell r="BJ8">
            <v>0.28450469478426399</v>
          </cell>
          <cell r="BK8">
            <v>0.18871186825757577</v>
          </cell>
          <cell r="BL8">
            <v>0.52003980854935861</v>
          </cell>
          <cell r="BM8">
            <v>-1.1986569548872179E-2</v>
          </cell>
          <cell r="BN8">
            <v>0</v>
          </cell>
          <cell r="BO8">
            <v>0</v>
          </cell>
          <cell r="BP8">
            <v>0</v>
          </cell>
          <cell r="BQ8">
            <v>0</v>
          </cell>
          <cell r="BR8">
            <v>-7.2832100253807111E-2</v>
          </cell>
          <cell r="BS8">
            <v>0</v>
          </cell>
          <cell r="BT8">
            <v>-8.4818669802679297E-2</v>
          </cell>
          <cell r="BU8">
            <v>100.18581249142881</v>
          </cell>
          <cell r="BV8">
            <v>-0.35406091370558379</v>
          </cell>
          <cell r="BW8">
            <v>99.831751577723225</v>
          </cell>
          <cell r="BX8">
            <v>107.72668009831055</v>
          </cell>
          <cell r="BY8">
            <v>-0.38071065989847724</v>
          </cell>
          <cell r="BZ8">
            <v>107.34596943841207</v>
          </cell>
          <cell r="CA8">
            <v>107.72668009831055</v>
          </cell>
          <cell r="CB8">
            <v>-0.44336730150248727</v>
          </cell>
          <cell r="CC8">
            <v>107.28331279680806</v>
          </cell>
          <cell r="CD8">
            <v>1.8736200000000001</v>
          </cell>
          <cell r="CE8">
            <v>200</v>
          </cell>
          <cell r="CF8">
            <v>1.9587712124550425</v>
          </cell>
          <cell r="CG8">
            <v>0.56974999999999998</v>
          </cell>
          <cell r="CH8">
            <v>140</v>
          </cell>
          <cell r="CI8">
            <v>0.41695057098418165</v>
          </cell>
          <cell r="CJ8">
            <v>2.3757217834392241</v>
          </cell>
          <cell r="CK8">
            <v>0.62960503257483513</v>
          </cell>
          <cell r="CL8">
            <v>0.10721586111021811</v>
          </cell>
          <cell r="CM8">
            <v>2.903225806451613</v>
          </cell>
          <cell r="CN8">
            <v>3.6400467001366663</v>
          </cell>
          <cell r="CO8">
            <v>1.3081793454610465E-2</v>
          </cell>
          <cell r="CP8">
            <v>1.2795698924731187</v>
          </cell>
          <cell r="CQ8">
            <v>1.2926516859277291</v>
          </cell>
          <cell r="CR8">
            <v>1.21</v>
          </cell>
          <cell r="CS8">
            <v>9.81</v>
          </cell>
          <cell r="CT8">
            <v>19.39</v>
          </cell>
          <cell r="CU8">
            <v>0</v>
          </cell>
          <cell r="CV8">
            <v>145.00173296631166</v>
          </cell>
        </row>
        <row r="9">
          <cell r="K9" t="str">
            <v>ExportTargetWaverlyUSAHand41x76M</v>
          </cell>
          <cell r="L9">
            <v>0</v>
          </cell>
          <cell r="M9">
            <v>133.83000000000001</v>
          </cell>
          <cell r="N9">
            <v>0</v>
          </cell>
          <cell r="O9">
            <v>22.79</v>
          </cell>
          <cell r="P9">
            <v>29.478000000000002</v>
          </cell>
          <cell r="Q9">
            <v>15.87</v>
          </cell>
          <cell r="R9">
            <v>3.7370000000000001</v>
          </cell>
          <cell r="S9">
            <v>0</v>
          </cell>
          <cell r="T9">
            <v>205.70500000000001</v>
          </cell>
          <cell r="U9">
            <v>191.30564999999999</v>
          </cell>
          <cell r="V9">
            <v>2.5000000000000001E-3</v>
          </cell>
          <cell r="W9">
            <v>0</v>
          </cell>
          <cell r="X9">
            <v>-1.3999999999999999E-2</v>
          </cell>
          <cell r="Y9">
            <v>-2.5000000000000001E-2</v>
          </cell>
          <cell r="Z9">
            <v>7.0000000000000173E-2</v>
          </cell>
          <cell r="AA9">
            <v>1.4999999999999999E-2</v>
          </cell>
          <cell r="AB9">
            <v>0.01</v>
          </cell>
          <cell r="AC9">
            <v>0.47946278195488717</v>
          </cell>
          <cell r="AD9">
            <v>0</v>
          </cell>
          <cell r="AE9">
            <v>-1.8736200000000001</v>
          </cell>
          <cell r="AF9">
            <v>-0.56974999999999998</v>
          </cell>
          <cell r="AG9">
            <v>14.399350000000036</v>
          </cell>
          <cell r="AH9">
            <v>2.9132840101522843</v>
          </cell>
          <cell r="AI9">
            <v>1.9323803030303028</v>
          </cell>
          <cell r="AJ9">
            <v>17.281107095137511</v>
          </cell>
          <cell r="AK9">
            <v>208.5867570951375</v>
          </cell>
          <cell r="AL9" t="str">
            <v>1/13  Comb</v>
          </cell>
          <cell r="AM9">
            <v>0</v>
          </cell>
          <cell r="AN9" t="str">
            <v>2/30  KC</v>
          </cell>
          <cell r="AO9" t="str">
            <v xml:space="preserve">1/16OE  </v>
          </cell>
          <cell r="AP9" t="str">
            <v>2/20  KC</v>
          </cell>
          <cell r="AQ9" t="str">
            <v>/450  Den</v>
          </cell>
          <cell r="AR9">
            <v>0</v>
          </cell>
          <cell r="AS9">
            <v>96.5</v>
          </cell>
          <cell r="AT9">
            <v>0</v>
          </cell>
          <cell r="AU9">
            <v>118.5</v>
          </cell>
          <cell r="AV9">
            <v>77.75</v>
          </cell>
          <cell r="AW9">
            <v>107.5</v>
          </cell>
          <cell r="AX9">
            <v>127.25</v>
          </cell>
          <cell r="AY9">
            <v>0</v>
          </cell>
          <cell r="AZ9">
            <v>12.914595000000002</v>
          </cell>
          <cell r="BA9">
            <v>2.700615</v>
          </cell>
          <cell r="BB9">
            <v>2.2919145000000003</v>
          </cell>
          <cell r="BC9">
            <v>1.7060249999999999</v>
          </cell>
          <cell r="BD9">
            <v>0.47553325000000002</v>
          </cell>
          <cell r="BE9">
            <v>4.6823245507518797E-2</v>
          </cell>
          <cell r="BF9">
            <v>0</v>
          </cell>
          <cell r="BI9">
            <v>0</v>
          </cell>
          <cell r="BJ9">
            <v>0.28450469478426399</v>
          </cell>
          <cell r="BK9">
            <v>0.18871186825757577</v>
          </cell>
          <cell r="BL9">
            <v>0.52003980854935861</v>
          </cell>
          <cell r="BM9">
            <v>-1.1986569548872179E-2</v>
          </cell>
          <cell r="BN9">
            <v>0</v>
          </cell>
          <cell r="BO9">
            <v>0</v>
          </cell>
          <cell r="BP9">
            <v>0</v>
          </cell>
          <cell r="BQ9">
            <v>0</v>
          </cell>
          <cell r="BR9">
            <v>-7.2832100253807111E-2</v>
          </cell>
          <cell r="BS9">
            <v>0</v>
          </cell>
          <cell r="BT9">
            <v>-8.4818669802679297E-2</v>
          </cell>
          <cell r="BU9">
            <v>100.18581249142881</v>
          </cell>
          <cell r="BV9">
            <v>-0.35406091370558379</v>
          </cell>
          <cell r="BW9">
            <v>99.831751577723225</v>
          </cell>
          <cell r="BX9">
            <v>107.72668009831055</v>
          </cell>
          <cell r="BY9">
            <v>-0.38071065989847724</v>
          </cell>
          <cell r="BZ9">
            <v>107.34596943841207</v>
          </cell>
          <cell r="CA9">
            <v>107.72668009831055</v>
          </cell>
          <cell r="CB9">
            <v>-0.44336730150248727</v>
          </cell>
          <cell r="CC9">
            <v>107.28331279680806</v>
          </cell>
          <cell r="CD9">
            <v>1.8736200000000001</v>
          </cell>
          <cell r="CE9">
            <v>200</v>
          </cell>
          <cell r="CF9">
            <v>1.9587712124550425</v>
          </cell>
          <cell r="CG9">
            <v>0.56974999999999998</v>
          </cell>
          <cell r="CH9">
            <v>140</v>
          </cell>
          <cell r="CI9">
            <v>0.41695057098418165</v>
          </cell>
          <cell r="CJ9">
            <v>2.3757217834392241</v>
          </cell>
          <cell r="CK9">
            <v>0.62960503257483513</v>
          </cell>
          <cell r="CL9">
            <v>0.10721586111021811</v>
          </cell>
          <cell r="CM9">
            <v>2.903225806451613</v>
          </cell>
          <cell r="CN9">
            <v>3.6400467001366663</v>
          </cell>
          <cell r="CO9">
            <v>1.3081793454610465E-2</v>
          </cell>
          <cell r="CP9">
            <v>1.2795698924731187</v>
          </cell>
          <cell r="CQ9">
            <v>1.2926516859277291</v>
          </cell>
          <cell r="CR9">
            <v>4.22</v>
          </cell>
          <cell r="CS9">
            <v>9.7200000000000006</v>
          </cell>
          <cell r="CT9">
            <v>19.39</v>
          </cell>
          <cell r="CU9">
            <v>0</v>
          </cell>
          <cell r="CV9">
            <v>147.92173296631165</v>
          </cell>
        </row>
        <row r="10">
          <cell r="K10" t="str">
            <v>ExportTargetWaverlyUSAHand41x76D</v>
          </cell>
          <cell r="L10">
            <v>0</v>
          </cell>
          <cell r="M10">
            <v>133.83000000000001</v>
          </cell>
          <cell r="N10">
            <v>0</v>
          </cell>
          <cell r="O10">
            <v>22.79</v>
          </cell>
          <cell r="P10">
            <v>29.478000000000002</v>
          </cell>
          <cell r="Q10">
            <v>15.87</v>
          </cell>
          <cell r="R10">
            <v>3.7370000000000001</v>
          </cell>
          <cell r="S10">
            <v>0</v>
          </cell>
          <cell r="T10">
            <v>205.70500000000001</v>
          </cell>
          <cell r="U10">
            <v>191.30564999999999</v>
          </cell>
          <cell r="V10">
            <v>2.5000000000000001E-3</v>
          </cell>
          <cell r="W10">
            <v>0</v>
          </cell>
          <cell r="X10">
            <v>-1.3999999999999999E-2</v>
          </cell>
          <cell r="Y10">
            <v>-2.5000000000000001E-2</v>
          </cell>
          <cell r="Z10">
            <v>7.0000000000000173E-2</v>
          </cell>
          <cell r="AA10">
            <v>1.4999999999999999E-2</v>
          </cell>
          <cell r="AB10">
            <v>0.01</v>
          </cell>
          <cell r="AC10">
            <v>0.47946278195488717</v>
          </cell>
          <cell r="AD10">
            <v>0</v>
          </cell>
          <cell r="AE10">
            <v>-1.8736200000000001</v>
          </cell>
          <cell r="AF10">
            <v>-0.56974999999999998</v>
          </cell>
          <cell r="AG10">
            <v>14.399350000000036</v>
          </cell>
          <cell r="AH10">
            <v>2.9132840101522843</v>
          </cell>
          <cell r="AI10">
            <v>1.9323803030303028</v>
          </cell>
          <cell r="AJ10">
            <v>17.281107095137511</v>
          </cell>
          <cell r="AK10">
            <v>208.5867570951375</v>
          </cell>
          <cell r="AL10" t="str">
            <v>1/13  Comb</v>
          </cell>
          <cell r="AM10">
            <v>0</v>
          </cell>
          <cell r="AN10" t="str">
            <v>2/30  KC</v>
          </cell>
          <cell r="AO10" t="str">
            <v xml:space="preserve">1/16OE  </v>
          </cell>
          <cell r="AP10" t="str">
            <v>2/20  KC</v>
          </cell>
          <cell r="AQ10" t="str">
            <v>/450  Den</v>
          </cell>
          <cell r="AR10">
            <v>0</v>
          </cell>
          <cell r="AS10">
            <v>96.5</v>
          </cell>
          <cell r="AT10">
            <v>0</v>
          </cell>
          <cell r="AU10">
            <v>118.5</v>
          </cell>
          <cell r="AV10">
            <v>77.75</v>
          </cell>
          <cell r="AW10">
            <v>107.5</v>
          </cell>
          <cell r="AX10">
            <v>127.25</v>
          </cell>
          <cell r="AY10">
            <v>0</v>
          </cell>
          <cell r="AZ10">
            <v>12.914595000000002</v>
          </cell>
          <cell r="BA10">
            <v>2.700615</v>
          </cell>
          <cell r="BB10">
            <v>2.2919145000000003</v>
          </cell>
          <cell r="BC10">
            <v>1.7060249999999999</v>
          </cell>
          <cell r="BD10">
            <v>0.47553325000000002</v>
          </cell>
          <cell r="BE10">
            <v>4.6823245507518797E-2</v>
          </cell>
          <cell r="BF10">
            <v>0</v>
          </cell>
          <cell r="BI10">
            <v>0</v>
          </cell>
          <cell r="BJ10">
            <v>0.28450469478426399</v>
          </cell>
          <cell r="BK10">
            <v>0.18871186825757577</v>
          </cell>
          <cell r="BL10">
            <v>0.52003980854935861</v>
          </cell>
          <cell r="BM10">
            <v>-1.1986569548872179E-2</v>
          </cell>
          <cell r="BN10">
            <v>0</v>
          </cell>
          <cell r="BO10">
            <v>0</v>
          </cell>
          <cell r="BP10">
            <v>0</v>
          </cell>
          <cell r="BQ10">
            <v>0</v>
          </cell>
          <cell r="BR10">
            <v>-7.2832100253807111E-2</v>
          </cell>
          <cell r="BS10">
            <v>0</v>
          </cell>
          <cell r="BT10">
            <v>-8.4818669802679297E-2</v>
          </cell>
          <cell r="BU10">
            <v>100.18581249142881</v>
          </cell>
          <cell r="BV10">
            <v>-0.35406091370558379</v>
          </cell>
          <cell r="BW10">
            <v>99.831751577723225</v>
          </cell>
          <cell r="BX10">
            <v>107.72668009831055</v>
          </cell>
          <cell r="BY10">
            <v>-0.38071065989847724</v>
          </cell>
          <cell r="BZ10">
            <v>107.34596943841207</v>
          </cell>
          <cell r="CA10">
            <v>107.72668009831055</v>
          </cell>
          <cell r="CB10">
            <v>-0.44336730150248727</v>
          </cell>
          <cell r="CC10">
            <v>107.28331279680806</v>
          </cell>
          <cell r="CD10">
            <v>1.8736200000000001</v>
          </cell>
          <cell r="CE10">
            <v>200</v>
          </cell>
          <cell r="CF10">
            <v>1.9587712124550425</v>
          </cell>
          <cell r="CG10">
            <v>0.56974999999999998</v>
          </cell>
          <cell r="CH10">
            <v>140</v>
          </cell>
          <cell r="CI10">
            <v>0.41695057098418165</v>
          </cell>
          <cell r="CJ10">
            <v>2.3757217834392241</v>
          </cell>
          <cell r="CK10">
            <v>0.62960503257483513</v>
          </cell>
          <cell r="CL10">
            <v>0.10721586111021811</v>
          </cell>
          <cell r="CM10">
            <v>2.903225806451613</v>
          </cell>
          <cell r="CN10">
            <v>3.6400467001366663</v>
          </cell>
          <cell r="CO10">
            <v>1.3081793454610465E-2</v>
          </cell>
          <cell r="CP10">
            <v>1.2795698924731187</v>
          </cell>
          <cell r="CQ10">
            <v>1.2926516859277291</v>
          </cell>
          <cell r="CR10">
            <v>14.66</v>
          </cell>
          <cell r="CS10">
            <v>9.98</v>
          </cell>
          <cell r="CT10">
            <v>19.39</v>
          </cell>
          <cell r="CU10">
            <v>0</v>
          </cell>
          <cell r="CV10">
            <v>158.62173296631167</v>
          </cell>
        </row>
        <row r="11">
          <cell r="K11" t="str">
            <v>ExportTargetWaverlyUSAWash30x30L</v>
          </cell>
          <cell r="L11">
            <v>0</v>
          </cell>
          <cell r="M11">
            <v>36.840000000000003</v>
          </cell>
          <cell r="N11">
            <v>0</v>
          </cell>
          <cell r="O11">
            <v>7.97</v>
          </cell>
          <cell r="P11">
            <v>9.52</v>
          </cell>
          <cell r="Q11">
            <v>7.02</v>
          </cell>
          <cell r="R11">
            <v>1.052</v>
          </cell>
          <cell r="S11">
            <v>0</v>
          </cell>
          <cell r="T11">
            <v>62.401999999999994</v>
          </cell>
          <cell r="U11">
            <v>58.03385999999999</v>
          </cell>
          <cell r="V11">
            <v>2.5000000000000001E-3</v>
          </cell>
          <cell r="W11">
            <v>0</v>
          </cell>
          <cell r="X11">
            <v>-1.3999999999999999E-2</v>
          </cell>
          <cell r="Y11">
            <v>-2.5000000000000001E-2</v>
          </cell>
          <cell r="Z11">
            <v>7.0000000000000062E-2</v>
          </cell>
          <cell r="AA11">
            <v>1.4999999999999999E-2</v>
          </cell>
          <cell r="AB11">
            <v>0.01</v>
          </cell>
          <cell r="AC11">
            <v>0.14544827067669169</v>
          </cell>
          <cell r="AD11">
            <v>0</v>
          </cell>
          <cell r="AE11">
            <v>-0.51576</v>
          </cell>
          <cell r="AF11">
            <v>-0.19925000000000001</v>
          </cell>
          <cell r="AG11">
            <v>4.368140000000003</v>
          </cell>
          <cell r="AH11">
            <v>0.88376436548223336</v>
          </cell>
          <cell r="AI11">
            <v>0.58620060606060598</v>
          </cell>
          <cell r="AJ11">
            <v>5.2685432422195344</v>
          </cell>
          <cell r="AK11">
            <v>63.302403242219526</v>
          </cell>
          <cell r="AL11" t="str">
            <v>1/13  Comb</v>
          </cell>
          <cell r="AM11">
            <v>0</v>
          </cell>
          <cell r="AN11" t="str">
            <v>2/30  KC</v>
          </cell>
          <cell r="AO11" t="str">
            <v xml:space="preserve">1/16OE  </v>
          </cell>
          <cell r="AP11" t="str">
            <v>2/20  KC</v>
          </cell>
          <cell r="AQ11" t="str">
            <v>/450  Den</v>
          </cell>
          <cell r="AR11">
            <v>0</v>
          </cell>
          <cell r="AS11">
            <v>96.5</v>
          </cell>
          <cell r="AT11">
            <v>0</v>
          </cell>
          <cell r="AU11">
            <v>118.5</v>
          </cell>
          <cell r="AV11">
            <v>77.75</v>
          </cell>
          <cell r="AW11">
            <v>107.5</v>
          </cell>
          <cell r="AX11">
            <v>127.25</v>
          </cell>
          <cell r="AY11">
            <v>0</v>
          </cell>
          <cell r="AZ11">
            <v>3.5550600000000006</v>
          </cell>
          <cell r="BA11">
            <v>0.94444499999999998</v>
          </cell>
          <cell r="BB11">
            <v>0.74017999999999995</v>
          </cell>
          <cell r="BC11">
            <v>0.75464999999999993</v>
          </cell>
          <cell r="BD11">
            <v>0.13386700000000001</v>
          </cell>
          <cell r="BE11">
            <v>1.4283779097744361E-2</v>
          </cell>
          <cell r="BF11">
            <v>0</v>
          </cell>
          <cell r="BI11">
            <v>0</v>
          </cell>
          <cell r="BJ11">
            <v>8.6790271979695438E-2</v>
          </cell>
          <cell r="BK11">
            <v>5.7567958181818188E-2</v>
          </cell>
          <cell r="BL11">
            <v>0.15864200925925798</v>
          </cell>
          <cell r="BM11">
            <v>-3.6362067669172926E-3</v>
          </cell>
          <cell r="BN11">
            <v>0</v>
          </cell>
          <cell r="BO11">
            <v>0</v>
          </cell>
          <cell r="BP11">
            <v>0</v>
          </cell>
          <cell r="BQ11">
            <v>0</v>
          </cell>
          <cell r="BR11">
            <v>-2.2094109137055836E-2</v>
          </cell>
          <cell r="BS11">
            <v>0</v>
          </cell>
          <cell r="BT11">
            <v>-2.5730315903973129E-2</v>
          </cell>
          <cell r="BU11">
            <v>100.74747619081535</v>
          </cell>
          <cell r="BV11">
            <v>-0.35406091370558374</v>
          </cell>
          <cell r="BW11">
            <v>100.39341527710977</v>
          </cell>
          <cell r="BX11">
            <v>108.33061956001652</v>
          </cell>
          <cell r="BY11">
            <v>-0.38071065989847719</v>
          </cell>
          <cell r="BZ11">
            <v>107.94990890011803</v>
          </cell>
          <cell r="CA11">
            <v>108.33061956001652</v>
          </cell>
          <cell r="CB11">
            <v>-0.44336730150248721</v>
          </cell>
          <cell r="CC11">
            <v>107.88725225851402</v>
          </cell>
          <cell r="CD11">
            <v>0.51576</v>
          </cell>
          <cell r="CE11">
            <v>200</v>
          </cell>
          <cell r="CF11">
            <v>1.7774450984304684</v>
          </cell>
          <cell r="CG11">
            <v>0.19925000000000001</v>
          </cell>
          <cell r="CH11">
            <v>140</v>
          </cell>
          <cell r="CI11">
            <v>0.4806676653939615</v>
          </cell>
          <cell r="CJ11">
            <v>2.25811276382443</v>
          </cell>
          <cell r="CK11">
            <v>0.57132163878122189</v>
          </cell>
          <cell r="CL11">
            <v>0.12360025681559007</v>
          </cell>
          <cell r="CM11">
            <v>2.903225806451613</v>
          </cell>
          <cell r="CN11">
            <v>3.5981477020484247</v>
          </cell>
          <cell r="CO11">
            <v>1.1870794050232057E-2</v>
          </cell>
          <cell r="CP11">
            <v>1.2795698924731185</v>
          </cell>
          <cell r="CQ11">
            <v>1.2914406865233505</v>
          </cell>
          <cell r="CR11">
            <v>1.21</v>
          </cell>
          <cell r="CS11">
            <v>9.81</v>
          </cell>
          <cell r="CT11">
            <v>49.08</v>
          </cell>
          <cell r="CU11">
            <v>0</v>
          </cell>
          <cell r="CV11">
            <v>175.13495341091021</v>
          </cell>
        </row>
        <row r="12">
          <cell r="K12" t="str">
            <v>ExportTargetWaverlyUSAWash30x30M</v>
          </cell>
          <cell r="L12">
            <v>0</v>
          </cell>
          <cell r="M12">
            <v>36.840000000000003</v>
          </cell>
          <cell r="N12">
            <v>0</v>
          </cell>
          <cell r="O12">
            <v>7.97</v>
          </cell>
          <cell r="P12">
            <v>9.52</v>
          </cell>
          <cell r="Q12">
            <v>7.02</v>
          </cell>
          <cell r="R12">
            <v>1.052</v>
          </cell>
          <cell r="S12">
            <v>0</v>
          </cell>
          <cell r="T12">
            <v>62.401999999999994</v>
          </cell>
          <cell r="U12">
            <v>58.03385999999999</v>
          </cell>
          <cell r="V12">
            <v>2.5000000000000001E-3</v>
          </cell>
          <cell r="W12">
            <v>0</v>
          </cell>
          <cell r="X12">
            <v>-1.3999999999999999E-2</v>
          </cell>
          <cell r="Y12">
            <v>-2.5000000000000001E-2</v>
          </cell>
          <cell r="Z12">
            <v>7.0000000000000062E-2</v>
          </cell>
          <cell r="AA12">
            <v>1.4999999999999999E-2</v>
          </cell>
          <cell r="AB12">
            <v>0.01</v>
          </cell>
          <cell r="AC12">
            <v>0.14544827067669169</v>
          </cell>
          <cell r="AD12">
            <v>0</v>
          </cell>
          <cell r="AE12">
            <v>-0.51576</v>
          </cell>
          <cell r="AF12">
            <v>-0.19925000000000001</v>
          </cell>
          <cell r="AG12">
            <v>4.368140000000003</v>
          </cell>
          <cell r="AH12">
            <v>0.88376436548223336</v>
          </cell>
          <cell r="AI12">
            <v>0.58620060606060598</v>
          </cell>
          <cell r="AJ12">
            <v>5.2685432422195344</v>
          </cell>
          <cell r="AK12">
            <v>63.302403242219526</v>
          </cell>
          <cell r="AL12" t="str">
            <v>1/13  Comb</v>
          </cell>
          <cell r="AM12">
            <v>0</v>
          </cell>
          <cell r="AN12" t="str">
            <v>2/30  KC</v>
          </cell>
          <cell r="AO12" t="str">
            <v xml:space="preserve">1/16OE  </v>
          </cell>
          <cell r="AP12" t="str">
            <v>2/20  KC</v>
          </cell>
          <cell r="AQ12" t="str">
            <v>/450  Den</v>
          </cell>
          <cell r="AR12">
            <v>0</v>
          </cell>
          <cell r="AS12">
            <v>96.5</v>
          </cell>
          <cell r="AT12">
            <v>0</v>
          </cell>
          <cell r="AU12">
            <v>118.5</v>
          </cell>
          <cell r="AV12">
            <v>77.75</v>
          </cell>
          <cell r="AW12">
            <v>107.5</v>
          </cell>
          <cell r="AX12">
            <v>127.25</v>
          </cell>
          <cell r="AY12">
            <v>0</v>
          </cell>
          <cell r="AZ12">
            <v>3.5550600000000006</v>
          </cell>
          <cell r="BA12">
            <v>0.94444499999999998</v>
          </cell>
          <cell r="BB12">
            <v>0.74017999999999995</v>
          </cell>
          <cell r="BC12">
            <v>0.75464999999999993</v>
          </cell>
          <cell r="BD12">
            <v>0.13386700000000001</v>
          </cell>
          <cell r="BE12">
            <v>1.4283779097744361E-2</v>
          </cell>
          <cell r="BF12">
            <v>0</v>
          </cell>
          <cell r="BI12">
            <v>0</v>
          </cell>
          <cell r="BJ12">
            <v>8.6790271979695438E-2</v>
          </cell>
          <cell r="BK12">
            <v>5.7567958181818188E-2</v>
          </cell>
          <cell r="BL12">
            <v>0.15864200925925798</v>
          </cell>
          <cell r="BM12">
            <v>-3.6362067669172926E-3</v>
          </cell>
          <cell r="BN12">
            <v>0</v>
          </cell>
          <cell r="BO12">
            <v>0</v>
          </cell>
          <cell r="BP12">
            <v>0</v>
          </cell>
          <cell r="BQ12">
            <v>0</v>
          </cell>
          <cell r="BR12">
            <v>-2.2094109137055836E-2</v>
          </cell>
          <cell r="BS12">
            <v>0</v>
          </cell>
          <cell r="BT12">
            <v>-2.5730315903973129E-2</v>
          </cell>
          <cell r="BU12">
            <v>100.74747619081535</v>
          </cell>
          <cell r="BV12">
            <v>-0.35406091370558374</v>
          </cell>
          <cell r="BW12">
            <v>100.39341527710977</v>
          </cell>
          <cell r="BX12">
            <v>108.33061956001652</v>
          </cell>
          <cell r="BY12">
            <v>-0.38071065989847719</v>
          </cell>
          <cell r="BZ12">
            <v>107.94990890011803</v>
          </cell>
          <cell r="CA12">
            <v>108.33061956001652</v>
          </cell>
          <cell r="CB12">
            <v>-0.44336730150248721</v>
          </cell>
          <cell r="CC12">
            <v>107.88725225851402</v>
          </cell>
          <cell r="CD12">
            <v>0.51576</v>
          </cell>
          <cell r="CE12">
            <v>200</v>
          </cell>
          <cell r="CF12">
            <v>1.7774450984304684</v>
          </cell>
          <cell r="CG12">
            <v>0.19925000000000001</v>
          </cell>
          <cell r="CH12">
            <v>140</v>
          </cell>
          <cell r="CI12">
            <v>0.4806676653939615</v>
          </cell>
          <cell r="CJ12">
            <v>2.25811276382443</v>
          </cell>
          <cell r="CK12">
            <v>0.57132163878122189</v>
          </cell>
          <cell r="CL12">
            <v>0.12360025681559007</v>
          </cell>
          <cell r="CM12">
            <v>2.903225806451613</v>
          </cell>
          <cell r="CN12">
            <v>3.5981477020484247</v>
          </cell>
          <cell r="CO12">
            <v>1.1870794050232057E-2</v>
          </cell>
          <cell r="CP12">
            <v>1.2795698924731185</v>
          </cell>
          <cell r="CQ12">
            <v>1.2914406865233505</v>
          </cell>
          <cell r="CR12">
            <v>4.22</v>
          </cell>
          <cell r="CS12">
            <v>9.7200000000000006</v>
          </cell>
          <cell r="CT12">
            <v>49.08</v>
          </cell>
          <cell r="CU12">
            <v>0</v>
          </cell>
          <cell r="CV12">
            <v>178.05495341091023</v>
          </cell>
        </row>
        <row r="13">
          <cell r="K13" t="str">
            <v>ExportTargetWaverlyUSAWash30x30D</v>
          </cell>
          <cell r="L13">
            <v>0</v>
          </cell>
          <cell r="M13">
            <v>36.840000000000003</v>
          </cell>
          <cell r="N13">
            <v>0</v>
          </cell>
          <cell r="O13">
            <v>7.97</v>
          </cell>
          <cell r="P13">
            <v>9.52</v>
          </cell>
          <cell r="Q13">
            <v>7.02</v>
          </cell>
          <cell r="R13">
            <v>1.052</v>
          </cell>
          <cell r="S13">
            <v>0</v>
          </cell>
          <cell r="T13">
            <v>62.401999999999994</v>
          </cell>
          <cell r="U13">
            <v>58.03385999999999</v>
          </cell>
          <cell r="V13">
            <v>2.5000000000000001E-3</v>
          </cell>
          <cell r="W13">
            <v>0</v>
          </cell>
          <cell r="X13">
            <v>-1.3999999999999999E-2</v>
          </cell>
          <cell r="Y13">
            <v>-2.5000000000000001E-2</v>
          </cell>
          <cell r="Z13">
            <v>7.0000000000000062E-2</v>
          </cell>
          <cell r="AA13">
            <v>1.4999999999999999E-2</v>
          </cell>
          <cell r="AB13">
            <v>0.01</v>
          </cell>
          <cell r="AC13">
            <v>0.14544827067669169</v>
          </cell>
          <cell r="AD13">
            <v>0</v>
          </cell>
          <cell r="AE13">
            <v>-0.51576</v>
          </cell>
          <cell r="AF13">
            <v>-0.19925000000000001</v>
          </cell>
          <cell r="AG13">
            <v>4.368140000000003</v>
          </cell>
          <cell r="AH13">
            <v>0.88376436548223336</v>
          </cell>
          <cell r="AI13">
            <v>0.58620060606060598</v>
          </cell>
          <cell r="AJ13">
            <v>5.2685432422195344</v>
          </cell>
          <cell r="AK13">
            <v>63.302403242219526</v>
          </cell>
          <cell r="AL13" t="str">
            <v>1/13  Comb</v>
          </cell>
          <cell r="AM13">
            <v>0</v>
          </cell>
          <cell r="AN13" t="str">
            <v>2/30  KC</v>
          </cell>
          <cell r="AO13" t="str">
            <v xml:space="preserve">1/16OE  </v>
          </cell>
          <cell r="AP13" t="str">
            <v>2/20  KC</v>
          </cell>
          <cell r="AQ13" t="str">
            <v>/450  Den</v>
          </cell>
          <cell r="AR13">
            <v>0</v>
          </cell>
          <cell r="AS13">
            <v>96.5</v>
          </cell>
          <cell r="AT13">
            <v>0</v>
          </cell>
          <cell r="AU13">
            <v>118.5</v>
          </cell>
          <cell r="AV13">
            <v>77.75</v>
          </cell>
          <cell r="AW13">
            <v>107.5</v>
          </cell>
          <cell r="AX13">
            <v>127.25</v>
          </cell>
          <cell r="AY13">
            <v>0</v>
          </cell>
          <cell r="AZ13">
            <v>3.5550600000000006</v>
          </cell>
          <cell r="BA13">
            <v>0.94444499999999998</v>
          </cell>
          <cell r="BB13">
            <v>0.74017999999999995</v>
          </cell>
          <cell r="BC13">
            <v>0.75464999999999993</v>
          </cell>
          <cell r="BD13">
            <v>0.13386700000000001</v>
          </cell>
          <cell r="BE13">
            <v>1.4283779097744361E-2</v>
          </cell>
          <cell r="BF13">
            <v>0</v>
          </cell>
          <cell r="BI13">
            <v>0</v>
          </cell>
          <cell r="BJ13">
            <v>8.6790271979695438E-2</v>
          </cell>
          <cell r="BK13">
            <v>5.7567958181818188E-2</v>
          </cell>
          <cell r="BL13">
            <v>0.15864200925925798</v>
          </cell>
          <cell r="BM13">
            <v>-3.6362067669172926E-3</v>
          </cell>
          <cell r="BN13">
            <v>0</v>
          </cell>
          <cell r="BO13">
            <v>0</v>
          </cell>
          <cell r="BP13">
            <v>0</v>
          </cell>
          <cell r="BQ13">
            <v>0</v>
          </cell>
          <cell r="BR13">
            <v>-2.2094109137055836E-2</v>
          </cell>
          <cell r="BS13">
            <v>0</v>
          </cell>
          <cell r="BT13">
            <v>-2.5730315903973129E-2</v>
          </cell>
          <cell r="BU13">
            <v>100.74747619081535</v>
          </cell>
          <cell r="BV13">
            <v>-0.35406091370558374</v>
          </cell>
          <cell r="BW13">
            <v>100.39341527710977</v>
          </cell>
          <cell r="BX13">
            <v>108.33061956001652</v>
          </cell>
          <cell r="BY13">
            <v>-0.38071065989847719</v>
          </cell>
          <cell r="BZ13">
            <v>107.94990890011803</v>
          </cell>
          <cell r="CA13">
            <v>108.33061956001652</v>
          </cell>
          <cell r="CB13">
            <v>-0.44336730150248721</v>
          </cell>
          <cell r="CC13">
            <v>107.88725225851402</v>
          </cell>
          <cell r="CD13">
            <v>0.51576</v>
          </cell>
          <cell r="CE13">
            <v>200</v>
          </cell>
          <cell r="CF13">
            <v>1.7774450984304684</v>
          </cell>
          <cell r="CG13">
            <v>0.19925000000000001</v>
          </cell>
          <cell r="CH13">
            <v>140</v>
          </cell>
          <cell r="CI13">
            <v>0.4806676653939615</v>
          </cell>
          <cell r="CJ13">
            <v>2.25811276382443</v>
          </cell>
          <cell r="CK13">
            <v>0.57132163878122189</v>
          </cell>
          <cell r="CL13">
            <v>0.12360025681559007</v>
          </cell>
          <cell r="CM13">
            <v>2.903225806451613</v>
          </cell>
          <cell r="CN13">
            <v>3.5981477020484247</v>
          </cell>
          <cell r="CO13">
            <v>1.1870794050232057E-2</v>
          </cell>
          <cell r="CP13">
            <v>1.2795698924731185</v>
          </cell>
          <cell r="CQ13">
            <v>1.2914406865233505</v>
          </cell>
          <cell r="CR13">
            <v>14.66</v>
          </cell>
          <cell r="CS13">
            <v>9.98</v>
          </cell>
          <cell r="CT13">
            <v>49.08</v>
          </cell>
          <cell r="CU13">
            <v>0</v>
          </cell>
          <cell r="CV13">
            <v>188.75495341091022</v>
          </cell>
        </row>
        <row r="14">
          <cell r="K14" t="str">
            <v>ExportWalmartHome TrendsUSABath76x132L</v>
          </cell>
          <cell r="L14">
            <v>0</v>
          </cell>
          <cell r="M14">
            <v>446.08</v>
          </cell>
          <cell r="N14">
            <v>0</v>
          </cell>
          <cell r="O14">
            <v>87.53</v>
          </cell>
          <cell r="P14">
            <v>81.709999999999994</v>
          </cell>
          <cell r="Q14">
            <v>28.48</v>
          </cell>
          <cell r="R14">
            <v>0</v>
          </cell>
          <cell r="S14">
            <v>0</v>
          </cell>
          <cell r="T14">
            <v>643.80000000000007</v>
          </cell>
          <cell r="U14">
            <v>585.85800000000006</v>
          </cell>
          <cell r="V14">
            <v>2.5000000000000001E-3</v>
          </cell>
          <cell r="W14">
            <v>0</v>
          </cell>
          <cell r="X14">
            <v>-1.3999999999999999E-2</v>
          </cell>
          <cell r="Y14">
            <v>-2.5000000000000001E-2</v>
          </cell>
          <cell r="Z14">
            <v>8.9999999999999969E-2</v>
          </cell>
          <cell r="AA14">
            <v>1.4999999999999999E-2</v>
          </cell>
          <cell r="AB14">
            <v>0.01</v>
          </cell>
          <cell r="AC14">
            <v>1.4683157894736842</v>
          </cell>
          <cell r="AD14">
            <v>0</v>
          </cell>
          <cell r="AE14">
            <v>-6.2451199999999991</v>
          </cell>
          <cell r="AF14">
            <v>-2.18825</v>
          </cell>
          <cell r="AG14">
            <v>57.941999999999986</v>
          </cell>
          <cell r="AH14">
            <v>8.9216954314720827</v>
          </cell>
          <cell r="AI14">
            <v>5.9177575757575767</v>
          </cell>
          <cell r="AJ14">
            <v>65.816398796703339</v>
          </cell>
          <cell r="AK14">
            <v>651.67439879670337</v>
          </cell>
          <cell r="AL14" t="str">
            <v>1/13  Tend KC</v>
          </cell>
          <cell r="AM14">
            <v>0</v>
          </cell>
          <cell r="AN14" t="str">
            <v>2/24  KC</v>
          </cell>
          <cell r="AO14" t="str">
            <v xml:space="preserve">1/14OE  </v>
          </cell>
          <cell r="AP14" t="str">
            <v>2/20  KC</v>
          </cell>
          <cell r="AQ14">
            <v>0</v>
          </cell>
          <cell r="AR14">
            <v>0</v>
          </cell>
          <cell r="AS14">
            <v>87.5</v>
          </cell>
          <cell r="AT14">
            <v>0</v>
          </cell>
          <cell r="AU14">
            <v>107.5</v>
          </cell>
          <cell r="AV14">
            <v>75.75</v>
          </cell>
          <cell r="AW14">
            <v>107.5</v>
          </cell>
          <cell r="AX14">
            <v>0</v>
          </cell>
          <cell r="AY14">
            <v>0</v>
          </cell>
          <cell r="AZ14">
            <v>39.031999999999996</v>
          </cell>
          <cell r="BA14">
            <v>9.4094750000000005</v>
          </cell>
          <cell r="BB14">
            <v>6.1895324999999994</v>
          </cell>
          <cell r="BC14">
            <v>3.0615999999999999</v>
          </cell>
          <cell r="BD14">
            <v>0</v>
          </cell>
          <cell r="BE14">
            <v>0.13157963114035087</v>
          </cell>
          <cell r="BF14">
            <v>0</v>
          </cell>
          <cell r="BI14">
            <v>0</v>
          </cell>
          <cell r="BJ14">
            <v>0.79949654048223351</v>
          </cell>
          <cell r="BK14">
            <v>0.53030578611111112</v>
          </cell>
          <cell r="BL14">
            <v>1.4613819577336955</v>
          </cell>
          <cell r="BM14">
            <v>-3.6707894736842106E-2</v>
          </cell>
          <cell r="BN14">
            <v>0</v>
          </cell>
          <cell r="BO14">
            <v>0</v>
          </cell>
          <cell r="BP14">
            <v>0</v>
          </cell>
          <cell r="BQ14">
            <v>0</v>
          </cell>
          <cell r="BR14">
            <v>-0.22304238578680208</v>
          </cell>
          <cell r="BS14">
            <v>0</v>
          </cell>
          <cell r="BT14">
            <v>-0.25975028052364418</v>
          </cell>
          <cell r="BU14">
            <v>91.882555852335642</v>
          </cell>
          <cell r="BV14">
            <v>-0.34644670050761422</v>
          </cell>
          <cell r="BW14">
            <v>91.536109151828029</v>
          </cell>
          <cell r="BX14">
            <v>100.96984159597322</v>
          </cell>
          <cell r="BY14">
            <v>-0.38071065989847719</v>
          </cell>
          <cell r="BZ14">
            <v>100.58913093607474</v>
          </cell>
          <cell r="CA14">
            <v>100.96984159597322</v>
          </cell>
          <cell r="CB14">
            <v>-0.44336730150248721</v>
          </cell>
          <cell r="CC14">
            <v>100.52647429447073</v>
          </cell>
          <cell r="CD14">
            <v>6.2451199999999991</v>
          </cell>
          <cell r="CE14">
            <v>200</v>
          </cell>
          <cell r="CF14">
            <v>2.1319568905775799</v>
          </cell>
          <cell r="CG14">
            <v>2.18825</v>
          </cell>
          <cell r="CH14">
            <v>140</v>
          </cell>
          <cell r="CI14">
            <v>0.5229168160202643</v>
          </cell>
          <cell r="CJ14">
            <v>2.6548737065978441</v>
          </cell>
          <cell r="CK14">
            <v>0.68527185768565058</v>
          </cell>
          <cell r="CL14">
            <v>0.13446432411949649</v>
          </cell>
          <cell r="CM14">
            <v>2.9670329670329667</v>
          </cell>
          <cell r="CN14">
            <v>3.7867691488381139</v>
          </cell>
          <cell r="CO14">
            <v>1.4238426376357411E-2</v>
          </cell>
          <cell r="CP14">
            <v>1.3076923076923079</v>
          </cell>
          <cell r="CQ14">
            <v>1.3219307340686652</v>
          </cell>
          <cell r="CR14">
            <v>1.21</v>
          </cell>
          <cell r="CS14">
            <v>9.81</v>
          </cell>
          <cell r="CT14">
            <v>7.81</v>
          </cell>
          <cell r="CU14">
            <v>0</v>
          </cell>
          <cell r="CV14">
            <v>127.12004788397535</v>
          </cell>
        </row>
        <row r="15">
          <cell r="K15" t="str">
            <v>ExportWalmartHome TrendsUSABath76x132M</v>
          </cell>
          <cell r="L15">
            <v>0</v>
          </cell>
          <cell r="M15">
            <v>446.08</v>
          </cell>
          <cell r="N15">
            <v>0</v>
          </cell>
          <cell r="O15">
            <v>87.53</v>
          </cell>
          <cell r="P15">
            <v>81.709999999999994</v>
          </cell>
          <cell r="Q15">
            <v>28.48</v>
          </cell>
          <cell r="R15">
            <v>0</v>
          </cell>
          <cell r="S15">
            <v>0</v>
          </cell>
          <cell r="T15">
            <v>643.80000000000007</v>
          </cell>
          <cell r="U15">
            <v>585.85800000000006</v>
          </cell>
          <cell r="V15">
            <v>2.5000000000000001E-3</v>
          </cell>
          <cell r="W15">
            <v>0</v>
          </cell>
          <cell r="X15">
            <v>-1.3999999999999999E-2</v>
          </cell>
          <cell r="Y15">
            <v>-2.5000000000000001E-2</v>
          </cell>
          <cell r="Z15">
            <v>8.9999999999999969E-2</v>
          </cell>
          <cell r="AA15">
            <v>1.4999999999999999E-2</v>
          </cell>
          <cell r="AB15">
            <v>0.01</v>
          </cell>
          <cell r="AC15">
            <v>1.4683157894736842</v>
          </cell>
          <cell r="AD15">
            <v>0</v>
          </cell>
          <cell r="AE15">
            <v>-6.2451199999999991</v>
          </cell>
          <cell r="AF15">
            <v>-2.18825</v>
          </cell>
          <cell r="AG15">
            <v>57.941999999999986</v>
          </cell>
          <cell r="AH15">
            <v>8.9216954314720827</v>
          </cell>
          <cell r="AI15">
            <v>5.9177575757575767</v>
          </cell>
          <cell r="AJ15">
            <v>65.816398796703339</v>
          </cell>
          <cell r="AK15">
            <v>651.67439879670337</v>
          </cell>
          <cell r="AL15" t="str">
            <v>1/13  Tend KC</v>
          </cell>
          <cell r="AM15">
            <v>0</v>
          </cell>
          <cell r="AN15" t="str">
            <v>2/24  KC</v>
          </cell>
          <cell r="AO15" t="str">
            <v xml:space="preserve">1/14OE  </v>
          </cell>
          <cell r="AP15" t="str">
            <v>2/20  KC</v>
          </cell>
          <cell r="AQ15">
            <v>0</v>
          </cell>
          <cell r="AR15">
            <v>0</v>
          </cell>
          <cell r="AS15">
            <v>87.5</v>
          </cell>
          <cell r="AT15">
            <v>0</v>
          </cell>
          <cell r="AU15">
            <v>107.5</v>
          </cell>
          <cell r="AV15">
            <v>75.75</v>
          </cell>
          <cell r="AW15">
            <v>107.5</v>
          </cell>
          <cell r="AX15">
            <v>0</v>
          </cell>
          <cell r="AY15">
            <v>0</v>
          </cell>
          <cell r="AZ15">
            <v>39.031999999999996</v>
          </cell>
          <cell r="BA15">
            <v>9.4094750000000005</v>
          </cell>
          <cell r="BB15">
            <v>6.1895324999999994</v>
          </cell>
          <cell r="BC15">
            <v>3.0615999999999999</v>
          </cell>
          <cell r="BD15">
            <v>0</v>
          </cell>
          <cell r="BE15">
            <v>0.13157963114035087</v>
          </cell>
          <cell r="BF15">
            <v>0</v>
          </cell>
          <cell r="BI15">
            <v>0</v>
          </cell>
          <cell r="BJ15">
            <v>0.79949654048223351</v>
          </cell>
          <cell r="BK15">
            <v>0.53030578611111112</v>
          </cell>
          <cell r="BL15">
            <v>1.4613819577336955</v>
          </cell>
          <cell r="BM15">
            <v>-3.6707894736842106E-2</v>
          </cell>
          <cell r="BN15">
            <v>0</v>
          </cell>
          <cell r="BO15">
            <v>0</v>
          </cell>
          <cell r="BP15">
            <v>0</v>
          </cell>
          <cell r="BQ15">
            <v>0</v>
          </cell>
          <cell r="BR15">
            <v>-0.22304238578680208</v>
          </cell>
          <cell r="BS15">
            <v>0</v>
          </cell>
          <cell r="BT15">
            <v>-0.25975028052364418</v>
          </cell>
          <cell r="BU15">
            <v>91.882555852335642</v>
          </cell>
          <cell r="BV15">
            <v>-0.34644670050761422</v>
          </cell>
          <cell r="BW15">
            <v>91.536109151828029</v>
          </cell>
          <cell r="BX15">
            <v>100.96984159597322</v>
          </cell>
          <cell r="BY15">
            <v>-0.38071065989847719</v>
          </cell>
          <cell r="BZ15">
            <v>100.58913093607474</v>
          </cell>
          <cell r="CA15">
            <v>100.96984159597322</v>
          </cell>
          <cell r="CB15">
            <v>-0.44336730150248721</v>
          </cell>
          <cell r="CC15">
            <v>100.52647429447073</v>
          </cell>
          <cell r="CD15">
            <v>6.2451199999999991</v>
          </cell>
          <cell r="CE15">
            <v>200</v>
          </cell>
          <cell r="CF15">
            <v>2.1319568905775799</v>
          </cell>
          <cell r="CG15">
            <v>2.18825</v>
          </cell>
          <cell r="CH15">
            <v>140</v>
          </cell>
          <cell r="CI15">
            <v>0.5229168160202643</v>
          </cell>
          <cell r="CJ15">
            <v>2.6548737065978441</v>
          </cell>
          <cell r="CK15">
            <v>0.68527185768565058</v>
          </cell>
          <cell r="CL15">
            <v>0.13446432411949649</v>
          </cell>
          <cell r="CM15">
            <v>2.9670329670329667</v>
          </cell>
          <cell r="CN15">
            <v>3.7867691488381139</v>
          </cell>
          <cell r="CO15">
            <v>1.4238426376357411E-2</v>
          </cell>
          <cell r="CP15">
            <v>1.3076923076923079</v>
          </cell>
          <cell r="CQ15">
            <v>1.3219307340686652</v>
          </cell>
          <cell r="CR15">
            <v>4.22</v>
          </cell>
          <cell r="CS15">
            <v>9.7200000000000006</v>
          </cell>
          <cell r="CT15">
            <v>7.81</v>
          </cell>
          <cell r="CU15">
            <v>0</v>
          </cell>
          <cell r="CV15">
            <v>130.04004788397535</v>
          </cell>
        </row>
        <row r="16">
          <cell r="K16" t="str">
            <v>ExportWalmartHome TrendsUSABath76x132D</v>
          </cell>
          <cell r="L16">
            <v>0</v>
          </cell>
          <cell r="M16">
            <v>446.08</v>
          </cell>
          <cell r="N16">
            <v>0</v>
          </cell>
          <cell r="O16">
            <v>87.53</v>
          </cell>
          <cell r="P16">
            <v>81.709999999999994</v>
          </cell>
          <cell r="Q16">
            <v>28.48</v>
          </cell>
          <cell r="R16">
            <v>0</v>
          </cell>
          <cell r="S16">
            <v>0</v>
          </cell>
          <cell r="T16">
            <v>643.80000000000007</v>
          </cell>
          <cell r="U16">
            <v>585.85800000000006</v>
          </cell>
          <cell r="V16">
            <v>2.5000000000000001E-3</v>
          </cell>
          <cell r="W16">
            <v>0</v>
          </cell>
          <cell r="X16">
            <v>-1.3999999999999999E-2</v>
          </cell>
          <cell r="Y16">
            <v>-2.5000000000000001E-2</v>
          </cell>
          <cell r="Z16">
            <v>8.9999999999999969E-2</v>
          </cell>
          <cell r="AA16">
            <v>1.4999999999999999E-2</v>
          </cell>
          <cell r="AB16">
            <v>0.01</v>
          </cell>
          <cell r="AC16">
            <v>1.4683157894736842</v>
          </cell>
          <cell r="AD16">
            <v>0</v>
          </cell>
          <cell r="AE16">
            <v>-6.2451199999999991</v>
          </cell>
          <cell r="AF16">
            <v>-2.18825</v>
          </cell>
          <cell r="AG16">
            <v>57.941999999999986</v>
          </cell>
          <cell r="AH16">
            <v>8.9216954314720827</v>
          </cell>
          <cell r="AI16">
            <v>5.9177575757575767</v>
          </cell>
          <cell r="AJ16">
            <v>65.816398796703339</v>
          </cell>
          <cell r="AK16">
            <v>651.67439879670337</v>
          </cell>
          <cell r="AL16" t="str">
            <v>1/13  Tend KC</v>
          </cell>
          <cell r="AM16">
            <v>0</v>
          </cell>
          <cell r="AN16" t="str">
            <v>2/24  KC</v>
          </cell>
          <cell r="AO16" t="str">
            <v xml:space="preserve">1/14OE  </v>
          </cell>
          <cell r="AP16" t="str">
            <v>2/20  KC</v>
          </cell>
          <cell r="AQ16">
            <v>0</v>
          </cell>
          <cell r="AR16">
            <v>0</v>
          </cell>
          <cell r="AS16">
            <v>87.5</v>
          </cell>
          <cell r="AT16">
            <v>0</v>
          </cell>
          <cell r="AU16">
            <v>107.5</v>
          </cell>
          <cell r="AV16">
            <v>75.75</v>
          </cell>
          <cell r="AW16">
            <v>107.5</v>
          </cell>
          <cell r="AX16">
            <v>0</v>
          </cell>
          <cell r="AY16">
            <v>0</v>
          </cell>
          <cell r="AZ16">
            <v>39.031999999999996</v>
          </cell>
          <cell r="BA16">
            <v>9.4094750000000005</v>
          </cell>
          <cell r="BB16">
            <v>6.1895324999999994</v>
          </cell>
          <cell r="BC16">
            <v>3.0615999999999999</v>
          </cell>
          <cell r="BD16">
            <v>0</v>
          </cell>
          <cell r="BE16">
            <v>0.13157963114035087</v>
          </cell>
          <cell r="BF16">
            <v>0</v>
          </cell>
          <cell r="BI16">
            <v>0</v>
          </cell>
          <cell r="BJ16">
            <v>0.79949654048223351</v>
          </cell>
          <cell r="BK16">
            <v>0.53030578611111112</v>
          </cell>
          <cell r="BL16">
            <v>1.4613819577336955</v>
          </cell>
          <cell r="BM16">
            <v>-3.6707894736842106E-2</v>
          </cell>
          <cell r="BN16">
            <v>0</v>
          </cell>
          <cell r="BO16">
            <v>0</v>
          </cell>
          <cell r="BP16">
            <v>0</v>
          </cell>
          <cell r="BQ16">
            <v>0</v>
          </cell>
          <cell r="BR16">
            <v>-0.22304238578680208</v>
          </cell>
          <cell r="BS16">
            <v>0</v>
          </cell>
          <cell r="BT16">
            <v>-0.25975028052364418</v>
          </cell>
          <cell r="BU16">
            <v>91.882555852335642</v>
          </cell>
          <cell r="BV16">
            <v>-0.34644670050761422</v>
          </cell>
          <cell r="BW16">
            <v>91.536109151828029</v>
          </cell>
          <cell r="BX16">
            <v>100.96984159597322</v>
          </cell>
          <cell r="BY16">
            <v>-0.38071065989847719</v>
          </cell>
          <cell r="BZ16">
            <v>100.58913093607474</v>
          </cell>
          <cell r="CA16">
            <v>100.96984159597322</v>
          </cell>
          <cell r="CB16">
            <v>-0.44336730150248721</v>
          </cell>
          <cell r="CC16">
            <v>100.52647429447073</v>
          </cell>
          <cell r="CD16">
            <v>6.2451199999999991</v>
          </cell>
          <cell r="CE16">
            <v>200</v>
          </cell>
          <cell r="CF16">
            <v>2.1319568905775799</v>
          </cell>
          <cell r="CG16">
            <v>2.18825</v>
          </cell>
          <cell r="CH16">
            <v>140</v>
          </cell>
          <cell r="CI16">
            <v>0.5229168160202643</v>
          </cell>
          <cell r="CJ16">
            <v>2.6548737065978441</v>
          </cell>
          <cell r="CK16">
            <v>0.68527185768565058</v>
          </cell>
          <cell r="CL16">
            <v>0.13446432411949649</v>
          </cell>
          <cell r="CM16">
            <v>2.9670329670329667</v>
          </cell>
          <cell r="CN16">
            <v>3.7867691488381139</v>
          </cell>
          <cell r="CO16">
            <v>1.4238426376357411E-2</v>
          </cell>
          <cell r="CP16">
            <v>1.3076923076923079</v>
          </cell>
          <cell r="CQ16">
            <v>1.3219307340686652</v>
          </cell>
          <cell r="CR16">
            <v>14.66</v>
          </cell>
          <cell r="CS16">
            <v>9.98</v>
          </cell>
          <cell r="CT16">
            <v>7.81</v>
          </cell>
          <cell r="CU16">
            <v>0</v>
          </cell>
          <cell r="CV16">
            <v>140.74004788397536</v>
          </cell>
        </row>
        <row r="17">
          <cell r="K17" t="str">
            <v>ExportWalmartHome TrendsUSAHand41x69L</v>
          </cell>
          <cell r="L17">
            <v>0</v>
          </cell>
          <cell r="M17">
            <v>102</v>
          </cell>
          <cell r="N17">
            <v>0</v>
          </cell>
          <cell r="O17">
            <v>26.85</v>
          </cell>
          <cell r="P17">
            <v>23.364000000000001</v>
          </cell>
          <cell r="Q17">
            <v>13.78</v>
          </cell>
          <cell r="R17">
            <v>0</v>
          </cell>
          <cell r="S17">
            <v>0</v>
          </cell>
          <cell r="T17">
            <v>165.994</v>
          </cell>
          <cell r="U17">
            <v>151.05454</v>
          </cell>
          <cell r="V17">
            <v>2.5000000000000001E-3</v>
          </cell>
          <cell r="W17">
            <v>0</v>
          </cell>
          <cell r="X17">
            <v>-1.3999999999999999E-2</v>
          </cell>
          <cell r="Y17">
            <v>-2.5000000000000001E-2</v>
          </cell>
          <cell r="Z17">
            <v>8.9999999999999969E-2</v>
          </cell>
          <cell r="AA17">
            <v>1.4999999999999999E-2</v>
          </cell>
          <cell r="AB17">
            <v>0.01</v>
          </cell>
          <cell r="AC17">
            <v>0.37858280701754382</v>
          </cell>
          <cell r="AD17">
            <v>0</v>
          </cell>
          <cell r="AE17">
            <v>-1.4279999999999999</v>
          </cell>
          <cell r="AF17">
            <v>-0.67125000000000012</v>
          </cell>
          <cell r="AG17">
            <v>14.939459999999995</v>
          </cell>
          <cell r="AH17">
            <v>2.3003229441624367</v>
          </cell>
          <cell r="AI17">
            <v>1.5258034343434344</v>
          </cell>
          <cell r="AJ17">
            <v>17.044919185523412</v>
          </cell>
          <cell r="AK17">
            <v>168.09945918552341</v>
          </cell>
          <cell r="AL17" t="str">
            <v>1/13   KC</v>
          </cell>
          <cell r="AM17">
            <v>0</v>
          </cell>
          <cell r="AN17" t="str">
            <v>2/24  KC</v>
          </cell>
          <cell r="AO17" t="str">
            <v xml:space="preserve">1/14OE  </v>
          </cell>
          <cell r="AP17" t="str">
            <v>2/20  KC</v>
          </cell>
          <cell r="AQ17">
            <v>0</v>
          </cell>
          <cell r="AR17">
            <v>0</v>
          </cell>
          <cell r="AS17">
            <v>84.5</v>
          </cell>
          <cell r="AT17">
            <v>0</v>
          </cell>
          <cell r="AU17">
            <v>107.5</v>
          </cell>
          <cell r="AV17">
            <v>75.75</v>
          </cell>
          <cell r="AW17">
            <v>107.5</v>
          </cell>
          <cell r="AX17">
            <v>0</v>
          </cell>
          <cell r="AY17">
            <v>0</v>
          </cell>
          <cell r="AZ17">
            <v>8.6189999999999998</v>
          </cell>
          <cell r="BA17">
            <v>2.8863750000000001</v>
          </cell>
          <cell r="BB17">
            <v>1.7698230000000001</v>
          </cell>
          <cell r="BC17">
            <v>1.4813499999999999</v>
          </cell>
          <cell r="BD17">
            <v>0</v>
          </cell>
          <cell r="BE17">
            <v>3.3655284912280703E-2</v>
          </cell>
          <cell r="BF17">
            <v>0</v>
          </cell>
          <cell r="BI17">
            <v>0</v>
          </cell>
          <cell r="BJ17">
            <v>0.20449429461928936</v>
          </cell>
          <cell r="BK17">
            <v>0.13564099676767677</v>
          </cell>
          <cell r="BL17">
            <v>0.37379057629924684</v>
          </cell>
          <cell r="BM17">
            <v>-9.4645701754385962E-3</v>
          </cell>
          <cell r="BN17">
            <v>0</v>
          </cell>
          <cell r="BO17">
            <v>0</v>
          </cell>
          <cell r="BP17">
            <v>0</v>
          </cell>
          <cell r="BQ17">
            <v>0</v>
          </cell>
          <cell r="BR17">
            <v>-5.7508073604060919E-2</v>
          </cell>
          <cell r="BS17">
            <v>0</v>
          </cell>
          <cell r="BT17">
            <v>-6.6972643779499519E-2</v>
          </cell>
          <cell r="BU17">
            <v>91.149912504664314</v>
          </cell>
          <cell r="BV17">
            <v>-0.34644670050761422</v>
          </cell>
          <cell r="BW17">
            <v>90.803465804156701</v>
          </cell>
          <cell r="BX17">
            <v>100.16473901611462</v>
          </cell>
          <cell r="BY17">
            <v>-0.38071065989847719</v>
          </cell>
          <cell r="BZ17">
            <v>99.78402835621614</v>
          </cell>
          <cell r="CA17">
            <v>100.16473901611462</v>
          </cell>
          <cell r="CB17">
            <v>-0.44336730150248721</v>
          </cell>
          <cell r="CC17">
            <v>99.721371714612133</v>
          </cell>
          <cell r="CD17">
            <v>1.4279999999999999</v>
          </cell>
          <cell r="CE17">
            <v>200</v>
          </cell>
          <cell r="CF17">
            <v>1.8907078198377882</v>
          </cell>
          <cell r="CG17">
            <v>0.67125000000000012</v>
          </cell>
          <cell r="CH17">
            <v>140</v>
          </cell>
          <cell r="CI17">
            <v>0.62212628630691946</v>
          </cell>
          <cell r="CJ17">
            <v>2.5128341061447079</v>
          </cell>
          <cell r="CK17">
            <v>0.60772751351928911</v>
          </cell>
          <cell r="CL17">
            <v>0.15997533076463638</v>
          </cell>
          <cell r="CM17">
            <v>2.9670329670329667</v>
          </cell>
          <cell r="CN17">
            <v>3.7347358113168925</v>
          </cell>
          <cell r="CO17">
            <v>1.262722722534523E-2</v>
          </cell>
          <cell r="CP17">
            <v>1.3076923076923079</v>
          </cell>
          <cell r="CQ17">
            <v>1.3203195349176531</v>
          </cell>
          <cell r="CR17">
            <v>1.21</v>
          </cell>
          <cell r="CS17">
            <v>9.81</v>
          </cell>
          <cell r="CT17">
            <v>13.26</v>
          </cell>
          <cell r="CU17">
            <v>0</v>
          </cell>
          <cell r="CV17">
            <v>131.5692611669914</v>
          </cell>
        </row>
        <row r="18">
          <cell r="K18" t="str">
            <v>ExportWalmartHome TrendsUSAHand41x69M</v>
          </cell>
          <cell r="L18">
            <v>0</v>
          </cell>
          <cell r="M18">
            <v>102</v>
          </cell>
          <cell r="N18">
            <v>0</v>
          </cell>
          <cell r="O18">
            <v>26.85</v>
          </cell>
          <cell r="P18">
            <v>23.364000000000001</v>
          </cell>
          <cell r="Q18">
            <v>13.78</v>
          </cell>
          <cell r="R18">
            <v>0</v>
          </cell>
          <cell r="S18">
            <v>0</v>
          </cell>
          <cell r="T18">
            <v>165.994</v>
          </cell>
          <cell r="U18">
            <v>151.05454</v>
          </cell>
          <cell r="V18">
            <v>2.5000000000000001E-3</v>
          </cell>
          <cell r="W18">
            <v>0</v>
          </cell>
          <cell r="X18">
            <v>-1.3999999999999999E-2</v>
          </cell>
          <cell r="Y18">
            <v>-2.5000000000000001E-2</v>
          </cell>
          <cell r="Z18">
            <v>8.9999999999999969E-2</v>
          </cell>
          <cell r="AA18">
            <v>1.4999999999999999E-2</v>
          </cell>
          <cell r="AB18">
            <v>0.01</v>
          </cell>
          <cell r="AC18">
            <v>0.37858280701754382</v>
          </cell>
          <cell r="AD18">
            <v>0</v>
          </cell>
          <cell r="AE18">
            <v>-1.4279999999999999</v>
          </cell>
          <cell r="AF18">
            <v>-0.67125000000000012</v>
          </cell>
          <cell r="AG18">
            <v>14.939459999999995</v>
          </cell>
          <cell r="AH18">
            <v>2.3003229441624367</v>
          </cell>
          <cell r="AI18">
            <v>1.5258034343434344</v>
          </cell>
          <cell r="AJ18">
            <v>17.044919185523412</v>
          </cell>
          <cell r="AK18">
            <v>168.09945918552341</v>
          </cell>
          <cell r="AL18" t="str">
            <v>1/13   KC</v>
          </cell>
          <cell r="AM18">
            <v>0</v>
          </cell>
          <cell r="AN18" t="str">
            <v>2/24  KC</v>
          </cell>
          <cell r="AO18" t="str">
            <v xml:space="preserve">1/14OE  </v>
          </cell>
          <cell r="AP18" t="str">
            <v>2/20  KC</v>
          </cell>
          <cell r="AQ18">
            <v>0</v>
          </cell>
          <cell r="AR18">
            <v>0</v>
          </cell>
          <cell r="AS18">
            <v>84.5</v>
          </cell>
          <cell r="AT18">
            <v>0</v>
          </cell>
          <cell r="AU18">
            <v>107.5</v>
          </cell>
          <cell r="AV18">
            <v>75.75</v>
          </cell>
          <cell r="AW18">
            <v>107.5</v>
          </cell>
          <cell r="AX18">
            <v>0</v>
          </cell>
          <cell r="AY18">
            <v>0</v>
          </cell>
          <cell r="AZ18">
            <v>8.6189999999999998</v>
          </cell>
          <cell r="BA18">
            <v>2.8863750000000001</v>
          </cell>
          <cell r="BB18">
            <v>1.7698230000000001</v>
          </cell>
          <cell r="BC18">
            <v>1.4813499999999999</v>
          </cell>
          <cell r="BD18">
            <v>0</v>
          </cell>
          <cell r="BE18">
            <v>3.3655284912280703E-2</v>
          </cell>
          <cell r="BF18">
            <v>0</v>
          </cell>
          <cell r="BI18">
            <v>0</v>
          </cell>
          <cell r="BJ18">
            <v>0.20449429461928936</v>
          </cell>
          <cell r="BK18">
            <v>0.13564099676767677</v>
          </cell>
          <cell r="BL18">
            <v>0.37379057629924684</v>
          </cell>
          <cell r="BM18">
            <v>-9.4645701754385962E-3</v>
          </cell>
          <cell r="BN18">
            <v>0</v>
          </cell>
          <cell r="BO18">
            <v>0</v>
          </cell>
          <cell r="BP18">
            <v>0</v>
          </cell>
          <cell r="BQ18">
            <v>0</v>
          </cell>
          <cell r="BR18">
            <v>-5.7508073604060919E-2</v>
          </cell>
          <cell r="BS18">
            <v>0</v>
          </cell>
          <cell r="BT18">
            <v>-6.6972643779499519E-2</v>
          </cell>
          <cell r="BU18">
            <v>91.149912504664314</v>
          </cell>
          <cell r="BV18">
            <v>-0.34644670050761422</v>
          </cell>
          <cell r="BW18">
            <v>90.803465804156701</v>
          </cell>
          <cell r="BX18">
            <v>100.16473901611462</v>
          </cell>
          <cell r="BY18">
            <v>-0.38071065989847719</v>
          </cell>
          <cell r="BZ18">
            <v>99.78402835621614</v>
          </cell>
          <cell r="CA18">
            <v>100.16473901611462</v>
          </cell>
          <cell r="CB18">
            <v>-0.44336730150248721</v>
          </cell>
          <cell r="CC18">
            <v>99.721371714612133</v>
          </cell>
          <cell r="CD18">
            <v>1.4279999999999999</v>
          </cell>
          <cell r="CE18">
            <v>200</v>
          </cell>
          <cell r="CF18">
            <v>1.8907078198377882</v>
          </cell>
          <cell r="CG18">
            <v>0.67125000000000012</v>
          </cell>
          <cell r="CH18">
            <v>140</v>
          </cell>
          <cell r="CI18">
            <v>0.62212628630691946</v>
          </cell>
          <cell r="CJ18">
            <v>2.5128341061447079</v>
          </cell>
          <cell r="CK18">
            <v>0.60772751351928911</v>
          </cell>
          <cell r="CL18">
            <v>0.15997533076463638</v>
          </cell>
          <cell r="CM18">
            <v>2.9670329670329667</v>
          </cell>
          <cell r="CN18">
            <v>3.7347358113168925</v>
          </cell>
          <cell r="CO18">
            <v>1.262722722534523E-2</v>
          </cell>
          <cell r="CP18">
            <v>1.3076923076923079</v>
          </cell>
          <cell r="CQ18">
            <v>1.3203195349176531</v>
          </cell>
          <cell r="CR18">
            <v>4.22</v>
          </cell>
          <cell r="CS18">
            <v>9.7200000000000006</v>
          </cell>
          <cell r="CT18">
            <v>13.26</v>
          </cell>
          <cell r="CU18">
            <v>0</v>
          </cell>
          <cell r="CV18">
            <v>134.48926116699141</v>
          </cell>
        </row>
        <row r="19">
          <cell r="K19" t="str">
            <v>ExportWalmartHome TrendsUSAHand41x69D</v>
          </cell>
          <cell r="L19">
            <v>0</v>
          </cell>
          <cell r="M19">
            <v>102</v>
          </cell>
          <cell r="N19">
            <v>0</v>
          </cell>
          <cell r="O19">
            <v>26.85</v>
          </cell>
          <cell r="P19">
            <v>23.364000000000001</v>
          </cell>
          <cell r="Q19">
            <v>13.78</v>
          </cell>
          <cell r="R19">
            <v>0</v>
          </cell>
          <cell r="S19">
            <v>0</v>
          </cell>
          <cell r="T19">
            <v>165.994</v>
          </cell>
          <cell r="U19">
            <v>151.05454</v>
          </cell>
          <cell r="V19">
            <v>2.5000000000000001E-3</v>
          </cell>
          <cell r="W19">
            <v>0</v>
          </cell>
          <cell r="X19">
            <v>-1.3999999999999999E-2</v>
          </cell>
          <cell r="Y19">
            <v>-2.5000000000000001E-2</v>
          </cell>
          <cell r="Z19">
            <v>8.9999999999999969E-2</v>
          </cell>
          <cell r="AA19">
            <v>1.4999999999999999E-2</v>
          </cell>
          <cell r="AB19">
            <v>0.01</v>
          </cell>
          <cell r="AC19">
            <v>0.37858280701754382</v>
          </cell>
          <cell r="AD19">
            <v>0</v>
          </cell>
          <cell r="AE19">
            <v>-1.4279999999999999</v>
          </cell>
          <cell r="AF19">
            <v>-0.67125000000000012</v>
          </cell>
          <cell r="AG19">
            <v>14.939459999999995</v>
          </cell>
          <cell r="AH19">
            <v>2.3003229441624367</v>
          </cell>
          <cell r="AI19">
            <v>1.5258034343434344</v>
          </cell>
          <cell r="AJ19">
            <v>17.044919185523412</v>
          </cell>
          <cell r="AK19">
            <v>168.09945918552341</v>
          </cell>
          <cell r="AL19" t="str">
            <v>1/13   KC</v>
          </cell>
          <cell r="AM19">
            <v>0</v>
          </cell>
          <cell r="AN19" t="str">
            <v>2/24  KC</v>
          </cell>
          <cell r="AO19" t="str">
            <v xml:space="preserve">1/14OE  </v>
          </cell>
          <cell r="AP19" t="str">
            <v>2/20  KC</v>
          </cell>
          <cell r="AQ19">
            <v>0</v>
          </cell>
          <cell r="AR19">
            <v>0</v>
          </cell>
          <cell r="AS19">
            <v>84.5</v>
          </cell>
          <cell r="AT19">
            <v>0</v>
          </cell>
          <cell r="AU19">
            <v>107.5</v>
          </cell>
          <cell r="AV19">
            <v>75.75</v>
          </cell>
          <cell r="AW19">
            <v>107.5</v>
          </cell>
          <cell r="AX19">
            <v>0</v>
          </cell>
          <cell r="AY19">
            <v>0</v>
          </cell>
          <cell r="AZ19">
            <v>8.6189999999999998</v>
          </cell>
          <cell r="BA19">
            <v>2.8863750000000001</v>
          </cell>
          <cell r="BB19">
            <v>1.7698230000000001</v>
          </cell>
          <cell r="BC19">
            <v>1.4813499999999999</v>
          </cell>
          <cell r="BD19">
            <v>0</v>
          </cell>
          <cell r="BE19">
            <v>3.3655284912280703E-2</v>
          </cell>
          <cell r="BF19">
            <v>0</v>
          </cell>
          <cell r="BI19">
            <v>0</v>
          </cell>
          <cell r="BJ19">
            <v>0.20449429461928936</v>
          </cell>
          <cell r="BK19">
            <v>0.13564099676767677</v>
          </cell>
          <cell r="BL19">
            <v>0.37379057629924684</v>
          </cell>
          <cell r="BM19">
            <v>-9.4645701754385962E-3</v>
          </cell>
          <cell r="BN19">
            <v>0</v>
          </cell>
          <cell r="BO19">
            <v>0</v>
          </cell>
          <cell r="BP19">
            <v>0</v>
          </cell>
          <cell r="BQ19">
            <v>0</v>
          </cell>
          <cell r="BR19">
            <v>-5.7508073604060919E-2</v>
          </cell>
          <cell r="BS19">
            <v>0</v>
          </cell>
          <cell r="BT19">
            <v>-6.6972643779499519E-2</v>
          </cell>
          <cell r="BU19">
            <v>91.149912504664314</v>
          </cell>
          <cell r="BV19">
            <v>-0.34644670050761422</v>
          </cell>
          <cell r="BW19">
            <v>90.803465804156701</v>
          </cell>
          <cell r="BX19">
            <v>100.16473901611462</v>
          </cell>
          <cell r="BY19">
            <v>-0.38071065989847719</v>
          </cell>
          <cell r="BZ19">
            <v>99.78402835621614</v>
          </cell>
          <cell r="CA19">
            <v>100.16473901611462</v>
          </cell>
          <cell r="CB19">
            <v>-0.44336730150248721</v>
          </cell>
          <cell r="CC19">
            <v>99.721371714612133</v>
          </cell>
          <cell r="CD19">
            <v>1.4279999999999999</v>
          </cell>
          <cell r="CE19">
            <v>200</v>
          </cell>
          <cell r="CF19">
            <v>1.8907078198377882</v>
          </cell>
          <cell r="CG19">
            <v>0.67125000000000012</v>
          </cell>
          <cell r="CH19">
            <v>140</v>
          </cell>
          <cell r="CI19">
            <v>0.62212628630691946</v>
          </cell>
          <cell r="CJ19">
            <v>2.5128341061447079</v>
          </cell>
          <cell r="CK19">
            <v>0.60772751351928911</v>
          </cell>
          <cell r="CL19">
            <v>0.15997533076463638</v>
          </cell>
          <cell r="CM19">
            <v>2.9670329670329667</v>
          </cell>
          <cell r="CN19">
            <v>3.7347358113168925</v>
          </cell>
          <cell r="CO19">
            <v>1.262722722534523E-2</v>
          </cell>
          <cell r="CP19">
            <v>1.3076923076923079</v>
          </cell>
          <cell r="CQ19">
            <v>1.3203195349176531</v>
          </cell>
          <cell r="CR19">
            <v>14.66</v>
          </cell>
          <cell r="CS19">
            <v>9.98</v>
          </cell>
          <cell r="CT19">
            <v>13.26</v>
          </cell>
          <cell r="CU19">
            <v>0</v>
          </cell>
          <cell r="CV19">
            <v>145.1892611669914</v>
          </cell>
        </row>
        <row r="20">
          <cell r="K20" t="str">
            <v>ExportWalmartHome TrendsUSAWash33x33L</v>
          </cell>
          <cell r="L20">
            <v>0</v>
          </cell>
          <cell r="M20">
            <v>41.32</v>
          </cell>
          <cell r="N20">
            <v>0</v>
          </cell>
          <cell r="O20">
            <v>9.2200000000000006</v>
          </cell>
          <cell r="P20">
            <v>8.09</v>
          </cell>
          <cell r="Q20">
            <v>4.0659999999999998</v>
          </cell>
          <cell r="R20">
            <v>0</v>
          </cell>
          <cell r="S20">
            <v>0</v>
          </cell>
          <cell r="T20">
            <v>62.695999999999998</v>
          </cell>
          <cell r="U20">
            <v>56.739879999999999</v>
          </cell>
          <cell r="V20">
            <v>2.5000000000000001E-3</v>
          </cell>
          <cell r="W20">
            <v>0</v>
          </cell>
          <cell r="X20">
            <v>-1.3999999999999999E-2</v>
          </cell>
          <cell r="Y20">
            <v>-2.5000000000000001E-2</v>
          </cell>
          <cell r="Z20">
            <v>9.4999999999999973E-2</v>
          </cell>
          <cell r="AA20">
            <v>1.4999999999999999E-2</v>
          </cell>
          <cell r="AB20">
            <v>0.01</v>
          </cell>
          <cell r="AC20">
            <v>0.14220521303258143</v>
          </cell>
          <cell r="AD20">
            <v>0</v>
          </cell>
          <cell r="AE20">
            <v>-0.57847999999999999</v>
          </cell>
          <cell r="AF20">
            <v>-0.23050000000000004</v>
          </cell>
          <cell r="AG20">
            <v>5.9561199999999985</v>
          </cell>
          <cell r="AH20">
            <v>0.86405908629441619</v>
          </cell>
          <cell r="AI20">
            <v>0.57313010101010098</v>
          </cell>
          <cell r="AJ20">
            <v>6.7265344003370968</v>
          </cell>
          <cell r="AK20">
            <v>63.466414400337094</v>
          </cell>
          <cell r="AL20" t="str">
            <v>1/13   KC</v>
          </cell>
          <cell r="AM20">
            <v>0</v>
          </cell>
          <cell r="AN20" t="str">
            <v>2/24  KC</v>
          </cell>
          <cell r="AO20" t="str">
            <v xml:space="preserve">1/14OE  </v>
          </cell>
          <cell r="AP20" t="str">
            <v>2/20  KC</v>
          </cell>
          <cell r="AQ20">
            <v>0</v>
          </cell>
          <cell r="AR20">
            <v>0</v>
          </cell>
          <cell r="AS20">
            <v>84.5</v>
          </cell>
          <cell r="AT20">
            <v>0</v>
          </cell>
          <cell r="AU20">
            <v>107.5</v>
          </cell>
          <cell r="AV20">
            <v>75.75</v>
          </cell>
          <cell r="AW20">
            <v>107.5</v>
          </cell>
          <cell r="AX20">
            <v>0</v>
          </cell>
          <cell r="AY20">
            <v>0</v>
          </cell>
          <cell r="AZ20">
            <v>3.4915400000000001</v>
          </cell>
          <cell r="BA20">
            <v>0.99115000000000009</v>
          </cell>
          <cell r="BB20">
            <v>0.61281750000000001</v>
          </cell>
          <cell r="BC20">
            <v>0.43709499999999996</v>
          </cell>
          <cell r="BD20">
            <v>0</v>
          </cell>
          <cell r="BE20">
            <v>1.2548885369674185E-2</v>
          </cell>
          <cell r="BF20">
            <v>0</v>
          </cell>
          <cell r="BI20">
            <v>0</v>
          </cell>
          <cell r="BJ20">
            <v>7.6248811104060912E-2</v>
          </cell>
          <cell r="BK20">
            <v>5.0575810732323236E-2</v>
          </cell>
          <cell r="BL20">
            <v>0.13937350720605834</v>
          </cell>
          <cell r="BM20">
            <v>-3.555130325814536E-3</v>
          </cell>
          <cell r="BN20">
            <v>0</v>
          </cell>
          <cell r="BO20">
            <v>0</v>
          </cell>
          <cell r="BP20">
            <v>0</v>
          </cell>
          <cell r="BQ20">
            <v>0</v>
          </cell>
          <cell r="BR20">
            <v>-2.1601477157360407E-2</v>
          </cell>
          <cell r="BS20">
            <v>0</v>
          </cell>
          <cell r="BT20">
            <v>-2.5156607483174942E-2</v>
          </cell>
          <cell r="BU20">
            <v>90.467908753446139</v>
          </cell>
          <cell r="BV20">
            <v>-0.34454314720812185</v>
          </cell>
          <cell r="BW20">
            <v>90.123365606238011</v>
          </cell>
          <cell r="BX20">
            <v>99.964540059056503</v>
          </cell>
          <cell r="BY20">
            <v>-0.38071065989847713</v>
          </cell>
          <cell r="BZ20">
            <v>99.58382939915802</v>
          </cell>
          <cell r="CA20">
            <v>99.964540059056503</v>
          </cell>
          <cell r="CB20">
            <v>-0.44336730150248715</v>
          </cell>
          <cell r="CC20">
            <v>99.521172757554012</v>
          </cell>
          <cell r="CD20">
            <v>0.57847999999999999</v>
          </cell>
          <cell r="CE20">
            <v>200</v>
          </cell>
          <cell r="CF20">
            <v>2.0390596525759306</v>
          </cell>
          <cell r="CG20">
            <v>0.23050000000000004</v>
          </cell>
          <cell r="CH20">
            <v>140</v>
          </cell>
          <cell r="CI20">
            <v>0.5687357816054599</v>
          </cell>
          <cell r="CJ20">
            <v>2.6077954341813907</v>
          </cell>
          <cell r="CK20">
            <v>0.65541203118512048</v>
          </cell>
          <cell r="CL20">
            <v>0.14624634384140398</v>
          </cell>
          <cell r="CM20">
            <v>2.9834254143646404</v>
          </cell>
          <cell r="CN20">
            <v>3.7850837893911651</v>
          </cell>
          <cell r="CO20">
            <v>1.3618005536846394E-2</v>
          </cell>
          <cell r="CP20">
            <v>1.3149171270718234</v>
          </cell>
          <cell r="CQ20">
            <v>1.3285351326086698</v>
          </cell>
          <cell r="CR20">
            <v>1.21</v>
          </cell>
          <cell r="CS20">
            <v>9.81</v>
          </cell>
          <cell r="CT20">
            <v>49.58</v>
          </cell>
          <cell r="CU20">
            <v>0</v>
          </cell>
          <cell r="CV20">
            <v>167.84258711373522</v>
          </cell>
        </row>
        <row r="21">
          <cell r="K21" t="str">
            <v>ExportWalmartHome TrendsUSAWash33x33M</v>
          </cell>
          <cell r="L21">
            <v>0</v>
          </cell>
          <cell r="M21">
            <v>41.32</v>
          </cell>
          <cell r="N21">
            <v>0</v>
          </cell>
          <cell r="O21">
            <v>9.2200000000000006</v>
          </cell>
          <cell r="P21">
            <v>8.09</v>
          </cell>
          <cell r="Q21">
            <v>4.0659999999999998</v>
          </cell>
          <cell r="R21">
            <v>0</v>
          </cell>
          <cell r="S21">
            <v>0</v>
          </cell>
          <cell r="T21">
            <v>62.695999999999998</v>
          </cell>
          <cell r="U21">
            <v>56.739879999999999</v>
          </cell>
          <cell r="V21">
            <v>2.5000000000000001E-3</v>
          </cell>
          <cell r="W21">
            <v>0</v>
          </cell>
          <cell r="X21">
            <v>-1.3999999999999999E-2</v>
          </cell>
          <cell r="Y21">
            <v>-2.5000000000000001E-2</v>
          </cell>
          <cell r="Z21">
            <v>9.4999999999999973E-2</v>
          </cell>
          <cell r="AA21">
            <v>1.4999999999999999E-2</v>
          </cell>
          <cell r="AB21">
            <v>0.01</v>
          </cell>
          <cell r="AC21">
            <v>0.14220521303258143</v>
          </cell>
          <cell r="AD21">
            <v>0</v>
          </cell>
          <cell r="AE21">
            <v>-0.57847999999999999</v>
          </cell>
          <cell r="AF21">
            <v>-0.23050000000000004</v>
          </cell>
          <cell r="AG21">
            <v>5.9561199999999985</v>
          </cell>
          <cell r="AH21">
            <v>0.86405908629441619</v>
          </cell>
          <cell r="AI21">
            <v>0.57313010101010098</v>
          </cell>
          <cell r="AJ21">
            <v>6.7265344003370968</v>
          </cell>
          <cell r="AK21">
            <v>63.466414400337094</v>
          </cell>
          <cell r="AL21" t="str">
            <v>1/13   KC</v>
          </cell>
          <cell r="AM21">
            <v>0</v>
          </cell>
          <cell r="AN21" t="str">
            <v>2/24  KC</v>
          </cell>
          <cell r="AO21" t="str">
            <v xml:space="preserve">1/14OE  </v>
          </cell>
          <cell r="AP21" t="str">
            <v>2/20  KC</v>
          </cell>
          <cell r="AQ21">
            <v>0</v>
          </cell>
          <cell r="AR21">
            <v>0</v>
          </cell>
          <cell r="AS21">
            <v>84.5</v>
          </cell>
          <cell r="AT21">
            <v>0</v>
          </cell>
          <cell r="AU21">
            <v>107.5</v>
          </cell>
          <cell r="AV21">
            <v>75.75</v>
          </cell>
          <cell r="AW21">
            <v>107.5</v>
          </cell>
          <cell r="AX21">
            <v>0</v>
          </cell>
          <cell r="AY21">
            <v>0</v>
          </cell>
          <cell r="AZ21">
            <v>3.4915400000000001</v>
          </cell>
          <cell r="BA21">
            <v>0.99115000000000009</v>
          </cell>
          <cell r="BB21">
            <v>0.61281750000000001</v>
          </cell>
          <cell r="BC21">
            <v>0.43709499999999996</v>
          </cell>
          <cell r="BD21">
            <v>0</v>
          </cell>
          <cell r="BE21">
            <v>1.2548885369674185E-2</v>
          </cell>
          <cell r="BF21">
            <v>0</v>
          </cell>
          <cell r="BI21">
            <v>0</v>
          </cell>
          <cell r="BJ21">
            <v>7.6248811104060912E-2</v>
          </cell>
          <cell r="BK21">
            <v>5.0575810732323236E-2</v>
          </cell>
          <cell r="BL21">
            <v>0.13937350720605834</v>
          </cell>
          <cell r="BM21">
            <v>-3.555130325814536E-3</v>
          </cell>
          <cell r="BN21">
            <v>0</v>
          </cell>
          <cell r="BO21">
            <v>0</v>
          </cell>
          <cell r="BP21">
            <v>0</v>
          </cell>
          <cell r="BQ21">
            <v>0</v>
          </cell>
          <cell r="BR21">
            <v>-2.1601477157360407E-2</v>
          </cell>
          <cell r="BS21">
            <v>0</v>
          </cell>
          <cell r="BT21">
            <v>-2.5156607483174942E-2</v>
          </cell>
          <cell r="BU21">
            <v>90.467908753446139</v>
          </cell>
          <cell r="BV21">
            <v>-0.34454314720812185</v>
          </cell>
          <cell r="BW21">
            <v>90.123365606238011</v>
          </cell>
          <cell r="BX21">
            <v>99.964540059056503</v>
          </cell>
          <cell r="BY21">
            <v>-0.38071065989847713</v>
          </cell>
          <cell r="BZ21">
            <v>99.58382939915802</v>
          </cell>
          <cell r="CA21">
            <v>99.964540059056503</v>
          </cell>
          <cell r="CB21">
            <v>-0.44336730150248715</v>
          </cell>
          <cell r="CC21">
            <v>99.521172757554012</v>
          </cell>
          <cell r="CD21">
            <v>0.57847999999999999</v>
          </cell>
          <cell r="CE21">
            <v>200</v>
          </cell>
          <cell r="CF21">
            <v>2.0390596525759306</v>
          </cell>
          <cell r="CG21">
            <v>0.23050000000000004</v>
          </cell>
          <cell r="CH21">
            <v>140</v>
          </cell>
          <cell r="CI21">
            <v>0.5687357816054599</v>
          </cell>
          <cell r="CJ21">
            <v>2.6077954341813907</v>
          </cell>
          <cell r="CK21">
            <v>0.65541203118512048</v>
          </cell>
          <cell r="CL21">
            <v>0.14624634384140398</v>
          </cell>
          <cell r="CM21">
            <v>2.9834254143646404</v>
          </cell>
          <cell r="CN21">
            <v>3.7850837893911651</v>
          </cell>
          <cell r="CO21">
            <v>1.3618005536846394E-2</v>
          </cell>
          <cell r="CP21">
            <v>1.3149171270718234</v>
          </cell>
          <cell r="CQ21">
            <v>1.3285351326086698</v>
          </cell>
          <cell r="CR21">
            <v>4.22</v>
          </cell>
          <cell r="CS21">
            <v>9.7200000000000006</v>
          </cell>
          <cell r="CT21">
            <v>49.58</v>
          </cell>
          <cell r="CU21">
            <v>0</v>
          </cell>
          <cell r="CV21">
            <v>170.76258711373521</v>
          </cell>
        </row>
        <row r="22">
          <cell r="K22" t="str">
            <v>ExportWalmartHome TrendsUSAWash33x33D</v>
          </cell>
          <cell r="L22">
            <v>0</v>
          </cell>
          <cell r="M22">
            <v>41.32</v>
          </cell>
          <cell r="N22">
            <v>0</v>
          </cell>
          <cell r="O22">
            <v>9.2200000000000006</v>
          </cell>
          <cell r="P22">
            <v>8.09</v>
          </cell>
          <cell r="Q22">
            <v>4.0659999999999998</v>
          </cell>
          <cell r="R22">
            <v>0</v>
          </cell>
          <cell r="S22">
            <v>0</v>
          </cell>
          <cell r="T22">
            <v>62.695999999999998</v>
          </cell>
          <cell r="U22">
            <v>56.739879999999999</v>
          </cell>
          <cell r="V22">
            <v>2.5000000000000001E-3</v>
          </cell>
          <cell r="W22">
            <v>0</v>
          </cell>
          <cell r="X22">
            <v>-1.3999999999999999E-2</v>
          </cell>
          <cell r="Y22">
            <v>-2.5000000000000001E-2</v>
          </cell>
          <cell r="Z22">
            <v>9.4999999999999973E-2</v>
          </cell>
          <cell r="AA22">
            <v>1.4999999999999999E-2</v>
          </cell>
          <cell r="AB22">
            <v>0.01</v>
          </cell>
          <cell r="AC22">
            <v>0.14220521303258143</v>
          </cell>
          <cell r="AD22">
            <v>0</v>
          </cell>
          <cell r="AE22">
            <v>-0.57847999999999999</v>
          </cell>
          <cell r="AF22">
            <v>-0.23050000000000004</v>
          </cell>
          <cell r="AG22">
            <v>5.9561199999999985</v>
          </cell>
          <cell r="AH22">
            <v>0.86405908629441619</v>
          </cell>
          <cell r="AI22">
            <v>0.57313010101010098</v>
          </cell>
          <cell r="AJ22">
            <v>6.7265344003370968</v>
          </cell>
          <cell r="AK22">
            <v>63.466414400337094</v>
          </cell>
          <cell r="AL22" t="str">
            <v>1/13   KC</v>
          </cell>
          <cell r="AM22">
            <v>0</v>
          </cell>
          <cell r="AN22" t="str">
            <v>2/24  KC</v>
          </cell>
          <cell r="AO22" t="str">
            <v xml:space="preserve">1/14OE  </v>
          </cell>
          <cell r="AP22" t="str">
            <v>2/20  KC</v>
          </cell>
          <cell r="AQ22">
            <v>0</v>
          </cell>
          <cell r="AR22">
            <v>0</v>
          </cell>
          <cell r="AS22">
            <v>84.5</v>
          </cell>
          <cell r="AT22">
            <v>0</v>
          </cell>
          <cell r="AU22">
            <v>107.5</v>
          </cell>
          <cell r="AV22">
            <v>75.75</v>
          </cell>
          <cell r="AW22">
            <v>107.5</v>
          </cell>
          <cell r="AX22">
            <v>0</v>
          </cell>
          <cell r="AY22">
            <v>0</v>
          </cell>
          <cell r="AZ22">
            <v>3.4915400000000001</v>
          </cell>
          <cell r="BA22">
            <v>0.99115000000000009</v>
          </cell>
          <cell r="BB22">
            <v>0.61281750000000001</v>
          </cell>
          <cell r="BC22">
            <v>0.43709499999999996</v>
          </cell>
          <cell r="BD22">
            <v>0</v>
          </cell>
          <cell r="BE22">
            <v>1.2548885369674185E-2</v>
          </cell>
          <cell r="BF22">
            <v>0</v>
          </cell>
          <cell r="BI22">
            <v>0</v>
          </cell>
          <cell r="BJ22">
            <v>7.6248811104060912E-2</v>
          </cell>
          <cell r="BK22">
            <v>5.0575810732323236E-2</v>
          </cell>
          <cell r="BL22">
            <v>0.13937350720605834</v>
          </cell>
          <cell r="BM22">
            <v>-3.555130325814536E-3</v>
          </cell>
          <cell r="BN22">
            <v>0</v>
          </cell>
          <cell r="BO22">
            <v>0</v>
          </cell>
          <cell r="BP22">
            <v>0</v>
          </cell>
          <cell r="BQ22">
            <v>0</v>
          </cell>
          <cell r="BR22">
            <v>-2.1601477157360407E-2</v>
          </cell>
          <cell r="BS22">
            <v>0</v>
          </cell>
          <cell r="BT22">
            <v>-2.5156607483174942E-2</v>
          </cell>
          <cell r="BU22">
            <v>90.467908753446139</v>
          </cell>
          <cell r="BV22">
            <v>-0.34454314720812185</v>
          </cell>
          <cell r="BW22">
            <v>90.123365606238011</v>
          </cell>
          <cell r="BX22">
            <v>99.964540059056503</v>
          </cell>
          <cell r="BY22">
            <v>-0.38071065989847713</v>
          </cell>
          <cell r="BZ22">
            <v>99.58382939915802</v>
          </cell>
          <cell r="CA22">
            <v>99.964540059056503</v>
          </cell>
          <cell r="CB22">
            <v>-0.44336730150248715</v>
          </cell>
          <cell r="CC22">
            <v>99.521172757554012</v>
          </cell>
          <cell r="CD22">
            <v>0.57847999999999999</v>
          </cell>
          <cell r="CE22">
            <v>200</v>
          </cell>
          <cell r="CF22">
            <v>2.0390596525759306</v>
          </cell>
          <cell r="CG22">
            <v>0.23050000000000004</v>
          </cell>
          <cell r="CH22">
            <v>140</v>
          </cell>
          <cell r="CI22">
            <v>0.5687357816054599</v>
          </cell>
          <cell r="CJ22">
            <v>2.6077954341813907</v>
          </cell>
          <cell r="CK22">
            <v>0.65541203118512048</v>
          </cell>
          <cell r="CL22">
            <v>0.14624634384140398</v>
          </cell>
          <cell r="CM22">
            <v>2.9834254143646404</v>
          </cell>
          <cell r="CN22">
            <v>3.7850837893911651</v>
          </cell>
          <cell r="CO22">
            <v>1.3618005536846394E-2</v>
          </cell>
          <cell r="CP22">
            <v>1.3149171270718234</v>
          </cell>
          <cell r="CQ22">
            <v>1.3285351326086698</v>
          </cell>
          <cell r="CR22">
            <v>14.66</v>
          </cell>
          <cell r="CS22">
            <v>9.98</v>
          </cell>
          <cell r="CT22">
            <v>49.58</v>
          </cell>
          <cell r="CU22">
            <v>0</v>
          </cell>
          <cell r="CV22">
            <v>181.46258711373522</v>
          </cell>
        </row>
        <row r="23">
          <cell r="K23" t="str">
            <v>ExportMill WorkingCannon LandmarkUSABath76x137L</v>
          </cell>
          <cell r="L23">
            <v>0</v>
          </cell>
          <cell r="M23">
            <v>186.39</v>
          </cell>
          <cell r="N23">
            <v>242.31</v>
          </cell>
          <cell r="O23">
            <v>89.85</v>
          </cell>
          <cell r="P23">
            <v>99.68</v>
          </cell>
          <cell r="Q23">
            <v>38.619999999999997</v>
          </cell>
          <cell r="R23">
            <v>0</v>
          </cell>
          <cell r="S23">
            <v>0</v>
          </cell>
          <cell r="T23">
            <v>656.85</v>
          </cell>
          <cell r="U23">
            <v>607.58625000000006</v>
          </cell>
          <cell r="V23">
            <v>2.5000000000000001E-3</v>
          </cell>
          <cell r="W23">
            <v>0</v>
          </cell>
          <cell r="X23">
            <v>-1.3999999999999999E-2</v>
          </cell>
          <cell r="Y23">
            <v>-2.5000000000000001E-2</v>
          </cell>
          <cell r="Z23">
            <v>7.4999999999999956E-2</v>
          </cell>
          <cell r="AA23">
            <v>1.4999999999999999E-2</v>
          </cell>
          <cell r="AB23">
            <v>0.01</v>
          </cell>
          <cell r="AC23">
            <v>1.5227725563909775</v>
          </cell>
          <cell r="AD23">
            <v>0</v>
          </cell>
          <cell r="AE23">
            <v>-2.6094599999999994</v>
          </cell>
          <cell r="AF23">
            <v>-2.2462499999999999</v>
          </cell>
          <cell r="AG23">
            <v>49.263749999999973</v>
          </cell>
          <cell r="AH23">
            <v>9.2525824873096454</v>
          </cell>
          <cell r="AI23">
            <v>6.1372348484848489</v>
          </cell>
          <cell r="AJ23">
            <v>61.320629892185451</v>
          </cell>
          <cell r="AK23">
            <v>668.90687989218554</v>
          </cell>
          <cell r="AL23" t="str">
            <v>1/13  Comb</v>
          </cell>
          <cell r="AM23" t="str">
            <v>2/20  Comb</v>
          </cell>
          <cell r="AN23" t="str">
            <v>2/24  KC</v>
          </cell>
          <cell r="AO23" t="str">
            <v xml:space="preserve">1/11OE  </v>
          </cell>
          <cell r="AP23" t="str">
            <v>2/20  KC</v>
          </cell>
          <cell r="AQ23">
            <v>0</v>
          </cell>
          <cell r="AR23">
            <v>0</v>
          </cell>
          <cell r="AS23">
            <v>96.5</v>
          </cell>
          <cell r="AT23">
            <v>116.5</v>
          </cell>
          <cell r="AU23">
            <v>107.5</v>
          </cell>
          <cell r="AV23">
            <v>70.75</v>
          </cell>
          <cell r="AW23">
            <v>107.5</v>
          </cell>
          <cell r="AX23">
            <v>0</v>
          </cell>
          <cell r="AY23">
            <v>0</v>
          </cell>
          <cell r="AZ23">
            <v>46.21575</v>
          </cell>
          <cell r="BA23">
            <v>9.6588750000000001</v>
          </cell>
          <cell r="BB23">
            <v>7.0523600000000002</v>
          </cell>
          <cell r="BC23">
            <v>4.1516500000000001</v>
          </cell>
          <cell r="BD23">
            <v>0</v>
          </cell>
          <cell r="BE23">
            <v>0.15550811372180451</v>
          </cell>
          <cell r="BF23">
            <v>0</v>
          </cell>
          <cell r="BI23">
            <v>0</v>
          </cell>
          <cell r="BJ23">
            <v>0.94488940164974622</v>
          </cell>
          <cell r="BK23">
            <v>0.62674482196969705</v>
          </cell>
          <cell r="BL23">
            <v>1.727142337341248</v>
          </cell>
          <cell r="BM23">
            <v>-3.8069313909774437E-2</v>
          </cell>
          <cell r="BN23">
            <v>0</v>
          </cell>
          <cell r="BO23">
            <v>0</v>
          </cell>
          <cell r="BP23">
            <v>0</v>
          </cell>
          <cell r="BQ23">
            <v>0</v>
          </cell>
          <cell r="BR23">
            <v>-0.23131456218274113</v>
          </cell>
          <cell r="BS23">
            <v>0</v>
          </cell>
          <cell r="BT23">
            <v>-0.26938387609251557</v>
          </cell>
          <cell r="BU23">
            <v>104.75112634138884</v>
          </cell>
          <cell r="BV23">
            <v>-0.35215736040609141</v>
          </cell>
          <cell r="BW23">
            <v>104.39896898098274</v>
          </cell>
          <cell r="BX23">
            <v>113.24446090960953</v>
          </cell>
          <cell r="BY23">
            <v>-0.38071065989847713</v>
          </cell>
          <cell r="BZ23">
            <v>112.86375024971105</v>
          </cell>
          <cell r="CA23">
            <v>113.24446090960953</v>
          </cell>
          <cell r="CB23">
            <v>-0.44336730150248715</v>
          </cell>
          <cell r="CC23">
            <v>112.80109360810704</v>
          </cell>
          <cell r="CD23">
            <v>2.6094599999999994</v>
          </cell>
          <cell r="CE23">
            <v>200</v>
          </cell>
          <cell r="CF23">
            <v>0.85895953043703654</v>
          </cell>
          <cell r="CG23">
            <v>2.2462499999999999</v>
          </cell>
          <cell r="CH23">
            <v>140</v>
          </cell>
          <cell r="CI23">
            <v>0.51758083728853299</v>
          </cell>
          <cell r="CJ23">
            <v>1.3765403677255694</v>
          </cell>
          <cell r="CK23">
            <v>0.27609413478333317</v>
          </cell>
          <cell r="CL23">
            <v>0.1330922153027656</v>
          </cell>
          <cell r="CM23">
            <v>2.9189189189189184</v>
          </cell>
          <cell r="CN23">
            <v>3.3281052690050172</v>
          </cell>
          <cell r="CO23">
            <v>1.3194324262604692E-2</v>
          </cell>
          <cell r="CP23">
            <v>1.2864864864864867</v>
          </cell>
          <cell r="CQ23">
            <v>1.2996808107490914</v>
          </cell>
          <cell r="CR23">
            <v>1.21</v>
          </cell>
          <cell r="CS23">
            <v>9.81</v>
          </cell>
          <cell r="CT23">
            <v>12.35</v>
          </cell>
          <cell r="CU23">
            <v>0</v>
          </cell>
          <cell r="CV23">
            <v>142.17542005558673</v>
          </cell>
        </row>
        <row r="24">
          <cell r="K24" t="str">
            <v>ExportMill WorkingCannon LandmarkUSABath76x137M</v>
          </cell>
          <cell r="L24">
            <v>0</v>
          </cell>
          <cell r="M24">
            <v>186.39</v>
          </cell>
          <cell r="N24">
            <v>242.31</v>
          </cell>
          <cell r="O24">
            <v>89.85</v>
          </cell>
          <cell r="P24">
            <v>99.68</v>
          </cell>
          <cell r="Q24">
            <v>38.619999999999997</v>
          </cell>
          <cell r="R24">
            <v>0</v>
          </cell>
          <cell r="S24">
            <v>0</v>
          </cell>
          <cell r="T24">
            <v>656.85</v>
          </cell>
          <cell r="U24">
            <v>607.58625000000006</v>
          </cell>
          <cell r="V24">
            <v>2.5000000000000001E-3</v>
          </cell>
          <cell r="W24">
            <v>0</v>
          </cell>
          <cell r="X24">
            <v>-1.3999999999999999E-2</v>
          </cell>
          <cell r="Y24">
            <v>-2.5000000000000001E-2</v>
          </cell>
          <cell r="Z24">
            <v>7.4999999999999956E-2</v>
          </cell>
          <cell r="AA24">
            <v>1.4999999999999999E-2</v>
          </cell>
          <cell r="AB24">
            <v>0.01</v>
          </cell>
          <cell r="AC24">
            <v>1.5227725563909775</v>
          </cell>
          <cell r="AD24">
            <v>0</v>
          </cell>
          <cell r="AE24">
            <v>-2.6094599999999994</v>
          </cell>
          <cell r="AF24">
            <v>-2.2462499999999999</v>
          </cell>
          <cell r="AG24">
            <v>49.263749999999973</v>
          </cell>
          <cell r="AH24">
            <v>9.2525824873096454</v>
          </cell>
          <cell r="AI24">
            <v>6.1372348484848489</v>
          </cell>
          <cell r="AJ24">
            <v>61.320629892185451</v>
          </cell>
          <cell r="AK24">
            <v>668.90687989218554</v>
          </cell>
          <cell r="AL24" t="str">
            <v>1/13  Comb</v>
          </cell>
          <cell r="AM24" t="str">
            <v>2/20  Comb</v>
          </cell>
          <cell r="AN24" t="str">
            <v>2/24  KC</v>
          </cell>
          <cell r="AO24" t="str">
            <v xml:space="preserve">1/11OE  </v>
          </cell>
          <cell r="AP24" t="str">
            <v>2/20  KC</v>
          </cell>
          <cell r="AQ24">
            <v>0</v>
          </cell>
          <cell r="AR24">
            <v>0</v>
          </cell>
          <cell r="AS24">
            <v>96.5</v>
          </cell>
          <cell r="AT24">
            <v>116.5</v>
          </cell>
          <cell r="AU24">
            <v>107.5</v>
          </cell>
          <cell r="AV24">
            <v>70.75</v>
          </cell>
          <cell r="AW24">
            <v>107.5</v>
          </cell>
          <cell r="AX24">
            <v>0</v>
          </cell>
          <cell r="AY24">
            <v>0</v>
          </cell>
          <cell r="AZ24">
            <v>46.21575</v>
          </cell>
          <cell r="BA24">
            <v>9.6588750000000001</v>
          </cell>
          <cell r="BB24">
            <v>7.0523600000000002</v>
          </cell>
          <cell r="BC24">
            <v>4.1516500000000001</v>
          </cell>
          <cell r="BD24">
            <v>0</v>
          </cell>
          <cell r="BE24">
            <v>0.15550811372180451</v>
          </cell>
          <cell r="BF24">
            <v>0</v>
          </cell>
          <cell r="BI24">
            <v>0</v>
          </cell>
          <cell r="BJ24">
            <v>0.94488940164974622</v>
          </cell>
          <cell r="BK24">
            <v>0.62674482196969705</v>
          </cell>
          <cell r="BL24">
            <v>1.727142337341248</v>
          </cell>
          <cell r="BM24">
            <v>-3.8069313909774437E-2</v>
          </cell>
          <cell r="BN24">
            <v>0</v>
          </cell>
          <cell r="BO24">
            <v>0</v>
          </cell>
          <cell r="BP24">
            <v>0</v>
          </cell>
          <cell r="BQ24">
            <v>0</v>
          </cell>
          <cell r="BR24">
            <v>-0.23131456218274113</v>
          </cell>
          <cell r="BS24">
            <v>0</v>
          </cell>
          <cell r="BT24">
            <v>-0.26938387609251557</v>
          </cell>
          <cell r="BU24">
            <v>104.75112634138884</v>
          </cell>
          <cell r="BV24">
            <v>-0.35215736040609141</v>
          </cell>
          <cell r="BW24">
            <v>104.39896898098274</v>
          </cell>
          <cell r="BX24">
            <v>113.24446090960953</v>
          </cell>
          <cell r="BY24">
            <v>-0.38071065989847713</v>
          </cell>
          <cell r="BZ24">
            <v>112.86375024971105</v>
          </cell>
          <cell r="CA24">
            <v>113.24446090960953</v>
          </cell>
          <cell r="CB24">
            <v>-0.44336730150248715</v>
          </cell>
          <cell r="CC24">
            <v>112.80109360810704</v>
          </cell>
          <cell r="CD24">
            <v>2.6094599999999994</v>
          </cell>
          <cell r="CE24">
            <v>200</v>
          </cell>
          <cell r="CF24">
            <v>0.85895953043703654</v>
          </cell>
          <cell r="CG24">
            <v>2.2462499999999999</v>
          </cell>
          <cell r="CH24">
            <v>140</v>
          </cell>
          <cell r="CI24">
            <v>0.51758083728853299</v>
          </cell>
          <cell r="CJ24">
            <v>1.3765403677255694</v>
          </cell>
          <cell r="CK24">
            <v>0.27609413478333317</v>
          </cell>
          <cell r="CL24">
            <v>0.1330922153027656</v>
          </cell>
          <cell r="CM24">
            <v>2.9189189189189184</v>
          </cell>
          <cell r="CN24">
            <v>3.3281052690050172</v>
          </cell>
          <cell r="CO24">
            <v>1.3194324262604692E-2</v>
          </cell>
          <cell r="CP24">
            <v>1.2864864864864867</v>
          </cell>
          <cell r="CQ24">
            <v>1.2996808107490914</v>
          </cell>
          <cell r="CR24">
            <v>4.22</v>
          </cell>
          <cell r="CS24">
            <v>9.7200000000000006</v>
          </cell>
          <cell r="CT24">
            <v>12.35</v>
          </cell>
          <cell r="CU24">
            <v>0</v>
          </cell>
          <cell r="CV24">
            <v>145.09542005558671</v>
          </cell>
        </row>
        <row r="25">
          <cell r="K25" t="str">
            <v>ExportMill WorkingCannon LandmarkUSABath76x137D</v>
          </cell>
          <cell r="L25">
            <v>0</v>
          </cell>
          <cell r="M25">
            <v>186.39</v>
          </cell>
          <cell r="N25">
            <v>242.31</v>
          </cell>
          <cell r="O25">
            <v>89.85</v>
          </cell>
          <cell r="P25">
            <v>99.68</v>
          </cell>
          <cell r="Q25">
            <v>38.619999999999997</v>
          </cell>
          <cell r="R25">
            <v>0</v>
          </cell>
          <cell r="S25">
            <v>0</v>
          </cell>
          <cell r="T25">
            <v>656.85</v>
          </cell>
          <cell r="U25">
            <v>607.58625000000006</v>
          </cell>
          <cell r="V25">
            <v>2.5000000000000001E-3</v>
          </cell>
          <cell r="W25">
            <v>0</v>
          </cell>
          <cell r="X25">
            <v>-1.3999999999999999E-2</v>
          </cell>
          <cell r="Y25">
            <v>-2.5000000000000001E-2</v>
          </cell>
          <cell r="Z25">
            <v>7.4999999999999956E-2</v>
          </cell>
          <cell r="AA25">
            <v>1.4999999999999999E-2</v>
          </cell>
          <cell r="AB25">
            <v>0.01</v>
          </cell>
          <cell r="AC25">
            <v>1.5227725563909775</v>
          </cell>
          <cell r="AD25">
            <v>0</v>
          </cell>
          <cell r="AE25">
            <v>-2.6094599999999994</v>
          </cell>
          <cell r="AF25">
            <v>-2.2462499999999999</v>
          </cell>
          <cell r="AG25">
            <v>49.263749999999973</v>
          </cell>
          <cell r="AH25">
            <v>9.2525824873096454</v>
          </cell>
          <cell r="AI25">
            <v>6.1372348484848489</v>
          </cell>
          <cell r="AJ25">
            <v>61.320629892185451</v>
          </cell>
          <cell r="AK25">
            <v>668.90687989218554</v>
          </cell>
          <cell r="AL25" t="str">
            <v>1/13  Comb</v>
          </cell>
          <cell r="AM25" t="str">
            <v>2/20  Comb</v>
          </cell>
          <cell r="AN25" t="str">
            <v>2/24  KC</v>
          </cell>
          <cell r="AO25" t="str">
            <v xml:space="preserve">1/11OE  </v>
          </cell>
          <cell r="AP25" t="str">
            <v>2/20  KC</v>
          </cell>
          <cell r="AQ25">
            <v>0</v>
          </cell>
          <cell r="AR25">
            <v>0</v>
          </cell>
          <cell r="AS25">
            <v>96.5</v>
          </cell>
          <cell r="AT25">
            <v>116.5</v>
          </cell>
          <cell r="AU25">
            <v>107.5</v>
          </cell>
          <cell r="AV25">
            <v>70.75</v>
          </cell>
          <cell r="AW25">
            <v>107.5</v>
          </cell>
          <cell r="AX25">
            <v>0</v>
          </cell>
          <cell r="AY25">
            <v>0</v>
          </cell>
          <cell r="AZ25">
            <v>46.21575</v>
          </cell>
          <cell r="BA25">
            <v>9.6588750000000001</v>
          </cell>
          <cell r="BB25">
            <v>7.0523600000000002</v>
          </cell>
          <cell r="BC25">
            <v>4.1516500000000001</v>
          </cell>
          <cell r="BD25">
            <v>0</v>
          </cell>
          <cell r="BE25">
            <v>0.15550811372180451</v>
          </cell>
          <cell r="BF25">
            <v>0</v>
          </cell>
          <cell r="BI25">
            <v>0</v>
          </cell>
          <cell r="BJ25">
            <v>0.94488940164974622</v>
          </cell>
          <cell r="BK25">
            <v>0.62674482196969705</v>
          </cell>
          <cell r="BL25">
            <v>1.727142337341248</v>
          </cell>
          <cell r="BM25">
            <v>-3.8069313909774437E-2</v>
          </cell>
          <cell r="BN25">
            <v>0</v>
          </cell>
          <cell r="BO25">
            <v>0</v>
          </cell>
          <cell r="BP25">
            <v>0</v>
          </cell>
          <cell r="BQ25">
            <v>0</v>
          </cell>
          <cell r="BR25">
            <v>-0.23131456218274113</v>
          </cell>
          <cell r="BS25">
            <v>0</v>
          </cell>
          <cell r="BT25">
            <v>-0.26938387609251557</v>
          </cell>
          <cell r="BU25">
            <v>104.75112634138884</v>
          </cell>
          <cell r="BV25">
            <v>-0.35215736040609141</v>
          </cell>
          <cell r="BW25">
            <v>104.39896898098274</v>
          </cell>
          <cell r="BX25">
            <v>113.24446090960953</v>
          </cell>
          <cell r="BY25">
            <v>-0.38071065989847713</v>
          </cell>
          <cell r="BZ25">
            <v>112.86375024971105</v>
          </cell>
          <cell r="CA25">
            <v>113.24446090960953</v>
          </cell>
          <cell r="CB25">
            <v>-0.44336730150248715</v>
          </cell>
          <cell r="CC25">
            <v>112.80109360810704</v>
          </cell>
          <cell r="CD25">
            <v>2.6094599999999994</v>
          </cell>
          <cell r="CE25">
            <v>200</v>
          </cell>
          <cell r="CF25">
            <v>0.85895953043703654</v>
          </cell>
          <cell r="CG25">
            <v>2.2462499999999999</v>
          </cell>
          <cell r="CH25">
            <v>140</v>
          </cell>
          <cell r="CI25">
            <v>0.51758083728853299</v>
          </cell>
          <cell r="CJ25">
            <v>1.3765403677255694</v>
          </cell>
          <cell r="CK25">
            <v>0.27609413478333317</v>
          </cell>
          <cell r="CL25">
            <v>0.1330922153027656</v>
          </cell>
          <cell r="CM25">
            <v>2.9189189189189184</v>
          </cell>
          <cell r="CN25">
            <v>3.3281052690050172</v>
          </cell>
          <cell r="CO25">
            <v>1.3194324262604692E-2</v>
          </cell>
          <cell r="CP25">
            <v>1.2864864864864867</v>
          </cell>
          <cell r="CQ25">
            <v>1.2996808107490914</v>
          </cell>
          <cell r="CR25">
            <v>14.66</v>
          </cell>
          <cell r="CS25">
            <v>9.98</v>
          </cell>
          <cell r="CT25">
            <v>12.35</v>
          </cell>
          <cell r="CU25">
            <v>0</v>
          </cell>
          <cell r="CV25">
            <v>155.79542005558673</v>
          </cell>
        </row>
        <row r="26">
          <cell r="K26" t="str">
            <v>ExportMill WorkingCannon LandmarkUSAHand41x76L</v>
          </cell>
          <cell r="L26">
            <v>0</v>
          </cell>
          <cell r="M26">
            <v>45.716999999999999</v>
          </cell>
          <cell r="N26">
            <v>59.432000000000002</v>
          </cell>
          <cell r="O26">
            <v>28.38</v>
          </cell>
          <cell r="P26">
            <v>23.428999999999998</v>
          </cell>
          <cell r="Q26">
            <v>17.27</v>
          </cell>
          <cell r="R26">
            <v>0</v>
          </cell>
          <cell r="S26">
            <v>0</v>
          </cell>
          <cell r="T26">
            <v>174.22800000000001</v>
          </cell>
          <cell r="U26">
            <v>161.16090000000003</v>
          </cell>
          <cell r="V26">
            <v>2.5000000000000001E-3</v>
          </cell>
          <cell r="W26">
            <v>0</v>
          </cell>
          <cell r="X26">
            <v>-1.3999999999999999E-2</v>
          </cell>
          <cell r="Y26">
            <v>-2.5000000000000001E-2</v>
          </cell>
          <cell r="Z26">
            <v>7.4999999999999845E-2</v>
          </cell>
          <cell r="AA26">
            <v>1.4999999999999999E-2</v>
          </cell>
          <cell r="AB26">
            <v>0.01</v>
          </cell>
          <cell r="AC26">
            <v>0.40391203007518806</v>
          </cell>
          <cell r="AD26">
            <v>0</v>
          </cell>
          <cell r="AE26">
            <v>-0.64003799999999988</v>
          </cell>
          <cell r="AF26">
            <v>-0.70950000000000002</v>
          </cell>
          <cell r="AG26">
            <v>13.067099999999973</v>
          </cell>
          <cell r="AH26">
            <v>2.4542269035532995</v>
          </cell>
          <cell r="AI26">
            <v>1.627887878787879</v>
          </cell>
          <cell r="AJ26">
            <v>16.203588812416339</v>
          </cell>
          <cell r="AK26">
            <v>177.36448881241637</v>
          </cell>
          <cell r="AL26" t="str">
            <v>1/13  Comb</v>
          </cell>
          <cell r="AM26" t="str">
            <v>2/20  Comb</v>
          </cell>
          <cell r="AN26" t="str">
            <v>2/24  KC</v>
          </cell>
          <cell r="AO26" t="str">
            <v xml:space="preserve">1/14OE  </v>
          </cell>
          <cell r="AP26" t="str">
            <v>2/20  KC</v>
          </cell>
          <cell r="AQ26">
            <v>0</v>
          </cell>
          <cell r="AR26">
            <v>0</v>
          </cell>
          <cell r="AS26">
            <v>96.5</v>
          </cell>
          <cell r="AT26">
            <v>116.5</v>
          </cell>
          <cell r="AU26">
            <v>107.5</v>
          </cell>
          <cell r="AV26">
            <v>75.75</v>
          </cell>
          <cell r="AW26">
            <v>107.5</v>
          </cell>
          <cell r="AX26">
            <v>0</v>
          </cell>
          <cell r="AY26">
            <v>0</v>
          </cell>
          <cell r="AZ26">
            <v>11.335518499999999</v>
          </cell>
          <cell r="BA26">
            <v>3.0508500000000001</v>
          </cell>
          <cell r="BB26">
            <v>1.7747467499999998</v>
          </cell>
          <cell r="BC26">
            <v>1.8565249999999998</v>
          </cell>
          <cell r="BD26">
            <v>0</v>
          </cell>
          <cell r="BE26">
            <v>4.1770218624686724E-2</v>
          </cell>
          <cell r="BF26">
            <v>0</v>
          </cell>
          <cell r="BI26">
            <v>0</v>
          </cell>
          <cell r="BJ26">
            <v>0.25380178524746194</v>
          </cell>
          <cell r="BK26">
            <v>0.16834663869949495</v>
          </cell>
          <cell r="BL26">
            <v>0.46391864257164361</v>
          </cell>
          <cell r="BM26">
            <v>-1.0097800751879701E-2</v>
          </cell>
          <cell r="BN26">
            <v>0</v>
          </cell>
          <cell r="BO26">
            <v>0</v>
          </cell>
          <cell r="BP26">
            <v>0</v>
          </cell>
          <cell r="BQ26">
            <v>0</v>
          </cell>
          <cell r="BR26">
            <v>-6.135567258883249E-2</v>
          </cell>
          <cell r="BS26">
            <v>0</v>
          </cell>
          <cell r="BT26">
            <v>-7.1453473340712198E-2</v>
          </cell>
          <cell r="BU26">
            <v>106.07685844164914</v>
          </cell>
          <cell r="BV26">
            <v>-0.35215736040609141</v>
          </cell>
          <cell r="BW26">
            <v>105.72470108124304</v>
          </cell>
          <cell r="BX26">
            <v>114.67768480178282</v>
          </cell>
          <cell r="BY26">
            <v>-0.38071065989847713</v>
          </cell>
          <cell r="BZ26">
            <v>114.29697414188433</v>
          </cell>
          <cell r="CA26">
            <v>114.67768480178282</v>
          </cell>
          <cell r="CB26">
            <v>-0.44336730150248715</v>
          </cell>
          <cell r="CC26">
            <v>114.23431750028033</v>
          </cell>
          <cell r="CD26">
            <v>0.64003799999999988</v>
          </cell>
          <cell r="CE26">
            <v>200</v>
          </cell>
          <cell r="CF26">
            <v>0.79428446974421185</v>
          </cell>
          <cell r="CG26">
            <v>0.70950000000000002</v>
          </cell>
          <cell r="CH26">
            <v>140</v>
          </cell>
          <cell r="CI26">
            <v>0.61634056399536108</v>
          </cell>
          <cell r="CJ26">
            <v>1.4106250337395729</v>
          </cell>
          <cell r="CK26">
            <v>0.25530572241778238</v>
          </cell>
          <cell r="CL26">
            <v>0.15848757359880711</v>
          </cell>
          <cell r="CM26">
            <v>2.9189189189189184</v>
          </cell>
          <cell r="CN26">
            <v>3.332712214935508</v>
          </cell>
          <cell r="CO26">
            <v>1.2200765198010187E-2</v>
          </cell>
          <cell r="CP26">
            <v>1.2864864864864864</v>
          </cell>
          <cell r="CQ26">
            <v>1.2986872516844967</v>
          </cell>
          <cell r="CR26">
            <v>1.21</v>
          </cell>
          <cell r="CS26">
            <v>9.81</v>
          </cell>
          <cell r="CT26">
            <v>24.95</v>
          </cell>
          <cell r="CU26">
            <v>0</v>
          </cell>
          <cell r="CV26">
            <v>156.24634200063991</v>
          </cell>
        </row>
        <row r="27">
          <cell r="K27" t="str">
            <v>ExportMill WorkingCannon LandmarkUSAHand41x76M</v>
          </cell>
          <cell r="L27">
            <v>0</v>
          </cell>
          <cell r="M27">
            <v>45.716999999999999</v>
          </cell>
          <cell r="N27">
            <v>59.432000000000002</v>
          </cell>
          <cell r="O27">
            <v>28.38</v>
          </cell>
          <cell r="P27">
            <v>23.428999999999998</v>
          </cell>
          <cell r="Q27">
            <v>17.27</v>
          </cell>
          <cell r="R27">
            <v>0</v>
          </cell>
          <cell r="S27">
            <v>0</v>
          </cell>
          <cell r="T27">
            <v>174.22800000000001</v>
          </cell>
          <cell r="U27">
            <v>161.16090000000003</v>
          </cell>
          <cell r="V27">
            <v>2.5000000000000001E-3</v>
          </cell>
          <cell r="W27">
            <v>0</v>
          </cell>
          <cell r="X27">
            <v>-1.3999999999999999E-2</v>
          </cell>
          <cell r="Y27">
            <v>-2.5000000000000001E-2</v>
          </cell>
          <cell r="Z27">
            <v>7.4999999999999845E-2</v>
          </cell>
          <cell r="AA27">
            <v>1.4999999999999999E-2</v>
          </cell>
          <cell r="AB27">
            <v>0.01</v>
          </cell>
          <cell r="AC27">
            <v>0.40391203007518806</v>
          </cell>
          <cell r="AD27">
            <v>0</v>
          </cell>
          <cell r="AE27">
            <v>-0.64003799999999988</v>
          </cell>
          <cell r="AF27">
            <v>-0.70950000000000002</v>
          </cell>
          <cell r="AG27">
            <v>13.067099999999973</v>
          </cell>
          <cell r="AH27">
            <v>2.4542269035532995</v>
          </cell>
          <cell r="AI27">
            <v>1.627887878787879</v>
          </cell>
          <cell r="AJ27">
            <v>16.203588812416339</v>
          </cell>
          <cell r="AK27">
            <v>177.36448881241637</v>
          </cell>
          <cell r="AL27" t="str">
            <v>1/13  Comb</v>
          </cell>
          <cell r="AM27" t="str">
            <v>2/20  Comb</v>
          </cell>
          <cell r="AN27" t="str">
            <v>2/24  KC</v>
          </cell>
          <cell r="AO27" t="str">
            <v xml:space="preserve">1/14OE  </v>
          </cell>
          <cell r="AP27" t="str">
            <v>2/20  KC</v>
          </cell>
          <cell r="AQ27">
            <v>0</v>
          </cell>
          <cell r="AR27">
            <v>0</v>
          </cell>
          <cell r="AS27">
            <v>96.5</v>
          </cell>
          <cell r="AT27">
            <v>116.5</v>
          </cell>
          <cell r="AU27">
            <v>107.5</v>
          </cell>
          <cell r="AV27">
            <v>75.75</v>
          </cell>
          <cell r="AW27">
            <v>107.5</v>
          </cell>
          <cell r="AX27">
            <v>0</v>
          </cell>
          <cell r="AY27">
            <v>0</v>
          </cell>
          <cell r="AZ27">
            <v>11.335518499999999</v>
          </cell>
          <cell r="BA27">
            <v>3.0508500000000001</v>
          </cell>
          <cell r="BB27">
            <v>1.7747467499999998</v>
          </cell>
          <cell r="BC27">
            <v>1.8565249999999998</v>
          </cell>
          <cell r="BD27">
            <v>0</v>
          </cell>
          <cell r="BE27">
            <v>4.1770218624686724E-2</v>
          </cell>
          <cell r="BF27">
            <v>0</v>
          </cell>
          <cell r="BI27">
            <v>0</v>
          </cell>
          <cell r="BJ27">
            <v>0.25380178524746194</v>
          </cell>
          <cell r="BK27">
            <v>0.16834663869949495</v>
          </cell>
          <cell r="BL27">
            <v>0.46391864257164361</v>
          </cell>
          <cell r="BM27">
            <v>-1.0097800751879701E-2</v>
          </cell>
          <cell r="BN27">
            <v>0</v>
          </cell>
          <cell r="BO27">
            <v>0</v>
          </cell>
          <cell r="BP27">
            <v>0</v>
          </cell>
          <cell r="BQ27">
            <v>0</v>
          </cell>
          <cell r="BR27">
            <v>-6.135567258883249E-2</v>
          </cell>
          <cell r="BS27">
            <v>0</v>
          </cell>
          <cell r="BT27">
            <v>-7.1453473340712198E-2</v>
          </cell>
          <cell r="BU27">
            <v>106.07685844164914</v>
          </cell>
          <cell r="BV27">
            <v>-0.35215736040609141</v>
          </cell>
          <cell r="BW27">
            <v>105.72470108124304</v>
          </cell>
          <cell r="BX27">
            <v>114.67768480178282</v>
          </cell>
          <cell r="BY27">
            <v>-0.38071065989847713</v>
          </cell>
          <cell r="BZ27">
            <v>114.29697414188433</v>
          </cell>
          <cell r="CA27">
            <v>114.67768480178282</v>
          </cell>
          <cell r="CB27">
            <v>-0.44336730150248715</v>
          </cell>
          <cell r="CC27">
            <v>114.23431750028033</v>
          </cell>
          <cell r="CD27">
            <v>0.64003799999999988</v>
          </cell>
          <cell r="CE27">
            <v>200</v>
          </cell>
          <cell r="CF27">
            <v>0.79428446974421185</v>
          </cell>
          <cell r="CG27">
            <v>0.70950000000000002</v>
          </cell>
          <cell r="CH27">
            <v>140</v>
          </cell>
          <cell r="CI27">
            <v>0.61634056399536108</v>
          </cell>
          <cell r="CJ27">
            <v>1.4106250337395729</v>
          </cell>
          <cell r="CK27">
            <v>0.25530572241778238</v>
          </cell>
          <cell r="CL27">
            <v>0.15848757359880711</v>
          </cell>
          <cell r="CM27">
            <v>2.9189189189189184</v>
          </cell>
          <cell r="CN27">
            <v>3.332712214935508</v>
          </cell>
          <cell r="CO27">
            <v>1.2200765198010187E-2</v>
          </cell>
          <cell r="CP27">
            <v>1.2864864864864864</v>
          </cell>
          <cell r="CQ27">
            <v>1.2986872516844967</v>
          </cell>
          <cell r="CR27">
            <v>4.22</v>
          </cell>
          <cell r="CS27">
            <v>9.7200000000000006</v>
          </cell>
          <cell r="CT27">
            <v>24.95</v>
          </cell>
          <cell r="CU27">
            <v>0</v>
          </cell>
          <cell r="CV27">
            <v>159.16634200063993</v>
          </cell>
        </row>
        <row r="28">
          <cell r="K28" t="str">
            <v>ExportMill WorkingCannon LandmarkUSAHand41x76D</v>
          </cell>
          <cell r="L28">
            <v>0</v>
          </cell>
          <cell r="M28">
            <v>45.716999999999999</v>
          </cell>
          <cell r="N28">
            <v>59.432000000000002</v>
          </cell>
          <cell r="O28">
            <v>28.38</v>
          </cell>
          <cell r="P28">
            <v>23.428999999999998</v>
          </cell>
          <cell r="Q28">
            <v>17.27</v>
          </cell>
          <cell r="R28">
            <v>0</v>
          </cell>
          <cell r="S28">
            <v>0</v>
          </cell>
          <cell r="T28">
            <v>174.22800000000001</v>
          </cell>
          <cell r="U28">
            <v>161.16090000000003</v>
          </cell>
          <cell r="V28">
            <v>2.5000000000000001E-3</v>
          </cell>
          <cell r="W28">
            <v>0</v>
          </cell>
          <cell r="X28">
            <v>-1.3999999999999999E-2</v>
          </cell>
          <cell r="Y28">
            <v>-2.5000000000000001E-2</v>
          </cell>
          <cell r="Z28">
            <v>7.4999999999999845E-2</v>
          </cell>
          <cell r="AA28">
            <v>1.4999999999999999E-2</v>
          </cell>
          <cell r="AB28">
            <v>0.01</v>
          </cell>
          <cell r="AC28">
            <v>0.40391203007518806</v>
          </cell>
          <cell r="AD28">
            <v>0</v>
          </cell>
          <cell r="AE28">
            <v>-0.64003799999999988</v>
          </cell>
          <cell r="AF28">
            <v>-0.70950000000000002</v>
          </cell>
          <cell r="AG28">
            <v>13.067099999999973</v>
          </cell>
          <cell r="AH28">
            <v>2.4542269035532995</v>
          </cell>
          <cell r="AI28">
            <v>1.627887878787879</v>
          </cell>
          <cell r="AJ28">
            <v>16.203588812416339</v>
          </cell>
          <cell r="AK28">
            <v>177.36448881241637</v>
          </cell>
          <cell r="AL28" t="str">
            <v>1/13  Comb</v>
          </cell>
          <cell r="AM28" t="str">
            <v>2/20  Comb</v>
          </cell>
          <cell r="AN28" t="str">
            <v>2/24  KC</v>
          </cell>
          <cell r="AO28" t="str">
            <v xml:space="preserve">1/14OE  </v>
          </cell>
          <cell r="AP28" t="str">
            <v>2/20  KC</v>
          </cell>
          <cell r="AQ28">
            <v>0</v>
          </cell>
          <cell r="AR28">
            <v>0</v>
          </cell>
          <cell r="AS28">
            <v>96.5</v>
          </cell>
          <cell r="AT28">
            <v>116.5</v>
          </cell>
          <cell r="AU28">
            <v>107.5</v>
          </cell>
          <cell r="AV28">
            <v>75.75</v>
          </cell>
          <cell r="AW28">
            <v>107.5</v>
          </cell>
          <cell r="AX28">
            <v>0</v>
          </cell>
          <cell r="AY28">
            <v>0</v>
          </cell>
          <cell r="AZ28">
            <v>11.335518499999999</v>
          </cell>
          <cell r="BA28">
            <v>3.0508500000000001</v>
          </cell>
          <cell r="BB28">
            <v>1.7747467499999998</v>
          </cell>
          <cell r="BC28">
            <v>1.8565249999999998</v>
          </cell>
          <cell r="BD28">
            <v>0</v>
          </cell>
          <cell r="BE28">
            <v>4.1770218624686724E-2</v>
          </cell>
          <cell r="BF28">
            <v>0</v>
          </cell>
          <cell r="BI28">
            <v>0</v>
          </cell>
          <cell r="BJ28">
            <v>0.25380178524746194</v>
          </cell>
          <cell r="BK28">
            <v>0.16834663869949495</v>
          </cell>
          <cell r="BL28">
            <v>0.46391864257164361</v>
          </cell>
          <cell r="BM28">
            <v>-1.0097800751879701E-2</v>
          </cell>
          <cell r="BN28">
            <v>0</v>
          </cell>
          <cell r="BO28">
            <v>0</v>
          </cell>
          <cell r="BP28">
            <v>0</v>
          </cell>
          <cell r="BQ28">
            <v>0</v>
          </cell>
          <cell r="BR28">
            <v>-6.135567258883249E-2</v>
          </cell>
          <cell r="BS28">
            <v>0</v>
          </cell>
          <cell r="BT28">
            <v>-7.1453473340712198E-2</v>
          </cell>
          <cell r="BU28">
            <v>106.07685844164914</v>
          </cell>
          <cell r="BV28">
            <v>-0.35215736040609141</v>
          </cell>
          <cell r="BW28">
            <v>105.72470108124304</v>
          </cell>
          <cell r="BX28">
            <v>114.67768480178282</v>
          </cell>
          <cell r="BY28">
            <v>-0.38071065989847713</v>
          </cell>
          <cell r="BZ28">
            <v>114.29697414188433</v>
          </cell>
          <cell r="CA28">
            <v>114.67768480178282</v>
          </cell>
          <cell r="CB28">
            <v>-0.44336730150248715</v>
          </cell>
          <cell r="CC28">
            <v>114.23431750028033</v>
          </cell>
          <cell r="CD28">
            <v>0.64003799999999988</v>
          </cell>
          <cell r="CE28">
            <v>200</v>
          </cell>
          <cell r="CF28">
            <v>0.79428446974421185</v>
          </cell>
          <cell r="CG28">
            <v>0.70950000000000002</v>
          </cell>
          <cell r="CH28">
            <v>140</v>
          </cell>
          <cell r="CI28">
            <v>0.61634056399536108</v>
          </cell>
          <cell r="CJ28">
            <v>1.4106250337395729</v>
          </cell>
          <cell r="CK28">
            <v>0.25530572241778238</v>
          </cell>
          <cell r="CL28">
            <v>0.15848757359880711</v>
          </cell>
          <cell r="CM28">
            <v>2.9189189189189184</v>
          </cell>
          <cell r="CN28">
            <v>3.332712214935508</v>
          </cell>
          <cell r="CO28">
            <v>1.2200765198010187E-2</v>
          </cell>
          <cell r="CP28">
            <v>1.2864864864864864</v>
          </cell>
          <cell r="CQ28">
            <v>1.2986872516844967</v>
          </cell>
          <cell r="CR28">
            <v>14.66</v>
          </cell>
          <cell r="CS28">
            <v>9.98</v>
          </cell>
          <cell r="CT28">
            <v>24.95</v>
          </cell>
          <cell r="CU28">
            <v>0</v>
          </cell>
          <cell r="CV28">
            <v>169.86634200063992</v>
          </cell>
        </row>
        <row r="29">
          <cell r="K29" t="str">
            <v>ExportMill WorkingCannon LandmarkUSAWash33x33L</v>
          </cell>
          <cell r="L29">
            <v>0</v>
          </cell>
          <cell r="M29">
            <v>16.986000000000001</v>
          </cell>
          <cell r="N29">
            <v>22.082000000000001</v>
          </cell>
          <cell r="O29">
            <v>11.56</v>
          </cell>
          <cell r="P29">
            <v>12.162000000000001</v>
          </cell>
          <cell r="Q29">
            <v>8.8680000000000003</v>
          </cell>
          <cell r="R29">
            <v>0</v>
          </cell>
          <cell r="S29">
            <v>0</v>
          </cell>
          <cell r="T29">
            <v>71.658000000000001</v>
          </cell>
          <cell r="U29">
            <v>66.283650000000009</v>
          </cell>
          <cell r="V29">
            <v>2.5000000000000001E-3</v>
          </cell>
          <cell r="W29">
            <v>0</v>
          </cell>
          <cell r="X29">
            <v>-1.3999999999999999E-2</v>
          </cell>
          <cell r="Y29">
            <v>-2.5000000000000001E-2</v>
          </cell>
          <cell r="Z29">
            <v>7.4999999999999845E-2</v>
          </cell>
          <cell r="AA29">
            <v>1.4999999999999999E-2</v>
          </cell>
          <cell r="AB29">
            <v>0.01</v>
          </cell>
          <cell r="AC29">
            <v>0.16612443609022559</v>
          </cell>
          <cell r="AD29">
            <v>0</v>
          </cell>
          <cell r="AE29">
            <v>-0.23780399999999999</v>
          </cell>
          <cell r="AF29">
            <v>-0.28900000000000003</v>
          </cell>
          <cell r="AG29">
            <v>5.3743499999999891</v>
          </cell>
          <cell r="AH29">
            <v>1.0093956852791879</v>
          </cell>
          <cell r="AI29">
            <v>0.66953181818181828</v>
          </cell>
          <cell r="AJ29">
            <v>6.692597939551221</v>
          </cell>
          <cell r="AK29">
            <v>72.976247939551229</v>
          </cell>
          <cell r="AL29" t="str">
            <v>1/13  Comb</v>
          </cell>
          <cell r="AM29" t="str">
            <v>2/20  Comb</v>
          </cell>
          <cell r="AN29" t="str">
            <v>2/24  KC</v>
          </cell>
          <cell r="AO29" t="str">
            <v xml:space="preserve">1/11.5OE VIS+COT  </v>
          </cell>
          <cell r="AP29" t="str">
            <v>2/20  KC</v>
          </cell>
          <cell r="AQ29">
            <v>0</v>
          </cell>
          <cell r="AR29">
            <v>0</v>
          </cell>
          <cell r="AS29">
            <v>96.5</v>
          </cell>
          <cell r="AT29">
            <v>116.5</v>
          </cell>
          <cell r="AU29">
            <v>107.5</v>
          </cell>
          <cell r="AV29">
            <v>72.33</v>
          </cell>
          <cell r="AW29">
            <v>107.5</v>
          </cell>
          <cell r="AX29">
            <v>0</v>
          </cell>
          <cell r="AY29">
            <v>0</v>
          </cell>
          <cell r="AZ29">
            <v>4.2117020000000007</v>
          </cell>
          <cell r="BA29">
            <v>1.2427000000000001</v>
          </cell>
          <cell r="BB29">
            <v>0.87967746000000002</v>
          </cell>
          <cell r="BC29">
            <v>0.9533100000000001</v>
          </cell>
          <cell r="BD29">
            <v>0</v>
          </cell>
          <cell r="BE29">
            <v>1.6894323936090229E-2</v>
          </cell>
          <cell r="BF29">
            <v>0</v>
          </cell>
          <cell r="BI29">
            <v>0</v>
          </cell>
          <cell r="BJ29">
            <v>0.10265231345939088</v>
          </cell>
          <cell r="BK29">
            <v>6.8089244954545464E-2</v>
          </cell>
          <cell r="BL29">
            <v>0.18763588235002657</v>
          </cell>
          <cell r="BM29">
            <v>-4.1531109022556398E-3</v>
          </cell>
          <cell r="BN29">
            <v>0</v>
          </cell>
          <cell r="BO29">
            <v>0</v>
          </cell>
          <cell r="BP29">
            <v>0</v>
          </cell>
          <cell r="BQ29">
            <v>0</v>
          </cell>
          <cell r="BR29">
            <v>-2.52348921319797E-2</v>
          </cell>
          <cell r="BS29">
            <v>0</v>
          </cell>
          <cell r="BT29">
            <v>-2.938800303423534E-2</v>
          </cell>
          <cell r="BU29">
            <v>104.31529406835283</v>
          </cell>
          <cell r="BV29">
            <v>-0.35215736040609147</v>
          </cell>
          <cell r="BW29">
            <v>103.96313670794673</v>
          </cell>
          <cell r="BX29">
            <v>112.77329088470574</v>
          </cell>
          <cell r="BY29">
            <v>-0.38071065989847713</v>
          </cell>
          <cell r="BZ29">
            <v>112.39258022480726</v>
          </cell>
          <cell r="CA29">
            <v>112.77329088470574</v>
          </cell>
          <cell r="CB29">
            <v>-0.44336730150248721</v>
          </cell>
          <cell r="CC29">
            <v>112.32992358320325</v>
          </cell>
          <cell r="CD29">
            <v>0.23780399999999999</v>
          </cell>
          <cell r="CE29">
            <v>200</v>
          </cell>
          <cell r="CF29">
            <v>0.71753441459545442</v>
          </cell>
          <cell r="CG29">
            <v>0.28900000000000003</v>
          </cell>
          <cell r="CH29">
            <v>140</v>
          </cell>
          <cell r="CI29">
            <v>0.61040694047476263</v>
          </cell>
          <cell r="CJ29">
            <v>1.327941355070217</v>
          </cell>
          <cell r="CK29">
            <v>0.23063606183425323</v>
          </cell>
          <cell r="CL29">
            <v>0.15696178469351038</v>
          </cell>
          <cell r="CM29">
            <v>2.9189189189189184</v>
          </cell>
          <cell r="CN29">
            <v>3.3065167654466823</v>
          </cell>
          <cell r="CO29">
            <v>1.1021897556939003E-2</v>
          </cell>
          <cell r="CP29">
            <v>1.2864864864864867</v>
          </cell>
          <cell r="CQ29">
            <v>1.2975083840434256</v>
          </cell>
          <cell r="CR29">
            <v>1.21</v>
          </cell>
          <cell r="CS29">
            <v>9.81</v>
          </cell>
          <cell r="CT29">
            <v>47.86</v>
          </cell>
          <cell r="CU29">
            <v>0</v>
          </cell>
          <cell r="CV29">
            <v>177.14189008776358</v>
          </cell>
        </row>
        <row r="30">
          <cell r="K30" t="str">
            <v>ExportMill WorkingCannon LandmarkUSAWash33x33M</v>
          </cell>
          <cell r="L30">
            <v>0</v>
          </cell>
          <cell r="M30">
            <v>16.986000000000001</v>
          </cell>
          <cell r="N30">
            <v>22.082000000000001</v>
          </cell>
          <cell r="O30">
            <v>11.56</v>
          </cell>
          <cell r="P30">
            <v>12.162000000000001</v>
          </cell>
          <cell r="Q30">
            <v>8.8680000000000003</v>
          </cell>
          <cell r="R30">
            <v>0</v>
          </cell>
          <cell r="S30">
            <v>0</v>
          </cell>
          <cell r="T30">
            <v>71.658000000000001</v>
          </cell>
          <cell r="U30">
            <v>66.283650000000009</v>
          </cell>
          <cell r="V30">
            <v>2.5000000000000001E-3</v>
          </cell>
          <cell r="W30">
            <v>0</v>
          </cell>
          <cell r="X30">
            <v>-1.3999999999999999E-2</v>
          </cell>
          <cell r="Y30">
            <v>-2.5000000000000001E-2</v>
          </cell>
          <cell r="Z30">
            <v>7.4999999999999845E-2</v>
          </cell>
          <cell r="AA30">
            <v>1.4999999999999999E-2</v>
          </cell>
          <cell r="AB30">
            <v>0.01</v>
          </cell>
          <cell r="AC30">
            <v>0.16612443609022559</v>
          </cell>
          <cell r="AD30">
            <v>0</v>
          </cell>
          <cell r="AE30">
            <v>-0.23780399999999999</v>
          </cell>
          <cell r="AF30">
            <v>-0.28900000000000003</v>
          </cell>
          <cell r="AG30">
            <v>5.3743499999999891</v>
          </cell>
          <cell r="AH30">
            <v>1.0093956852791879</v>
          </cell>
          <cell r="AI30">
            <v>0.66953181818181828</v>
          </cell>
          <cell r="AJ30">
            <v>6.692597939551221</v>
          </cell>
          <cell r="AK30">
            <v>72.976247939551229</v>
          </cell>
          <cell r="AL30" t="str">
            <v>1/13  Comb</v>
          </cell>
          <cell r="AM30" t="str">
            <v>2/20  Comb</v>
          </cell>
          <cell r="AN30" t="str">
            <v>2/24  KC</v>
          </cell>
          <cell r="AO30" t="str">
            <v xml:space="preserve">1/11.5OE VIS+COT  </v>
          </cell>
          <cell r="AP30" t="str">
            <v>2/20  KC</v>
          </cell>
          <cell r="AQ30">
            <v>0</v>
          </cell>
          <cell r="AR30">
            <v>0</v>
          </cell>
          <cell r="AS30">
            <v>96.5</v>
          </cell>
          <cell r="AT30">
            <v>116.5</v>
          </cell>
          <cell r="AU30">
            <v>107.5</v>
          </cell>
          <cell r="AV30">
            <v>72.33</v>
          </cell>
          <cell r="AW30">
            <v>107.5</v>
          </cell>
          <cell r="AX30">
            <v>0</v>
          </cell>
          <cell r="AY30">
            <v>0</v>
          </cell>
          <cell r="AZ30">
            <v>4.2117020000000007</v>
          </cell>
          <cell r="BA30">
            <v>1.2427000000000001</v>
          </cell>
          <cell r="BB30">
            <v>0.87967746000000002</v>
          </cell>
          <cell r="BC30">
            <v>0.9533100000000001</v>
          </cell>
          <cell r="BD30">
            <v>0</v>
          </cell>
          <cell r="BE30">
            <v>1.6894323936090229E-2</v>
          </cell>
          <cell r="BF30">
            <v>0</v>
          </cell>
          <cell r="BI30">
            <v>0</v>
          </cell>
          <cell r="BJ30">
            <v>0.10265231345939088</v>
          </cell>
          <cell r="BK30">
            <v>6.8089244954545464E-2</v>
          </cell>
          <cell r="BL30">
            <v>0.18763588235002657</v>
          </cell>
          <cell r="BM30">
            <v>-4.1531109022556398E-3</v>
          </cell>
          <cell r="BN30">
            <v>0</v>
          </cell>
          <cell r="BO30">
            <v>0</v>
          </cell>
          <cell r="BP30">
            <v>0</v>
          </cell>
          <cell r="BQ30">
            <v>0</v>
          </cell>
          <cell r="BR30">
            <v>-2.52348921319797E-2</v>
          </cell>
          <cell r="BS30">
            <v>0</v>
          </cell>
          <cell r="BT30">
            <v>-2.938800303423534E-2</v>
          </cell>
          <cell r="BU30">
            <v>104.31529406835283</v>
          </cell>
          <cell r="BV30">
            <v>-0.35215736040609147</v>
          </cell>
          <cell r="BW30">
            <v>103.96313670794673</v>
          </cell>
          <cell r="BX30">
            <v>112.77329088470574</v>
          </cell>
          <cell r="BY30">
            <v>-0.38071065989847713</v>
          </cell>
          <cell r="BZ30">
            <v>112.39258022480726</v>
          </cell>
          <cell r="CA30">
            <v>112.77329088470574</v>
          </cell>
          <cell r="CB30">
            <v>-0.44336730150248721</v>
          </cell>
          <cell r="CC30">
            <v>112.32992358320325</v>
          </cell>
          <cell r="CD30">
            <v>0.23780399999999999</v>
          </cell>
          <cell r="CE30">
            <v>200</v>
          </cell>
          <cell r="CF30">
            <v>0.71753441459545442</v>
          </cell>
          <cell r="CG30">
            <v>0.28900000000000003</v>
          </cell>
          <cell r="CH30">
            <v>140</v>
          </cell>
          <cell r="CI30">
            <v>0.61040694047476263</v>
          </cell>
          <cell r="CJ30">
            <v>1.327941355070217</v>
          </cell>
          <cell r="CK30">
            <v>0.23063606183425323</v>
          </cell>
          <cell r="CL30">
            <v>0.15696178469351038</v>
          </cell>
          <cell r="CM30">
            <v>2.9189189189189184</v>
          </cell>
          <cell r="CN30">
            <v>3.3065167654466823</v>
          </cell>
          <cell r="CO30">
            <v>1.1021897556939003E-2</v>
          </cell>
          <cell r="CP30">
            <v>1.2864864864864867</v>
          </cell>
          <cell r="CQ30">
            <v>1.2975083840434256</v>
          </cell>
          <cell r="CR30">
            <v>4.22</v>
          </cell>
          <cell r="CS30">
            <v>9.7200000000000006</v>
          </cell>
          <cell r="CT30">
            <v>47.86</v>
          </cell>
          <cell r="CU30">
            <v>0</v>
          </cell>
          <cell r="CV30">
            <v>180.06189008776357</v>
          </cell>
        </row>
        <row r="31">
          <cell r="K31" t="str">
            <v>ExportMill WorkingCannon LandmarkUSAWash33x33D</v>
          </cell>
          <cell r="L31">
            <v>0</v>
          </cell>
          <cell r="M31">
            <v>16.986000000000001</v>
          </cell>
          <cell r="N31">
            <v>22.082000000000001</v>
          </cell>
          <cell r="O31">
            <v>11.56</v>
          </cell>
          <cell r="P31">
            <v>12.162000000000001</v>
          </cell>
          <cell r="Q31">
            <v>8.8680000000000003</v>
          </cell>
          <cell r="R31">
            <v>0</v>
          </cell>
          <cell r="S31">
            <v>0</v>
          </cell>
          <cell r="T31">
            <v>71.658000000000001</v>
          </cell>
          <cell r="U31">
            <v>66.283650000000009</v>
          </cell>
          <cell r="V31">
            <v>2.5000000000000001E-3</v>
          </cell>
          <cell r="W31">
            <v>0</v>
          </cell>
          <cell r="X31">
            <v>-1.3999999999999999E-2</v>
          </cell>
          <cell r="Y31">
            <v>-2.5000000000000001E-2</v>
          </cell>
          <cell r="Z31">
            <v>7.4999999999999845E-2</v>
          </cell>
          <cell r="AA31">
            <v>1.4999999999999999E-2</v>
          </cell>
          <cell r="AB31">
            <v>0.01</v>
          </cell>
          <cell r="AC31">
            <v>0.16612443609022559</v>
          </cell>
          <cell r="AD31">
            <v>0</v>
          </cell>
          <cell r="AE31">
            <v>-0.23780399999999999</v>
          </cell>
          <cell r="AF31">
            <v>-0.28900000000000003</v>
          </cell>
          <cell r="AG31">
            <v>5.3743499999999891</v>
          </cell>
          <cell r="AH31">
            <v>1.0093956852791879</v>
          </cell>
          <cell r="AI31">
            <v>0.66953181818181828</v>
          </cell>
          <cell r="AJ31">
            <v>6.692597939551221</v>
          </cell>
          <cell r="AK31">
            <v>72.976247939551229</v>
          </cell>
          <cell r="AL31" t="str">
            <v>1/13  Comb</v>
          </cell>
          <cell r="AM31" t="str">
            <v>2/20  Comb</v>
          </cell>
          <cell r="AN31" t="str">
            <v>2/24  KC</v>
          </cell>
          <cell r="AO31" t="str">
            <v xml:space="preserve">1/11.5OE VIS+COT  </v>
          </cell>
          <cell r="AP31" t="str">
            <v>2/20  KC</v>
          </cell>
          <cell r="AQ31">
            <v>0</v>
          </cell>
          <cell r="AR31">
            <v>0</v>
          </cell>
          <cell r="AS31">
            <v>96.5</v>
          </cell>
          <cell r="AT31">
            <v>116.5</v>
          </cell>
          <cell r="AU31">
            <v>107.5</v>
          </cell>
          <cell r="AV31">
            <v>72.33</v>
          </cell>
          <cell r="AW31">
            <v>107.5</v>
          </cell>
          <cell r="AX31">
            <v>0</v>
          </cell>
          <cell r="AY31">
            <v>0</v>
          </cell>
          <cell r="AZ31">
            <v>4.2117020000000007</v>
          </cell>
          <cell r="BA31">
            <v>1.2427000000000001</v>
          </cell>
          <cell r="BB31">
            <v>0.87967746000000002</v>
          </cell>
          <cell r="BC31">
            <v>0.9533100000000001</v>
          </cell>
          <cell r="BD31">
            <v>0</v>
          </cell>
          <cell r="BE31">
            <v>1.6894323936090229E-2</v>
          </cell>
          <cell r="BF31">
            <v>0</v>
          </cell>
          <cell r="BI31">
            <v>0</v>
          </cell>
          <cell r="BJ31">
            <v>0.10265231345939088</v>
          </cell>
          <cell r="BK31">
            <v>6.8089244954545464E-2</v>
          </cell>
          <cell r="BL31">
            <v>0.18763588235002657</v>
          </cell>
          <cell r="BM31">
            <v>-4.1531109022556398E-3</v>
          </cell>
          <cell r="BN31">
            <v>0</v>
          </cell>
          <cell r="BO31">
            <v>0</v>
          </cell>
          <cell r="BP31">
            <v>0</v>
          </cell>
          <cell r="BQ31">
            <v>0</v>
          </cell>
          <cell r="BR31">
            <v>-2.52348921319797E-2</v>
          </cell>
          <cell r="BS31">
            <v>0</v>
          </cell>
          <cell r="BT31">
            <v>-2.938800303423534E-2</v>
          </cell>
          <cell r="BU31">
            <v>104.31529406835283</v>
          </cell>
          <cell r="BV31">
            <v>-0.35215736040609147</v>
          </cell>
          <cell r="BW31">
            <v>103.96313670794673</v>
          </cell>
          <cell r="BX31">
            <v>112.77329088470574</v>
          </cell>
          <cell r="BY31">
            <v>-0.38071065989847713</v>
          </cell>
          <cell r="BZ31">
            <v>112.39258022480726</v>
          </cell>
          <cell r="CA31">
            <v>112.77329088470574</v>
          </cell>
          <cell r="CB31">
            <v>-0.44336730150248721</v>
          </cell>
          <cell r="CC31">
            <v>112.32992358320325</v>
          </cell>
          <cell r="CD31">
            <v>0.23780399999999999</v>
          </cell>
          <cell r="CE31">
            <v>200</v>
          </cell>
          <cell r="CF31">
            <v>0.71753441459545442</v>
          </cell>
          <cell r="CG31">
            <v>0.28900000000000003</v>
          </cell>
          <cell r="CH31">
            <v>140</v>
          </cell>
          <cell r="CI31">
            <v>0.61040694047476263</v>
          </cell>
          <cell r="CJ31">
            <v>1.327941355070217</v>
          </cell>
          <cell r="CK31">
            <v>0.23063606183425323</v>
          </cell>
          <cell r="CL31">
            <v>0.15696178469351038</v>
          </cell>
          <cell r="CM31">
            <v>2.9189189189189184</v>
          </cell>
          <cell r="CN31">
            <v>3.3065167654466823</v>
          </cell>
          <cell r="CO31">
            <v>1.1021897556939003E-2</v>
          </cell>
          <cell r="CP31">
            <v>1.2864864864864867</v>
          </cell>
          <cell r="CQ31">
            <v>1.2975083840434256</v>
          </cell>
          <cell r="CR31">
            <v>14.66</v>
          </cell>
          <cell r="CS31">
            <v>9.98</v>
          </cell>
          <cell r="CT31">
            <v>47.86</v>
          </cell>
          <cell r="CU31">
            <v>0</v>
          </cell>
          <cell r="CV31">
            <v>190.76189008776359</v>
          </cell>
        </row>
        <row r="32">
          <cell r="K32" t="str">
            <v>ExportMill WorkingCannon MilestoneUSABath76x137L</v>
          </cell>
          <cell r="L32">
            <v>0</v>
          </cell>
          <cell r="M32">
            <v>415.87</v>
          </cell>
          <cell r="N32">
            <v>0</v>
          </cell>
          <cell r="O32">
            <v>71.28</v>
          </cell>
          <cell r="P32">
            <v>67.712000000000003</v>
          </cell>
          <cell r="Q32">
            <v>36.33</v>
          </cell>
          <cell r="R32">
            <v>0</v>
          </cell>
          <cell r="S32">
            <v>0</v>
          </cell>
          <cell r="T32">
            <v>591.19200000000001</v>
          </cell>
          <cell r="U32">
            <v>549.80855999999994</v>
          </cell>
          <cell r="V32">
            <v>2.5000000000000001E-3</v>
          </cell>
          <cell r="W32">
            <v>0</v>
          </cell>
          <cell r="X32">
            <v>-1.3999999999999999E-2</v>
          </cell>
          <cell r="Y32">
            <v>-2.5000000000000001E-2</v>
          </cell>
          <cell r="Z32">
            <v>7.0000000000000062E-2</v>
          </cell>
          <cell r="AA32">
            <v>1.4999999999999999E-2</v>
          </cell>
          <cell r="AB32">
            <v>0.01</v>
          </cell>
          <cell r="AC32">
            <v>1.3779663157894735</v>
          </cell>
          <cell r="AD32">
            <v>0</v>
          </cell>
          <cell r="AE32">
            <v>-5.8221799999999995</v>
          </cell>
          <cell r="AF32">
            <v>-1.782</v>
          </cell>
          <cell r="AG32">
            <v>41.383440000000036</v>
          </cell>
          <cell r="AH32">
            <v>8.3727191878172569</v>
          </cell>
          <cell r="AI32">
            <v>5.5536218181818171</v>
          </cell>
          <cell r="AJ32">
            <v>49.083567321788586</v>
          </cell>
          <cell r="AK32">
            <v>598.89212732178851</v>
          </cell>
          <cell r="AL32" t="str">
            <v>1/13  Comb</v>
          </cell>
          <cell r="AM32">
            <v>0</v>
          </cell>
          <cell r="AN32" t="str">
            <v>2/30  KC</v>
          </cell>
          <cell r="AO32" t="str">
            <v xml:space="preserve">1/16OE  </v>
          </cell>
          <cell r="AP32" t="str">
            <v>2/20  Gas Mer</v>
          </cell>
          <cell r="AQ32">
            <v>0</v>
          </cell>
          <cell r="AR32">
            <v>0</v>
          </cell>
          <cell r="AS32">
            <v>96.5</v>
          </cell>
          <cell r="AT32">
            <v>0</v>
          </cell>
          <cell r="AU32">
            <v>118.5</v>
          </cell>
          <cell r="AV32">
            <v>77.75</v>
          </cell>
          <cell r="AW32">
            <v>174</v>
          </cell>
          <cell r="AX32">
            <v>0</v>
          </cell>
          <cell r="AY32">
            <v>0</v>
          </cell>
          <cell r="AZ32">
            <v>40.131455000000003</v>
          </cell>
          <cell r="BA32">
            <v>8.4466800000000006</v>
          </cell>
          <cell r="BB32">
            <v>5.264608</v>
          </cell>
          <cell r="BC32">
            <v>6.3214199999999998</v>
          </cell>
          <cell r="BD32">
            <v>0</v>
          </cell>
          <cell r="BE32">
            <v>0.14023225962406013</v>
          </cell>
          <cell r="BF32">
            <v>0</v>
          </cell>
          <cell r="BI32">
            <v>0</v>
          </cell>
          <cell r="BJ32">
            <v>0.85207114096446679</v>
          </cell>
          <cell r="BK32">
            <v>0.56517850090909083</v>
          </cell>
          <cell r="BL32">
            <v>1.5574819014976178</v>
          </cell>
          <cell r="BM32">
            <v>-3.4449157894736834E-2</v>
          </cell>
          <cell r="BN32">
            <v>0</v>
          </cell>
          <cell r="BO32">
            <v>0</v>
          </cell>
          <cell r="BP32">
            <v>0</v>
          </cell>
          <cell r="BQ32">
            <v>0</v>
          </cell>
          <cell r="BR32">
            <v>-0.20931797969543142</v>
          </cell>
          <cell r="BS32">
            <v>0</v>
          </cell>
          <cell r="BT32">
            <v>-0.24376713759016827</v>
          </cell>
          <cell r="BU32">
            <v>104.40202996910922</v>
          </cell>
          <cell r="BV32">
            <v>-0.35406091370558362</v>
          </cell>
          <cell r="BW32">
            <v>104.04796905540364</v>
          </cell>
          <cell r="BX32">
            <v>112.26024727861207</v>
          </cell>
          <cell r="BY32">
            <v>-0.38071065989847708</v>
          </cell>
          <cell r="BZ32">
            <v>111.87953661871359</v>
          </cell>
          <cell r="CA32">
            <v>112.26024727861207</v>
          </cell>
          <cell r="CB32">
            <v>-0.44336730150248715</v>
          </cell>
          <cell r="CC32">
            <v>111.81687997710958</v>
          </cell>
          <cell r="CD32">
            <v>5.8221799999999995</v>
          </cell>
          <cell r="CE32">
            <v>200</v>
          </cell>
          <cell r="CF32">
            <v>2.1178935446185125</v>
          </cell>
          <cell r="CG32">
            <v>1.782</v>
          </cell>
          <cell r="CH32">
            <v>140</v>
          </cell>
          <cell r="CI32">
            <v>0.45375794076396347</v>
          </cell>
          <cell r="CJ32">
            <v>2.5716514853824761</v>
          </cell>
          <cell r="CK32">
            <v>0.68075149648452182</v>
          </cell>
          <cell r="CL32">
            <v>0.11668061333930488</v>
          </cell>
          <cell r="CM32">
            <v>2.903225806451613</v>
          </cell>
          <cell r="CN32">
            <v>3.7006579162754396</v>
          </cell>
          <cell r="CO32">
            <v>1.4144503315845066E-2</v>
          </cell>
          <cell r="CP32">
            <v>1.2795698924731185</v>
          </cell>
          <cell r="CQ32">
            <v>1.2937143957889636</v>
          </cell>
          <cell r="CR32">
            <v>1.21</v>
          </cell>
          <cell r="CS32">
            <v>9.81</v>
          </cell>
          <cell r="CT32">
            <v>12.35</v>
          </cell>
          <cell r="CU32">
            <v>0</v>
          </cell>
          <cell r="CV32">
            <v>142.75290377455647</v>
          </cell>
        </row>
        <row r="33">
          <cell r="K33" t="str">
            <v>ExportMill WorkingCannon MilestoneUSABath76x137M</v>
          </cell>
          <cell r="L33">
            <v>0</v>
          </cell>
          <cell r="M33">
            <v>415.87</v>
          </cell>
          <cell r="N33">
            <v>0</v>
          </cell>
          <cell r="O33">
            <v>71.28</v>
          </cell>
          <cell r="P33">
            <v>67.712000000000003</v>
          </cell>
          <cell r="Q33">
            <v>36.33</v>
          </cell>
          <cell r="R33">
            <v>0</v>
          </cell>
          <cell r="S33">
            <v>0</v>
          </cell>
          <cell r="T33">
            <v>591.19200000000001</v>
          </cell>
          <cell r="U33">
            <v>549.80855999999994</v>
          </cell>
          <cell r="V33">
            <v>2.5000000000000001E-3</v>
          </cell>
          <cell r="W33">
            <v>0</v>
          </cell>
          <cell r="X33">
            <v>-1.3999999999999999E-2</v>
          </cell>
          <cell r="Y33">
            <v>-2.5000000000000001E-2</v>
          </cell>
          <cell r="Z33">
            <v>7.0000000000000062E-2</v>
          </cell>
          <cell r="AA33">
            <v>1.4999999999999999E-2</v>
          </cell>
          <cell r="AB33">
            <v>0.01</v>
          </cell>
          <cell r="AC33">
            <v>1.3779663157894735</v>
          </cell>
          <cell r="AD33">
            <v>0</v>
          </cell>
          <cell r="AE33">
            <v>-5.8221799999999995</v>
          </cell>
          <cell r="AF33">
            <v>-1.782</v>
          </cell>
          <cell r="AG33">
            <v>41.383440000000036</v>
          </cell>
          <cell r="AH33">
            <v>8.3727191878172569</v>
          </cell>
          <cell r="AI33">
            <v>5.5536218181818171</v>
          </cell>
          <cell r="AJ33">
            <v>49.083567321788586</v>
          </cell>
          <cell r="AK33">
            <v>598.89212732178851</v>
          </cell>
          <cell r="AL33" t="str">
            <v>1/13  Comb</v>
          </cell>
          <cell r="AM33">
            <v>0</v>
          </cell>
          <cell r="AN33" t="str">
            <v>2/30  KC</v>
          </cell>
          <cell r="AO33" t="str">
            <v xml:space="preserve">1/16OE  </v>
          </cell>
          <cell r="AP33" t="str">
            <v>2/20  Gas Mer</v>
          </cell>
          <cell r="AQ33">
            <v>0</v>
          </cell>
          <cell r="AR33">
            <v>0</v>
          </cell>
          <cell r="AS33">
            <v>96.5</v>
          </cell>
          <cell r="AT33">
            <v>0</v>
          </cell>
          <cell r="AU33">
            <v>118.5</v>
          </cell>
          <cell r="AV33">
            <v>77.75</v>
          </cell>
          <cell r="AW33">
            <v>174</v>
          </cell>
          <cell r="AX33">
            <v>0</v>
          </cell>
          <cell r="AY33">
            <v>0</v>
          </cell>
          <cell r="AZ33">
            <v>40.131455000000003</v>
          </cell>
          <cell r="BA33">
            <v>8.4466800000000006</v>
          </cell>
          <cell r="BB33">
            <v>5.264608</v>
          </cell>
          <cell r="BC33">
            <v>6.3214199999999998</v>
          </cell>
          <cell r="BD33">
            <v>0</v>
          </cell>
          <cell r="BE33">
            <v>0.14023225962406013</v>
          </cell>
          <cell r="BF33">
            <v>0</v>
          </cell>
          <cell r="BI33">
            <v>0</v>
          </cell>
          <cell r="BJ33">
            <v>0.85207114096446679</v>
          </cell>
          <cell r="BK33">
            <v>0.56517850090909083</v>
          </cell>
          <cell r="BL33">
            <v>1.5574819014976178</v>
          </cell>
          <cell r="BM33">
            <v>-3.4449157894736834E-2</v>
          </cell>
          <cell r="BN33">
            <v>0</v>
          </cell>
          <cell r="BO33">
            <v>0</v>
          </cell>
          <cell r="BP33">
            <v>0</v>
          </cell>
          <cell r="BQ33">
            <v>0</v>
          </cell>
          <cell r="BR33">
            <v>-0.20931797969543142</v>
          </cell>
          <cell r="BS33">
            <v>0</v>
          </cell>
          <cell r="BT33">
            <v>-0.24376713759016827</v>
          </cell>
          <cell r="BU33">
            <v>104.40202996910922</v>
          </cell>
          <cell r="BV33">
            <v>-0.35406091370558362</v>
          </cell>
          <cell r="BW33">
            <v>104.04796905540364</v>
          </cell>
          <cell r="BX33">
            <v>112.26024727861207</v>
          </cell>
          <cell r="BY33">
            <v>-0.38071065989847708</v>
          </cell>
          <cell r="BZ33">
            <v>111.87953661871359</v>
          </cell>
          <cell r="CA33">
            <v>112.26024727861207</v>
          </cell>
          <cell r="CB33">
            <v>-0.44336730150248715</v>
          </cell>
          <cell r="CC33">
            <v>111.81687997710958</v>
          </cell>
          <cell r="CD33">
            <v>5.8221799999999995</v>
          </cell>
          <cell r="CE33">
            <v>200</v>
          </cell>
          <cell r="CF33">
            <v>2.1178935446185125</v>
          </cell>
          <cell r="CG33">
            <v>1.782</v>
          </cell>
          <cell r="CH33">
            <v>140</v>
          </cell>
          <cell r="CI33">
            <v>0.45375794076396347</v>
          </cell>
          <cell r="CJ33">
            <v>2.5716514853824761</v>
          </cell>
          <cell r="CK33">
            <v>0.68075149648452182</v>
          </cell>
          <cell r="CL33">
            <v>0.11668061333930488</v>
          </cell>
          <cell r="CM33">
            <v>2.903225806451613</v>
          </cell>
          <cell r="CN33">
            <v>3.7006579162754396</v>
          </cell>
          <cell r="CO33">
            <v>1.4144503315845066E-2</v>
          </cell>
          <cell r="CP33">
            <v>1.2795698924731185</v>
          </cell>
          <cell r="CQ33">
            <v>1.2937143957889636</v>
          </cell>
          <cell r="CR33">
            <v>4.22</v>
          </cell>
          <cell r="CS33">
            <v>9.7200000000000006</v>
          </cell>
          <cell r="CT33">
            <v>12.35</v>
          </cell>
          <cell r="CU33">
            <v>0</v>
          </cell>
          <cell r="CV33">
            <v>145.67290377455646</v>
          </cell>
        </row>
        <row r="34">
          <cell r="K34" t="str">
            <v>ExportMill WorkingCannon MilestoneUSABath76x137D</v>
          </cell>
          <cell r="L34">
            <v>0</v>
          </cell>
          <cell r="M34">
            <v>415.87</v>
          </cell>
          <cell r="N34">
            <v>0</v>
          </cell>
          <cell r="O34">
            <v>71.28</v>
          </cell>
          <cell r="P34">
            <v>67.712000000000003</v>
          </cell>
          <cell r="Q34">
            <v>36.33</v>
          </cell>
          <cell r="R34">
            <v>0</v>
          </cell>
          <cell r="S34">
            <v>0</v>
          </cell>
          <cell r="T34">
            <v>591.19200000000001</v>
          </cell>
          <cell r="U34">
            <v>549.80855999999994</v>
          </cell>
          <cell r="V34">
            <v>2.5000000000000001E-3</v>
          </cell>
          <cell r="W34">
            <v>0</v>
          </cell>
          <cell r="X34">
            <v>-1.3999999999999999E-2</v>
          </cell>
          <cell r="Y34">
            <v>-2.5000000000000001E-2</v>
          </cell>
          <cell r="Z34">
            <v>7.0000000000000062E-2</v>
          </cell>
          <cell r="AA34">
            <v>1.4999999999999999E-2</v>
          </cell>
          <cell r="AB34">
            <v>0.01</v>
          </cell>
          <cell r="AC34">
            <v>1.3779663157894735</v>
          </cell>
          <cell r="AD34">
            <v>0</v>
          </cell>
          <cell r="AE34">
            <v>-5.8221799999999995</v>
          </cell>
          <cell r="AF34">
            <v>-1.782</v>
          </cell>
          <cell r="AG34">
            <v>41.383440000000036</v>
          </cell>
          <cell r="AH34">
            <v>8.3727191878172569</v>
          </cell>
          <cell r="AI34">
            <v>5.5536218181818171</v>
          </cell>
          <cell r="AJ34">
            <v>49.083567321788586</v>
          </cell>
          <cell r="AK34">
            <v>598.89212732178851</v>
          </cell>
          <cell r="AL34" t="str">
            <v>1/13  Comb</v>
          </cell>
          <cell r="AM34">
            <v>0</v>
          </cell>
          <cell r="AN34" t="str">
            <v>2/30  KC</v>
          </cell>
          <cell r="AO34" t="str">
            <v xml:space="preserve">1/16OE  </v>
          </cell>
          <cell r="AP34" t="str">
            <v>2/20  Gas Mer</v>
          </cell>
          <cell r="AQ34">
            <v>0</v>
          </cell>
          <cell r="AR34">
            <v>0</v>
          </cell>
          <cell r="AS34">
            <v>96.5</v>
          </cell>
          <cell r="AT34">
            <v>0</v>
          </cell>
          <cell r="AU34">
            <v>118.5</v>
          </cell>
          <cell r="AV34">
            <v>77.75</v>
          </cell>
          <cell r="AW34">
            <v>174</v>
          </cell>
          <cell r="AX34">
            <v>0</v>
          </cell>
          <cell r="AY34">
            <v>0</v>
          </cell>
          <cell r="AZ34">
            <v>40.131455000000003</v>
          </cell>
          <cell r="BA34">
            <v>8.4466800000000006</v>
          </cell>
          <cell r="BB34">
            <v>5.264608</v>
          </cell>
          <cell r="BC34">
            <v>6.3214199999999998</v>
          </cell>
          <cell r="BD34">
            <v>0</v>
          </cell>
          <cell r="BE34">
            <v>0.14023225962406013</v>
          </cell>
          <cell r="BF34">
            <v>0</v>
          </cell>
          <cell r="BI34">
            <v>0</v>
          </cell>
          <cell r="BJ34">
            <v>0.85207114096446679</v>
          </cell>
          <cell r="BK34">
            <v>0.56517850090909083</v>
          </cell>
          <cell r="BL34">
            <v>1.5574819014976178</v>
          </cell>
          <cell r="BM34">
            <v>-3.4449157894736834E-2</v>
          </cell>
          <cell r="BN34">
            <v>0</v>
          </cell>
          <cell r="BO34">
            <v>0</v>
          </cell>
          <cell r="BP34">
            <v>0</v>
          </cell>
          <cell r="BQ34">
            <v>0</v>
          </cell>
          <cell r="BR34">
            <v>-0.20931797969543142</v>
          </cell>
          <cell r="BS34">
            <v>0</v>
          </cell>
          <cell r="BT34">
            <v>-0.24376713759016827</v>
          </cell>
          <cell r="BU34">
            <v>104.40202996910922</v>
          </cell>
          <cell r="BV34">
            <v>-0.35406091370558362</v>
          </cell>
          <cell r="BW34">
            <v>104.04796905540364</v>
          </cell>
          <cell r="BX34">
            <v>112.26024727861207</v>
          </cell>
          <cell r="BY34">
            <v>-0.38071065989847708</v>
          </cell>
          <cell r="BZ34">
            <v>111.87953661871359</v>
          </cell>
          <cell r="CA34">
            <v>112.26024727861207</v>
          </cell>
          <cell r="CB34">
            <v>-0.44336730150248715</v>
          </cell>
          <cell r="CC34">
            <v>111.81687997710958</v>
          </cell>
          <cell r="CD34">
            <v>5.8221799999999995</v>
          </cell>
          <cell r="CE34">
            <v>200</v>
          </cell>
          <cell r="CF34">
            <v>2.1178935446185125</v>
          </cell>
          <cell r="CG34">
            <v>1.782</v>
          </cell>
          <cell r="CH34">
            <v>140</v>
          </cell>
          <cell r="CI34">
            <v>0.45375794076396347</v>
          </cell>
          <cell r="CJ34">
            <v>2.5716514853824761</v>
          </cell>
          <cell r="CK34">
            <v>0.68075149648452182</v>
          </cell>
          <cell r="CL34">
            <v>0.11668061333930488</v>
          </cell>
          <cell r="CM34">
            <v>2.903225806451613</v>
          </cell>
          <cell r="CN34">
            <v>3.7006579162754396</v>
          </cell>
          <cell r="CO34">
            <v>1.4144503315845066E-2</v>
          </cell>
          <cell r="CP34">
            <v>1.2795698924731185</v>
          </cell>
          <cell r="CQ34">
            <v>1.2937143957889636</v>
          </cell>
          <cell r="CR34">
            <v>14.66</v>
          </cell>
          <cell r="CS34">
            <v>9.98</v>
          </cell>
          <cell r="CT34">
            <v>12.35</v>
          </cell>
          <cell r="CU34">
            <v>0</v>
          </cell>
          <cell r="CV34">
            <v>156.37290377455648</v>
          </cell>
        </row>
        <row r="35">
          <cell r="K35" t="str">
            <v>ExportMill WorkingCannon MilestoneUSAHand41x76L</v>
          </cell>
          <cell r="L35">
            <v>0</v>
          </cell>
          <cell r="M35">
            <v>107.55</v>
          </cell>
          <cell r="N35">
            <v>0</v>
          </cell>
          <cell r="O35">
            <v>21.15</v>
          </cell>
          <cell r="P35">
            <v>21.649000000000001</v>
          </cell>
          <cell r="Q35">
            <v>13.05</v>
          </cell>
          <cell r="R35">
            <v>0</v>
          </cell>
          <cell r="S35">
            <v>0</v>
          </cell>
          <cell r="T35">
            <v>163.399</v>
          </cell>
          <cell r="U35">
            <v>151.96106999999998</v>
          </cell>
          <cell r="V35">
            <v>2.5000000000000001E-3</v>
          </cell>
          <cell r="W35">
            <v>0</v>
          </cell>
          <cell r="X35">
            <v>-1.3999999999999999E-2</v>
          </cell>
          <cell r="Y35">
            <v>-2.5000000000000001E-2</v>
          </cell>
          <cell r="Z35">
            <v>7.0000000000000173E-2</v>
          </cell>
          <cell r="AA35">
            <v>1.4999999999999999E-2</v>
          </cell>
          <cell r="AB35">
            <v>0.01</v>
          </cell>
          <cell r="AC35">
            <v>0.3808548120300751</v>
          </cell>
          <cell r="AD35">
            <v>0</v>
          </cell>
          <cell r="AE35">
            <v>-1.5056999999999998</v>
          </cell>
          <cell r="AF35">
            <v>-0.52874999999999994</v>
          </cell>
          <cell r="AG35">
            <v>11.437930000000028</v>
          </cell>
          <cell r="AH35">
            <v>2.3141279695431467</v>
          </cell>
          <cell r="AI35">
            <v>1.534960303030303</v>
          </cell>
          <cell r="AJ35">
            <v>13.633423084603553</v>
          </cell>
          <cell r="AK35">
            <v>165.59449308460353</v>
          </cell>
          <cell r="AL35" t="str">
            <v>1/13  Comb</v>
          </cell>
          <cell r="AM35">
            <v>0</v>
          </cell>
          <cell r="AN35" t="str">
            <v>2/30  KC</v>
          </cell>
          <cell r="AO35" t="str">
            <v xml:space="preserve">1/16OE  </v>
          </cell>
          <cell r="AP35" t="str">
            <v>2/20  Gas Mer</v>
          </cell>
          <cell r="AQ35">
            <v>0</v>
          </cell>
          <cell r="AR35">
            <v>0</v>
          </cell>
          <cell r="AS35">
            <v>96.5</v>
          </cell>
          <cell r="AT35">
            <v>0</v>
          </cell>
          <cell r="AU35">
            <v>118.5</v>
          </cell>
          <cell r="AV35">
            <v>77.75</v>
          </cell>
          <cell r="AW35">
            <v>174</v>
          </cell>
          <cell r="AX35">
            <v>0</v>
          </cell>
          <cell r="AY35">
            <v>0</v>
          </cell>
          <cell r="AZ35">
            <v>10.378575</v>
          </cell>
          <cell r="BA35">
            <v>2.5062749999999996</v>
          </cell>
          <cell r="BB35">
            <v>1.6832097500000001</v>
          </cell>
          <cell r="BC35">
            <v>2.2707000000000002</v>
          </cell>
          <cell r="BD35">
            <v>0</v>
          </cell>
          <cell r="BE35">
            <v>3.9248237011278192E-2</v>
          </cell>
          <cell r="BF35">
            <v>0</v>
          </cell>
          <cell r="BI35">
            <v>0</v>
          </cell>
          <cell r="BJ35">
            <v>0.23847786651015226</v>
          </cell>
          <cell r="BK35">
            <v>0.15818228856060607</v>
          </cell>
          <cell r="BL35">
            <v>0.43590839208203652</v>
          </cell>
          <cell r="BM35">
            <v>-9.5213703007518777E-3</v>
          </cell>
          <cell r="BN35">
            <v>0</v>
          </cell>
          <cell r="BO35">
            <v>0</v>
          </cell>
          <cell r="BP35">
            <v>0</v>
          </cell>
          <cell r="BQ35">
            <v>0</v>
          </cell>
          <cell r="BR35">
            <v>-5.7853199238578665E-2</v>
          </cell>
          <cell r="BS35">
            <v>0</v>
          </cell>
          <cell r="BT35">
            <v>-6.7374569539330548E-2</v>
          </cell>
          <cell r="BU35">
            <v>105.72077027449396</v>
          </cell>
          <cell r="BV35">
            <v>-0.35406091370558368</v>
          </cell>
          <cell r="BW35">
            <v>105.36670936078838</v>
          </cell>
          <cell r="BX35">
            <v>113.67824760698277</v>
          </cell>
          <cell r="BY35">
            <v>-0.38071065989847713</v>
          </cell>
          <cell r="BZ35">
            <v>113.29753694708428</v>
          </cell>
          <cell r="CA35">
            <v>113.67824760698277</v>
          </cell>
          <cell r="CB35">
            <v>-0.44336730150248715</v>
          </cell>
          <cell r="CC35">
            <v>113.23488030548027</v>
          </cell>
          <cell r="CD35">
            <v>1.5056999999999998</v>
          </cell>
          <cell r="CE35">
            <v>200</v>
          </cell>
          <cell r="CF35">
            <v>1.9816917582904623</v>
          </cell>
          <cell r="CG35">
            <v>0.52874999999999994</v>
          </cell>
          <cell r="CH35">
            <v>140</v>
          </cell>
          <cell r="CI35">
            <v>0.48713134225759269</v>
          </cell>
          <cell r="CJ35">
            <v>2.4688231005480548</v>
          </cell>
          <cell r="CK35">
            <v>0.63697235087907711</v>
          </cell>
          <cell r="CL35">
            <v>0.12526234515195239</v>
          </cell>
          <cell r="CM35">
            <v>2.903225806451613</v>
          </cell>
          <cell r="CN35">
            <v>3.6654605024826425</v>
          </cell>
          <cell r="CO35">
            <v>1.3234869957154161E-2</v>
          </cell>
          <cell r="CP35">
            <v>1.2795698924731185</v>
          </cell>
          <cell r="CQ35">
            <v>1.2928047624302725</v>
          </cell>
          <cell r="CR35">
            <v>1.21</v>
          </cell>
          <cell r="CS35">
            <v>9.81</v>
          </cell>
          <cell r="CT35">
            <v>24.95</v>
          </cell>
          <cell r="CU35">
            <v>0</v>
          </cell>
          <cell r="CV35">
            <v>156.63196867094126</v>
          </cell>
        </row>
        <row r="36">
          <cell r="K36" t="str">
            <v>ExportMill WorkingCannon MilestoneUSAHand41x76M</v>
          </cell>
          <cell r="L36">
            <v>0</v>
          </cell>
          <cell r="M36">
            <v>107.55</v>
          </cell>
          <cell r="N36">
            <v>0</v>
          </cell>
          <cell r="O36">
            <v>21.15</v>
          </cell>
          <cell r="P36">
            <v>21.649000000000001</v>
          </cell>
          <cell r="Q36">
            <v>13.05</v>
          </cell>
          <cell r="R36">
            <v>0</v>
          </cell>
          <cell r="S36">
            <v>0</v>
          </cell>
          <cell r="T36">
            <v>163.399</v>
          </cell>
          <cell r="U36">
            <v>151.96106999999998</v>
          </cell>
          <cell r="V36">
            <v>2.5000000000000001E-3</v>
          </cell>
          <cell r="W36">
            <v>0</v>
          </cell>
          <cell r="X36">
            <v>-1.3999999999999999E-2</v>
          </cell>
          <cell r="Y36">
            <v>-2.5000000000000001E-2</v>
          </cell>
          <cell r="Z36">
            <v>7.0000000000000173E-2</v>
          </cell>
          <cell r="AA36">
            <v>1.4999999999999999E-2</v>
          </cell>
          <cell r="AB36">
            <v>0.01</v>
          </cell>
          <cell r="AC36">
            <v>0.3808548120300751</v>
          </cell>
          <cell r="AD36">
            <v>0</v>
          </cell>
          <cell r="AE36">
            <v>-1.5056999999999998</v>
          </cell>
          <cell r="AF36">
            <v>-0.52874999999999994</v>
          </cell>
          <cell r="AG36">
            <v>11.437930000000028</v>
          </cell>
          <cell r="AH36">
            <v>2.3141279695431467</v>
          </cell>
          <cell r="AI36">
            <v>1.534960303030303</v>
          </cell>
          <cell r="AJ36">
            <v>13.633423084603553</v>
          </cell>
          <cell r="AK36">
            <v>165.59449308460353</v>
          </cell>
          <cell r="AL36" t="str">
            <v>1/13  Comb</v>
          </cell>
          <cell r="AM36">
            <v>0</v>
          </cell>
          <cell r="AN36" t="str">
            <v>2/30  KC</v>
          </cell>
          <cell r="AO36" t="str">
            <v xml:space="preserve">1/16OE  </v>
          </cell>
          <cell r="AP36" t="str">
            <v>2/20  Gas Mer</v>
          </cell>
          <cell r="AQ36">
            <v>0</v>
          </cell>
          <cell r="AR36">
            <v>0</v>
          </cell>
          <cell r="AS36">
            <v>96.5</v>
          </cell>
          <cell r="AT36">
            <v>0</v>
          </cell>
          <cell r="AU36">
            <v>118.5</v>
          </cell>
          <cell r="AV36">
            <v>77.75</v>
          </cell>
          <cell r="AW36">
            <v>174</v>
          </cell>
          <cell r="AX36">
            <v>0</v>
          </cell>
          <cell r="AY36">
            <v>0</v>
          </cell>
          <cell r="AZ36">
            <v>10.378575</v>
          </cell>
          <cell r="BA36">
            <v>2.5062749999999996</v>
          </cell>
          <cell r="BB36">
            <v>1.6832097500000001</v>
          </cell>
          <cell r="BC36">
            <v>2.2707000000000002</v>
          </cell>
          <cell r="BD36">
            <v>0</v>
          </cell>
          <cell r="BE36">
            <v>3.9248237011278192E-2</v>
          </cell>
          <cell r="BF36">
            <v>0</v>
          </cell>
          <cell r="BI36">
            <v>0</v>
          </cell>
          <cell r="BJ36">
            <v>0.23847786651015226</v>
          </cell>
          <cell r="BK36">
            <v>0.15818228856060607</v>
          </cell>
          <cell r="BL36">
            <v>0.43590839208203652</v>
          </cell>
          <cell r="BM36">
            <v>-9.5213703007518777E-3</v>
          </cell>
          <cell r="BN36">
            <v>0</v>
          </cell>
          <cell r="BO36">
            <v>0</v>
          </cell>
          <cell r="BP36">
            <v>0</v>
          </cell>
          <cell r="BQ36">
            <v>0</v>
          </cell>
          <cell r="BR36">
            <v>-5.7853199238578665E-2</v>
          </cell>
          <cell r="BS36">
            <v>0</v>
          </cell>
          <cell r="BT36">
            <v>-6.7374569539330548E-2</v>
          </cell>
          <cell r="BU36">
            <v>105.72077027449396</v>
          </cell>
          <cell r="BV36">
            <v>-0.35406091370558368</v>
          </cell>
          <cell r="BW36">
            <v>105.36670936078838</v>
          </cell>
          <cell r="BX36">
            <v>113.67824760698277</v>
          </cell>
          <cell r="BY36">
            <v>-0.38071065989847713</v>
          </cell>
          <cell r="BZ36">
            <v>113.29753694708428</v>
          </cell>
          <cell r="CA36">
            <v>113.67824760698277</v>
          </cell>
          <cell r="CB36">
            <v>-0.44336730150248715</v>
          </cell>
          <cell r="CC36">
            <v>113.23488030548027</v>
          </cell>
          <cell r="CD36">
            <v>1.5056999999999998</v>
          </cell>
          <cell r="CE36">
            <v>200</v>
          </cell>
          <cell r="CF36">
            <v>1.9816917582904623</v>
          </cell>
          <cell r="CG36">
            <v>0.52874999999999994</v>
          </cell>
          <cell r="CH36">
            <v>140</v>
          </cell>
          <cell r="CI36">
            <v>0.48713134225759269</v>
          </cell>
          <cell r="CJ36">
            <v>2.4688231005480548</v>
          </cell>
          <cell r="CK36">
            <v>0.63697235087907711</v>
          </cell>
          <cell r="CL36">
            <v>0.12526234515195239</v>
          </cell>
          <cell r="CM36">
            <v>2.903225806451613</v>
          </cell>
          <cell r="CN36">
            <v>3.6654605024826425</v>
          </cell>
          <cell r="CO36">
            <v>1.3234869957154161E-2</v>
          </cell>
          <cell r="CP36">
            <v>1.2795698924731185</v>
          </cell>
          <cell r="CQ36">
            <v>1.2928047624302725</v>
          </cell>
          <cell r="CR36">
            <v>4.22</v>
          </cell>
          <cell r="CS36">
            <v>9.7200000000000006</v>
          </cell>
          <cell r="CT36">
            <v>24.95</v>
          </cell>
          <cell r="CU36">
            <v>0</v>
          </cell>
          <cell r="CV36">
            <v>159.55196867094125</v>
          </cell>
        </row>
        <row r="37">
          <cell r="K37" t="str">
            <v>ExportMill WorkingCannon MilestoneUSAHand41x76D</v>
          </cell>
          <cell r="L37">
            <v>0</v>
          </cell>
          <cell r="M37">
            <v>107.55</v>
          </cell>
          <cell r="N37">
            <v>0</v>
          </cell>
          <cell r="O37">
            <v>21.15</v>
          </cell>
          <cell r="P37">
            <v>21.649000000000001</v>
          </cell>
          <cell r="Q37">
            <v>13.05</v>
          </cell>
          <cell r="R37">
            <v>0</v>
          </cell>
          <cell r="S37">
            <v>0</v>
          </cell>
          <cell r="T37">
            <v>163.399</v>
          </cell>
          <cell r="U37">
            <v>151.96106999999998</v>
          </cell>
          <cell r="V37">
            <v>2.5000000000000001E-3</v>
          </cell>
          <cell r="W37">
            <v>0</v>
          </cell>
          <cell r="X37">
            <v>-1.3999999999999999E-2</v>
          </cell>
          <cell r="Y37">
            <v>-2.5000000000000001E-2</v>
          </cell>
          <cell r="Z37">
            <v>7.0000000000000173E-2</v>
          </cell>
          <cell r="AA37">
            <v>1.4999999999999999E-2</v>
          </cell>
          <cell r="AB37">
            <v>0.01</v>
          </cell>
          <cell r="AC37">
            <v>0.3808548120300751</v>
          </cell>
          <cell r="AD37">
            <v>0</v>
          </cell>
          <cell r="AE37">
            <v>-1.5056999999999998</v>
          </cell>
          <cell r="AF37">
            <v>-0.52874999999999994</v>
          </cell>
          <cell r="AG37">
            <v>11.437930000000028</v>
          </cell>
          <cell r="AH37">
            <v>2.3141279695431467</v>
          </cell>
          <cell r="AI37">
            <v>1.534960303030303</v>
          </cell>
          <cell r="AJ37">
            <v>13.633423084603553</v>
          </cell>
          <cell r="AK37">
            <v>165.59449308460353</v>
          </cell>
          <cell r="AL37" t="str">
            <v>1/13  Comb</v>
          </cell>
          <cell r="AM37">
            <v>0</v>
          </cell>
          <cell r="AN37" t="str">
            <v>2/30  KC</v>
          </cell>
          <cell r="AO37" t="str">
            <v xml:space="preserve">1/16OE  </v>
          </cell>
          <cell r="AP37" t="str">
            <v>2/20  Gas Mer</v>
          </cell>
          <cell r="AQ37">
            <v>0</v>
          </cell>
          <cell r="AR37">
            <v>0</v>
          </cell>
          <cell r="AS37">
            <v>96.5</v>
          </cell>
          <cell r="AT37">
            <v>0</v>
          </cell>
          <cell r="AU37">
            <v>118.5</v>
          </cell>
          <cell r="AV37">
            <v>77.75</v>
          </cell>
          <cell r="AW37">
            <v>174</v>
          </cell>
          <cell r="AX37">
            <v>0</v>
          </cell>
          <cell r="AY37">
            <v>0</v>
          </cell>
          <cell r="AZ37">
            <v>10.378575</v>
          </cell>
          <cell r="BA37">
            <v>2.5062749999999996</v>
          </cell>
          <cell r="BB37">
            <v>1.6832097500000001</v>
          </cell>
          <cell r="BC37">
            <v>2.2707000000000002</v>
          </cell>
          <cell r="BD37">
            <v>0</v>
          </cell>
          <cell r="BE37">
            <v>3.9248237011278192E-2</v>
          </cell>
          <cell r="BF37">
            <v>0</v>
          </cell>
          <cell r="BI37">
            <v>0</v>
          </cell>
          <cell r="BJ37">
            <v>0.23847786651015226</v>
          </cell>
          <cell r="BK37">
            <v>0.15818228856060607</v>
          </cell>
          <cell r="BL37">
            <v>0.43590839208203652</v>
          </cell>
          <cell r="BM37">
            <v>-9.5213703007518777E-3</v>
          </cell>
          <cell r="BN37">
            <v>0</v>
          </cell>
          <cell r="BO37">
            <v>0</v>
          </cell>
          <cell r="BP37">
            <v>0</v>
          </cell>
          <cell r="BQ37">
            <v>0</v>
          </cell>
          <cell r="BR37">
            <v>-5.7853199238578665E-2</v>
          </cell>
          <cell r="BS37">
            <v>0</v>
          </cell>
          <cell r="BT37">
            <v>-6.7374569539330548E-2</v>
          </cell>
          <cell r="BU37">
            <v>105.72077027449396</v>
          </cell>
          <cell r="BV37">
            <v>-0.35406091370558368</v>
          </cell>
          <cell r="BW37">
            <v>105.36670936078838</v>
          </cell>
          <cell r="BX37">
            <v>113.67824760698277</v>
          </cell>
          <cell r="BY37">
            <v>-0.38071065989847713</v>
          </cell>
          <cell r="BZ37">
            <v>113.29753694708428</v>
          </cell>
          <cell r="CA37">
            <v>113.67824760698277</v>
          </cell>
          <cell r="CB37">
            <v>-0.44336730150248715</v>
          </cell>
          <cell r="CC37">
            <v>113.23488030548027</v>
          </cell>
          <cell r="CD37">
            <v>1.5056999999999998</v>
          </cell>
          <cell r="CE37">
            <v>200</v>
          </cell>
          <cell r="CF37">
            <v>1.9816917582904623</v>
          </cell>
          <cell r="CG37">
            <v>0.52874999999999994</v>
          </cell>
          <cell r="CH37">
            <v>140</v>
          </cell>
          <cell r="CI37">
            <v>0.48713134225759269</v>
          </cell>
          <cell r="CJ37">
            <v>2.4688231005480548</v>
          </cell>
          <cell r="CK37">
            <v>0.63697235087907711</v>
          </cell>
          <cell r="CL37">
            <v>0.12526234515195239</v>
          </cell>
          <cell r="CM37">
            <v>2.903225806451613</v>
          </cell>
          <cell r="CN37">
            <v>3.6654605024826425</v>
          </cell>
          <cell r="CO37">
            <v>1.3234869957154161E-2</v>
          </cell>
          <cell r="CP37">
            <v>1.2795698924731185</v>
          </cell>
          <cell r="CQ37">
            <v>1.2928047624302725</v>
          </cell>
          <cell r="CR37">
            <v>14.66</v>
          </cell>
          <cell r="CS37">
            <v>9.98</v>
          </cell>
          <cell r="CT37">
            <v>24.95</v>
          </cell>
          <cell r="CU37">
            <v>0</v>
          </cell>
          <cell r="CV37">
            <v>170.25196867094127</v>
          </cell>
        </row>
        <row r="38">
          <cell r="K38" t="str">
            <v>ExportMill WorkingCannon MilestoneUSAWash33x33L</v>
          </cell>
          <cell r="L38">
            <v>0</v>
          </cell>
          <cell r="M38">
            <v>36.76</v>
          </cell>
          <cell r="N38">
            <v>0</v>
          </cell>
          <cell r="O38">
            <v>8.4499999999999993</v>
          </cell>
          <cell r="P38">
            <v>8.9339999999999993</v>
          </cell>
          <cell r="Q38">
            <v>7.2619999999999996</v>
          </cell>
          <cell r="R38">
            <v>0</v>
          </cell>
          <cell r="S38">
            <v>0</v>
          </cell>
          <cell r="T38">
            <v>61.405999999999992</v>
          </cell>
          <cell r="U38">
            <v>57.107579999999992</v>
          </cell>
          <cell r="V38">
            <v>2.5000000000000001E-3</v>
          </cell>
          <cell r="W38">
            <v>0</v>
          </cell>
          <cell r="X38">
            <v>-1.3999999999999999E-2</v>
          </cell>
          <cell r="Y38">
            <v>-2.5000000000000001E-2</v>
          </cell>
          <cell r="Z38">
            <v>7.0000000000000062E-2</v>
          </cell>
          <cell r="AA38">
            <v>1.4999999999999999E-2</v>
          </cell>
          <cell r="AB38">
            <v>0.01</v>
          </cell>
          <cell r="AC38">
            <v>0.1431267669172932</v>
          </cell>
          <cell r="AD38">
            <v>0</v>
          </cell>
          <cell r="AE38">
            <v>-0.51463999999999988</v>
          </cell>
          <cell r="AF38">
            <v>-0.21124999999999999</v>
          </cell>
          <cell r="AG38">
            <v>4.2984200000000028</v>
          </cell>
          <cell r="AH38">
            <v>0.86965857868020291</v>
          </cell>
          <cell r="AI38">
            <v>0.57684424242424237</v>
          </cell>
          <cell r="AJ38">
            <v>5.1621595880217406</v>
          </cell>
          <cell r="AK38">
            <v>62.269739588021736</v>
          </cell>
          <cell r="AL38" t="str">
            <v>1/13  Comb</v>
          </cell>
          <cell r="AM38">
            <v>0</v>
          </cell>
          <cell r="AN38" t="str">
            <v>2/30  KC</v>
          </cell>
          <cell r="AO38" t="str">
            <v xml:space="preserve">1/16OE  </v>
          </cell>
          <cell r="AP38" t="str">
            <v>2/20  Gas Mer</v>
          </cell>
          <cell r="AQ38">
            <v>0</v>
          </cell>
          <cell r="AR38">
            <v>0</v>
          </cell>
          <cell r="AS38">
            <v>96.5</v>
          </cell>
          <cell r="AT38">
            <v>0</v>
          </cell>
          <cell r="AU38">
            <v>118.5</v>
          </cell>
          <cell r="AV38">
            <v>77.75</v>
          </cell>
          <cell r="AW38">
            <v>174</v>
          </cell>
          <cell r="AX38">
            <v>0</v>
          </cell>
          <cell r="AY38">
            <v>0</v>
          </cell>
          <cell r="AZ38">
            <v>3.5473399999999997</v>
          </cell>
          <cell r="BA38">
            <v>1.001325</v>
          </cell>
          <cell r="BB38">
            <v>0.69461849999999992</v>
          </cell>
          <cell r="BC38">
            <v>1.2635879999999999</v>
          </cell>
          <cell r="BD38">
            <v>0</v>
          </cell>
          <cell r="BE38">
            <v>1.5166392218045111E-2</v>
          </cell>
          <cell r="BF38">
            <v>0</v>
          </cell>
          <cell r="BI38">
            <v>0</v>
          </cell>
          <cell r="BJ38">
            <v>9.2153154746192886E-2</v>
          </cell>
          <cell r="BK38">
            <v>6.1125156515151512E-2</v>
          </cell>
          <cell r="BL38">
            <v>0.1684447034793895</v>
          </cell>
          <cell r="BM38">
            <v>-3.5781691729323303E-3</v>
          </cell>
          <cell r="BN38">
            <v>0</v>
          </cell>
          <cell r="BO38">
            <v>0</v>
          </cell>
          <cell r="BP38">
            <v>0</v>
          </cell>
          <cell r="BQ38">
            <v>0</v>
          </cell>
          <cell r="BR38">
            <v>-2.1741464467005072E-2</v>
          </cell>
          <cell r="BS38">
            <v>0</v>
          </cell>
          <cell r="BT38">
            <v>-2.5319633639937403E-2</v>
          </cell>
          <cell r="BU38">
            <v>108.70788202259371</v>
          </cell>
          <cell r="BV38">
            <v>-0.35406091370558374</v>
          </cell>
          <cell r="BW38">
            <v>108.35382110888813</v>
          </cell>
          <cell r="BX38">
            <v>116.89019572321904</v>
          </cell>
          <cell r="BY38">
            <v>-0.38071065989847713</v>
          </cell>
          <cell r="BZ38">
            <v>116.50948506332055</v>
          </cell>
          <cell r="CA38">
            <v>116.89019572321904</v>
          </cell>
          <cell r="CB38">
            <v>-0.44336730150248715</v>
          </cell>
          <cell r="CC38">
            <v>116.44682842171655</v>
          </cell>
          <cell r="CD38">
            <v>0.51463999999999988</v>
          </cell>
          <cell r="CE38">
            <v>200</v>
          </cell>
          <cell r="CF38">
            <v>1.802352682428497</v>
          </cell>
          <cell r="CG38">
            <v>0.21124999999999999</v>
          </cell>
          <cell r="CH38">
            <v>140</v>
          </cell>
          <cell r="CI38">
            <v>0.51788221458517425</v>
          </cell>
          <cell r="CJ38">
            <v>2.3202348970136715</v>
          </cell>
          <cell r="CK38">
            <v>0.5793276479234456</v>
          </cell>
          <cell r="CL38">
            <v>0.13316971232190192</v>
          </cell>
          <cell r="CM38">
            <v>2.903225806451613</v>
          </cell>
          <cell r="CN38">
            <v>3.6157231666969603</v>
          </cell>
          <cell r="CO38">
            <v>1.2037141129076038E-2</v>
          </cell>
          <cell r="CP38">
            <v>1.2795698924731185</v>
          </cell>
          <cell r="CQ38">
            <v>1.2916070336021945</v>
          </cell>
          <cell r="CR38">
            <v>1.21</v>
          </cell>
          <cell r="CS38">
            <v>9.81</v>
          </cell>
          <cell r="CT38">
            <v>47.86</v>
          </cell>
          <cell r="CU38">
            <v>0</v>
          </cell>
          <cell r="CV38">
            <v>182.55439351902936</v>
          </cell>
        </row>
        <row r="39">
          <cell r="K39" t="str">
            <v>ExportMill WorkingCannon MilestoneUSAWash33x33M</v>
          </cell>
          <cell r="L39">
            <v>0</v>
          </cell>
          <cell r="M39">
            <v>36.76</v>
          </cell>
          <cell r="N39">
            <v>0</v>
          </cell>
          <cell r="O39">
            <v>8.4499999999999993</v>
          </cell>
          <cell r="P39">
            <v>8.9339999999999993</v>
          </cell>
          <cell r="Q39">
            <v>7.2619999999999996</v>
          </cell>
          <cell r="R39">
            <v>0</v>
          </cell>
          <cell r="S39">
            <v>0</v>
          </cell>
          <cell r="T39">
            <v>61.405999999999992</v>
          </cell>
          <cell r="U39">
            <v>57.107579999999992</v>
          </cell>
          <cell r="V39">
            <v>2.5000000000000001E-3</v>
          </cell>
          <cell r="W39">
            <v>0</v>
          </cell>
          <cell r="X39">
            <v>-1.3999999999999999E-2</v>
          </cell>
          <cell r="Y39">
            <v>-2.5000000000000001E-2</v>
          </cell>
          <cell r="Z39">
            <v>7.0000000000000062E-2</v>
          </cell>
          <cell r="AA39">
            <v>1.4999999999999999E-2</v>
          </cell>
          <cell r="AB39">
            <v>0.01</v>
          </cell>
          <cell r="AC39">
            <v>0.1431267669172932</v>
          </cell>
          <cell r="AD39">
            <v>0</v>
          </cell>
          <cell r="AE39">
            <v>-0.51463999999999988</v>
          </cell>
          <cell r="AF39">
            <v>-0.21124999999999999</v>
          </cell>
          <cell r="AG39">
            <v>4.2984200000000028</v>
          </cell>
          <cell r="AH39">
            <v>0.86965857868020291</v>
          </cell>
          <cell r="AI39">
            <v>0.57684424242424237</v>
          </cell>
          <cell r="AJ39">
            <v>5.1621595880217406</v>
          </cell>
          <cell r="AK39">
            <v>62.269739588021736</v>
          </cell>
          <cell r="AL39" t="str">
            <v>1/13  Comb</v>
          </cell>
          <cell r="AM39">
            <v>0</v>
          </cell>
          <cell r="AN39" t="str">
            <v>2/30  KC</v>
          </cell>
          <cell r="AO39" t="str">
            <v xml:space="preserve">1/16OE  </v>
          </cell>
          <cell r="AP39" t="str">
            <v>2/20  Gas Mer</v>
          </cell>
          <cell r="AQ39">
            <v>0</v>
          </cell>
          <cell r="AR39">
            <v>0</v>
          </cell>
          <cell r="AS39">
            <v>96.5</v>
          </cell>
          <cell r="AT39">
            <v>0</v>
          </cell>
          <cell r="AU39">
            <v>118.5</v>
          </cell>
          <cell r="AV39">
            <v>77.75</v>
          </cell>
          <cell r="AW39">
            <v>174</v>
          </cell>
          <cell r="AX39">
            <v>0</v>
          </cell>
          <cell r="AY39">
            <v>0</v>
          </cell>
          <cell r="AZ39">
            <v>3.5473399999999997</v>
          </cell>
          <cell r="BA39">
            <v>1.001325</v>
          </cell>
          <cell r="BB39">
            <v>0.69461849999999992</v>
          </cell>
          <cell r="BC39">
            <v>1.2635879999999999</v>
          </cell>
          <cell r="BD39">
            <v>0</v>
          </cell>
          <cell r="BE39">
            <v>1.5166392218045111E-2</v>
          </cell>
          <cell r="BF39">
            <v>0</v>
          </cell>
          <cell r="BI39">
            <v>0</v>
          </cell>
          <cell r="BJ39">
            <v>9.2153154746192886E-2</v>
          </cell>
          <cell r="BK39">
            <v>6.1125156515151512E-2</v>
          </cell>
          <cell r="BL39">
            <v>0.1684447034793895</v>
          </cell>
          <cell r="BM39">
            <v>-3.5781691729323303E-3</v>
          </cell>
          <cell r="BN39">
            <v>0</v>
          </cell>
          <cell r="BO39">
            <v>0</v>
          </cell>
          <cell r="BP39">
            <v>0</v>
          </cell>
          <cell r="BQ39">
            <v>0</v>
          </cell>
          <cell r="BR39">
            <v>-2.1741464467005072E-2</v>
          </cell>
          <cell r="BS39">
            <v>0</v>
          </cell>
          <cell r="BT39">
            <v>-2.5319633639937403E-2</v>
          </cell>
          <cell r="BU39">
            <v>108.70788202259371</v>
          </cell>
          <cell r="BV39">
            <v>-0.35406091370558374</v>
          </cell>
          <cell r="BW39">
            <v>108.35382110888813</v>
          </cell>
          <cell r="BX39">
            <v>116.89019572321904</v>
          </cell>
          <cell r="BY39">
            <v>-0.38071065989847713</v>
          </cell>
          <cell r="BZ39">
            <v>116.50948506332055</v>
          </cell>
          <cell r="CA39">
            <v>116.89019572321904</v>
          </cell>
          <cell r="CB39">
            <v>-0.44336730150248715</v>
          </cell>
          <cell r="CC39">
            <v>116.44682842171655</v>
          </cell>
          <cell r="CD39">
            <v>0.51463999999999988</v>
          </cell>
          <cell r="CE39">
            <v>200</v>
          </cell>
          <cell r="CF39">
            <v>1.802352682428497</v>
          </cell>
          <cell r="CG39">
            <v>0.21124999999999999</v>
          </cell>
          <cell r="CH39">
            <v>140</v>
          </cell>
          <cell r="CI39">
            <v>0.51788221458517425</v>
          </cell>
          <cell r="CJ39">
            <v>2.3202348970136715</v>
          </cell>
          <cell r="CK39">
            <v>0.5793276479234456</v>
          </cell>
          <cell r="CL39">
            <v>0.13316971232190192</v>
          </cell>
          <cell r="CM39">
            <v>2.903225806451613</v>
          </cell>
          <cell r="CN39">
            <v>3.6157231666969603</v>
          </cell>
          <cell r="CO39">
            <v>1.2037141129076038E-2</v>
          </cell>
          <cell r="CP39">
            <v>1.2795698924731185</v>
          </cell>
          <cell r="CQ39">
            <v>1.2916070336021945</v>
          </cell>
          <cell r="CR39">
            <v>4.22</v>
          </cell>
          <cell r="CS39">
            <v>9.7200000000000006</v>
          </cell>
          <cell r="CT39">
            <v>47.86</v>
          </cell>
          <cell r="CU39">
            <v>0</v>
          </cell>
          <cell r="CV39">
            <v>185.47439351902938</v>
          </cell>
        </row>
        <row r="40">
          <cell r="K40" t="str">
            <v>ExportMill WorkingCannon MilestoneUSAWash33x33D</v>
          </cell>
          <cell r="L40">
            <v>0</v>
          </cell>
          <cell r="M40">
            <v>36.76</v>
          </cell>
          <cell r="N40">
            <v>0</v>
          </cell>
          <cell r="O40">
            <v>8.4499999999999993</v>
          </cell>
          <cell r="P40">
            <v>8.9339999999999993</v>
          </cell>
          <cell r="Q40">
            <v>7.2619999999999996</v>
          </cell>
          <cell r="R40">
            <v>0</v>
          </cell>
          <cell r="S40">
            <v>0</v>
          </cell>
          <cell r="T40">
            <v>61.405999999999992</v>
          </cell>
          <cell r="U40">
            <v>57.107579999999992</v>
          </cell>
          <cell r="V40">
            <v>2.5000000000000001E-3</v>
          </cell>
          <cell r="W40">
            <v>0</v>
          </cell>
          <cell r="X40">
            <v>-1.3999999999999999E-2</v>
          </cell>
          <cell r="Y40">
            <v>-2.5000000000000001E-2</v>
          </cell>
          <cell r="Z40">
            <v>7.0000000000000062E-2</v>
          </cell>
          <cell r="AA40">
            <v>1.4999999999999999E-2</v>
          </cell>
          <cell r="AB40">
            <v>0.01</v>
          </cell>
          <cell r="AC40">
            <v>0.1431267669172932</v>
          </cell>
          <cell r="AD40">
            <v>0</v>
          </cell>
          <cell r="AE40">
            <v>-0.51463999999999988</v>
          </cell>
          <cell r="AF40">
            <v>-0.21124999999999999</v>
          </cell>
          <cell r="AG40">
            <v>4.2984200000000028</v>
          </cell>
          <cell r="AH40">
            <v>0.86965857868020291</v>
          </cell>
          <cell r="AI40">
            <v>0.57684424242424237</v>
          </cell>
          <cell r="AJ40">
            <v>5.1621595880217406</v>
          </cell>
          <cell r="AK40">
            <v>62.269739588021736</v>
          </cell>
          <cell r="AL40" t="str">
            <v>1/13  Comb</v>
          </cell>
          <cell r="AM40">
            <v>0</v>
          </cell>
          <cell r="AN40" t="str">
            <v>2/30  KC</v>
          </cell>
          <cell r="AO40" t="str">
            <v xml:space="preserve">1/16OE  </v>
          </cell>
          <cell r="AP40" t="str">
            <v>2/20  Gas Mer</v>
          </cell>
          <cell r="AQ40">
            <v>0</v>
          </cell>
          <cell r="AR40">
            <v>0</v>
          </cell>
          <cell r="AS40">
            <v>96.5</v>
          </cell>
          <cell r="AT40">
            <v>0</v>
          </cell>
          <cell r="AU40">
            <v>118.5</v>
          </cell>
          <cell r="AV40">
            <v>77.75</v>
          </cell>
          <cell r="AW40">
            <v>174</v>
          </cell>
          <cell r="AX40">
            <v>0</v>
          </cell>
          <cell r="AY40">
            <v>0</v>
          </cell>
          <cell r="AZ40">
            <v>3.5473399999999997</v>
          </cell>
          <cell r="BA40">
            <v>1.001325</v>
          </cell>
          <cell r="BB40">
            <v>0.69461849999999992</v>
          </cell>
          <cell r="BC40">
            <v>1.2635879999999999</v>
          </cell>
          <cell r="BD40">
            <v>0</v>
          </cell>
          <cell r="BE40">
            <v>1.5166392218045111E-2</v>
          </cell>
          <cell r="BF40">
            <v>0</v>
          </cell>
          <cell r="BI40">
            <v>0</v>
          </cell>
          <cell r="BJ40">
            <v>9.2153154746192886E-2</v>
          </cell>
          <cell r="BK40">
            <v>6.1125156515151512E-2</v>
          </cell>
          <cell r="BL40">
            <v>0.1684447034793895</v>
          </cell>
          <cell r="BM40">
            <v>-3.5781691729323303E-3</v>
          </cell>
          <cell r="BN40">
            <v>0</v>
          </cell>
          <cell r="BO40">
            <v>0</v>
          </cell>
          <cell r="BP40">
            <v>0</v>
          </cell>
          <cell r="BQ40">
            <v>0</v>
          </cell>
          <cell r="BR40">
            <v>-2.1741464467005072E-2</v>
          </cell>
          <cell r="BS40">
            <v>0</v>
          </cell>
          <cell r="BT40">
            <v>-2.5319633639937403E-2</v>
          </cell>
          <cell r="BU40">
            <v>108.70788202259371</v>
          </cell>
          <cell r="BV40">
            <v>-0.35406091370558374</v>
          </cell>
          <cell r="BW40">
            <v>108.35382110888813</v>
          </cell>
          <cell r="BX40">
            <v>116.89019572321904</v>
          </cell>
          <cell r="BY40">
            <v>-0.38071065989847713</v>
          </cell>
          <cell r="BZ40">
            <v>116.50948506332055</v>
          </cell>
          <cell r="CA40">
            <v>116.89019572321904</v>
          </cell>
          <cell r="CB40">
            <v>-0.44336730150248715</v>
          </cell>
          <cell r="CC40">
            <v>116.44682842171655</v>
          </cell>
          <cell r="CD40">
            <v>0.51463999999999988</v>
          </cell>
          <cell r="CE40">
            <v>200</v>
          </cell>
          <cell r="CF40">
            <v>1.802352682428497</v>
          </cell>
          <cell r="CG40">
            <v>0.21124999999999999</v>
          </cell>
          <cell r="CH40">
            <v>140</v>
          </cell>
          <cell r="CI40">
            <v>0.51788221458517425</v>
          </cell>
          <cell r="CJ40">
            <v>2.3202348970136715</v>
          </cell>
          <cell r="CK40">
            <v>0.5793276479234456</v>
          </cell>
          <cell r="CL40">
            <v>0.13316971232190192</v>
          </cell>
          <cell r="CM40">
            <v>2.903225806451613</v>
          </cell>
          <cell r="CN40">
            <v>3.6157231666969603</v>
          </cell>
          <cell r="CO40">
            <v>1.2037141129076038E-2</v>
          </cell>
          <cell r="CP40">
            <v>1.2795698924731185</v>
          </cell>
          <cell r="CQ40">
            <v>1.2916070336021945</v>
          </cell>
          <cell r="CR40">
            <v>14.66</v>
          </cell>
          <cell r="CS40">
            <v>9.98</v>
          </cell>
          <cell r="CT40">
            <v>47.86</v>
          </cell>
          <cell r="CU40">
            <v>0</v>
          </cell>
          <cell r="CV40">
            <v>196.17439351902937</v>
          </cell>
        </row>
        <row r="41">
          <cell r="K41" t="str">
            <v>ExportWelspun USAEsplamaUSABath76x137L</v>
          </cell>
          <cell r="L41">
            <v>0</v>
          </cell>
          <cell r="M41">
            <v>621.65</v>
          </cell>
          <cell r="N41">
            <v>0</v>
          </cell>
          <cell r="O41">
            <v>70.790000000000006</v>
          </cell>
          <cell r="P41">
            <v>82.85</v>
          </cell>
          <cell r="Q41">
            <v>28.8</v>
          </cell>
          <cell r="R41">
            <v>0</v>
          </cell>
          <cell r="S41">
            <v>0</v>
          </cell>
          <cell r="T41">
            <v>804.08999999999992</v>
          </cell>
          <cell r="U41">
            <v>755.8445999999999</v>
          </cell>
          <cell r="V41">
            <v>2.5000000000000001E-3</v>
          </cell>
          <cell r="W41">
            <v>0</v>
          </cell>
          <cell r="X41">
            <v>0</v>
          </cell>
          <cell r="Y41">
            <v>-2.5000000000000001E-2</v>
          </cell>
          <cell r="Z41">
            <v>6.0000000000000053E-2</v>
          </cell>
          <cell r="AA41">
            <v>1.4999999999999999E-2</v>
          </cell>
          <cell r="AB41">
            <v>0.01</v>
          </cell>
          <cell r="AC41">
            <v>1.8943473684210523</v>
          </cell>
          <cell r="AD41">
            <v>0</v>
          </cell>
          <cell r="AE41">
            <v>0</v>
          </cell>
          <cell r="AF41">
            <v>-1.7697500000000002</v>
          </cell>
          <cell r="AG41">
            <v>48.245400000000039</v>
          </cell>
          <cell r="AH41">
            <v>11.510323857868018</v>
          </cell>
          <cell r="AI41">
            <v>7.6347939393939388</v>
          </cell>
          <cell r="AJ41">
            <v>67.515115165683042</v>
          </cell>
          <cell r="AK41">
            <v>823.35971516568293</v>
          </cell>
          <cell r="AL41" t="str">
            <v>2/20  Comb</v>
          </cell>
          <cell r="AM41">
            <v>0</v>
          </cell>
          <cell r="AN41" t="str">
            <v>2/30  KC</v>
          </cell>
          <cell r="AO41" t="str">
            <v xml:space="preserve">1/16OE  </v>
          </cell>
          <cell r="AP41" t="str">
            <v>2/20  Gas Mer</v>
          </cell>
          <cell r="AQ41">
            <v>0</v>
          </cell>
          <cell r="AR41">
            <v>0</v>
          </cell>
          <cell r="AS41">
            <v>116.5</v>
          </cell>
          <cell r="AT41">
            <v>0</v>
          </cell>
          <cell r="AU41">
            <v>118.5</v>
          </cell>
          <cell r="AV41">
            <v>77.75</v>
          </cell>
          <cell r="AW41">
            <v>174</v>
          </cell>
          <cell r="AX41">
            <v>0</v>
          </cell>
          <cell r="AY41">
            <v>0</v>
          </cell>
          <cell r="AZ41">
            <v>72.422224999999997</v>
          </cell>
          <cell r="BA41">
            <v>8.3886150000000015</v>
          </cell>
          <cell r="BB41">
            <v>6.4415874999999998</v>
          </cell>
          <cell r="BC41">
            <v>5.0111999999999997</v>
          </cell>
          <cell r="BD41">
            <v>0</v>
          </cell>
          <cell r="BE41">
            <v>0.21736293195488721</v>
          </cell>
          <cell r="BF41">
            <v>0</v>
          </cell>
          <cell r="BI41">
            <v>0</v>
          </cell>
          <cell r="BJ41">
            <v>1.3207280687817258</v>
          </cell>
          <cell r="BK41">
            <v>0.87603848333333334</v>
          </cell>
          <cell r="BL41">
            <v>2.4141294840699463</v>
          </cell>
          <cell r="BM41">
            <v>-4.7358684210526303E-2</v>
          </cell>
          <cell r="BN41">
            <v>0</v>
          </cell>
          <cell r="BO41">
            <v>0</v>
          </cell>
          <cell r="BP41">
            <v>0</v>
          </cell>
          <cell r="BQ41">
            <v>0</v>
          </cell>
          <cell r="BR41">
            <v>-0.28775809644670047</v>
          </cell>
          <cell r="BS41">
            <v>0</v>
          </cell>
          <cell r="BT41">
            <v>-0.33511678065722678</v>
          </cell>
          <cell r="BU41">
            <v>117.74522377354519</v>
          </cell>
          <cell r="BV41">
            <v>-0.35786802030456855</v>
          </cell>
          <cell r="BW41">
            <v>117.38735575324063</v>
          </cell>
          <cell r="BX41">
            <v>125.26087635483532</v>
          </cell>
          <cell r="BY41">
            <v>-0.38071065989847713</v>
          </cell>
          <cell r="BZ41">
            <v>124.88016569493684</v>
          </cell>
          <cell r="CA41">
            <v>125.26087635483532</v>
          </cell>
          <cell r="CB41">
            <v>-0.44336730150248715</v>
          </cell>
          <cell r="CC41">
            <v>124.81750905333283</v>
          </cell>
          <cell r="CD41">
            <v>0</v>
          </cell>
          <cell r="CE41">
            <v>200</v>
          </cell>
          <cell r="CF41">
            <v>0</v>
          </cell>
          <cell r="CG41">
            <v>1.7697500000000002</v>
          </cell>
          <cell r="CH41">
            <v>140</v>
          </cell>
          <cell r="CI41">
            <v>0.32779886235874417</v>
          </cell>
          <cell r="CJ41">
            <v>0.32779886235874417</v>
          </cell>
          <cell r="CK41">
            <v>0.74021167843231261</v>
          </cell>
          <cell r="CL41">
            <v>8.4291136035105643E-2</v>
          </cell>
          <cell r="CM41">
            <v>2.8723404255319149</v>
          </cell>
          <cell r="CN41">
            <v>3.6968432399993332</v>
          </cell>
          <cell r="CO41">
            <v>1.5379953762982498E-2</v>
          </cell>
          <cell r="CP41">
            <v>1.2659574468085109</v>
          </cell>
          <cell r="CQ41">
            <v>1.2813374005714933</v>
          </cell>
          <cell r="CR41">
            <v>1.21</v>
          </cell>
          <cell r="CS41">
            <v>9.81</v>
          </cell>
          <cell r="CT41">
            <v>4.83</v>
          </cell>
          <cell r="CU41">
            <v>0</v>
          </cell>
          <cell r="CV41">
            <v>145.9734885562624</v>
          </cell>
        </row>
        <row r="42">
          <cell r="K42" t="str">
            <v>ExportWelspun USAEsplamaUSABath76x137M</v>
          </cell>
          <cell r="L42">
            <v>0</v>
          </cell>
          <cell r="M42">
            <v>621.65</v>
          </cell>
          <cell r="N42">
            <v>0</v>
          </cell>
          <cell r="O42">
            <v>70.790000000000006</v>
          </cell>
          <cell r="P42">
            <v>82.85</v>
          </cell>
          <cell r="Q42">
            <v>28.8</v>
          </cell>
          <cell r="R42">
            <v>0</v>
          </cell>
          <cell r="S42">
            <v>0</v>
          </cell>
          <cell r="T42">
            <v>804.08999999999992</v>
          </cell>
          <cell r="U42">
            <v>755.8445999999999</v>
          </cell>
          <cell r="V42">
            <v>2.5000000000000001E-3</v>
          </cell>
          <cell r="W42">
            <v>0</v>
          </cell>
          <cell r="X42">
            <v>0</v>
          </cell>
          <cell r="Y42">
            <v>-2.5000000000000001E-2</v>
          </cell>
          <cell r="Z42">
            <v>6.0000000000000053E-2</v>
          </cell>
          <cell r="AA42">
            <v>1.4999999999999999E-2</v>
          </cell>
          <cell r="AB42">
            <v>0.01</v>
          </cell>
          <cell r="AC42">
            <v>1.8943473684210523</v>
          </cell>
          <cell r="AD42">
            <v>0</v>
          </cell>
          <cell r="AE42">
            <v>0</v>
          </cell>
          <cell r="AF42">
            <v>-1.7697500000000002</v>
          </cell>
          <cell r="AG42">
            <v>48.245400000000039</v>
          </cell>
          <cell r="AH42">
            <v>11.510323857868018</v>
          </cell>
          <cell r="AI42">
            <v>7.6347939393939388</v>
          </cell>
          <cell r="AJ42">
            <v>67.515115165683042</v>
          </cell>
          <cell r="AK42">
            <v>823.35971516568293</v>
          </cell>
          <cell r="AL42" t="str">
            <v>2/20  Comb</v>
          </cell>
          <cell r="AM42">
            <v>0</v>
          </cell>
          <cell r="AN42" t="str">
            <v>2/30  KC</v>
          </cell>
          <cell r="AO42" t="str">
            <v xml:space="preserve">1/16OE  </v>
          </cell>
          <cell r="AP42" t="str">
            <v>2/20  Gas Mer</v>
          </cell>
          <cell r="AQ42">
            <v>0</v>
          </cell>
          <cell r="AR42">
            <v>0</v>
          </cell>
          <cell r="AS42">
            <v>116.5</v>
          </cell>
          <cell r="AT42">
            <v>0</v>
          </cell>
          <cell r="AU42">
            <v>118.5</v>
          </cell>
          <cell r="AV42">
            <v>77.75</v>
          </cell>
          <cell r="AW42">
            <v>174</v>
          </cell>
          <cell r="AX42">
            <v>0</v>
          </cell>
          <cell r="AY42">
            <v>0</v>
          </cell>
          <cell r="AZ42">
            <v>72.422224999999997</v>
          </cell>
          <cell r="BA42">
            <v>8.3886150000000015</v>
          </cell>
          <cell r="BB42">
            <v>6.4415874999999998</v>
          </cell>
          <cell r="BC42">
            <v>5.0111999999999997</v>
          </cell>
          <cell r="BD42">
            <v>0</v>
          </cell>
          <cell r="BE42">
            <v>0.21736293195488721</v>
          </cell>
          <cell r="BF42">
            <v>0</v>
          </cell>
          <cell r="BI42">
            <v>0</v>
          </cell>
          <cell r="BJ42">
            <v>1.3207280687817258</v>
          </cell>
          <cell r="BK42">
            <v>0.87603848333333334</v>
          </cell>
          <cell r="BL42">
            <v>2.4141294840699463</v>
          </cell>
          <cell r="BM42">
            <v>-4.7358684210526303E-2</v>
          </cell>
          <cell r="BN42">
            <v>0</v>
          </cell>
          <cell r="BO42">
            <v>0</v>
          </cell>
          <cell r="BP42">
            <v>0</v>
          </cell>
          <cell r="BQ42">
            <v>0</v>
          </cell>
          <cell r="BR42">
            <v>-0.28775809644670047</v>
          </cell>
          <cell r="BS42">
            <v>0</v>
          </cell>
          <cell r="BT42">
            <v>-0.33511678065722678</v>
          </cell>
          <cell r="BU42">
            <v>117.74522377354519</v>
          </cell>
          <cell r="BV42">
            <v>-0.35786802030456855</v>
          </cell>
          <cell r="BW42">
            <v>117.38735575324063</v>
          </cell>
          <cell r="BX42">
            <v>125.26087635483532</v>
          </cell>
          <cell r="BY42">
            <v>-0.38071065989847713</v>
          </cell>
          <cell r="BZ42">
            <v>124.88016569493684</v>
          </cell>
          <cell r="CA42">
            <v>125.26087635483532</v>
          </cell>
          <cell r="CB42">
            <v>-0.44336730150248715</v>
          </cell>
          <cell r="CC42">
            <v>124.81750905333283</v>
          </cell>
          <cell r="CD42">
            <v>0</v>
          </cell>
          <cell r="CE42">
            <v>200</v>
          </cell>
          <cell r="CF42">
            <v>0</v>
          </cell>
          <cell r="CG42">
            <v>1.7697500000000002</v>
          </cell>
          <cell r="CH42">
            <v>140</v>
          </cell>
          <cell r="CI42">
            <v>0.32779886235874417</v>
          </cell>
          <cell r="CJ42">
            <v>0.32779886235874417</v>
          </cell>
          <cell r="CK42">
            <v>0.74021167843231261</v>
          </cell>
          <cell r="CL42">
            <v>8.4291136035105643E-2</v>
          </cell>
          <cell r="CM42">
            <v>2.8723404255319149</v>
          </cell>
          <cell r="CN42">
            <v>3.6968432399993332</v>
          </cell>
          <cell r="CO42">
            <v>1.5379953762982498E-2</v>
          </cell>
          <cell r="CP42">
            <v>1.2659574468085109</v>
          </cell>
          <cell r="CQ42">
            <v>1.2813374005714933</v>
          </cell>
          <cell r="CR42">
            <v>4.22</v>
          </cell>
          <cell r="CS42">
            <v>9.7200000000000006</v>
          </cell>
          <cell r="CT42">
            <v>4.83</v>
          </cell>
          <cell r="CU42">
            <v>0</v>
          </cell>
          <cell r="CV42">
            <v>148.89348855626241</v>
          </cell>
        </row>
        <row r="43">
          <cell r="K43" t="str">
            <v>ExportWelspun USAEsplamaUSABath76x137D</v>
          </cell>
          <cell r="L43">
            <v>0</v>
          </cell>
          <cell r="M43">
            <v>621.65</v>
          </cell>
          <cell r="N43">
            <v>0</v>
          </cell>
          <cell r="O43">
            <v>70.790000000000006</v>
          </cell>
          <cell r="P43">
            <v>82.85</v>
          </cell>
          <cell r="Q43">
            <v>28.8</v>
          </cell>
          <cell r="R43">
            <v>0</v>
          </cell>
          <cell r="S43">
            <v>0</v>
          </cell>
          <cell r="T43">
            <v>804.08999999999992</v>
          </cell>
          <cell r="U43">
            <v>755.8445999999999</v>
          </cell>
          <cell r="V43">
            <v>2.5000000000000001E-3</v>
          </cell>
          <cell r="W43">
            <v>0</v>
          </cell>
          <cell r="X43">
            <v>0</v>
          </cell>
          <cell r="Y43">
            <v>-2.5000000000000001E-2</v>
          </cell>
          <cell r="Z43">
            <v>6.0000000000000053E-2</v>
          </cell>
          <cell r="AA43">
            <v>1.4999999999999999E-2</v>
          </cell>
          <cell r="AB43">
            <v>0.01</v>
          </cell>
          <cell r="AC43">
            <v>1.8943473684210523</v>
          </cell>
          <cell r="AD43">
            <v>0</v>
          </cell>
          <cell r="AE43">
            <v>0</v>
          </cell>
          <cell r="AF43">
            <v>-1.7697500000000002</v>
          </cell>
          <cell r="AG43">
            <v>48.245400000000039</v>
          </cell>
          <cell r="AH43">
            <v>11.510323857868018</v>
          </cell>
          <cell r="AI43">
            <v>7.6347939393939388</v>
          </cell>
          <cell r="AJ43">
            <v>67.515115165683042</v>
          </cell>
          <cell r="AK43">
            <v>823.35971516568293</v>
          </cell>
          <cell r="AL43" t="str">
            <v>2/20  Comb</v>
          </cell>
          <cell r="AM43">
            <v>0</v>
          </cell>
          <cell r="AN43" t="str">
            <v>2/30  KC</v>
          </cell>
          <cell r="AO43" t="str">
            <v xml:space="preserve">1/16OE  </v>
          </cell>
          <cell r="AP43" t="str">
            <v>2/20  Gas Mer</v>
          </cell>
          <cell r="AQ43">
            <v>0</v>
          </cell>
          <cell r="AR43">
            <v>0</v>
          </cell>
          <cell r="AS43">
            <v>116.5</v>
          </cell>
          <cell r="AT43">
            <v>0</v>
          </cell>
          <cell r="AU43">
            <v>118.5</v>
          </cell>
          <cell r="AV43">
            <v>77.75</v>
          </cell>
          <cell r="AW43">
            <v>174</v>
          </cell>
          <cell r="AX43">
            <v>0</v>
          </cell>
          <cell r="AY43">
            <v>0</v>
          </cell>
          <cell r="AZ43">
            <v>72.422224999999997</v>
          </cell>
          <cell r="BA43">
            <v>8.3886150000000015</v>
          </cell>
          <cell r="BB43">
            <v>6.4415874999999998</v>
          </cell>
          <cell r="BC43">
            <v>5.0111999999999997</v>
          </cell>
          <cell r="BD43">
            <v>0</v>
          </cell>
          <cell r="BE43">
            <v>0.21736293195488721</v>
          </cell>
          <cell r="BF43">
            <v>0</v>
          </cell>
          <cell r="BI43">
            <v>0</v>
          </cell>
          <cell r="BJ43">
            <v>1.3207280687817258</v>
          </cell>
          <cell r="BK43">
            <v>0.87603848333333334</v>
          </cell>
          <cell r="BL43">
            <v>2.4141294840699463</v>
          </cell>
          <cell r="BM43">
            <v>-4.7358684210526303E-2</v>
          </cell>
          <cell r="BN43">
            <v>0</v>
          </cell>
          <cell r="BO43">
            <v>0</v>
          </cell>
          <cell r="BP43">
            <v>0</v>
          </cell>
          <cell r="BQ43">
            <v>0</v>
          </cell>
          <cell r="BR43">
            <v>-0.28775809644670047</v>
          </cell>
          <cell r="BS43">
            <v>0</v>
          </cell>
          <cell r="BT43">
            <v>-0.33511678065722678</v>
          </cell>
          <cell r="BU43">
            <v>117.74522377354519</v>
          </cell>
          <cell r="BV43">
            <v>-0.35786802030456855</v>
          </cell>
          <cell r="BW43">
            <v>117.38735575324063</v>
          </cell>
          <cell r="BX43">
            <v>125.26087635483532</v>
          </cell>
          <cell r="BY43">
            <v>-0.38071065989847713</v>
          </cell>
          <cell r="BZ43">
            <v>124.88016569493684</v>
          </cell>
          <cell r="CA43">
            <v>125.26087635483532</v>
          </cell>
          <cell r="CB43">
            <v>-0.44336730150248715</v>
          </cell>
          <cell r="CC43">
            <v>124.81750905333283</v>
          </cell>
          <cell r="CD43">
            <v>0</v>
          </cell>
          <cell r="CE43">
            <v>200</v>
          </cell>
          <cell r="CF43">
            <v>0</v>
          </cell>
          <cell r="CG43">
            <v>1.7697500000000002</v>
          </cell>
          <cell r="CH43">
            <v>140</v>
          </cell>
          <cell r="CI43">
            <v>0.32779886235874417</v>
          </cell>
          <cell r="CJ43">
            <v>0.32779886235874417</v>
          </cell>
          <cell r="CK43">
            <v>0.74021167843231261</v>
          </cell>
          <cell r="CL43">
            <v>8.4291136035105643E-2</v>
          </cell>
          <cell r="CM43">
            <v>2.8723404255319149</v>
          </cell>
          <cell r="CN43">
            <v>3.6968432399993332</v>
          </cell>
          <cell r="CO43">
            <v>1.5379953762982498E-2</v>
          </cell>
          <cell r="CP43">
            <v>1.2659574468085109</v>
          </cell>
          <cell r="CQ43">
            <v>1.2813374005714933</v>
          </cell>
          <cell r="CR43">
            <v>14.66</v>
          </cell>
          <cell r="CS43">
            <v>9.98</v>
          </cell>
          <cell r="CT43">
            <v>4.83</v>
          </cell>
          <cell r="CU43">
            <v>0</v>
          </cell>
          <cell r="CV43">
            <v>159.5934885562624</v>
          </cell>
        </row>
        <row r="44">
          <cell r="K44" t="str">
            <v>ExportWelspun USAEsplamaUSAHand41x71L</v>
          </cell>
          <cell r="L44">
            <v>0</v>
          </cell>
          <cell r="M44">
            <v>161.93</v>
          </cell>
          <cell r="N44">
            <v>0</v>
          </cell>
          <cell r="O44">
            <v>21.1</v>
          </cell>
          <cell r="P44">
            <v>25.036999999999999</v>
          </cell>
          <cell r="Q44">
            <v>13.23</v>
          </cell>
          <cell r="R44">
            <v>0</v>
          </cell>
          <cell r="S44">
            <v>0</v>
          </cell>
          <cell r="T44">
            <v>221.297</v>
          </cell>
          <cell r="U44">
            <v>210.23214999999999</v>
          </cell>
          <cell r="V44">
            <v>2.5000000000000001E-3</v>
          </cell>
          <cell r="W44">
            <v>0</v>
          </cell>
          <cell r="X44">
            <v>0</v>
          </cell>
          <cell r="Y44">
            <v>-2.5000000000000001E-2</v>
          </cell>
          <cell r="Z44">
            <v>5.0000000000000044E-2</v>
          </cell>
          <cell r="AA44">
            <v>1.4999999999999999E-2</v>
          </cell>
          <cell r="AB44">
            <v>0.01</v>
          </cell>
          <cell r="AC44">
            <v>0.526897619047619</v>
          </cell>
          <cell r="AD44">
            <v>0</v>
          </cell>
          <cell r="AE44">
            <v>0</v>
          </cell>
          <cell r="AF44">
            <v>-0.52750000000000008</v>
          </cell>
          <cell r="AG44">
            <v>11.064850000000011</v>
          </cell>
          <cell r="AH44">
            <v>3.2015048223350253</v>
          </cell>
          <cell r="AI44">
            <v>2.1235570707070708</v>
          </cell>
          <cell r="AJ44">
            <v>16.389309512089724</v>
          </cell>
          <cell r="AK44">
            <v>226.6214595120897</v>
          </cell>
          <cell r="AL44" t="str">
            <v>2/20  Comb</v>
          </cell>
          <cell r="AM44">
            <v>0</v>
          </cell>
          <cell r="AN44" t="str">
            <v>2/30  KC</v>
          </cell>
          <cell r="AO44" t="str">
            <v xml:space="preserve">1/16OE  </v>
          </cell>
          <cell r="AP44" t="str">
            <v>2/20  Gas Mer</v>
          </cell>
          <cell r="AQ44">
            <v>0</v>
          </cell>
          <cell r="AR44">
            <v>0</v>
          </cell>
          <cell r="AS44">
            <v>116.5</v>
          </cell>
          <cell r="AT44">
            <v>0</v>
          </cell>
          <cell r="AU44">
            <v>118.5</v>
          </cell>
          <cell r="AV44">
            <v>77.75</v>
          </cell>
          <cell r="AW44">
            <v>174</v>
          </cell>
          <cell r="AX44">
            <v>0</v>
          </cell>
          <cell r="AY44">
            <v>0</v>
          </cell>
          <cell r="AZ44">
            <v>18.864845000000003</v>
          </cell>
          <cell r="BA44">
            <v>2.5003500000000005</v>
          </cell>
          <cell r="BB44">
            <v>1.9466267499999999</v>
          </cell>
          <cell r="BC44">
            <v>2.3020200000000002</v>
          </cell>
          <cell r="BD44">
            <v>0</v>
          </cell>
          <cell r="BE44">
            <v>6.09853375E-2</v>
          </cell>
          <cell r="BF44">
            <v>0</v>
          </cell>
          <cell r="BI44">
            <v>0</v>
          </cell>
          <cell r="BJ44">
            <v>0.37055557861675131</v>
          </cell>
          <cell r="BK44">
            <v>0.24578939053030308</v>
          </cell>
          <cell r="BL44">
            <v>0.6773303066470544</v>
          </cell>
          <cell r="BM44">
            <v>-1.3172440476190475E-2</v>
          </cell>
          <cell r="BN44">
            <v>0</v>
          </cell>
          <cell r="BO44">
            <v>0</v>
          </cell>
          <cell r="BP44">
            <v>0</v>
          </cell>
          <cell r="BQ44">
            <v>0</v>
          </cell>
          <cell r="BR44">
            <v>-8.0037620558375641E-2</v>
          </cell>
          <cell r="BS44">
            <v>0</v>
          </cell>
          <cell r="BT44">
            <v>-9.3210061034566111E-2</v>
          </cell>
          <cell r="BU44">
            <v>118.80491853322484</v>
          </cell>
          <cell r="BV44">
            <v>-0.3616751269035533</v>
          </cell>
          <cell r="BW44">
            <v>118.44324340632129</v>
          </cell>
          <cell r="BX44">
            <v>125.05780898234195</v>
          </cell>
          <cell r="BY44">
            <v>-0.38071065989847719</v>
          </cell>
          <cell r="BZ44">
            <v>124.67709832244347</v>
          </cell>
          <cell r="CA44">
            <v>125.05780898234195</v>
          </cell>
          <cell r="CB44">
            <v>-0.44336730150248721</v>
          </cell>
          <cell r="CC44">
            <v>124.61444168083946</v>
          </cell>
          <cell r="CD44">
            <v>0</v>
          </cell>
          <cell r="CE44">
            <v>200</v>
          </cell>
          <cell r="CF44">
            <v>0</v>
          </cell>
          <cell r="CG44">
            <v>0.52750000000000008</v>
          </cell>
          <cell r="CH44">
            <v>140</v>
          </cell>
          <cell r="CI44">
            <v>0.35127833682907211</v>
          </cell>
          <cell r="CJ44">
            <v>0.35127833682907211</v>
          </cell>
          <cell r="CK44">
            <v>0.69321937676991841</v>
          </cell>
          <cell r="CL44">
            <v>9.0328715184618519E-2</v>
          </cell>
          <cell r="CM44">
            <v>2.8421052631578947</v>
          </cell>
          <cell r="CN44">
            <v>3.6256533551124317</v>
          </cell>
          <cell r="CO44">
            <v>1.4403558161774974E-2</v>
          </cell>
          <cell r="CP44">
            <v>1.2526315789473685</v>
          </cell>
          <cell r="CQ44">
            <v>1.2670351371091435</v>
          </cell>
          <cell r="CR44">
            <v>1.21</v>
          </cell>
          <cell r="CS44">
            <v>9.81</v>
          </cell>
          <cell r="CT44">
            <v>10.32</v>
          </cell>
          <cell r="CU44">
            <v>0</v>
          </cell>
          <cell r="CV44">
            <v>151.1984085098901</v>
          </cell>
        </row>
        <row r="45">
          <cell r="K45" t="str">
            <v>ExportWelspun USAEsplamaUSAHand41x71M</v>
          </cell>
          <cell r="L45">
            <v>0</v>
          </cell>
          <cell r="M45">
            <v>161.93</v>
          </cell>
          <cell r="N45">
            <v>0</v>
          </cell>
          <cell r="O45">
            <v>21.1</v>
          </cell>
          <cell r="P45">
            <v>25.036999999999999</v>
          </cell>
          <cell r="Q45">
            <v>13.23</v>
          </cell>
          <cell r="R45">
            <v>0</v>
          </cell>
          <cell r="S45">
            <v>0</v>
          </cell>
          <cell r="T45">
            <v>221.297</v>
          </cell>
          <cell r="U45">
            <v>210.23214999999999</v>
          </cell>
          <cell r="V45">
            <v>2.5000000000000001E-3</v>
          </cell>
          <cell r="W45">
            <v>0</v>
          </cell>
          <cell r="X45">
            <v>0</v>
          </cell>
          <cell r="Y45">
            <v>-2.5000000000000001E-2</v>
          </cell>
          <cell r="Z45">
            <v>5.0000000000000044E-2</v>
          </cell>
          <cell r="AA45">
            <v>1.4999999999999999E-2</v>
          </cell>
          <cell r="AB45">
            <v>0.01</v>
          </cell>
          <cell r="AC45">
            <v>0.526897619047619</v>
          </cell>
          <cell r="AD45">
            <v>0</v>
          </cell>
          <cell r="AE45">
            <v>0</v>
          </cell>
          <cell r="AF45">
            <v>-0.52750000000000008</v>
          </cell>
          <cell r="AG45">
            <v>11.064850000000011</v>
          </cell>
          <cell r="AH45">
            <v>3.2015048223350253</v>
          </cell>
          <cell r="AI45">
            <v>2.1235570707070708</v>
          </cell>
          <cell r="AJ45">
            <v>16.389309512089724</v>
          </cell>
          <cell r="AK45">
            <v>226.6214595120897</v>
          </cell>
          <cell r="AL45" t="str">
            <v>2/20  Comb</v>
          </cell>
          <cell r="AM45">
            <v>0</v>
          </cell>
          <cell r="AN45" t="str">
            <v>2/30  KC</v>
          </cell>
          <cell r="AO45" t="str">
            <v xml:space="preserve">1/16OE  </v>
          </cell>
          <cell r="AP45" t="str">
            <v>2/20  Gas Mer</v>
          </cell>
          <cell r="AQ45">
            <v>0</v>
          </cell>
          <cell r="AR45">
            <v>0</v>
          </cell>
          <cell r="AS45">
            <v>116.5</v>
          </cell>
          <cell r="AT45">
            <v>0</v>
          </cell>
          <cell r="AU45">
            <v>118.5</v>
          </cell>
          <cell r="AV45">
            <v>77.75</v>
          </cell>
          <cell r="AW45">
            <v>174</v>
          </cell>
          <cell r="AX45">
            <v>0</v>
          </cell>
          <cell r="AY45">
            <v>0</v>
          </cell>
          <cell r="AZ45">
            <v>18.864845000000003</v>
          </cell>
          <cell r="BA45">
            <v>2.5003500000000005</v>
          </cell>
          <cell r="BB45">
            <v>1.9466267499999999</v>
          </cell>
          <cell r="BC45">
            <v>2.3020200000000002</v>
          </cell>
          <cell r="BD45">
            <v>0</v>
          </cell>
          <cell r="BE45">
            <v>6.09853375E-2</v>
          </cell>
          <cell r="BF45">
            <v>0</v>
          </cell>
          <cell r="BI45">
            <v>0</v>
          </cell>
          <cell r="BJ45">
            <v>0.37055557861675131</v>
          </cell>
          <cell r="BK45">
            <v>0.24578939053030308</v>
          </cell>
          <cell r="BL45">
            <v>0.6773303066470544</v>
          </cell>
          <cell r="BM45">
            <v>-1.3172440476190475E-2</v>
          </cell>
          <cell r="BN45">
            <v>0</v>
          </cell>
          <cell r="BO45">
            <v>0</v>
          </cell>
          <cell r="BP45">
            <v>0</v>
          </cell>
          <cell r="BQ45">
            <v>0</v>
          </cell>
          <cell r="BR45">
            <v>-8.0037620558375641E-2</v>
          </cell>
          <cell r="BS45">
            <v>0</v>
          </cell>
          <cell r="BT45">
            <v>-9.3210061034566111E-2</v>
          </cell>
          <cell r="BU45">
            <v>118.80491853322484</v>
          </cell>
          <cell r="BV45">
            <v>-0.3616751269035533</v>
          </cell>
          <cell r="BW45">
            <v>118.44324340632129</v>
          </cell>
          <cell r="BX45">
            <v>125.05780898234195</v>
          </cell>
          <cell r="BY45">
            <v>-0.38071065989847719</v>
          </cell>
          <cell r="BZ45">
            <v>124.67709832244347</v>
          </cell>
          <cell r="CA45">
            <v>125.05780898234195</v>
          </cell>
          <cell r="CB45">
            <v>-0.44336730150248721</v>
          </cell>
          <cell r="CC45">
            <v>124.61444168083946</v>
          </cell>
          <cell r="CD45">
            <v>0</v>
          </cell>
          <cell r="CE45">
            <v>200</v>
          </cell>
          <cell r="CF45">
            <v>0</v>
          </cell>
          <cell r="CG45">
            <v>0.52750000000000008</v>
          </cell>
          <cell r="CH45">
            <v>140</v>
          </cell>
          <cell r="CI45">
            <v>0.35127833682907211</v>
          </cell>
          <cell r="CJ45">
            <v>0.35127833682907211</v>
          </cell>
          <cell r="CK45">
            <v>0.69321937676991841</v>
          </cell>
          <cell r="CL45">
            <v>9.0328715184618519E-2</v>
          </cell>
          <cell r="CM45">
            <v>2.8421052631578947</v>
          </cell>
          <cell r="CN45">
            <v>3.6256533551124317</v>
          </cell>
          <cell r="CO45">
            <v>1.4403558161774974E-2</v>
          </cell>
          <cell r="CP45">
            <v>1.2526315789473685</v>
          </cell>
          <cell r="CQ45">
            <v>1.2670351371091435</v>
          </cell>
          <cell r="CR45">
            <v>4.22</v>
          </cell>
          <cell r="CS45">
            <v>9.7200000000000006</v>
          </cell>
          <cell r="CT45">
            <v>10.32</v>
          </cell>
          <cell r="CU45">
            <v>0</v>
          </cell>
          <cell r="CV45">
            <v>154.11840850989009</v>
          </cell>
        </row>
        <row r="46">
          <cell r="K46" t="str">
            <v>ExportWelspun USAEsplamaUSAHand41x71D</v>
          </cell>
          <cell r="L46">
            <v>0</v>
          </cell>
          <cell r="M46">
            <v>161.93</v>
          </cell>
          <cell r="N46">
            <v>0</v>
          </cell>
          <cell r="O46">
            <v>21.1</v>
          </cell>
          <cell r="P46">
            <v>25.036999999999999</v>
          </cell>
          <cell r="Q46">
            <v>13.23</v>
          </cell>
          <cell r="R46">
            <v>0</v>
          </cell>
          <cell r="S46">
            <v>0</v>
          </cell>
          <cell r="T46">
            <v>221.297</v>
          </cell>
          <cell r="U46">
            <v>210.23214999999999</v>
          </cell>
          <cell r="V46">
            <v>2.5000000000000001E-3</v>
          </cell>
          <cell r="W46">
            <v>0</v>
          </cell>
          <cell r="X46">
            <v>0</v>
          </cell>
          <cell r="Y46">
            <v>-2.5000000000000001E-2</v>
          </cell>
          <cell r="Z46">
            <v>5.0000000000000044E-2</v>
          </cell>
          <cell r="AA46">
            <v>1.4999999999999999E-2</v>
          </cell>
          <cell r="AB46">
            <v>0.01</v>
          </cell>
          <cell r="AC46">
            <v>0.526897619047619</v>
          </cell>
          <cell r="AD46">
            <v>0</v>
          </cell>
          <cell r="AE46">
            <v>0</v>
          </cell>
          <cell r="AF46">
            <v>-0.52750000000000008</v>
          </cell>
          <cell r="AG46">
            <v>11.064850000000011</v>
          </cell>
          <cell r="AH46">
            <v>3.2015048223350253</v>
          </cell>
          <cell r="AI46">
            <v>2.1235570707070708</v>
          </cell>
          <cell r="AJ46">
            <v>16.389309512089724</v>
          </cell>
          <cell r="AK46">
            <v>226.6214595120897</v>
          </cell>
          <cell r="AL46" t="str">
            <v>2/20  Comb</v>
          </cell>
          <cell r="AM46">
            <v>0</v>
          </cell>
          <cell r="AN46" t="str">
            <v>2/30  KC</v>
          </cell>
          <cell r="AO46" t="str">
            <v xml:space="preserve">1/16OE  </v>
          </cell>
          <cell r="AP46" t="str">
            <v>2/20  Gas Mer</v>
          </cell>
          <cell r="AQ46">
            <v>0</v>
          </cell>
          <cell r="AR46">
            <v>0</v>
          </cell>
          <cell r="AS46">
            <v>116.5</v>
          </cell>
          <cell r="AT46">
            <v>0</v>
          </cell>
          <cell r="AU46">
            <v>118.5</v>
          </cell>
          <cell r="AV46">
            <v>77.75</v>
          </cell>
          <cell r="AW46">
            <v>174</v>
          </cell>
          <cell r="AX46">
            <v>0</v>
          </cell>
          <cell r="AY46">
            <v>0</v>
          </cell>
          <cell r="AZ46">
            <v>18.864845000000003</v>
          </cell>
          <cell r="BA46">
            <v>2.5003500000000005</v>
          </cell>
          <cell r="BB46">
            <v>1.9466267499999999</v>
          </cell>
          <cell r="BC46">
            <v>2.3020200000000002</v>
          </cell>
          <cell r="BD46">
            <v>0</v>
          </cell>
          <cell r="BE46">
            <v>6.09853375E-2</v>
          </cell>
          <cell r="BF46">
            <v>0</v>
          </cell>
          <cell r="BI46">
            <v>0</v>
          </cell>
          <cell r="BJ46">
            <v>0.37055557861675131</v>
          </cell>
          <cell r="BK46">
            <v>0.24578939053030308</v>
          </cell>
          <cell r="BL46">
            <v>0.6773303066470544</v>
          </cell>
          <cell r="BM46">
            <v>-1.3172440476190475E-2</v>
          </cell>
          <cell r="BN46">
            <v>0</v>
          </cell>
          <cell r="BO46">
            <v>0</v>
          </cell>
          <cell r="BP46">
            <v>0</v>
          </cell>
          <cell r="BQ46">
            <v>0</v>
          </cell>
          <cell r="BR46">
            <v>-8.0037620558375641E-2</v>
          </cell>
          <cell r="BS46">
            <v>0</v>
          </cell>
          <cell r="BT46">
            <v>-9.3210061034566111E-2</v>
          </cell>
          <cell r="BU46">
            <v>118.80491853322484</v>
          </cell>
          <cell r="BV46">
            <v>-0.3616751269035533</v>
          </cell>
          <cell r="BW46">
            <v>118.44324340632129</v>
          </cell>
          <cell r="BX46">
            <v>125.05780898234195</v>
          </cell>
          <cell r="BY46">
            <v>-0.38071065989847719</v>
          </cell>
          <cell r="BZ46">
            <v>124.67709832244347</v>
          </cell>
          <cell r="CA46">
            <v>125.05780898234195</v>
          </cell>
          <cell r="CB46">
            <v>-0.44336730150248721</v>
          </cell>
          <cell r="CC46">
            <v>124.61444168083946</v>
          </cell>
          <cell r="CD46">
            <v>0</v>
          </cell>
          <cell r="CE46">
            <v>200</v>
          </cell>
          <cell r="CF46">
            <v>0</v>
          </cell>
          <cell r="CG46">
            <v>0.52750000000000008</v>
          </cell>
          <cell r="CH46">
            <v>140</v>
          </cell>
          <cell r="CI46">
            <v>0.35127833682907211</v>
          </cell>
          <cell r="CJ46">
            <v>0.35127833682907211</v>
          </cell>
          <cell r="CK46">
            <v>0.69321937676991841</v>
          </cell>
          <cell r="CL46">
            <v>9.0328715184618519E-2</v>
          </cell>
          <cell r="CM46">
            <v>2.8421052631578947</v>
          </cell>
          <cell r="CN46">
            <v>3.6256533551124317</v>
          </cell>
          <cell r="CO46">
            <v>1.4403558161774974E-2</v>
          </cell>
          <cell r="CP46">
            <v>1.2526315789473685</v>
          </cell>
          <cell r="CQ46">
            <v>1.2670351371091435</v>
          </cell>
          <cell r="CR46">
            <v>14.66</v>
          </cell>
          <cell r="CS46">
            <v>9.98</v>
          </cell>
          <cell r="CT46">
            <v>10.32</v>
          </cell>
          <cell r="CU46">
            <v>0</v>
          </cell>
          <cell r="CV46">
            <v>164.81840850989011</v>
          </cell>
        </row>
        <row r="47">
          <cell r="K47" t="str">
            <v>ExportWelspun USAEsplamaUSAWash33x33L</v>
          </cell>
          <cell r="L47">
            <v>0</v>
          </cell>
          <cell r="M47">
            <v>52.43</v>
          </cell>
          <cell r="N47">
            <v>0</v>
          </cell>
          <cell r="O47">
            <v>8.92</v>
          </cell>
          <cell r="P47">
            <v>9.1739999999999995</v>
          </cell>
          <cell r="Q47">
            <v>9.4789999999999992</v>
          </cell>
          <cell r="R47">
            <v>0</v>
          </cell>
          <cell r="S47">
            <v>0</v>
          </cell>
          <cell r="T47">
            <v>80.003</v>
          </cell>
          <cell r="U47">
            <v>76.002849999999995</v>
          </cell>
          <cell r="V47">
            <v>2.5000000000000001E-3</v>
          </cell>
          <cell r="W47">
            <v>0</v>
          </cell>
          <cell r="X47">
            <v>0</v>
          </cell>
          <cell r="Y47">
            <v>-2.5000000000000001E-2</v>
          </cell>
          <cell r="Z47">
            <v>5.0000000000000044E-2</v>
          </cell>
          <cell r="AA47">
            <v>1.4999999999999999E-2</v>
          </cell>
          <cell r="AB47">
            <v>0.01</v>
          </cell>
          <cell r="AC47">
            <v>0.19048333333333334</v>
          </cell>
          <cell r="AD47">
            <v>0</v>
          </cell>
          <cell r="AE47">
            <v>0</v>
          </cell>
          <cell r="AF47">
            <v>-0.223</v>
          </cell>
          <cell r="AG47">
            <v>4.0001500000000032</v>
          </cell>
          <cell r="AH47">
            <v>1.1574038071065988</v>
          </cell>
          <cell r="AI47">
            <v>0.76770555555555553</v>
          </cell>
          <cell r="AJ47">
            <v>5.8927426959954916</v>
          </cell>
          <cell r="AK47">
            <v>81.895592695995489</v>
          </cell>
          <cell r="AL47" t="str">
            <v>2/20  Comb</v>
          </cell>
          <cell r="AM47">
            <v>0</v>
          </cell>
          <cell r="AN47" t="str">
            <v>2/30  KC</v>
          </cell>
          <cell r="AO47" t="str">
            <v xml:space="preserve">1/16OE  </v>
          </cell>
          <cell r="AP47" t="str">
            <v>2/20  Gas Mer</v>
          </cell>
          <cell r="AQ47">
            <v>0</v>
          </cell>
          <cell r="AR47">
            <v>0</v>
          </cell>
          <cell r="AS47">
            <v>116.5</v>
          </cell>
          <cell r="AT47">
            <v>0</v>
          </cell>
          <cell r="AU47">
            <v>118.5</v>
          </cell>
          <cell r="AV47">
            <v>77.75</v>
          </cell>
          <cell r="AW47">
            <v>174</v>
          </cell>
          <cell r="AX47">
            <v>0</v>
          </cell>
          <cell r="AY47">
            <v>0</v>
          </cell>
          <cell r="AZ47">
            <v>6.1080950000000005</v>
          </cell>
          <cell r="BA47">
            <v>1.0570200000000001</v>
          </cell>
          <cell r="BB47">
            <v>0.71327850000000004</v>
          </cell>
          <cell r="BC47">
            <v>1.6493459999999998</v>
          </cell>
          <cell r="BD47">
            <v>0</v>
          </cell>
          <cell r="BE47">
            <v>2.268509404761905E-2</v>
          </cell>
          <cell r="BF47">
            <v>0</v>
          </cell>
          <cell r="BI47">
            <v>0</v>
          </cell>
          <cell r="BJ47">
            <v>0.1378378557106599</v>
          </cell>
          <cell r="BK47">
            <v>9.1427803282828277E-2</v>
          </cell>
          <cell r="BL47">
            <v>0.25195075304110726</v>
          </cell>
          <cell r="BM47">
            <v>-4.7620833333333326E-3</v>
          </cell>
          <cell r="BN47">
            <v>0</v>
          </cell>
          <cell r="BO47">
            <v>0</v>
          </cell>
          <cell r="BP47">
            <v>0</v>
          </cell>
          <cell r="BQ47">
            <v>0</v>
          </cell>
          <cell r="BR47">
            <v>-2.893509517766497E-2</v>
          </cell>
          <cell r="BS47">
            <v>0</v>
          </cell>
          <cell r="BT47">
            <v>-3.36971785109983E-2</v>
          </cell>
          <cell r="BU47">
            <v>122.24154410510991</v>
          </cell>
          <cell r="BV47">
            <v>-0.36167512690355319</v>
          </cell>
          <cell r="BW47">
            <v>121.87986897820636</v>
          </cell>
          <cell r="BX47">
            <v>128.67530958432624</v>
          </cell>
          <cell r="BY47">
            <v>-0.38071065989847708</v>
          </cell>
          <cell r="BZ47">
            <v>128.29459892442776</v>
          </cell>
          <cell r="CA47">
            <v>128.67530958432624</v>
          </cell>
          <cell r="CB47">
            <v>-0.4433673015024871</v>
          </cell>
          <cell r="CC47">
            <v>128.23194228282375</v>
          </cell>
          <cell r="CD47">
            <v>0</v>
          </cell>
          <cell r="CE47">
            <v>200</v>
          </cell>
          <cell r="CF47">
            <v>0</v>
          </cell>
          <cell r="CG47">
            <v>0.223</v>
          </cell>
          <cell r="CH47">
            <v>140</v>
          </cell>
          <cell r="CI47">
            <v>0.41077406965659841</v>
          </cell>
          <cell r="CJ47">
            <v>0.41077406965659841</v>
          </cell>
          <cell r="CK47">
            <v>0.62085829676123994</v>
          </cell>
          <cell r="CL47">
            <v>0.10562761791169673</v>
          </cell>
          <cell r="CM47">
            <v>2.8421052631578947</v>
          </cell>
          <cell r="CN47">
            <v>3.5685911778308315</v>
          </cell>
          <cell r="CO47">
            <v>1.2900055721594653E-2</v>
          </cell>
          <cell r="CP47">
            <v>1.2526315789473688</v>
          </cell>
          <cell r="CQ47">
            <v>1.2655316346689633</v>
          </cell>
          <cell r="CR47">
            <v>1.21</v>
          </cell>
          <cell r="CS47">
            <v>9.81</v>
          </cell>
          <cell r="CT47">
            <v>25.14</v>
          </cell>
          <cell r="CU47">
            <v>0</v>
          </cell>
          <cell r="CV47">
            <v>169.63683916498016</v>
          </cell>
        </row>
        <row r="48">
          <cell r="K48" t="str">
            <v>ExportWelspun USAEsplamaUSAWash33x33M</v>
          </cell>
          <cell r="L48">
            <v>0</v>
          </cell>
          <cell r="M48">
            <v>52.43</v>
          </cell>
          <cell r="N48">
            <v>0</v>
          </cell>
          <cell r="O48">
            <v>8.92</v>
          </cell>
          <cell r="P48">
            <v>9.1739999999999995</v>
          </cell>
          <cell r="Q48">
            <v>9.4789999999999992</v>
          </cell>
          <cell r="R48">
            <v>0</v>
          </cell>
          <cell r="S48">
            <v>0</v>
          </cell>
          <cell r="T48">
            <v>80.003</v>
          </cell>
          <cell r="U48">
            <v>76.002849999999995</v>
          </cell>
          <cell r="V48">
            <v>2.5000000000000001E-3</v>
          </cell>
          <cell r="W48">
            <v>0</v>
          </cell>
          <cell r="X48">
            <v>0</v>
          </cell>
          <cell r="Y48">
            <v>-2.5000000000000001E-2</v>
          </cell>
          <cell r="Z48">
            <v>5.0000000000000044E-2</v>
          </cell>
          <cell r="AA48">
            <v>1.4999999999999999E-2</v>
          </cell>
          <cell r="AB48">
            <v>0.01</v>
          </cell>
          <cell r="AC48">
            <v>0.19048333333333334</v>
          </cell>
          <cell r="AD48">
            <v>0</v>
          </cell>
          <cell r="AE48">
            <v>0</v>
          </cell>
          <cell r="AF48">
            <v>-0.223</v>
          </cell>
          <cell r="AG48">
            <v>4.0001500000000032</v>
          </cell>
          <cell r="AH48">
            <v>1.1574038071065988</v>
          </cell>
          <cell r="AI48">
            <v>0.76770555555555553</v>
          </cell>
          <cell r="AJ48">
            <v>5.8927426959954916</v>
          </cell>
          <cell r="AK48">
            <v>81.895592695995489</v>
          </cell>
          <cell r="AL48" t="str">
            <v>2/20  Comb</v>
          </cell>
          <cell r="AM48">
            <v>0</v>
          </cell>
          <cell r="AN48" t="str">
            <v>2/30  KC</v>
          </cell>
          <cell r="AO48" t="str">
            <v xml:space="preserve">1/16OE  </v>
          </cell>
          <cell r="AP48" t="str">
            <v>2/20  Gas Mer</v>
          </cell>
          <cell r="AQ48">
            <v>0</v>
          </cell>
          <cell r="AR48">
            <v>0</v>
          </cell>
          <cell r="AS48">
            <v>116.5</v>
          </cell>
          <cell r="AT48">
            <v>0</v>
          </cell>
          <cell r="AU48">
            <v>118.5</v>
          </cell>
          <cell r="AV48">
            <v>77.75</v>
          </cell>
          <cell r="AW48">
            <v>174</v>
          </cell>
          <cell r="AX48">
            <v>0</v>
          </cell>
          <cell r="AY48">
            <v>0</v>
          </cell>
          <cell r="AZ48">
            <v>6.1080950000000005</v>
          </cell>
          <cell r="BA48">
            <v>1.0570200000000001</v>
          </cell>
          <cell r="BB48">
            <v>0.71327850000000004</v>
          </cell>
          <cell r="BC48">
            <v>1.6493459999999998</v>
          </cell>
          <cell r="BD48">
            <v>0</v>
          </cell>
          <cell r="BE48">
            <v>2.268509404761905E-2</v>
          </cell>
          <cell r="BF48">
            <v>0</v>
          </cell>
          <cell r="BI48">
            <v>0</v>
          </cell>
          <cell r="BJ48">
            <v>0.1378378557106599</v>
          </cell>
          <cell r="BK48">
            <v>9.1427803282828277E-2</v>
          </cell>
          <cell r="BL48">
            <v>0.25195075304110726</v>
          </cell>
          <cell r="BM48">
            <v>-4.7620833333333326E-3</v>
          </cell>
          <cell r="BN48">
            <v>0</v>
          </cell>
          <cell r="BO48">
            <v>0</v>
          </cell>
          <cell r="BP48">
            <v>0</v>
          </cell>
          <cell r="BQ48">
            <v>0</v>
          </cell>
          <cell r="BR48">
            <v>-2.893509517766497E-2</v>
          </cell>
          <cell r="BS48">
            <v>0</v>
          </cell>
          <cell r="BT48">
            <v>-3.36971785109983E-2</v>
          </cell>
          <cell r="BU48">
            <v>122.24154410510991</v>
          </cell>
          <cell r="BV48">
            <v>-0.36167512690355319</v>
          </cell>
          <cell r="BW48">
            <v>121.87986897820636</v>
          </cell>
          <cell r="BX48">
            <v>128.67530958432624</v>
          </cell>
          <cell r="BY48">
            <v>-0.38071065989847708</v>
          </cell>
          <cell r="BZ48">
            <v>128.29459892442776</v>
          </cell>
          <cell r="CA48">
            <v>128.67530958432624</v>
          </cell>
          <cell r="CB48">
            <v>-0.4433673015024871</v>
          </cell>
          <cell r="CC48">
            <v>128.23194228282375</v>
          </cell>
          <cell r="CD48">
            <v>0</v>
          </cell>
          <cell r="CE48">
            <v>200</v>
          </cell>
          <cell r="CF48">
            <v>0</v>
          </cell>
          <cell r="CG48">
            <v>0.223</v>
          </cell>
          <cell r="CH48">
            <v>140</v>
          </cell>
          <cell r="CI48">
            <v>0.41077406965659841</v>
          </cell>
          <cell r="CJ48">
            <v>0.41077406965659841</v>
          </cell>
          <cell r="CK48">
            <v>0.62085829676123994</v>
          </cell>
          <cell r="CL48">
            <v>0.10562761791169673</v>
          </cell>
          <cell r="CM48">
            <v>2.8421052631578947</v>
          </cell>
          <cell r="CN48">
            <v>3.5685911778308315</v>
          </cell>
          <cell r="CO48">
            <v>1.2900055721594653E-2</v>
          </cell>
          <cell r="CP48">
            <v>1.2526315789473688</v>
          </cell>
          <cell r="CQ48">
            <v>1.2655316346689633</v>
          </cell>
          <cell r="CR48">
            <v>4.22</v>
          </cell>
          <cell r="CS48">
            <v>9.7200000000000006</v>
          </cell>
          <cell r="CT48">
            <v>25.14</v>
          </cell>
          <cell r="CU48">
            <v>0</v>
          </cell>
          <cell r="CV48">
            <v>172.55683916498015</v>
          </cell>
        </row>
        <row r="49">
          <cell r="K49" t="str">
            <v>ExportWelspun USAEsplamaUSAWash33x33D</v>
          </cell>
          <cell r="L49">
            <v>0</v>
          </cell>
          <cell r="M49">
            <v>52.43</v>
          </cell>
          <cell r="N49">
            <v>0</v>
          </cell>
          <cell r="O49">
            <v>8.92</v>
          </cell>
          <cell r="P49">
            <v>9.1739999999999995</v>
          </cell>
          <cell r="Q49">
            <v>9.4789999999999992</v>
          </cell>
          <cell r="R49">
            <v>0</v>
          </cell>
          <cell r="S49">
            <v>0</v>
          </cell>
          <cell r="T49">
            <v>80.003</v>
          </cell>
          <cell r="U49">
            <v>76.002849999999995</v>
          </cell>
          <cell r="V49">
            <v>2.5000000000000001E-3</v>
          </cell>
          <cell r="W49">
            <v>0</v>
          </cell>
          <cell r="X49">
            <v>0</v>
          </cell>
          <cell r="Y49">
            <v>-2.5000000000000001E-2</v>
          </cell>
          <cell r="Z49">
            <v>5.0000000000000044E-2</v>
          </cell>
          <cell r="AA49">
            <v>1.4999999999999999E-2</v>
          </cell>
          <cell r="AB49">
            <v>0.01</v>
          </cell>
          <cell r="AC49">
            <v>0.19048333333333334</v>
          </cell>
          <cell r="AD49">
            <v>0</v>
          </cell>
          <cell r="AE49">
            <v>0</v>
          </cell>
          <cell r="AF49">
            <v>-0.223</v>
          </cell>
          <cell r="AG49">
            <v>4.0001500000000032</v>
          </cell>
          <cell r="AH49">
            <v>1.1574038071065988</v>
          </cell>
          <cell r="AI49">
            <v>0.76770555555555553</v>
          </cell>
          <cell r="AJ49">
            <v>5.8927426959954916</v>
          </cell>
          <cell r="AK49">
            <v>81.895592695995489</v>
          </cell>
          <cell r="AL49" t="str">
            <v>2/20  Comb</v>
          </cell>
          <cell r="AM49">
            <v>0</v>
          </cell>
          <cell r="AN49" t="str">
            <v>2/30  KC</v>
          </cell>
          <cell r="AO49" t="str">
            <v xml:space="preserve">1/16OE  </v>
          </cell>
          <cell r="AP49" t="str">
            <v>2/20  Gas Mer</v>
          </cell>
          <cell r="AQ49">
            <v>0</v>
          </cell>
          <cell r="AR49">
            <v>0</v>
          </cell>
          <cell r="AS49">
            <v>116.5</v>
          </cell>
          <cell r="AT49">
            <v>0</v>
          </cell>
          <cell r="AU49">
            <v>118.5</v>
          </cell>
          <cell r="AV49">
            <v>77.75</v>
          </cell>
          <cell r="AW49">
            <v>174</v>
          </cell>
          <cell r="AX49">
            <v>0</v>
          </cell>
          <cell r="AY49">
            <v>0</v>
          </cell>
          <cell r="AZ49">
            <v>6.1080950000000005</v>
          </cell>
          <cell r="BA49">
            <v>1.0570200000000001</v>
          </cell>
          <cell r="BB49">
            <v>0.71327850000000004</v>
          </cell>
          <cell r="BC49">
            <v>1.6493459999999998</v>
          </cell>
          <cell r="BD49">
            <v>0</v>
          </cell>
          <cell r="BE49">
            <v>2.268509404761905E-2</v>
          </cell>
          <cell r="BF49">
            <v>0</v>
          </cell>
          <cell r="BI49">
            <v>0</v>
          </cell>
          <cell r="BJ49">
            <v>0.1378378557106599</v>
          </cell>
          <cell r="BK49">
            <v>9.1427803282828277E-2</v>
          </cell>
          <cell r="BL49">
            <v>0.25195075304110726</v>
          </cell>
          <cell r="BM49">
            <v>-4.7620833333333326E-3</v>
          </cell>
          <cell r="BN49">
            <v>0</v>
          </cell>
          <cell r="BO49">
            <v>0</v>
          </cell>
          <cell r="BP49">
            <v>0</v>
          </cell>
          <cell r="BQ49">
            <v>0</v>
          </cell>
          <cell r="BR49">
            <v>-2.893509517766497E-2</v>
          </cell>
          <cell r="BS49">
            <v>0</v>
          </cell>
          <cell r="BT49">
            <v>-3.36971785109983E-2</v>
          </cell>
          <cell r="BU49">
            <v>122.24154410510991</v>
          </cell>
          <cell r="BV49">
            <v>-0.36167512690355319</v>
          </cell>
          <cell r="BW49">
            <v>121.87986897820636</v>
          </cell>
          <cell r="BX49">
            <v>128.67530958432624</v>
          </cell>
          <cell r="BY49">
            <v>-0.38071065989847708</v>
          </cell>
          <cell r="BZ49">
            <v>128.29459892442776</v>
          </cell>
          <cell r="CA49">
            <v>128.67530958432624</v>
          </cell>
          <cell r="CB49">
            <v>-0.4433673015024871</v>
          </cell>
          <cell r="CC49">
            <v>128.23194228282375</v>
          </cell>
          <cell r="CD49">
            <v>0</v>
          </cell>
          <cell r="CE49">
            <v>200</v>
          </cell>
          <cell r="CF49">
            <v>0</v>
          </cell>
          <cell r="CG49">
            <v>0.223</v>
          </cell>
          <cell r="CH49">
            <v>140</v>
          </cell>
          <cell r="CI49">
            <v>0.41077406965659841</v>
          </cell>
          <cell r="CJ49">
            <v>0.41077406965659841</v>
          </cell>
          <cell r="CK49">
            <v>0.62085829676123994</v>
          </cell>
          <cell r="CL49">
            <v>0.10562761791169673</v>
          </cell>
          <cell r="CM49">
            <v>2.8421052631578947</v>
          </cell>
          <cell r="CN49">
            <v>3.5685911778308315</v>
          </cell>
          <cell r="CO49">
            <v>1.2900055721594653E-2</v>
          </cell>
          <cell r="CP49">
            <v>1.2526315789473688</v>
          </cell>
          <cell r="CQ49">
            <v>1.2655316346689633</v>
          </cell>
          <cell r="CR49">
            <v>14.66</v>
          </cell>
          <cell r="CS49">
            <v>9.98</v>
          </cell>
          <cell r="CT49">
            <v>25.14</v>
          </cell>
          <cell r="CU49">
            <v>0</v>
          </cell>
          <cell r="CV49">
            <v>183.25683916498016</v>
          </cell>
        </row>
        <row r="50">
          <cell r="K50" t="str">
            <v>ExportLNTManorUSABath76x147L</v>
          </cell>
          <cell r="L50">
            <v>0</v>
          </cell>
          <cell r="M50">
            <v>501.9</v>
          </cell>
          <cell r="N50">
            <v>0</v>
          </cell>
          <cell r="O50">
            <v>142.19999999999999</v>
          </cell>
          <cell r="P50">
            <v>92.114000000000004</v>
          </cell>
          <cell r="Q50">
            <v>32.08</v>
          </cell>
          <cell r="R50">
            <v>0</v>
          </cell>
          <cell r="S50">
            <v>0</v>
          </cell>
          <cell r="T50">
            <v>768.29399999999998</v>
          </cell>
          <cell r="U50">
            <v>718.35489000000007</v>
          </cell>
          <cell r="V50">
            <v>2.5000000000000001E-3</v>
          </cell>
          <cell r="W50">
            <v>0</v>
          </cell>
          <cell r="X50">
            <v>-1.3999999999999999E-2</v>
          </cell>
          <cell r="Y50">
            <v>-2.5000000000000001E-2</v>
          </cell>
          <cell r="Z50">
            <v>6.4999999999999836E-2</v>
          </cell>
          <cell r="AA50">
            <v>1.4999999999999999E-2</v>
          </cell>
          <cell r="AB50">
            <v>0.01</v>
          </cell>
          <cell r="AC50">
            <v>1.800388195488722</v>
          </cell>
          <cell r="AD50">
            <v>0</v>
          </cell>
          <cell r="AE50">
            <v>-7.0265999999999993</v>
          </cell>
          <cell r="AF50">
            <v>-3.5549999999999997</v>
          </cell>
          <cell r="AG50">
            <v>49.939109999999872</v>
          </cell>
          <cell r="AH50">
            <v>10.939414568527919</v>
          </cell>
          <cell r="AI50">
            <v>7.2561100000000014</v>
          </cell>
          <cell r="AJ50">
            <v>59.353422764016521</v>
          </cell>
          <cell r="AK50">
            <v>777.70831276401657</v>
          </cell>
          <cell r="AL50" t="str">
            <v>1/13  Egy Comb</v>
          </cell>
          <cell r="AM50">
            <v>0</v>
          </cell>
          <cell r="AN50" t="str">
            <v>2/16  Egy Comb</v>
          </cell>
          <cell r="AO50" t="str">
            <v xml:space="preserve">1/14OE  </v>
          </cell>
          <cell r="AP50" t="str">
            <v>2/20  Gas Mer</v>
          </cell>
          <cell r="AQ50">
            <v>0</v>
          </cell>
          <cell r="AR50">
            <v>0</v>
          </cell>
          <cell r="AS50">
            <v>172.09</v>
          </cell>
          <cell r="AT50">
            <v>0</v>
          </cell>
          <cell r="AU50">
            <v>142.57</v>
          </cell>
          <cell r="AV50">
            <v>75.75</v>
          </cell>
          <cell r="AW50">
            <v>174</v>
          </cell>
          <cell r="AX50">
            <v>0</v>
          </cell>
          <cell r="AY50">
            <v>0</v>
          </cell>
          <cell r="AZ50">
            <v>86.371971000000002</v>
          </cell>
          <cell r="BA50">
            <v>20.273453999999997</v>
          </cell>
          <cell r="BB50">
            <v>6.9776354999999999</v>
          </cell>
          <cell r="BC50">
            <v>5.5819200000000002</v>
          </cell>
          <cell r="BD50">
            <v>0</v>
          </cell>
          <cell r="BE50">
            <v>0.27933999189849629</v>
          </cell>
          <cell r="BF50">
            <v>0</v>
          </cell>
          <cell r="BI50">
            <v>0</v>
          </cell>
          <cell r="BJ50">
            <v>1.6973094939213198</v>
          </cell>
          <cell r="BK50">
            <v>1.1258248158333335</v>
          </cell>
          <cell r="BL50">
            <v>3.1024743016531495</v>
          </cell>
          <cell r="BM50">
            <v>-4.5009704887218047E-2</v>
          </cell>
          <cell r="BN50">
            <v>0</v>
          </cell>
          <cell r="BO50">
            <v>0</v>
          </cell>
          <cell r="BP50">
            <v>0</v>
          </cell>
          <cell r="BQ50">
            <v>0</v>
          </cell>
          <cell r="BR50">
            <v>-0.27348536421319797</v>
          </cell>
          <cell r="BS50">
            <v>0</v>
          </cell>
          <cell r="BT50">
            <v>-0.31849506910041603</v>
          </cell>
          <cell r="BU50">
            <v>159.19355715605374</v>
          </cell>
          <cell r="BV50">
            <v>-0.35596446700507617</v>
          </cell>
          <cell r="BW50">
            <v>158.83759268904868</v>
          </cell>
          <cell r="BX50">
            <v>170.26048893695585</v>
          </cell>
          <cell r="BY50">
            <v>-0.38071065989847708</v>
          </cell>
          <cell r="BZ50">
            <v>169.87977827705737</v>
          </cell>
          <cell r="CA50">
            <v>170.26048893695585</v>
          </cell>
          <cell r="CB50">
            <v>-0.44336730150248715</v>
          </cell>
          <cell r="CC50">
            <v>169.81712163545336</v>
          </cell>
          <cell r="CD50">
            <v>7.0265999999999993</v>
          </cell>
          <cell r="CE50">
            <v>200</v>
          </cell>
          <cell r="CF50">
            <v>1.9563032417027186</v>
          </cell>
          <cell r="CG50">
            <v>3.5549999999999997</v>
          </cell>
          <cell r="CH50">
            <v>140</v>
          </cell>
          <cell r="CI50">
            <v>0.69283303688515285</v>
          </cell>
          <cell r="CJ50">
            <v>2.6491362785878714</v>
          </cell>
          <cell r="CK50">
            <v>0.62881175626158803</v>
          </cell>
          <cell r="CL50">
            <v>0.17815706662761072</v>
          </cell>
          <cell r="CM50">
            <v>2.8877005347593578</v>
          </cell>
          <cell r="CN50">
            <v>3.6946693576485563</v>
          </cell>
          <cell r="CO50">
            <v>1.3065310935657444E-2</v>
          </cell>
          <cell r="CP50">
            <v>1.2727272727272727</v>
          </cell>
          <cell r="CQ50">
            <v>1.2857925836629303</v>
          </cell>
          <cell r="CR50">
            <v>1.21</v>
          </cell>
          <cell r="CS50">
            <v>9.81</v>
          </cell>
          <cell r="CT50">
            <v>13.19</v>
          </cell>
          <cell r="CU50">
            <v>0</v>
          </cell>
          <cell r="CV50">
            <v>201.65671985535272</v>
          </cell>
        </row>
        <row r="51">
          <cell r="K51" t="str">
            <v>ExportLNTManorUSABath76x147M</v>
          </cell>
          <cell r="L51">
            <v>0</v>
          </cell>
          <cell r="M51">
            <v>501.9</v>
          </cell>
          <cell r="N51">
            <v>0</v>
          </cell>
          <cell r="O51">
            <v>142.19999999999999</v>
          </cell>
          <cell r="P51">
            <v>92.114000000000004</v>
          </cell>
          <cell r="Q51">
            <v>32.08</v>
          </cell>
          <cell r="R51">
            <v>0</v>
          </cell>
          <cell r="S51">
            <v>0</v>
          </cell>
          <cell r="T51">
            <v>768.29399999999998</v>
          </cell>
          <cell r="U51">
            <v>718.35489000000007</v>
          </cell>
          <cell r="V51">
            <v>2.5000000000000001E-3</v>
          </cell>
          <cell r="W51">
            <v>0</v>
          </cell>
          <cell r="X51">
            <v>-1.3999999999999999E-2</v>
          </cell>
          <cell r="Y51">
            <v>-2.5000000000000001E-2</v>
          </cell>
          <cell r="Z51">
            <v>6.4999999999999836E-2</v>
          </cell>
          <cell r="AA51">
            <v>1.4999999999999999E-2</v>
          </cell>
          <cell r="AB51">
            <v>0.01</v>
          </cell>
          <cell r="AC51">
            <v>1.800388195488722</v>
          </cell>
          <cell r="AD51">
            <v>0</v>
          </cell>
          <cell r="AE51">
            <v>-7.0265999999999993</v>
          </cell>
          <cell r="AF51">
            <v>-3.5549999999999997</v>
          </cell>
          <cell r="AG51">
            <v>49.939109999999872</v>
          </cell>
          <cell r="AH51">
            <v>10.939414568527919</v>
          </cell>
          <cell r="AI51">
            <v>7.2561100000000014</v>
          </cell>
          <cell r="AJ51">
            <v>59.353422764016521</v>
          </cell>
          <cell r="AK51">
            <v>777.70831276401657</v>
          </cell>
          <cell r="AL51" t="str">
            <v>1/13  Egy Comb</v>
          </cell>
          <cell r="AM51">
            <v>0</v>
          </cell>
          <cell r="AN51" t="str">
            <v>2/16  Egy Comb</v>
          </cell>
          <cell r="AO51" t="str">
            <v xml:space="preserve">1/14OE  </v>
          </cell>
          <cell r="AP51" t="str">
            <v>2/20  Gas Mer</v>
          </cell>
          <cell r="AQ51">
            <v>0</v>
          </cell>
          <cell r="AR51">
            <v>0</v>
          </cell>
          <cell r="AS51">
            <v>172.09</v>
          </cell>
          <cell r="AT51">
            <v>0</v>
          </cell>
          <cell r="AU51">
            <v>142.57</v>
          </cell>
          <cell r="AV51">
            <v>75.75</v>
          </cell>
          <cell r="AW51">
            <v>174</v>
          </cell>
          <cell r="AX51">
            <v>0</v>
          </cell>
          <cell r="AY51">
            <v>0</v>
          </cell>
          <cell r="AZ51">
            <v>86.371971000000002</v>
          </cell>
          <cell r="BA51">
            <v>20.273453999999997</v>
          </cell>
          <cell r="BB51">
            <v>6.9776354999999999</v>
          </cell>
          <cell r="BC51">
            <v>5.5819200000000002</v>
          </cell>
          <cell r="BD51">
            <v>0</v>
          </cell>
          <cell r="BE51">
            <v>0.27933999189849629</v>
          </cell>
          <cell r="BF51">
            <v>0</v>
          </cell>
          <cell r="BI51">
            <v>0</v>
          </cell>
          <cell r="BJ51">
            <v>1.6973094939213198</v>
          </cell>
          <cell r="BK51">
            <v>1.1258248158333335</v>
          </cell>
          <cell r="BL51">
            <v>3.1024743016531495</v>
          </cell>
          <cell r="BM51">
            <v>-4.5009704887218047E-2</v>
          </cell>
          <cell r="BN51">
            <v>0</v>
          </cell>
          <cell r="BO51">
            <v>0</v>
          </cell>
          <cell r="BP51">
            <v>0</v>
          </cell>
          <cell r="BQ51">
            <v>0</v>
          </cell>
          <cell r="BR51">
            <v>-0.27348536421319797</v>
          </cell>
          <cell r="BS51">
            <v>0</v>
          </cell>
          <cell r="BT51">
            <v>-0.31849506910041603</v>
          </cell>
          <cell r="BU51">
            <v>159.19355715605374</v>
          </cell>
          <cell r="BV51">
            <v>-0.35596446700507617</v>
          </cell>
          <cell r="BW51">
            <v>158.83759268904868</v>
          </cell>
          <cell r="BX51">
            <v>170.26048893695585</v>
          </cell>
          <cell r="BY51">
            <v>-0.38071065989847708</v>
          </cell>
          <cell r="BZ51">
            <v>169.87977827705737</v>
          </cell>
          <cell r="CA51">
            <v>170.26048893695585</v>
          </cell>
          <cell r="CB51">
            <v>-0.44336730150248715</v>
          </cell>
          <cell r="CC51">
            <v>169.81712163545336</v>
          </cell>
          <cell r="CD51">
            <v>7.0265999999999993</v>
          </cell>
          <cell r="CE51">
            <v>200</v>
          </cell>
          <cell r="CF51">
            <v>1.9563032417027186</v>
          </cell>
          <cell r="CG51">
            <v>3.5549999999999997</v>
          </cell>
          <cell r="CH51">
            <v>140</v>
          </cell>
          <cell r="CI51">
            <v>0.69283303688515285</v>
          </cell>
          <cell r="CJ51">
            <v>2.6491362785878714</v>
          </cell>
          <cell r="CK51">
            <v>0.62881175626158803</v>
          </cell>
          <cell r="CL51">
            <v>0.17815706662761072</v>
          </cell>
          <cell r="CM51">
            <v>2.8877005347593578</v>
          </cell>
          <cell r="CN51">
            <v>3.6946693576485563</v>
          </cell>
          <cell r="CO51">
            <v>1.3065310935657444E-2</v>
          </cell>
          <cell r="CP51">
            <v>1.2727272727272727</v>
          </cell>
          <cell r="CQ51">
            <v>1.2857925836629303</v>
          </cell>
          <cell r="CR51">
            <v>4.22</v>
          </cell>
          <cell r="CS51">
            <v>9.7200000000000006</v>
          </cell>
          <cell r="CT51">
            <v>13.19</v>
          </cell>
          <cell r="CU51">
            <v>0</v>
          </cell>
          <cell r="CV51">
            <v>204.57671985535271</v>
          </cell>
        </row>
        <row r="52">
          <cell r="K52" t="str">
            <v>ExportLNTManorUSABath76x147D</v>
          </cell>
          <cell r="L52">
            <v>0</v>
          </cell>
          <cell r="M52">
            <v>501.9</v>
          </cell>
          <cell r="N52">
            <v>0</v>
          </cell>
          <cell r="O52">
            <v>142.19999999999999</v>
          </cell>
          <cell r="P52">
            <v>92.114000000000004</v>
          </cell>
          <cell r="Q52">
            <v>32.08</v>
          </cell>
          <cell r="R52">
            <v>0</v>
          </cell>
          <cell r="S52">
            <v>0</v>
          </cell>
          <cell r="T52">
            <v>768.29399999999998</v>
          </cell>
          <cell r="U52">
            <v>718.35489000000007</v>
          </cell>
          <cell r="V52">
            <v>2.5000000000000001E-3</v>
          </cell>
          <cell r="W52">
            <v>0</v>
          </cell>
          <cell r="X52">
            <v>-1.3999999999999999E-2</v>
          </cell>
          <cell r="Y52">
            <v>-2.5000000000000001E-2</v>
          </cell>
          <cell r="Z52">
            <v>6.4999999999999836E-2</v>
          </cell>
          <cell r="AA52">
            <v>1.4999999999999999E-2</v>
          </cell>
          <cell r="AB52">
            <v>0.01</v>
          </cell>
          <cell r="AC52">
            <v>1.800388195488722</v>
          </cell>
          <cell r="AD52">
            <v>0</v>
          </cell>
          <cell r="AE52">
            <v>-7.0265999999999993</v>
          </cell>
          <cell r="AF52">
            <v>-3.5549999999999997</v>
          </cell>
          <cell r="AG52">
            <v>49.939109999999872</v>
          </cell>
          <cell r="AH52">
            <v>10.939414568527919</v>
          </cell>
          <cell r="AI52">
            <v>7.2561100000000014</v>
          </cell>
          <cell r="AJ52">
            <v>59.353422764016521</v>
          </cell>
          <cell r="AK52">
            <v>777.70831276401657</v>
          </cell>
          <cell r="AL52" t="str">
            <v>1/13  Egy Comb</v>
          </cell>
          <cell r="AM52">
            <v>0</v>
          </cell>
          <cell r="AN52" t="str">
            <v>2/16  Egy Comb</v>
          </cell>
          <cell r="AO52" t="str">
            <v xml:space="preserve">1/14OE  </v>
          </cell>
          <cell r="AP52" t="str">
            <v>2/20  Gas Mer</v>
          </cell>
          <cell r="AQ52">
            <v>0</v>
          </cell>
          <cell r="AR52">
            <v>0</v>
          </cell>
          <cell r="AS52">
            <v>172.09</v>
          </cell>
          <cell r="AT52">
            <v>0</v>
          </cell>
          <cell r="AU52">
            <v>142.57</v>
          </cell>
          <cell r="AV52">
            <v>75.75</v>
          </cell>
          <cell r="AW52">
            <v>174</v>
          </cell>
          <cell r="AX52">
            <v>0</v>
          </cell>
          <cell r="AY52">
            <v>0</v>
          </cell>
          <cell r="AZ52">
            <v>86.371971000000002</v>
          </cell>
          <cell r="BA52">
            <v>20.273453999999997</v>
          </cell>
          <cell r="BB52">
            <v>6.9776354999999999</v>
          </cell>
          <cell r="BC52">
            <v>5.5819200000000002</v>
          </cell>
          <cell r="BD52">
            <v>0</v>
          </cell>
          <cell r="BE52">
            <v>0.27933999189849629</v>
          </cell>
          <cell r="BF52">
            <v>0</v>
          </cell>
          <cell r="BI52">
            <v>0</v>
          </cell>
          <cell r="BJ52">
            <v>1.6973094939213198</v>
          </cell>
          <cell r="BK52">
            <v>1.1258248158333335</v>
          </cell>
          <cell r="BL52">
            <v>3.1024743016531495</v>
          </cell>
          <cell r="BM52">
            <v>-4.5009704887218047E-2</v>
          </cell>
          <cell r="BN52">
            <v>0</v>
          </cell>
          <cell r="BO52">
            <v>0</v>
          </cell>
          <cell r="BP52">
            <v>0</v>
          </cell>
          <cell r="BQ52">
            <v>0</v>
          </cell>
          <cell r="BR52">
            <v>-0.27348536421319797</v>
          </cell>
          <cell r="BS52">
            <v>0</v>
          </cell>
          <cell r="BT52">
            <v>-0.31849506910041603</v>
          </cell>
          <cell r="BU52">
            <v>159.19355715605374</v>
          </cell>
          <cell r="BV52">
            <v>-0.35596446700507617</v>
          </cell>
          <cell r="BW52">
            <v>158.83759268904868</v>
          </cell>
          <cell r="BX52">
            <v>170.26048893695585</v>
          </cell>
          <cell r="BY52">
            <v>-0.38071065989847708</v>
          </cell>
          <cell r="BZ52">
            <v>169.87977827705737</v>
          </cell>
          <cell r="CA52">
            <v>170.26048893695585</v>
          </cell>
          <cell r="CB52">
            <v>-0.44336730150248715</v>
          </cell>
          <cell r="CC52">
            <v>169.81712163545336</v>
          </cell>
          <cell r="CD52">
            <v>7.0265999999999993</v>
          </cell>
          <cell r="CE52">
            <v>200</v>
          </cell>
          <cell r="CF52">
            <v>1.9563032417027186</v>
          </cell>
          <cell r="CG52">
            <v>3.5549999999999997</v>
          </cell>
          <cell r="CH52">
            <v>140</v>
          </cell>
          <cell r="CI52">
            <v>0.69283303688515285</v>
          </cell>
          <cell r="CJ52">
            <v>2.6491362785878714</v>
          </cell>
          <cell r="CK52">
            <v>0.62881175626158803</v>
          </cell>
          <cell r="CL52">
            <v>0.17815706662761072</v>
          </cell>
          <cell r="CM52">
            <v>2.8877005347593578</v>
          </cell>
          <cell r="CN52">
            <v>3.6946693576485563</v>
          </cell>
          <cell r="CO52">
            <v>1.3065310935657444E-2</v>
          </cell>
          <cell r="CP52">
            <v>1.2727272727272727</v>
          </cell>
          <cell r="CQ52">
            <v>1.2857925836629303</v>
          </cell>
          <cell r="CR52">
            <v>14.66</v>
          </cell>
          <cell r="CS52">
            <v>9.98</v>
          </cell>
          <cell r="CT52">
            <v>13.19</v>
          </cell>
          <cell r="CU52">
            <v>0</v>
          </cell>
          <cell r="CV52">
            <v>215.27671985535272</v>
          </cell>
        </row>
        <row r="53">
          <cell r="K53" t="str">
            <v>ExportLNTManorUSAHand51x76L</v>
          </cell>
          <cell r="L53">
            <v>0</v>
          </cell>
          <cell r="M53">
            <v>160.51</v>
          </cell>
          <cell r="N53">
            <v>0</v>
          </cell>
          <cell r="O53">
            <v>50.42</v>
          </cell>
          <cell r="P53">
            <v>36.08</v>
          </cell>
          <cell r="Q53">
            <v>15.79</v>
          </cell>
          <cell r="R53">
            <v>0</v>
          </cell>
          <cell r="S53">
            <v>0</v>
          </cell>
          <cell r="T53">
            <v>262.8</v>
          </cell>
          <cell r="U53">
            <v>245.71800000000002</v>
          </cell>
          <cell r="V53">
            <v>2.5000000000000001E-3</v>
          </cell>
          <cell r="W53">
            <v>0</v>
          </cell>
          <cell r="X53">
            <v>-1.3999999999999999E-2</v>
          </cell>
          <cell r="Y53">
            <v>-2.5000000000000001E-2</v>
          </cell>
          <cell r="Z53">
            <v>6.4999999999999947E-2</v>
          </cell>
          <cell r="AA53">
            <v>1.4999999999999999E-2</v>
          </cell>
          <cell r="AB53">
            <v>0.01</v>
          </cell>
          <cell r="AC53">
            <v>0.6158345864661654</v>
          </cell>
          <cell r="AD53">
            <v>0</v>
          </cell>
          <cell r="AE53">
            <v>-2.2471399999999995</v>
          </cell>
          <cell r="AF53">
            <v>-1.2605000000000002</v>
          </cell>
          <cell r="AG53">
            <v>17.081999999999987</v>
          </cell>
          <cell r="AH53">
            <v>3.7418984771573607</v>
          </cell>
          <cell r="AI53">
            <v>2.4820000000000002</v>
          </cell>
          <cell r="AJ53">
            <v>20.414093063623511</v>
          </cell>
          <cell r="AK53">
            <v>266.13209306362353</v>
          </cell>
          <cell r="AL53" t="str">
            <v>1/13  Egy Comb</v>
          </cell>
          <cell r="AM53">
            <v>0</v>
          </cell>
          <cell r="AN53" t="str">
            <v>2/16  Egy Comb</v>
          </cell>
          <cell r="AO53" t="str">
            <v xml:space="preserve">1/14OE  </v>
          </cell>
          <cell r="AP53" t="str">
            <v>2/20  Gas Mer</v>
          </cell>
          <cell r="AQ53">
            <v>0</v>
          </cell>
          <cell r="AR53">
            <v>0</v>
          </cell>
          <cell r="AS53">
            <v>172.09</v>
          </cell>
          <cell r="AT53">
            <v>0</v>
          </cell>
          <cell r="AU53">
            <v>142.57</v>
          </cell>
          <cell r="AV53">
            <v>75.75</v>
          </cell>
          <cell r="AW53">
            <v>174</v>
          </cell>
          <cell r="AX53">
            <v>0</v>
          </cell>
          <cell r="AY53">
            <v>0</v>
          </cell>
          <cell r="AZ53">
            <v>27.622165899999999</v>
          </cell>
          <cell r="BA53">
            <v>7.1883793999999996</v>
          </cell>
          <cell r="BB53">
            <v>2.73306</v>
          </cell>
          <cell r="BC53">
            <v>2.7474600000000002</v>
          </cell>
          <cell r="BD53">
            <v>0</v>
          </cell>
          <cell r="BE53">
            <v>9.4416406154135324E-2</v>
          </cell>
          <cell r="BF53">
            <v>0</v>
          </cell>
          <cell r="BI53">
            <v>0</v>
          </cell>
          <cell r="BJ53">
            <v>0.5736875033832487</v>
          </cell>
          <cell r="BK53">
            <v>0.3805267278333333</v>
          </cell>
          <cell r="BL53">
            <v>1.0486306373707173</v>
          </cell>
          <cell r="BM53">
            <v>-1.5395864661654135E-2</v>
          </cell>
          <cell r="BN53">
            <v>0</v>
          </cell>
          <cell r="BO53">
            <v>0</v>
          </cell>
          <cell r="BP53">
            <v>0</v>
          </cell>
          <cell r="BQ53">
            <v>0</v>
          </cell>
          <cell r="BR53">
            <v>-9.3547461928934011E-2</v>
          </cell>
          <cell r="BS53">
            <v>0</v>
          </cell>
          <cell r="BT53">
            <v>-0.10894332659058814</v>
          </cell>
          <cell r="BU53">
            <v>157.30477906153243</v>
          </cell>
          <cell r="BV53">
            <v>-0.35596446700507611</v>
          </cell>
          <cell r="BW53">
            <v>156.94881459452736</v>
          </cell>
          <cell r="BX53">
            <v>168.24040541340366</v>
          </cell>
          <cell r="BY53">
            <v>-0.38071065989847713</v>
          </cell>
          <cell r="BZ53">
            <v>167.85969475350518</v>
          </cell>
          <cell r="CA53">
            <v>168.24040541340366</v>
          </cell>
          <cell r="CB53">
            <v>-0.4433673015024871</v>
          </cell>
          <cell r="CC53">
            <v>167.79703811190117</v>
          </cell>
          <cell r="CD53">
            <v>2.2471399999999995</v>
          </cell>
          <cell r="CE53">
            <v>200</v>
          </cell>
          <cell r="CF53">
            <v>1.8290397935845151</v>
          </cell>
          <cell r="CG53">
            <v>1.2605000000000002</v>
          </cell>
          <cell r="CH53">
            <v>140</v>
          </cell>
          <cell r="CI53">
            <v>0.71818100424063358</v>
          </cell>
          <cell r="CJ53">
            <v>2.5472207978251484</v>
          </cell>
          <cell r="CK53">
            <v>0.58790564793787992</v>
          </cell>
          <cell r="CL53">
            <v>0.18467511537616291</v>
          </cell>
          <cell r="CM53">
            <v>2.8877005347593578</v>
          </cell>
          <cell r="CN53">
            <v>3.6602812980734005</v>
          </cell>
          <cell r="CO53">
            <v>1.2215372907153728E-2</v>
          </cell>
          <cell r="CP53">
            <v>1.2727272727272729</v>
          </cell>
          <cell r="CQ53">
            <v>1.2849426456344266</v>
          </cell>
          <cell r="CR53">
            <v>1.21</v>
          </cell>
          <cell r="CS53">
            <v>9.81</v>
          </cell>
          <cell r="CT53">
            <v>15.63</v>
          </cell>
          <cell r="CU53">
            <v>0</v>
          </cell>
          <cell r="CV53">
            <v>201.93948285343419</v>
          </cell>
        </row>
        <row r="54">
          <cell r="K54" t="str">
            <v>ExportLNTManorUSAHand51x76M</v>
          </cell>
          <cell r="L54">
            <v>0</v>
          </cell>
          <cell r="M54">
            <v>160.51</v>
          </cell>
          <cell r="N54">
            <v>0</v>
          </cell>
          <cell r="O54">
            <v>50.42</v>
          </cell>
          <cell r="P54">
            <v>36.08</v>
          </cell>
          <cell r="Q54">
            <v>15.79</v>
          </cell>
          <cell r="R54">
            <v>0</v>
          </cell>
          <cell r="S54">
            <v>0</v>
          </cell>
          <cell r="T54">
            <v>262.8</v>
          </cell>
          <cell r="U54">
            <v>245.71800000000002</v>
          </cell>
          <cell r="V54">
            <v>2.5000000000000001E-3</v>
          </cell>
          <cell r="W54">
            <v>0</v>
          </cell>
          <cell r="X54">
            <v>-1.3999999999999999E-2</v>
          </cell>
          <cell r="Y54">
            <v>-2.5000000000000001E-2</v>
          </cell>
          <cell r="Z54">
            <v>6.4999999999999947E-2</v>
          </cell>
          <cell r="AA54">
            <v>1.4999999999999999E-2</v>
          </cell>
          <cell r="AB54">
            <v>0.01</v>
          </cell>
          <cell r="AC54">
            <v>0.6158345864661654</v>
          </cell>
          <cell r="AD54">
            <v>0</v>
          </cell>
          <cell r="AE54">
            <v>-2.2471399999999995</v>
          </cell>
          <cell r="AF54">
            <v>-1.2605000000000002</v>
          </cell>
          <cell r="AG54">
            <v>17.081999999999987</v>
          </cell>
          <cell r="AH54">
            <v>3.7418984771573607</v>
          </cell>
          <cell r="AI54">
            <v>2.4820000000000002</v>
          </cell>
          <cell r="AJ54">
            <v>20.414093063623511</v>
          </cell>
          <cell r="AK54">
            <v>266.13209306362353</v>
          </cell>
          <cell r="AL54" t="str">
            <v>1/13  Egy Comb</v>
          </cell>
          <cell r="AM54">
            <v>0</v>
          </cell>
          <cell r="AN54" t="str">
            <v>2/16  Egy Comb</v>
          </cell>
          <cell r="AO54" t="str">
            <v xml:space="preserve">1/14OE  </v>
          </cell>
          <cell r="AP54" t="str">
            <v>2/20  Gas Mer</v>
          </cell>
          <cell r="AQ54">
            <v>0</v>
          </cell>
          <cell r="AR54">
            <v>0</v>
          </cell>
          <cell r="AS54">
            <v>172.09</v>
          </cell>
          <cell r="AT54">
            <v>0</v>
          </cell>
          <cell r="AU54">
            <v>142.57</v>
          </cell>
          <cell r="AV54">
            <v>75.75</v>
          </cell>
          <cell r="AW54">
            <v>174</v>
          </cell>
          <cell r="AX54">
            <v>0</v>
          </cell>
          <cell r="AY54">
            <v>0</v>
          </cell>
          <cell r="AZ54">
            <v>27.622165899999999</v>
          </cell>
          <cell r="BA54">
            <v>7.1883793999999996</v>
          </cell>
          <cell r="BB54">
            <v>2.73306</v>
          </cell>
          <cell r="BC54">
            <v>2.7474600000000002</v>
          </cell>
          <cell r="BD54">
            <v>0</v>
          </cell>
          <cell r="BE54">
            <v>9.4416406154135324E-2</v>
          </cell>
          <cell r="BF54">
            <v>0</v>
          </cell>
          <cell r="BI54">
            <v>0</v>
          </cell>
          <cell r="BJ54">
            <v>0.5736875033832487</v>
          </cell>
          <cell r="BK54">
            <v>0.3805267278333333</v>
          </cell>
          <cell r="BL54">
            <v>1.0486306373707173</v>
          </cell>
          <cell r="BM54">
            <v>-1.5395864661654135E-2</v>
          </cell>
          <cell r="BN54">
            <v>0</v>
          </cell>
          <cell r="BO54">
            <v>0</v>
          </cell>
          <cell r="BP54">
            <v>0</v>
          </cell>
          <cell r="BQ54">
            <v>0</v>
          </cell>
          <cell r="BR54">
            <v>-9.3547461928934011E-2</v>
          </cell>
          <cell r="BS54">
            <v>0</v>
          </cell>
          <cell r="BT54">
            <v>-0.10894332659058814</v>
          </cell>
          <cell r="BU54">
            <v>157.30477906153243</v>
          </cell>
          <cell r="BV54">
            <v>-0.35596446700507611</v>
          </cell>
          <cell r="BW54">
            <v>156.94881459452736</v>
          </cell>
          <cell r="BX54">
            <v>168.24040541340366</v>
          </cell>
          <cell r="BY54">
            <v>-0.38071065989847713</v>
          </cell>
          <cell r="BZ54">
            <v>167.85969475350518</v>
          </cell>
          <cell r="CA54">
            <v>168.24040541340366</v>
          </cell>
          <cell r="CB54">
            <v>-0.4433673015024871</v>
          </cell>
          <cell r="CC54">
            <v>167.79703811190117</v>
          </cell>
          <cell r="CD54">
            <v>2.2471399999999995</v>
          </cell>
          <cell r="CE54">
            <v>200</v>
          </cell>
          <cell r="CF54">
            <v>1.8290397935845151</v>
          </cell>
          <cell r="CG54">
            <v>1.2605000000000002</v>
          </cell>
          <cell r="CH54">
            <v>140</v>
          </cell>
          <cell r="CI54">
            <v>0.71818100424063358</v>
          </cell>
          <cell r="CJ54">
            <v>2.5472207978251484</v>
          </cell>
          <cell r="CK54">
            <v>0.58790564793787992</v>
          </cell>
          <cell r="CL54">
            <v>0.18467511537616291</v>
          </cell>
          <cell r="CM54">
            <v>2.8877005347593578</v>
          </cell>
          <cell r="CN54">
            <v>3.6602812980734005</v>
          </cell>
          <cell r="CO54">
            <v>1.2215372907153728E-2</v>
          </cell>
          <cell r="CP54">
            <v>1.2727272727272729</v>
          </cell>
          <cell r="CQ54">
            <v>1.2849426456344266</v>
          </cell>
          <cell r="CR54">
            <v>4.22</v>
          </cell>
          <cell r="CS54">
            <v>9.7200000000000006</v>
          </cell>
          <cell r="CT54">
            <v>15.63</v>
          </cell>
          <cell r="CU54">
            <v>0</v>
          </cell>
          <cell r="CV54">
            <v>204.85948285343417</v>
          </cell>
        </row>
        <row r="55">
          <cell r="K55" t="str">
            <v>ExportLNTManorUSAHand51x76D</v>
          </cell>
          <cell r="L55">
            <v>0</v>
          </cell>
          <cell r="M55">
            <v>160.51</v>
          </cell>
          <cell r="N55">
            <v>0</v>
          </cell>
          <cell r="O55">
            <v>50.42</v>
          </cell>
          <cell r="P55">
            <v>36.08</v>
          </cell>
          <cell r="Q55">
            <v>15.79</v>
          </cell>
          <cell r="R55">
            <v>0</v>
          </cell>
          <cell r="S55">
            <v>0</v>
          </cell>
          <cell r="T55">
            <v>262.8</v>
          </cell>
          <cell r="U55">
            <v>245.71800000000002</v>
          </cell>
          <cell r="V55">
            <v>2.5000000000000001E-3</v>
          </cell>
          <cell r="W55">
            <v>0</v>
          </cell>
          <cell r="X55">
            <v>-1.3999999999999999E-2</v>
          </cell>
          <cell r="Y55">
            <v>-2.5000000000000001E-2</v>
          </cell>
          <cell r="Z55">
            <v>6.4999999999999947E-2</v>
          </cell>
          <cell r="AA55">
            <v>1.4999999999999999E-2</v>
          </cell>
          <cell r="AB55">
            <v>0.01</v>
          </cell>
          <cell r="AC55">
            <v>0.6158345864661654</v>
          </cell>
          <cell r="AD55">
            <v>0</v>
          </cell>
          <cell r="AE55">
            <v>-2.2471399999999995</v>
          </cell>
          <cell r="AF55">
            <v>-1.2605000000000002</v>
          </cell>
          <cell r="AG55">
            <v>17.081999999999987</v>
          </cell>
          <cell r="AH55">
            <v>3.7418984771573607</v>
          </cell>
          <cell r="AI55">
            <v>2.4820000000000002</v>
          </cell>
          <cell r="AJ55">
            <v>20.414093063623511</v>
          </cell>
          <cell r="AK55">
            <v>266.13209306362353</v>
          </cell>
          <cell r="AL55" t="str">
            <v>1/13  Egy Comb</v>
          </cell>
          <cell r="AM55">
            <v>0</v>
          </cell>
          <cell r="AN55" t="str">
            <v>2/16  Egy Comb</v>
          </cell>
          <cell r="AO55" t="str">
            <v xml:space="preserve">1/14OE  </v>
          </cell>
          <cell r="AP55" t="str">
            <v>2/20  Gas Mer</v>
          </cell>
          <cell r="AQ55">
            <v>0</v>
          </cell>
          <cell r="AR55">
            <v>0</v>
          </cell>
          <cell r="AS55">
            <v>172.09</v>
          </cell>
          <cell r="AT55">
            <v>0</v>
          </cell>
          <cell r="AU55">
            <v>142.57</v>
          </cell>
          <cell r="AV55">
            <v>75.75</v>
          </cell>
          <cell r="AW55">
            <v>174</v>
          </cell>
          <cell r="AX55">
            <v>0</v>
          </cell>
          <cell r="AY55">
            <v>0</v>
          </cell>
          <cell r="AZ55">
            <v>27.622165899999999</v>
          </cell>
          <cell r="BA55">
            <v>7.1883793999999996</v>
          </cell>
          <cell r="BB55">
            <v>2.73306</v>
          </cell>
          <cell r="BC55">
            <v>2.7474600000000002</v>
          </cell>
          <cell r="BD55">
            <v>0</v>
          </cell>
          <cell r="BE55">
            <v>9.4416406154135324E-2</v>
          </cell>
          <cell r="BF55">
            <v>0</v>
          </cell>
          <cell r="BI55">
            <v>0</v>
          </cell>
          <cell r="BJ55">
            <v>0.5736875033832487</v>
          </cell>
          <cell r="BK55">
            <v>0.3805267278333333</v>
          </cell>
          <cell r="BL55">
            <v>1.0486306373707173</v>
          </cell>
          <cell r="BM55">
            <v>-1.5395864661654135E-2</v>
          </cell>
          <cell r="BN55">
            <v>0</v>
          </cell>
          <cell r="BO55">
            <v>0</v>
          </cell>
          <cell r="BP55">
            <v>0</v>
          </cell>
          <cell r="BQ55">
            <v>0</v>
          </cell>
          <cell r="BR55">
            <v>-9.3547461928934011E-2</v>
          </cell>
          <cell r="BS55">
            <v>0</v>
          </cell>
          <cell r="BT55">
            <v>-0.10894332659058814</v>
          </cell>
          <cell r="BU55">
            <v>157.30477906153243</v>
          </cell>
          <cell r="BV55">
            <v>-0.35596446700507611</v>
          </cell>
          <cell r="BW55">
            <v>156.94881459452736</v>
          </cell>
          <cell r="BX55">
            <v>168.24040541340366</v>
          </cell>
          <cell r="BY55">
            <v>-0.38071065989847713</v>
          </cell>
          <cell r="BZ55">
            <v>167.85969475350518</v>
          </cell>
          <cell r="CA55">
            <v>168.24040541340366</v>
          </cell>
          <cell r="CB55">
            <v>-0.4433673015024871</v>
          </cell>
          <cell r="CC55">
            <v>167.79703811190117</v>
          </cell>
          <cell r="CD55">
            <v>2.2471399999999995</v>
          </cell>
          <cell r="CE55">
            <v>200</v>
          </cell>
          <cell r="CF55">
            <v>1.8290397935845151</v>
          </cell>
          <cell r="CG55">
            <v>1.2605000000000002</v>
          </cell>
          <cell r="CH55">
            <v>140</v>
          </cell>
          <cell r="CI55">
            <v>0.71818100424063358</v>
          </cell>
          <cell r="CJ55">
            <v>2.5472207978251484</v>
          </cell>
          <cell r="CK55">
            <v>0.58790564793787992</v>
          </cell>
          <cell r="CL55">
            <v>0.18467511537616291</v>
          </cell>
          <cell r="CM55">
            <v>2.8877005347593578</v>
          </cell>
          <cell r="CN55">
            <v>3.6602812980734005</v>
          </cell>
          <cell r="CO55">
            <v>1.2215372907153728E-2</v>
          </cell>
          <cell r="CP55">
            <v>1.2727272727272729</v>
          </cell>
          <cell r="CQ55">
            <v>1.2849426456344266</v>
          </cell>
          <cell r="CR55">
            <v>14.66</v>
          </cell>
          <cell r="CS55">
            <v>9.98</v>
          </cell>
          <cell r="CT55">
            <v>15.63</v>
          </cell>
          <cell r="CU55">
            <v>0</v>
          </cell>
          <cell r="CV55">
            <v>215.55948285343419</v>
          </cell>
        </row>
        <row r="56">
          <cell r="K56" t="str">
            <v>ExportLNTManorUSAWash33x33L</v>
          </cell>
          <cell r="L56">
            <v>0</v>
          </cell>
          <cell r="M56">
            <v>39.29</v>
          </cell>
          <cell r="N56">
            <v>0</v>
          </cell>
          <cell r="O56">
            <v>15.6</v>
          </cell>
          <cell r="P56">
            <v>10.439</v>
          </cell>
          <cell r="Q56">
            <v>3.2650000000000001</v>
          </cell>
          <cell r="R56">
            <v>0</v>
          </cell>
          <cell r="S56">
            <v>0</v>
          </cell>
          <cell r="T56">
            <v>68.594000000000008</v>
          </cell>
          <cell r="U56">
            <v>60.36272000000001</v>
          </cell>
          <cell r="V56">
            <v>2.5000000000000001E-3</v>
          </cell>
          <cell r="W56">
            <v>0</v>
          </cell>
          <cell r="X56">
            <v>-1.3999999999999999E-2</v>
          </cell>
          <cell r="Y56">
            <v>-2.5000000000000001E-2</v>
          </cell>
          <cell r="Z56">
            <v>0.12</v>
          </cell>
          <cell r="AA56">
            <v>1.4999999999999999E-2</v>
          </cell>
          <cell r="AB56">
            <v>0.01</v>
          </cell>
          <cell r="AC56">
            <v>0.15128501253132834</v>
          </cell>
          <cell r="AD56">
            <v>0</v>
          </cell>
          <cell r="AE56">
            <v>-0.55005999999999988</v>
          </cell>
          <cell r="AF56">
            <v>-0.39</v>
          </cell>
          <cell r="AG56">
            <v>8.2312799999999999</v>
          </cell>
          <cell r="AH56">
            <v>0.91922923857868033</v>
          </cell>
          <cell r="AI56">
            <v>0.60972444444444462</v>
          </cell>
          <cell r="AJ56">
            <v>8.9714586955544533</v>
          </cell>
          <cell r="AK56">
            <v>69.334178695554471</v>
          </cell>
          <cell r="AL56" t="str">
            <v>1/13  Egy Comb</v>
          </cell>
          <cell r="AM56">
            <v>0</v>
          </cell>
          <cell r="AN56" t="str">
            <v>2/16  Egy Comb</v>
          </cell>
          <cell r="AO56" t="str">
            <v xml:space="preserve">1/14OE  </v>
          </cell>
          <cell r="AP56" t="str">
            <v>2/20  Gas Mer</v>
          </cell>
          <cell r="AQ56">
            <v>0</v>
          </cell>
          <cell r="AR56">
            <v>0</v>
          </cell>
          <cell r="AS56">
            <v>172.09</v>
          </cell>
          <cell r="AT56">
            <v>0</v>
          </cell>
          <cell r="AU56">
            <v>142.57</v>
          </cell>
          <cell r="AV56">
            <v>75.75</v>
          </cell>
          <cell r="AW56">
            <v>174</v>
          </cell>
          <cell r="AX56">
            <v>0</v>
          </cell>
          <cell r="AY56">
            <v>0</v>
          </cell>
          <cell r="AZ56">
            <v>6.7614160999999999</v>
          </cell>
          <cell r="BA56">
            <v>2.2240919999999997</v>
          </cell>
          <cell r="BB56">
            <v>0.79075424999999999</v>
          </cell>
          <cell r="BC56">
            <v>0.56811</v>
          </cell>
          <cell r="BD56">
            <v>0</v>
          </cell>
          <cell r="BE56">
            <v>2.2814655809523812E-2</v>
          </cell>
          <cell r="BF56">
            <v>0</v>
          </cell>
          <cell r="BI56">
            <v>0</v>
          </cell>
          <cell r="BJ56">
            <v>0.13862509139086296</v>
          </cell>
          <cell r="BK56">
            <v>9.194997644444447E-2</v>
          </cell>
          <cell r="BL56">
            <v>0.25338972364483126</v>
          </cell>
          <cell r="BM56">
            <v>-3.7821253132832083E-3</v>
          </cell>
          <cell r="BN56">
            <v>0</v>
          </cell>
          <cell r="BO56">
            <v>0</v>
          </cell>
          <cell r="BP56">
            <v>0</v>
          </cell>
          <cell r="BQ56">
            <v>0</v>
          </cell>
          <cell r="BR56">
            <v>-2.2980730964467008E-2</v>
          </cell>
          <cell r="BS56">
            <v>0</v>
          </cell>
          <cell r="BT56">
            <v>-2.6762856277750217E-2</v>
          </cell>
          <cell r="BU56">
            <v>154.49984070975347</v>
          </cell>
          <cell r="BV56">
            <v>-0.3350253807106599</v>
          </cell>
          <cell r="BW56">
            <v>154.16481532904282</v>
          </cell>
          <cell r="BX56">
            <v>175.56800080653804</v>
          </cell>
          <cell r="BY56">
            <v>-0.38071065989847713</v>
          </cell>
          <cell r="BZ56">
            <v>175.18729014663955</v>
          </cell>
          <cell r="CA56">
            <v>175.56800080653804</v>
          </cell>
          <cell r="CB56">
            <v>-0.44336730150248715</v>
          </cell>
          <cell r="CC56">
            <v>175.12463350503555</v>
          </cell>
          <cell r="CD56">
            <v>0.55005999999999988</v>
          </cell>
          <cell r="CE56">
            <v>200</v>
          </cell>
          <cell r="CF56">
            <v>1.8225156189118044</v>
          </cell>
          <cell r="CG56">
            <v>0.39</v>
          </cell>
          <cell r="CH56">
            <v>140</v>
          </cell>
          <cell r="CI56">
            <v>0.90453180373581565</v>
          </cell>
          <cell r="CJ56">
            <v>2.7270474226476198</v>
          </cell>
          <cell r="CK56">
            <v>0.58580859179308009</v>
          </cell>
          <cell r="CL56">
            <v>0.23259389238920972</v>
          </cell>
          <cell r="CM56">
            <v>3.0681818181818179</v>
          </cell>
          <cell r="CN56">
            <v>3.8865843023641076</v>
          </cell>
          <cell r="CO56">
            <v>1.2171800740589555E-2</v>
          </cell>
          <cell r="CP56">
            <v>1.3522727272727275</v>
          </cell>
          <cell r="CQ56">
            <v>1.3644445280133171</v>
          </cell>
          <cell r="CR56">
            <v>1.21</v>
          </cell>
          <cell r="CS56">
            <v>9.81</v>
          </cell>
          <cell r="CT56">
            <v>60.77</v>
          </cell>
          <cell r="CU56">
            <v>0</v>
          </cell>
          <cell r="CV56">
            <v>254.89270975806056</v>
          </cell>
        </row>
        <row r="57">
          <cell r="K57" t="str">
            <v>ExportLNTManorUSAWash33x33M</v>
          </cell>
          <cell r="L57">
            <v>0</v>
          </cell>
          <cell r="M57">
            <v>39.29</v>
          </cell>
          <cell r="N57">
            <v>0</v>
          </cell>
          <cell r="O57">
            <v>15.6</v>
          </cell>
          <cell r="P57">
            <v>10.439</v>
          </cell>
          <cell r="Q57">
            <v>3.2650000000000001</v>
          </cell>
          <cell r="R57">
            <v>0</v>
          </cell>
          <cell r="S57">
            <v>0</v>
          </cell>
          <cell r="T57">
            <v>68.594000000000008</v>
          </cell>
          <cell r="U57">
            <v>60.36272000000001</v>
          </cell>
          <cell r="V57">
            <v>2.5000000000000001E-3</v>
          </cell>
          <cell r="W57">
            <v>0</v>
          </cell>
          <cell r="X57">
            <v>-1.3999999999999999E-2</v>
          </cell>
          <cell r="Y57">
            <v>-2.5000000000000001E-2</v>
          </cell>
          <cell r="Z57">
            <v>0.12</v>
          </cell>
          <cell r="AA57">
            <v>1.4999999999999999E-2</v>
          </cell>
          <cell r="AB57">
            <v>0.01</v>
          </cell>
          <cell r="AC57">
            <v>0.15128501253132834</v>
          </cell>
          <cell r="AD57">
            <v>0</v>
          </cell>
          <cell r="AE57">
            <v>-0.55005999999999988</v>
          </cell>
          <cell r="AF57">
            <v>-0.39</v>
          </cell>
          <cell r="AG57">
            <v>8.2312799999999999</v>
          </cell>
          <cell r="AH57">
            <v>0.91922923857868033</v>
          </cell>
          <cell r="AI57">
            <v>0.60972444444444462</v>
          </cell>
          <cell r="AJ57">
            <v>8.9714586955544533</v>
          </cell>
          <cell r="AK57">
            <v>69.334178695554471</v>
          </cell>
          <cell r="AL57" t="str">
            <v>1/13  Egy Comb</v>
          </cell>
          <cell r="AM57">
            <v>0</v>
          </cell>
          <cell r="AN57" t="str">
            <v>2/16  Egy Comb</v>
          </cell>
          <cell r="AO57" t="str">
            <v xml:space="preserve">1/14OE  </v>
          </cell>
          <cell r="AP57" t="str">
            <v>2/20  Gas Mer</v>
          </cell>
          <cell r="AQ57">
            <v>0</v>
          </cell>
          <cell r="AR57">
            <v>0</v>
          </cell>
          <cell r="AS57">
            <v>172.09</v>
          </cell>
          <cell r="AT57">
            <v>0</v>
          </cell>
          <cell r="AU57">
            <v>142.57</v>
          </cell>
          <cell r="AV57">
            <v>75.75</v>
          </cell>
          <cell r="AW57">
            <v>174</v>
          </cell>
          <cell r="AX57">
            <v>0</v>
          </cell>
          <cell r="AY57">
            <v>0</v>
          </cell>
          <cell r="AZ57">
            <v>6.7614160999999999</v>
          </cell>
          <cell r="BA57">
            <v>2.2240919999999997</v>
          </cell>
          <cell r="BB57">
            <v>0.79075424999999999</v>
          </cell>
          <cell r="BC57">
            <v>0.56811</v>
          </cell>
          <cell r="BD57">
            <v>0</v>
          </cell>
          <cell r="BE57">
            <v>2.2814655809523812E-2</v>
          </cell>
          <cell r="BF57">
            <v>0</v>
          </cell>
          <cell r="BI57">
            <v>0</v>
          </cell>
          <cell r="BJ57">
            <v>0.13862509139086296</v>
          </cell>
          <cell r="BK57">
            <v>9.194997644444447E-2</v>
          </cell>
          <cell r="BL57">
            <v>0.25338972364483126</v>
          </cell>
          <cell r="BM57">
            <v>-3.7821253132832083E-3</v>
          </cell>
          <cell r="BN57">
            <v>0</v>
          </cell>
          <cell r="BO57">
            <v>0</v>
          </cell>
          <cell r="BP57">
            <v>0</v>
          </cell>
          <cell r="BQ57">
            <v>0</v>
          </cell>
          <cell r="BR57">
            <v>-2.2980730964467008E-2</v>
          </cell>
          <cell r="BS57">
            <v>0</v>
          </cell>
          <cell r="BT57">
            <v>-2.6762856277750217E-2</v>
          </cell>
          <cell r="BU57">
            <v>154.49984070975347</v>
          </cell>
          <cell r="BV57">
            <v>-0.3350253807106599</v>
          </cell>
          <cell r="BW57">
            <v>154.16481532904282</v>
          </cell>
          <cell r="BX57">
            <v>175.56800080653804</v>
          </cell>
          <cell r="BY57">
            <v>-0.38071065989847713</v>
          </cell>
          <cell r="BZ57">
            <v>175.18729014663955</v>
          </cell>
          <cell r="CA57">
            <v>175.56800080653804</v>
          </cell>
          <cell r="CB57">
            <v>-0.44336730150248715</v>
          </cell>
          <cell r="CC57">
            <v>175.12463350503555</v>
          </cell>
          <cell r="CD57">
            <v>0.55005999999999988</v>
          </cell>
          <cell r="CE57">
            <v>200</v>
          </cell>
          <cell r="CF57">
            <v>1.8225156189118044</v>
          </cell>
          <cell r="CG57">
            <v>0.39</v>
          </cell>
          <cell r="CH57">
            <v>140</v>
          </cell>
          <cell r="CI57">
            <v>0.90453180373581565</v>
          </cell>
          <cell r="CJ57">
            <v>2.7270474226476198</v>
          </cell>
          <cell r="CK57">
            <v>0.58580859179308009</v>
          </cell>
          <cell r="CL57">
            <v>0.23259389238920972</v>
          </cell>
          <cell r="CM57">
            <v>3.0681818181818179</v>
          </cell>
          <cell r="CN57">
            <v>3.8865843023641076</v>
          </cell>
          <cell r="CO57">
            <v>1.2171800740589555E-2</v>
          </cell>
          <cell r="CP57">
            <v>1.3522727272727275</v>
          </cell>
          <cell r="CQ57">
            <v>1.3644445280133171</v>
          </cell>
          <cell r="CR57">
            <v>4.22</v>
          </cell>
          <cell r="CS57">
            <v>9.7200000000000006</v>
          </cell>
          <cell r="CT57">
            <v>60.77</v>
          </cell>
          <cell r="CU57">
            <v>0</v>
          </cell>
          <cell r="CV57">
            <v>257.81270975806058</v>
          </cell>
        </row>
        <row r="58">
          <cell r="K58" t="str">
            <v>ExportLNTManorUSAWash33x33D</v>
          </cell>
          <cell r="L58">
            <v>0</v>
          </cell>
          <cell r="M58">
            <v>39.29</v>
          </cell>
          <cell r="N58">
            <v>0</v>
          </cell>
          <cell r="O58">
            <v>15.6</v>
          </cell>
          <cell r="P58">
            <v>10.439</v>
          </cell>
          <cell r="Q58">
            <v>3.2650000000000001</v>
          </cell>
          <cell r="R58">
            <v>0</v>
          </cell>
          <cell r="S58">
            <v>0</v>
          </cell>
          <cell r="T58">
            <v>68.594000000000008</v>
          </cell>
          <cell r="U58">
            <v>60.36272000000001</v>
          </cell>
          <cell r="V58">
            <v>2.5000000000000001E-3</v>
          </cell>
          <cell r="W58">
            <v>0</v>
          </cell>
          <cell r="X58">
            <v>-1.3999999999999999E-2</v>
          </cell>
          <cell r="Y58">
            <v>-2.5000000000000001E-2</v>
          </cell>
          <cell r="Z58">
            <v>0.12</v>
          </cell>
          <cell r="AA58">
            <v>1.4999999999999999E-2</v>
          </cell>
          <cell r="AB58">
            <v>0.01</v>
          </cell>
          <cell r="AC58">
            <v>0.15128501253132834</v>
          </cell>
          <cell r="AD58">
            <v>0</v>
          </cell>
          <cell r="AE58">
            <v>-0.55005999999999988</v>
          </cell>
          <cell r="AF58">
            <v>-0.39</v>
          </cell>
          <cell r="AG58">
            <v>8.2312799999999999</v>
          </cell>
          <cell r="AH58">
            <v>0.91922923857868033</v>
          </cell>
          <cell r="AI58">
            <v>0.60972444444444462</v>
          </cell>
          <cell r="AJ58">
            <v>8.9714586955544533</v>
          </cell>
          <cell r="AK58">
            <v>69.334178695554471</v>
          </cell>
          <cell r="AL58" t="str">
            <v>1/13  Egy Comb</v>
          </cell>
          <cell r="AM58">
            <v>0</v>
          </cell>
          <cell r="AN58" t="str">
            <v>2/16  Egy Comb</v>
          </cell>
          <cell r="AO58" t="str">
            <v xml:space="preserve">1/14OE  </v>
          </cell>
          <cell r="AP58" t="str">
            <v>2/20  Gas Mer</v>
          </cell>
          <cell r="AQ58">
            <v>0</v>
          </cell>
          <cell r="AR58">
            <v>0</v>
          </cell>
          <cell r="AS58">
            <v>172.09</v>
          </cell>
          <cell r="AT58">
            <v>0</v>
          </cell>
          <cell r="AU58">
            <v>142.57</v>
          </cell>
          <cell r="AV58">
            <v>75.75</v>
          </cell>
          <cell r="AW58">
            <v>174</v>
          </cell>
          <cell r="AX58">
            <v>0</v>
          </cell>
          <cell r="AY58">
            <v>0</v>
          </cell>
          <cell r="AZ58">
            <v>6.7614160999999999</v>
          </cell>
          <cell r="BA58">
            <v>2.2240919999999997</v>
          </cell>
          <cell r="BB58">
            <v>0.79075424999999999</v>
          </cell>
          <cell r="BC58">
            <v>0.56811</v>
          </cell>
          <cell r="BD58">
            <v>0</v>
          </cell>
          <cell r="BE58">
            <v>2.2814655809523812E-2</v>
          </cell>
          <cell r="BF58">
            <v>0</v>
          </cell>
          <cell r="BI58">
            <v>0</v>
          </cell>
          <cell r="BJ58">
            <v>0.13862509139086296</v>
          </cell>
          <cell r="BK58">
            <v>9.194997644444447E-2</v>
          </cell>
          <cell r="BL58">
            <v>0.25338972364483126</v>
          </cell>
          <cell r="BM58">
            <v>-3.7821253132832083E-3</v>
          </cell>
          <cell r="BN58">
            <v>0</v>
          </cell>
          <cell r="BO58">
            <v>0</v>
          </cell>
          <cell r="BP58">
            <v>0</v>
          </cell>
          <cell r="BQ58">
            <v>0</v>
          </cell>
          <cell r="BR58">
            <v>-2.2980730964467008E-2</v>
          </cell>
          <cell r="BS58">
            <v>0</v>
          </cell>
          <cell r="BT58">
            <v>-2.6762856277750217E-2</v>
          </cell>
          <cell r="BU58">
            <v>154.49984070975347</v>
          </cell>
          <cell r="BV58">
            <v>-0.3350253807106599</v>
          </cell>
          <cell r="BW58">
            <v>154.16481532904282</v>
          </cell>
          <cell r="BX58">
            <v>175.56800080653804</v>
          </cell>
          <cell r="BY58">
            <v>-0.38071065989847713</v>
          </cell>
          <cell r="BZ58">
            <v>175.18729014663955</v>
          </cell>
          <cell r="CA58">
            <v>175.56800080653804</v>
          </cell>
          <cell r="CB58">
            <v>-0.44336730150248715</v>
          </cell>
          <cell r="CC58">
            <v>175.12463350503555</v>
          </cell>
          <cell r="CD58">
            <v>0.55005999999999988</v>
          </cell>
          <cell r="CE58">
            <v>200</v>
          </cell>
          <cell r="CF58">
            <v>1.8225156189118044</v>
          </cell>
          <cell r="CG58">
            <v>0.39</v>
          </cell>
          <cell r="CH58">
            <v>140</v>
          </cell>
          <cell r="CI58">
            <v>0.90453180373581565</v>
          </cell>
          <cell r="CJ58">
            <v>2.7270474226476198</v>
          </cell>
          <cell r="CK58">
            <v>0.58580859179308009</v>
          </cell>
          <cell r="CL58">
            <v>0.23259389238920972</v>
          </cell>
          <cell r="CM58">
            <v>3.0681818181818179</v>
          </cell>
          <cell r="CN58">
            <v>3.8865843023641076</v>
          </cell>
          <cell r="CO58">
            <v>1.2171800740589555E-2</v>
          </cell>
          <cell r="CP58">
            <v>1.3522727272727275</v>
          </cell>
          <cell r="CQ58">
            <v>1.3644445280133171</v>
          </cell>
          <cell r="CR58">
            <v>14.66</v>
          </cell>
          <cell r="CS58">
            <v>9.98</v>
          </cell>
          <cell r="CT58">
            <v>60.77</v>
          </cell>
          <cell r="CU58">
            <v>0</v>
          </cell>
          <cell r="CV58">
            <v>268.51270975806057</v>
          </cell>
        </row>
        <row r="59">
          <cell r="K59" t="str">
            <v>ExportLNTNewUSABath76x147L</v>
          </cell>
          <cell r="L59">
            <v>0</v>
          </cell>
          <cell r="M59">
            <v>501.9</v>
          </cell>
          <cell r="N59">
            <v>0</v>
          </cell>
          <cell r="O59">
            <v>142.19999999999999</v>
          </cell>
          <cell r="P59">
            <v>92.114000000000004</v>
          </cell>
          <cell r="Q59">
            <v>32.08</v>
          </cell>
          <cell r="R59">
            <v>0</v>
          </cell>
          <cell r="S59">
            <v>0</v>
          </cell>
          <cell r="T59">
            <v>768.29399999999998</v>
          </cell>
          <cell r="U59">
            <v>718.35489000000007</v>
          </cell>
          <cell r="V59">
            <v>2.5000000000000001E-3</v>
          </cell>
          <cell r="W59">
            <v>0</v>
          </cell>
          <cell r="X59">
            <v>-1.3999999999999999E-2</v>
          </cell>
          <cell r="Y59">
            <v>-2.5000000000000001E-2</v>
          </cell>
          <cell r="Z59">
            <v>6.4999999999999836E-2</v>
          </cell>
          <cell r="AA59">
            <v>1.4999999999999999E-2</v>
          </cell>
          <cell r="AB59">
            <v>0.01</v>
          </cell>
          <cell r="AC59">
            <v>1.800388195488722</v>
          </cell>
          <cell r="AD59">
            <v>0</v>
          </cell>
          <cell r="AE59">
            <v>-7.0265999999999993</v>
          </cell>
          <cell r="AF59">
            <v>-3.5549999999999997</v>
          </cell>
          <cell r="AG59">
            <v>49.939109999999872</v>
          </cell>
          <cell r="AH59">
            <v>10.939414568527919</v>
          </cell>
          <cell r="AI59">
            <v>7.2561100000000014</v>
          </cell>
          <cell r="AJ59">
            <v>59.353422764016521</v>
          </cell>
          <cell r="AK59">
            <v>777.70831276401657</v>
          </cell>
          <cell r="AL59" t="str">
            <v>1/13  Egy Comb</v>
          </cell>
          <cell r="AM59">
            <v>0</v>
          </cell>
          <cell r="AN59" t="str">
            <v>2/16  Egy Comb</v>
          </cell>
          <cell r="AO59" t="str">
            <v xml:space="preserve">1/14OE  </v>
          </cell>
          <cell r="AP59" t="str">
            <v>2/20  Gas Mer</v>
          </cell>
          <cell r="AQ59">
            <v>0</v>
          </cell>
          <cell r="AR59">
            <v>0</v>
          </cell>
          <cell r="AS59">
            <v>172.09</v>
          </cell>
          <cell r="AT59">
            <v>0</v>
          </cell>
          <cell r="AU59">
            <v>142.57</v>
          </cell>
          <cell r="AV59">
            <v>75.75</v>
          </cell>
          <cell r="AW59">
            <v>174</v>
          </cell>
          <cell r="AX59">
            <v>0</v>
          </cell>
          <cell r="AY59">
            <v>0</v>
          </cell>
          <cell r="AZ59">
            <v>86.371971000000002</v>
          </cell>
          <cell r="BA59">
            <v>20.273453999999997</v>
          </cell>
          <cell r="BB59">
            <v>6.9776354999999999</v>
          </cell>
          <cell r="BC59">
            <v>5.5819200000000002</v>
          </cell>
          <cell r="BD59">
            <v>0</v>
          </cell>
          <cell r="BE59">
            <v>0.27933999189849629</v>
          </cell>
          <cell r="BF59">
            <v>0</v>
          </cell>
          <cell r="BI59">
            <v>0</v>
          </cell>
          <cell r="BJ59">
            <v>1.6973094939213198</v>
          </cell>
          <cell r="BK59">
            <v>1.1258248158333335</v>
          </cell>
          <cell r="BL59">
            <v>3.1024743016531495</v>
          </cell>
          <cell r="BM59">
            <v>-4.5009704887218047E-2</v>
          </cell>
          <cell r="BN59">
            <v>0</v>
          </cell>
          <cell r="BO59">
            <v>0</v>
          </cell>
          <cell r="BP59">
            <v>0</v>
          </cell>
          <cell r="BQ59">
            <v>0</v>
          </cell>
          <cell r="BR59">
            <v>-0.27348536421319797</v>
          </cell>
          <cell r="BS59">
            <v>0</v>
          </cell>
          <cell r="BT59">
            <v>-0.31849506910041603</v>
          </cell>
          <cell r="BU59">
            <v>159.19355715605374</v>
          </cell>
          <cell r="BV59">
            <v>-0.35596446700507617</v>
          </cell>
          <cell r="BW59">
            <v>158.83759268904868</v>
          </cell>
          <cell r="BX59">
            <v>170.26048893695585</v>
          </cell>
          <cell r="BY59">
            <v>-0.38071065989847708</v>
          </cell>
          <cell r="BZ59">
            <v>169.87977827705737</v>
          </cell>
          <cell r="CA59">
            <v>170.26048893695585</v>
          </cell>
          <cell r="CB59">
            <v>-0.44336730150248715</v>
          </cell>
          <cell r="CC59">
            <v>169.81712163545336</v>
          </cell>
          <cell r="CD59">
            <v>7.0265999999999993</v>
          </cell>
          <cell r="CE59">
            <v>200</v>
          </cell>
          <cell r="CF59">
            <v>1.9563032417027186</v>
          </cell>
          <cell r="CG59">
            <v>3.5549999999999997</v>
          </cell>
          <cell r="CH59">
            <v>140</v>
          </cell>
          <cell r="CI59">
            <v>0.69283303688515285</v>
          </cell>
          <cell r="CJ59">
            <v>2.6491362785878714</v>
          </cell>
          <cell r="CK59">
            <v>0.62881175626158803</v>
          </cell>
          <cell r="CL59">
            <v>0.17815706662761072</v>
          </cell>
          <cell r="CM59">
            <v>2.8877005347593578</v>
          </cell>
          <cell r="CN59">
            <v>3.6946693576485563</v>
          </cell>
          <cell r="CO59">
            <v>1.3065310935657444E-2</v>
          </cell>
          <cell r="CP59">
            <v>1.2727272727272727</v>
          </cell>
          <cell r="CQ59">
            <v>1.2857925836629303</v>
          </cell>
          <cell r="CR59">
            <v>1.21</v>
          </cell>
          <cell r="CS59">
            <v>9.81</v>
          </cell>
          <cell r="CT59">
            <v>13.19</v>
          </cell>
          <cell r="CU59">
            <v>0</v>
          </cell>
          <cell r="CV59">
            <v>201.65671985535272</v>
          </cell>
        </row>
        <row r="60">
          <cell r="K60" t="str">
            <v>ExportLNTNewUSABath76x147M</v>
          </cell>
          <cell r="L60">
            <v>0</v>
          </cell>
          <cell r="M60">
            <v>501.9</v>
          </cell>
          <cell r="N60">
            <v>0</v>
          </cell>
          <cell r="O60">
            <v>142.19999999999999</v>
          </cell>
          <cell r="P60">
            <v>92.114000000000004</v>
          </cell>
          <cell r="Q60">
            <v>32.08</v>
          </cell>
          <cell r="R60">
            <v>0</v>
          </cell>
          <cell r="S60">
            <v>0</v>
          </cell>
          <cell r="T60">
            <v>768.29399999999998</v>
          </cell>
          <cell r="U60">
            <v>718.35489000000007</v>
          </cell>
          <cell r="V60">
            <v>2.5000000000000001E-3</v>
          </cell>
          <cell r="W60">
            <v>0</v>
          </cell>
          <cell r="X60">
            <v>-1.3999999999999999E-2</v>
          </cell>
          <cell r="Y60">
            <v>-2.5000000000000001E-2</v>
          </cell>
          <cell r="Z60">
            <v>6.4999999999999836E-2</v>
          </cell>
          <cell r="AA60">
            <v>1.4999999999999999E-2</v>
          </cell>
          <cell r="AB60">
            <v>0.01</v>
          </cell>
          <cell r="AC60">
            <v>1.800388195488722</v>
          </cell>
          <cell r="AD60">
            <v>0</v>
          </cell>
          <cell r="AE60">
            <v>-7.0265999999999993</v>
          </cell>
          <cell r="AF60">
            <v>-3.5549999999999997</v>
          </cell>
          <cell r="AG60">
            <v>49.939109999999872</v>
          </cell>
          <cell r="AH60">
            <v>10.939414568527919</v>
          </cell>
          <cell r="AI60">
            <v>7.2561100000000014</v>
          </cell>
          <cell r="AJ60">
            <v>59.353422764016521</v>
          </cell>
          <cell r="AK60">
            <v>777.70831276401657</v>
          </cell>
          <cell r="AL60" t="str">
            <v>1/13  Egy Comb</v>
          </cell>
          <cell r="AM60">
            <v>0</v>
          </cell>
          <cell r="AN60" t="str">
            <v>2/16  Egy Comb</v>
          </cell>
          <cell r="AO60" t="str">
            <v xml:space="preserve">1/14OE  </v>
          </cell>
          <cell r="AP60" t="str">
            <v>2/20  Gas Mer</v>
          </cell>
          <cell r="AQ60">
            <v>0</v>
          </cell>
          <cell r="AR60">
            <v>0</v>
          </cell>
          <cell r="AS60">
            <v>172.09</v>
          </cell>
          <cell r="AT60">
            <v>0</v>
          </cell>
          <cell r="AU60">
            <v>142.57</v>
          </cell>
          <cell r="AV60">
            <v>75.75</v>
          </cell>
          <cell r="AW60">
            <v>174</v>
          </cell>
          <cell r="AX60">
            <v>0</v>
          </cell>
          <cell r="AY60">
            <v>0</v>
          </cell>
          <cell r="AZ60">
            <v>86.371971000000002</v>
          </cell>
          <cell r="BA60">
            <v>20.273453999999997</v>
          </cell>
          <cell r="BB60">
            <v>6.9776354999999999</v>
          </cell>
          <cell r="BC60">
            <v>5.5819200000000002</v>
          </cell>
          <cell r="BD60">
            <v>0</v>
          </cell>
          <cell r="BE60">
            <v>0.27933999189849629</v>
          </cell>
          <cell r="BF60">
            <v>0</v>
          </cell>
          <cell r="BI60">
            <v>0</v>
          </cell>
          <cell r="BJ60">
            <v>1.6973094939213198</v>
          </cell>
          <cell r="BK60">
            <v>1.1258248158333335</v>
          </cell>
          <cell r="BL60">
            <v>3.1024743016531495</v>
          </cell>
          <cell r="BM60">
            <v>-4.5009704887218047E-2</v>
          </cell>
          <cell r="BN60">
            <v>0</v>
          </cell>
          <cell r="BO60">
            <v>0</v>
          </cell>
          <cell r="BP60">
            <v>0</v>
          </cell>
          <cell r="BQ60">
            <v>0</v>
          </cell>
          <cell r="BR60">
            <v>-0.27348536421319797</v>
          </cell>
          <cell r="BS60">
            <v>0</v>
          </cell>
          <cell r="BT60">
            <v>-0.31849506910041603</v>
          </cell>
          <cell r="BU60">
            <v>159.19355715605374</v>
          </cell>
          <cell r="BV60">
            <v>-0.35596446700507617</v>
          </cell>
          <cell r="BW60">
            <v>158.83759268904868</v>
          </cell>
          <cell r="BX60">
            <v>170.26048893695585</v>
          </cell>
          <cell r="BY60">
            <v>-0.38071065989847708</v>
          </cell>
          <cell r="BZ60">
            <v>169.87977827705737</v>
          </cell>
          <cell r="CA60">
            <v>170.26048893695585</v>
          </cell>
          <cell r="CB60">
            <v>-0.44336730150248715</v>
          </cell>
          <cell r="CC60">
            <v>169.81712163545336</v>
          </cell>
          <cell r="CD60">
            <v>7.0265999999999993</v>
          </cell>
          <cell r="CE60">
            <v>200</v>
          </cell>
          <cell r="CF60">
            <v>1.9563032417027186</v>
          </cell>
          <cell r="CG60">
            <v>3.5549999999999997</v>
          </cell>
          <cell r="CH60">
            <v>140</v>
          </cell>
          <cell r="CI60">
            <v>0.69283303688515285</v>
          </cell>
          <cell r="CJ60">
            <v>2.6491362785878714</v>
          </cell>
          <cell r="CK60">
            <v>0.62881175626158803</v>
          </cell>
          <cell r="CL60">
            <v>0.17815706662761072</v>
          </cell>
          <cell r="CM60">
            <v>2.8877005347593578</v>
          </cell>
          <cell r="CN60">
            <v>3.6946693576485563</v>
          </cell>
          <cell r="CO60">
            <v>1.3065310935657444E-2</v>
          </cell>
          <cell r="CP60">
            <v>1.2727272727272727</v>
          </cell>
          <cell r="CQ60">
            <v>1.2857925836629303</v>
          </cell>
          <cell r="CR60">
            <v>4.22</v>
          </cell>
          <cell r="CS60">
            <v>9.7200000000000006</v>
          </cell>
          <cell r="CT60">
            <v>13.19</v>
          </cell>
          <cell r="CU60">
            <v>0</v>
          </cell>
          <cell r="CV60">
            <v>204.57671985535271</v>
          </cell>
        </row>
        <row r="61">
          <cell r="K61" t="str">
            <v>ExportLNTNewUSABath76x147D</v>
          </cell>
          <cell r="L61">
            <v>0</v>
          </cell>
          <cell r="M61">
            <v>501.9</v>
          </cell>
          <cell r="N61">
            <v>0</v>
          </cell>
          <cell r="O61">
            <v>142.19999999999999</v>
          </cell>
          <cell r="P61">
            <v>92.114000000000004</v>
          </cell>
          <cell r="Q61">
            <v>32.08</v>
          </cell>
          <cell r="R61">
            <v>0</v>
          </cell>
          <cell r="S61">
            <v>0</v>
          </cell>
          <cell r="T61">
            <v>768.29399999999998</v>
          </cell>
          <cell r="U61">
            <v>718.35489000000007</v>
          </cell>
          <cell r="V61">
            <v>2.5000000000000001E-3</v>
          </cell>
          <cell r="W61">
            <v>0</v>
          </cell>
          <cell r="X61">
            <v>-1.3999999999999999E-2</v>
          </cell>
          <cell r="Y61">
            <v>-2.5000000000000001E-2</v>
          </cell>
          <cell r="Z61">
            <v>6.4999999999999836E-2</v>
          </cell>
          <cell r="AA61">
            <v>1.4999999999999999E-2</v>
          </cell>
          <cell r="AB61">
            <v>0.01</v>
          </cell>
          <cell r="AC61">
            <v>1.800388195488722</v>
          </cell>
          <cell r="AD61">
            <v>0</v>
          </cell>
          <cell r="AE61">
            <v>-7.0265999999999993</v>
          </cell>
          <cell r="AF61">
            <v>-3.5549999999999997</v>
          </cell>
          <cell r="AG61">
            <v>49.939109999999872</v>
          </cell>
          <cell r="AH61">
            <v>10.939414568527919</v>
          </cell>
          <cell r="AI61">
            <v>7.2561100000000014</v>
          </cell>
          <cell r="AJ61">
            <v>59.353422764016521</v>
          </cell>
          <cell r="AK61">
            <v>777.70831276401657</v>
          </cell>
          <cell r="AL61" t="str">
            <v>1/13  Egy Comb</v>
          </cell>
          <cell r="AM61">
            <v>0</v>
          </cell>
          <cell r="AN61" t="str">
            <v>2/16  Egy Comb</v>
          </cell>
          <cell r="AO61" t="str">
            <v xml:space="preserve">1/14OE  </v>
          </cell>
          <cell r="AP61" t="str">
            <v>2/20  Gas Mer</v>
          </cell>
          <cell r="AQ61">
            <v>0</v>
          </cell>
          <cell r="AR61">
            <v>0</v>
          </cell>
          <cell r="AS61">
            <v>172.09</v>
          </cell>
          <cell r="AT61">
            <v>0</v>
          </cell>
          <cell r="AU61">
            <v>142.57</v>
          </cell>
          <cell r="AV61">
            <v>75.75</v>
          </cell>
          <cell r="AW61">
            <v>174</v>
          </cell>
          <cell r="AX61">
            <v>0</v>
          </cell>
          <cell r="AY61">
            <v>0</v>
          </cell>
          <cell r="AZ61">
            <v>86.371971000000002</v>
          </cell>
          <cell r="BA61">
            <v>20.273453999999997</v>
          </cell>
          <cell r="BB61">
            <v>6.9776354999999999</v>
          </cell>
          <cell r="BC61">
            <v>5.5819200000000002</v>
          </cell>
          <cell r="BD61">
            <v>0</v>
          </cell>
          <cell r="BE61">
            <v>0.27933999189849629</v>
          </cell>
          <cell r="BF61">
            <v>0</v>
          </cell>
          <cell r="BI61">
            <v>0</v>
          </cell>
          <cell r="BJ61">
            <v>1.6973094939213198</v>
          </cell>
          <cell r="BK61">
            <v>1.1258248158333335</v>
          </cell>
          <cell r="BL61">
            <v>3.1024743016531495</v>
          </cell>
          <cell r="BM61">
            <v>-4.5009704887218047E-2</v>
          </cell>
          <cell r="BN61">
            <v>0</v>
          </cell>
          <cell r="BO61">
            <v>0</v>
          </cell>
          <cell r="BP61">
            <v>0</v>
          </cell>
          <cell r="BQ61">
            <v>0</v>
          </cell>
          <cell r="BR61">
            <v>-0.27348536421319797</v>
          </cell>
          <cell r="BS61">
            <v>0</v>
          </cell>
          <cell r="BT61">
            <v>-0.31849506910041603</v>
          </cell>
          <cell r="BU61">
            <v>159.19355715605374</v>
          </cell>
          <cell r="BV61">
            <v>-0.35596446700507617</v>
          </cell>
          <cell r="BW61">
            <v>158.83759268904868</v>
          </cell>
          <cell r="BX61">
            <v>170.26048893695585</v>
          </cell>
          <cell r="BY61">
            <v>-0.38071065989847708</v>
          </cell>
          <cell r="BZ61">
            <v>169.87977827705737</v>
          </cell>
          <cell r="CA61">
            <v>170.26048893695585</v>
          </cell>
          <cell r="CB61">
            <v>-0.44336730150248715</v>
          </cell>
          <cell r="CC61">
            <v>169.81712163545336</v>
          </cell>
          <cell r="CD61">
            <v>7.0265999999999993</v>
          </cell>
          <cell r="CE61">
            <v>200</v>
          </cell>
          <cell r="CF61">
            <v>1.9563032417027186</v>
          </cell>
          <cell r="CG61">
            <v>3.5549999999999997</v>
          </cell>
          <cell r="CH61">
            <v>140</v>
          </cell>
          <cell r="CI61">
            <v>0.69283303688515285</v>
          </cell>
          <cell r="CJ61">
            <v>2.6491362785878714</v>
          </cell>
          <cell r="CK61">
            <v>0.62881175626158803</v>
          </cell>
          <cell r="CL61">
            <v>0.17815706662761072</v>
          </cell>
          <cell r="CM61">
            <v>2.8877005347593578</v>
          </cell>
          <cell r="CN61">
            <v>3.6946693576485563</v>
          </cell>
          <cell r="CO61">
            <v>1.3065310935657444E-2</v>
          </cell>
          <cell r="CP61">
            <v>1.2727272727272727</v>
          </cell>
          <cell r="CQ61">
            <v>1.2857925836629303</v>
          </cell>
          <cell r="CR61">
            <v>14.66</v>
          </cell>
          <cell r="CS61">
            <v>9.98</v>
          </cell>
          <cell r="CT61">
            <v>13.19</v>
          </cell>
          <cell r="CU61">
            <v>0</v>
          </cell>
          <cell r="CV61">
            <v>215.27671985535272</v>
          </cell>
        </row>
        <row r="62">
          <cell r="K62" t="str">
            <v>ExportLNTNewUSAHand51x76L</v>
          </cell>
          <cell r="L62">
            <v>0</v>
          </cell>
          <cell r="M62">
            <v>160.51</v>
          </cell>
          <cell r="N62">
            <v>0</v>
          </cell>
          <cell r="O62">
            <v>50.42</v>
          </cell>
          <cell r="P62">
            <v>36.08</v>
          </cell>
          <cell r="Q62">
            <v>15.79</v>
          </cell>
          <cell r="R62">
            <v>0</v>
          </cell>
          <cell r="S62">
            <v>0</v>
          </cell>
          <cell r="T62">
            <v>262.8</v>
          </cell>
          <cell r="U62">
            <v>245.71800000000002</v>
          </cell>
          <cell r="V62">
            <v>2.5000000000000001E-3</v>
          </cell>
          <cell r="W62">
            <v>0</v>
          </cell>
          <cell r="X62">
            <v>-1.3999999999999999E-2</v>
          </cell>
          <cell r="Y62">
            <v>-2.5000000000000001E-2</v>
          </cell>
          <cell r="Z62">
            <v>6.4999999999999947E-2</v>
          </cell>
          <cell r="AA62">
            <v>1.4999999999999999E-2</v>
          </cell>
          <cell r="AB62">
            <v>0.01</v>
          </cell>
          <cell r="AC62">
            <v>0.6158345864661654</v>
          </cell>
          <cell r="AD62">
            <v>0</v>
          </cell>
          <cell r="AE62">
            <v>-2.2471399999999995</v>
          </cell>
          <cell r="AF62">
            <v>-1.2605000000000002</v>
          </cell>
          <cell r="AG62">
            <v>17.081999999999987</v>
          </cell>
          <cell r="AH62">
            <v>3.7418984771573607</v>
          </cell>
          <cell r="AI62">
            <v>2.4820000000000002</v>
          </cell>
          <cell r="AJ62">
            <v>20.414093063623511</v>
          </cell>
          <cell r="AK62">
            <v>266.13209306362353</v>
          </cell>
          <cell r="AL62" t="str">
            <v>1/13  Egy Comb</v>
          </cell>
          <cell r="AM62">
            <v>0</v>
          </cell>
          <cell r="AN62" t="str">
            <v>2/16  Egy Comb</v>
          </cell>
          <cell r="AO62" t="str">
            <v xml:space="preserve">1/14OE  </v>
          </cell>
          <cell r="AP62" t="str">
            <v>2/20  Gas Mer</v>
          </cell>
          <cell r="AQ62">
            <v>0</v>
          </cell>
          <cell r="AR62">
            <v>0</v>
          </cell>
          <cell r="AS62">
            <v>172.09</v>
          </cell>
          <cell r="AT62">
            <v>0</v>
          </cell>
          <cell r="AU62">
            <v>142.57</v>
          </cell>
          <cell r="AV62">
            <v>75.75</v>
          </cell>
          <cell r="AW62">
            <v>174</v>
          </cell>
          <cell r="AX62">
            <v>0</v>
          </cell>
          <cell r="AY62">
            <v>0</v>
          </cell>
          <cell r="AZ62">
            <v>27.622165899999999</v>
          </cell>
          <cell r="BA62">
            <v>7.1883793999999996</v>
          </cell>
          <cell r="BB62">
            <v>2.73306</v>
          </cell>
          <cell r="BC62">
            <v>2.7474600000000002</v>
          </cell>
          <cell r="BD62">
            <v>0</v>
          </cell>
          <cell r="BE62">
            <v>9.4416406154135324E-2</v>
          </cell>
          <cell r="BF62">
            <v>0</v>
          </cell>
          <cell r="BI62">
            <v>0</v>
          </cell>
          <cell r="BJ62">
            <v>0.5736875033832487</v>
          </cell>
          <cell r="BK62">
            <v>0.3805267278333333</v>
          </cell>
          <cell r="BL62">
            <v>1.0486306373707173</v>
          </cell>
          <cell r="BM62">
            <v>-1.5395864661654135E-2</v>
          </cell>
          <cell r="BN62">
            <v>0</v>
          </cell>
          <cell r="BO62">
            <v>0</v>
          </cell>
          <cell r="BP62">
            <v>0</v>
          </cell>
          <cell r="BQ62">
            <v>0</v>
          </cell>
          <cell r="BR62">
            <v>-9.3547461928934011E-2</v>
          </cell>
          <cell r="BS62">
            <v>0</v>
          </cell>
          <cell r="BT62">
            <v>-0.10894332659058814</v>
          </cell>
          <cell r="BU62">
            <v>157.30477906153243</v>
          </cell>
          <cell r="BV62">
            <v>-0.35596446700507611</v>
          </cell>
          <cell r="BW62">
            <v>156.94881459452736</v>
          </cell>
          <cell r="BX62">
            <v>168.24040541340366</v>
          </cell>
          <cell r="BY62">
            <v>-0.38071065989847713</v>
          </cell>
          <cell r="BZ62">
            <v>167.85969475350518</v>
          </cell>
          <cell r="CA62">
            <v>168.24040541340366</v>
          </cell>
          <cell r="CB62">
            <v>-0.4433673015024871</v>
          </cell>
          <cell r="CC62">
            <v>167.79703811190117</v>
          </cell>
          <cell r="CD62">
            <v>2.2471399999999995</v>
          </cell>
          <cell r="CE62">
            <v>200</v>
          </cell>
          <cell r="CF62">
            <v>1.8290397935845151</v>
          </cell>
          <cell r="CG62">
            <v>1.2605000000000002</v>
          </cell>
          <cell r="CH62">
            <v>140</v>
          </cell>
          <cell r="CI62">
            <v>0.71818100424063358</v>
          </cell>
          <cell r="CJ62">
            <v>2.5472207978251484</v>
          </cell>
          <cell r="CK62">
            <v>0.58790564793787992</v>
          </cell>
          <cell r="CL62">
            <v>0.18467511537616291</v>
          </cell>
          <cell r="CM62">
            <v>2.8877005347593578</v>
          </cell>
          <cell r="CN62">
            <v>3.6602812980734005</v>
          </cell>
          <cell r="CO62">
            <v>1.2215372907153728E-2</v>
          </cell>
          <cell r="CP62">
            <v>1.2727272727272729</v>
          </cell>
          <cell r="CQ62">
            <v>1.2849426456344266</v>
          </cell>
          <cell r="CR62">
            <v>1.21</v>
          </cell>
          <cell r="CS62">
            <v>9.81</v>
          </cell>
          <cell r="CT62">
            <v>15.63</v>
          </cell>
          <cell r="CU62">
            <v>0</v>
          </cell>
          <cell r="CV62">
            <v>201.93948285343419</v>
          </cell>
        </row>
        <row r="63">
          <cell r="K63" t="str">
            <v>ExportLNTNewUSAHand51x76M</v>
          </cell>
          <cell r="L63">
            <v>0</v>
          </cell>
          <cell r="M63">
            <v>160.51</v>
          </cell>
          <cell r="N63">
            <v>0</v>
          </cell>
          <cell r="O63">
            <v>50.42</v>
          </cell>
          <cell r="P63">
            <v>36.08</v>
          </cell>
          <cell r="Q63">
            <v>15.79</v>
          </cell>
          <cell r="R63">
            <v>0</v>
          </cell>
          <cell r="S63">
            <v>0</v>
          </cell>
          <cell r="T63">
            <v>262.8</v>
          </cell>
          <cell r="U63">
            <v>245.71800000000002</v>
          </cell>
          <cell r="V63">
            <v>2.5000000000000001E-3</v>
          </cell>
          <cell r="W63">
            <v>0</v>
          </cell>
          <cell r="X63">
            <v>-1.3999999999999999E-2</v>
          </cell>
          <cell r="Y63">
            <v>-2.5000000000000001E-2</v>
          </cell>
          <cell r="Z63">
            <v>6.4999999999999947E-2</v>
          </cell>
          <cell r="AA63">
            <v>1.4999999999999999E-2</v>
          </cell>
          <cell r="AB63">
            <v>0.01</v>
          </cell>
          <cell r="AC63">
            <v>0.6158345864661654</v>
          </cell>
          <cell r="AD63">
            <v>0</v>
          </cell>
          <cell r="AE63">
            <v>-2.2471399999999995</v>
          </cell>
          <cell r="AF63">
            <v>-1.2605000000000002</v>
          </cell>
          <cell r="AG63">
            <v>17.081999999999987</v>
          </cell>
          <cell r="AH63">
            <v>3.7418984771573607</v>
          </cell>
          <cell r="AI63">
            <v>2.4820000000000002</v>
          </cell>
          <cell r="AJ63">
            <v>20.414093063623511</v>
          </cell>
          <cell r="AK63">
            <v>266.13209306362353</v>
          </cell>
          <cell r="AL63" t="str">
            <v>1/13  Egy Comb</v>
          </cell>
          <cell r="AM63">
            <v>0</v>
          </cell>
          <cell r="AN63" t="str">
            <v>2/16  Egy Comb</v>
          </cell>
          <cell r="AO63" t="str">
            <v xml:space="preserve">1/14OE  </v>
          </cell>
          <cell r="AP63" t="str">
            <v>2/20  Gas Mer</v>
          </cell>
          <cell r="AQ63">
            <v>0</v>
          </cell>
          <cell r="AR63">
            <v>0</v>
          </cell>
          <cell r="AS63">
            <v>172.09</v>
          </cell>
          <cell r="AT63">
            <v>0</v>
          </cell>
          <cell r="AU63">
            <v>142.57</v>
          </cell>
          <cell r="AV63">
            <v>75.75</v>
          </cell>
          <cell r="AW63">
            <v>174</v>
          </cell>
          <cell r="AX63">
            <v>0</v>
          </cell>
          <cell r="AY63">
            <v>0</v>
          </cell>
          <cell r="AZ63">
            <v>27.622165899999999</v>
          </cell>
          <cell r="BA63">
            <v>7.1883793999999996</v>
          </cell>
          <cell r="BB63">
            <v>2.73306</v>
          </cell>
          <cell r="BC63">
            <v>2.7474600000000002</v>
          </cell>
          <cell r="BD63">
            <v>0</v>
          </cell>
          <cell r="BE63">
            <v>9.4416406154135324E-2</v>
          </cell>
          <cell r="BF63">
            <v>0</v>
          </cell>
          <cell r="BI63">
            <v>0</v>
          </cell>
          <cell r="BJ63">
            <v>0.5736875033832487</v>
          </cell>
          <cell r="BK63">
            <v>0.3805267278333333</v>
          </cell>
          <cell r="BL63">
            <v>1.0486306373707173</v>
          </cell>
          <cell r="BM63">
            <v>-1.5395864661654135E-2</v>
          </cell>
          <cell r="BN63">
            <v>0</v>
          </cell>
          <cell r="BO63">
            <v>0</v>
          </cell>
          <cell r="BP63">
            <v>0</v>
          </cell>
          <cell r="BQ63">
            <v>0</v>
          </cell>
          <cell r="BR63">
            <v>-9.3547461928934011E-2</v>
          </cell>
          <cell r="BS63">
            <v>0</v>
          </cell>
          <cell r="BT63">
            <v>-0.10894332659058814</v>
          </cell>
          <cell r="BU63">
            <v>157.30477906153243</v>
          </cell>
          <cell r="BV63">
            <v>-0.35596446700507611</v>
          </cell>
          <cell r="BW63">
            <v>156.94881459452736</v>
          </cell>
          <cell r="BX63">
            <v>168.24040541340366</v>
          </cell>
          <cell r="BY63">
            <v>-0.38071065989847713</v>
          </cell>
          <cell r="BZ63">
            <v>167.85969475350518</v>
          </cell>
          <cell r="CA63">
            <v>168.24040541340366</v>
          </cell>
          <cell r="CB63">
            <v>-0.4433673015024871</v>
          </cell>
          <cell r="CC63">
            <v>167.79703811190117</v>
          </cell>
          <cell r="CD63">
            <v>2.2471399999999995</v>
          </cell>
          <cell r="CE63">
            <v>200</v>
          </cell>
          <cell r="CF63">
            <v>1.8290397935845151</v>
          </cell>
          <cell r="CG63">
            <v>1.2605000000000002</v>
          </cell>
          <cell r="CH63">
            <v>140</v>
          </cell>
          <cell r="CI63">
            <v>0.71818100424063358</v>
          </cell>
          <cell r="CJ63">
            <v>2.5472207978251484</v>
          </cell>
          <cell r="CK63">
            <v>0.58790564793787992</v>
          </cell>
          <cell r="CL63">
            <v>0.18467511537616291</v>
          </cell>
          <cell r="CM63">
            <v>2.8877005347593578</v>
          </cell>
          <cell r="CN63">
            <v>3.6602812980734005</v>
          </cell>
          <cell r="CO63">
            <v>1.2215372907153728E-2</v>
          </cell>
          <cell r="CP63">
            <v>1.2727272727272729</v>
          </cell>
          <cell r="CQ63">
            <v>1.2849426456344266</v>
          </cell>
          <cell r="CR63">
            <v>4.22</v>
          </cell>
          <cell r="CS63">
            <v>9.7200000000000006</v>
          </cell>
          <cell r="CT63">
            <v>15.63</v>
          </cell>
          <cell r="CU63">
            <v>0</v>
          </cell>
          <cell r="CV63">
            <v>204.85948285343417</v>
          </cell>
        </row>
        <row r="64">
          <cell r="K64" t="str">
            <v>ExportLNTNewUSAHand51x76D</v>
          </cell>
          <cell r="L64">
            <v>0</v>
          </cell>
          <cell r="M64">
            <v>160.51</v>
          </cell>
          <cell r="N64">
            <v>0</v>
          </cell>
          <cell r="O64">
            <v>50.42</v>
          </cell>
          <cell r="P64">
            <v>36.08</v>
          </cell>
          <cell r="Q64">
            <v>15.79</v>
          </cell>
          <cell r="R64">
            <v>0</v>
          </cell>
          <cell r="S64">
            <v>0</v>
          </cell>
          <cell r="T64">
            <v>262.8</v>
          </cell>
          <cell r="U64">
            <v>245.71800000000002</v>
          </cell>
          <cell r="V64">
            <v>2.5000000000000001E-3</v>
          </cell>
          <cell r="W64">
            <v>0</v>
          </cell>
          <cell r="X64">
            <v>-1.3999999999999999E-2</v>
          </cell>
          <cell r="Y64">
            <v>-2.5000000000000001E-2</v>
          </cell>
          <cell r="Z64">
            <v>6.4999999999999947E-2</v>
          </cell>
          <cell r="AA64">
            <v>1.4999999999999999E-2</v>
          </cell>
          <cell r="AB64">
            <v>0.01</v>
          </cell>
          <cell r="AC64">
            <v>0.6158345864661654</v>
          </cell>
          <cell r="AD64">
            <v>0</v>
          </cell>
          <cell r="AE64">
            <v>-2.2471399999999995</v>
          </cell>
          <cell r="AF64">
            <v>-1.2605000000000002</v>
          </cell>
          <cell r="AG64">
            <v>17.081999999999987</v>
          </cell>
          <cell r="AH64">
            <v>3.7418984771573607</v>
          </cell>
          <cell r="AI64">
            <v>2.4820000000000002</v>
          </cell>
          <cell r="AJ64">
            <v>20.414093063623511</v>
          </cell>
          <cell r="AK64">
            <v>266.13209306362353</v>
          </cell>
          <cell r="AL64" t="str">
            <v>1/13  Egy Comb</v>
          </cell>
          <cell r="AM64">
            <v>0</v>
          </cell>
          <cell r="AN64" t="str">
            <v>2/16  Egy Comb</v>
          </cell>
          <cell r="AO64" t="str">
            <v xml:space="preserve">1/14OE  </v>
          </cell>
          <cell r="AP64" t="str">
            <v>2/20  Gas Mer</v>
          </cell>
          <cell r="AQ64">
            <v>0</v>
          </cell>
          <cell r="AR64">
            <v>0</v>
          </cell>
          <cell r="AS64">
            <v>172.09</v>
          </cell>
          <cell r="AT64">
            <v>0</v>
          </cell>
          <cell r="AU64">
            <v>142.57</v>
          </cell>
          <cell r="AV64">
            <v>75.75</v>
          </cell>
          <cell r="AW64">
            <v>174</v>
          </cell>
          <cell r="AX64">
            <v>0</v>
          </cell>
          <cell r="AY64">
            <v>0</v>
          </cell>
          <cell r="AZ64">
            <v>27.622165899999999</v>
          </cell>
          <cell r="BA64">
            <v>7.1883793999999996</v>
          </cell>
          <cell r="BB64">
            <v>2.73306</v>
          </cell>
          <cell r="BC64">
            <v>2.7474600000000002</v>
          </cell>
          <cell r="BD64">
            <v>0</v>
          </cell>
          <cell r="BE64">
            <v>9.4416406154135324E-2</v>
          </cell>
          <cell r="BF64">
            <v>0</v>
          </cell>
          <cell r="BI64">
            <v>0</v>
          </cell>
          <cell r="BJ64">
            <v>0.5736875033832487</v>
          </cell>
          <cell r="BK64">
            <v>0.3805267278333333</v>
          </cell>
          <cell r="BL64">
            <v>1.0486306373707173</v>
          </cell>
          <cell r="BM64">
            <v>-1.5395864661654135E-2</v>
          </cell>
          <cell r="BN64">
            <v>0</v>
          </cell>
          <cell r="BO64">
            <v>0</v>
          </cell>
          <cell r="BP64">
            <v>0</v>
          </cell>
          <cell r="BQ64">
            <v>0</v>
          </cell>
          <cell r="BR64">
            <v>-9.3547461928934011E-2</v>
          </cell>
          <cell r="BS64">
            <v>0</v>
          </cell>
          <cell r="BT64">
            <v>-0.10894332659058814</v>
          </cell>
          <cell r="BU64">
            <v>157.30477906153243</v>
          </cell>
          <cell r="BV64">
            <v>-0.35596446700507611</v>
          </cell>
          <cell r="BW64">
            <v>156.94881459452736</v>
          </cell>
          <cell r="BX64">
            <v>168.24040541340366</v>
          </cell>
          <cell r="BY64">
            <v>-0.38071065989847713</v>
          </cell>
          <cell r="BZ64">
            <v>167.85969475350518</v>
          </cell>
          <cell r="CA64">
            <v>168.24040541340366</v>
          </cell>
          <cell r="CB64">
            <v>-0.4433673015024871</v>
          </cell>
          <cell r="CC64">
            <v>167.79703811190117</v>
          </cell>
          <cell r="CD64">
            <v>2.2471399999999995</v>
          </cell>
          <cell r="CE64">
            <v>200</v>
          </cell>
          <cell r="CF64">
            <v>1.8290397935845151</v>
          </cell>
          <cell r="CG64">
            <v>1.2605000000000002</v>
          </cell>
          <cell r="CH64">
            <v>140</v>
          </cell>
          <cell r="CI64">
            <v>0.71818100424063358</v>
          </cell>
          <cell r="CJ64">
            <v>2.5472207978251484</v>
          </cell>
          <cell r="CK64">
            <v>0.58790564793787992</v>
          </cell>
          <cell r="CL64">
            <v>0.18467511537616291</v>
          </cell>
          <cell r="CM64">
            <v>2.8877005347593578</v>
          </cell>
          <cell r="CN64">
            <v>3.6602812980734005</v>
          </cell>
          <cell r="CO64">
            <v>1.2215372907153728E-2</v>
          </cell>
          <cell r="CP64">
            <v>1.2727272727272729</v>
          </cell>
          <cell r="CQ64">
            <v>1.2849426456344266</v>
          </cell>
          <cell r="CR64">
            <v>14.66</v>
          </cell>
          <cell r="CS64">
            <v>9.98</v>
          </cell>
          <cell r="CT64">
            <v>15.63</v>
          </cell>
          <cell r="CU64">
            <v>0</v>
          </cell>
          <cell r="CV64">
            <v>215.55948285343419</v>
          </cell>
        </row>
        <row r="65">
          <cell r="K65" t="str">
            <v>ExportLNTNewUSAWash33x33L</v>
          </cell>
          <cell r="L65">
            <v>0</v>
          </cell>
          <cell r="M65">
            <v>39.29</v>
          </cell>
          <cell r="N65">
            <v>0</v>
          </cell>
          <cell r="O65">
            <v>15.6</v>
          </cell>
          <cell r="P65">
            <v>10.439</v>
          </cell>
          <cell r="Q65">
            <v>3.2650000000000001</v>
          </cell>
          <cell r="R65">
            <v>0</v>
          </cell>
          <cell r="S65">
            <v>0</v>
          </cell>
          <cell r="T65">
            <v>68.594000000000008</v>
          </cell>
          <cell r="U65">
            <v>60.36272000000001</v>
          </cell>
          <cell r="V65">
            <v>2.5000000000000001E-3</v>
          </cell>
          <cell r="W65">
            <v>0</v>
          </cell>
          <cell r="X65">
            <v>-1.3999999999999999E-2</v>
          </cell>
          <cell r="Y65">
            <v>-2.5000000000000001E-2</v>
          </cell>
          <cell r="Z65">
            <v>0.12</v>
          </cell>
          <cell r="AA65">
            <v>1.4999999999999999E-2</v>
          </cell>
          <cell r="AB65">
            <v>0.01</v>
          </cell>
          <cell r="AC65">
            <v>0.15128501253132834</v>
          </cell>
          <cell r="AD65">
            <v>0</v>
          </cell>
          <cell r="AE65">
            <v>-0.55005999999999988</v>
          </cell>
          <cell r="AF65">
            <v>-0.39</v>
          </cell>
          <cell r="AG65">
            <v>8.2312799999999999</v>
          </cell>
          <cell r="AH65">
            <v>0.91922923857868033</v>
          </cell>
          <cell r="AI65">
            <v>0.60972444444444462</v>
          </cell>
          <cell r="AJ65">
            <v>8.9714586955544533</v>
          </cell>
          <cell r="AK65">
            <v>69.334178695554471</v>
          </cell>
          <cell r="AL65" t="str">
            <v>1/13  Egy Comb</v>
          </cell>
          <cell r="AM65">
            <v>0</v>
          </cell>
          <cell r="AN65" t="str">
            <v>2/16  Egy Comb</v>
          </cell>
          <cell r="AO65" t="str">
            <v xml:space="preserve">1/14OE  </v>
          </cell>
          <cell r="AP65" t="str">
            <v>2/20  Gas Mer</v>
          </cell>
          <cell r="AQ65">
            <v>0</v>
          </cell>
          <cell r="AR65">
            <v>0</v>
          </cell>
          <cell r="AS65">
            <v>172.09</v>
          </cell>
          <cell r="AT65">
            <v>0</v>
          </cell>
          <cell r="AU65">
            <v>142.57</v>
          </cell>
          <cell r="AV65">
            <v>75.75</v>
          </cell>
          <cell r="AW65">
            <v>174</v>
          </cell>
          <cell r="AX65">
            <v>0</v>
          </cell>
          <cell r="AY65">
            <v>0</v>
          </cell>
          <cell r="AZ65">
            <v>6.7614160999999999</v>
          </cell>
          <cell r="BA65">
            <v>2.2240919999999997</v>
          </cell>
          <cell r="BB65">
            <v>0.79075424999999999</v>
          </cell>
          <cell r="BC65">
            <v>0.56811</v>
          </cell>
          <cell r="BD65">
            <v>0</v>
          </cell>
          <cell r="BE65">
            <v>2.2814655809523812E-2</v>
          </cell>
          <cell r="BF65">
            <v>0</v>
          </cell>
          <cell r="BI65">
            <v>0</v>
          </cell>
          <cell r="BJ65">
            <v>0.13862509139086296</v>
          </cell>
          <cell r="BK65">
            <v>9.194997644444447E-2</v>
          </cell>
          <cell r="BL65">
            <v>0.25338972364483126</v>
          </cell>
          <cell r="BM65">
            <v>-3.7821253132832083E-3</v>
          </cell>
          <cell r="BN65">
            <v>0</v>
          </cell>
          <cell r="BO65">
            <v>0</v>
          </cell>
          <cell r="BP65">
            <v>0</v>
          </cell>
          <cell r="BQ65">
            <v>0</v>
          </cell>
          <cell r="BR65">
            <v>-2.2980730964467008E-2</v>
          </cell>
          <cell r="BS65">
            <v>0</v>
          </cell>
          <cell r="BT65">
            <v>-2.6762856277750217E-2</v>
          </cell>
          <cell r="BU65">
            <v>154.49984070975347</v>
          </cell>
          <cell r="BV65">
            <v>-0.3350253807106599</v>
          </cell>
          <cell r="BW65">
            <v>154.16481532904282</v>
          </cell>
          <cell r="BX65">
            <v>175.56800080653804</v>
          </cell>
          <cell r="BY65">
            <v>-0.38071065989847713</v>
          </cell>
          <cell r="BZ65">
            <v>175.18729014663955</v>
          </cell>
          <cell r="CA65">
            <v>175.56800080653804</v>
          </cell>
          <cell r="CB65">
            <v>-0.44336730150248715</v>
          </cell>
          <cell r="CC65">
            <v>175.12463350503555</v>
          </cell>
          <cell r="CD65">
            <v>0.55005999999999988</v>
          </cell>
          <cell r="CE65">
            <v>200</v>
          </cell>
          <cell r="CF65">
            <v>1.8225156189118044</v>
          </cell>
          <cell r="CG65">
            <v>0.39</v>
          </cell>
          <cell r="CH65">
            <v>140</v>
          </cell>
          <cell r="CI65">
            <v>0.90453180373581565</v>
          </cell>
          <cell r="CJ65">
            <v>2.7270474226476198</v>
          </cell>
          <cell r="CK65">
            <v>0.58580859179308009</v>
          </cell>
          <cell r="CL65">
            <v>0.23259389238920972</v>
          </cell>
          <cell r="CM65">
            <v>3.0681818181818179</v>
          </cell>
          <cell r="CN65">
            <v>3.8865843023641076</v>
          </cell>
          <cell r="CO65">
            <v>1.2171800740589555E-2</v>
          </cell>
          <cell r="CP65">
            <v>1.3522727272727275</v>
          </cell>
          <cell r="CQ65">
            <v>1.3644445280133171</v>
          </cell>
          <cell r="CR65">
            <v>1.21</v>
          </cell>
          <cell r="CS65">
            <v>9.81</v>
          </cell>
          <cell r="CT65">
            <v>60.77</v>
          </cell>
          <cell r="CU65">
            <v>0</v>
          </cell>
          <cell r="CV65">
            <v>254.89270975806056</v>
          </cell>
        </row>
        <row r="66">
          <cell r="K66" t="str">
            <v>ExportLNTNewUSAWash33x33M</v>
          </cell>
          <cell r="L66">
            <v>0</v>
          </cell>
          <cell r="M66">
            <v>39.29</v>
          </cell>
          <cell r="N66">
            <v>0</v>
          </cell>
          <cell r="O66">
            <v>15.6</v>
          </cell>
          <cell r="P66">
            <v>10.439</v>
          </cell>
          <cell r="Q66">
            <v>3.2650000000000001</v>
          </cell>
          <cell r="R66">
            <v>0</v>
          </cell>
          <cell r="S66">
            <v>0</v>
          </cell>
          <cell r="T66">
            <v>68.594000000000008</v>
          </cell>
          <cell r="U66">
            <v>60.36272000000001</v>
          </cell>
          <cell r="V66">
            <v>2.5000000000000001E-3</v>
          </cell>
          <cell r="W66">
            <v>0</v>
          </cell>
          <cell r="X66">
            <v>-1.3999999999999999E-2</v>
          </cell>
          <cell r="Y66">
            <v>-2.5000000000000001E-2</v>
          </cell>
          <cell r="Z66">
            <v>0.12</v>
          </cell>
          <cell r="AA66">
            <v>1.4999999999999999E-2</v>
          </cell>
          <cell r="AB66">
            <v>0.01</v>
          </cell>
          <cell r="AC66">
            <v>0.15128501253132834</v>
          </cell>
          <cell r="AD66">
            <v>0</v>
          </cell>
          <cell r="AE66">
            <v>-0.55005999999999988</v>
          </cell>
          <cell r="AF66">
            <v>-0.39</v>
          </cell>
          <cell r="AG66">
            <v>8.2312799999999999</v>
          </cell>
          <cell r="AH66">
            <v>0.91922923857868033</v>
          </cell>
          <cell r="AI66">
            <v>0.60972444444444462</v>
          </cell>
          <cell r="AJ66">
            <v>8.9714586955544533</v>
          </cell>
          <cell r="AK66">
            <v>69.334178695554471</v>
          </cell>
          <cell r="AL66" t="str">
            <v>1/13  Egy Comb</v>
          </cell>
          <cell r="AM66">
            <v>0</v>
          </cell>
          <cell r="AN66" t="str">
            <v>2/16  Egy Comb</v>
          </cell>
          <cell r="AO66" t="str">
            <v xml:space="preserve">1/14OE  </v>
          </cell>
          <cell r="AP66" t="str">
            <v>2/20  Gas Mer</v>
          </cell>
          <cell r="AQ66">
            <v>0</v>
          </cell>
          <cell r="AR66">
            <v>0</v>
          </cell>
          <cell r="AS66">
            <v>172.09</v>
          </cell>
          <cell r="AT66">
            <v>0</v>
          </cell>
          <cell r="AU66">
            <v>142.57</v>
          </cell>
          <cell r="AV66">
            <v>75.75</v>
          </cell>
          <cell r="AW66">
            <v>174</v>
          </cell>
          <cell r="AX66">
            <v>0</v>
          </cell>
          <cell r="AY66">
            <v>0</v>
          </cell>
          <cell r="AZ66">
            <v>6.7614160999999999</v>
          </cell>
          <cell r="BA66">
            <v>2.2240919999999997</v>
          </cell>
          <cell r="BB66">
            <v>0.79075424999999999</v>
          </cell>
          <cell r="BC66">
            <v>0.56811</v>
          </cell>
          <cell r="BD66">
            <v>0</v>
          </cell>
          <cell r="BE66">
            <v>2.2814655809523812E-2</v>
          </cell>
          <cell r="BF66">
            <v>0</v>
          </cell>
          <cell r="BI66">
            <v>0</v>
          </cell>
          <cell r="BJ66">
            <v>0.13862509139086296</v>
          </cell>
          <cell r="BK66">
            <v>9.194997644444447E-2</v>
          </cell>
          <cell r="BL66">
            <v>0.25338972364483126</v>
          </cell>
          <cell r="BM66">
            <v>-3.7821253132832083E-3</v>
          </cell>
          <cell r="BN66">
            <v>0</v>
          </cell>
          <cell r="BO66">
            <v>0</v>
          </cell>
          <cell r="BP66">
            <v>0</v>
          </cell>
          <cell r="BQ66">
            <v>0</v>
          </cell>
          <cell r="BR66">
            <v>-2.2980730964467008E-2</v>
          </cell>
          <cell r="BS66">
            <v>0</v>
          </cell>
          <cell r="BT66">
            <v>-2.6762856277750217E-2</v>
          </cell>
          <cell r="BU66">
            <v>154.49984070975347</v>
          </cell>
          <cell r="BV66">
            <v>-0.3350253807106599</v>
          </cell>
          <cell r="BW66">
            <v>154.16481532904282</v>
          </cell>
          <cell r="BX66">
            <v>175.56800080653804</v>
          </cell>
          <cell r="BY66">
            <v>-0.38071065989847713</v>
          </cell>
          <cell r="BZ66">
            <v>175.18729014663955</v>
          </cell>
          <cell r="CA66">
            <v>175.56800080653804</v>
          </cell>
          <cell r="CB66">
            <v>-0.44336730150248715</v>
          </cell>
          <cell r="CC66">
            <v>175.12463350503555</v>
          </cell>
          <cell r="CD66">
            <v>0.55005999999999988</v>
          </cell>
          <cell r="CE66">
            <v>200</v>
          </cell>
          <cell r="CF66">
            <v>1.8225156189118044</v>
          </cell>
          <cell r="CG66">
            <v>0.39</v>
          </cell>
          <cell r="CH66">
            <v>140</v>
          </cell>
          <cell r="CI66">
            <v>0.90453180373581565</v>
          </cell>
          <cell r="CJ66">
            <v>2.7270474226476198</v>
          </cell>
          <cell r="CK66">
            <v>0.58580859179308009</v>
          </cell>
          <cell r="CL66">
            <v>0.23259389238920972</v>
          </cell>
          <cell r="CM66">
            <v>3.0681818181818179</v>
          </cell>
          <cell r="CN66">
            <v>3.8865843023641076</v>
          </cell>
          <cell r="CO66">
            <v>1.2171800740589555E-2</v>
          </cell>
          <cell r="CP66">
            <v>1.3522727272727275</v>
          </cell>
          <cell r="CQ66">
            <v>1.3644445280133171</v>
          </cell>
          <cell r="CR66">
            <v>4.22</v>
          </cell>
          <cell r="CS66">
            <v>9.7200000000000006</v>
          </cell>
          <cell r="CT66">
            <v>60.77</v>
          </cell>
          <cell r="CU66">
            <v>0</v>
          </cell>
          <cell r="CV66">
            <v>257.81270975806058</v>
          </cell>
        </row>
        <row r="67">
          <cell r="K67" t="str">
            <v>ExportLNTNewUSAWash33x33D</v>
          </cell>
          <cell r="L67">
            <v>0</v>
          </cell>
          <cell r="M67">
            <v>39.29</v>
          </cell>
          <cell r="N67">
            <v>0</v>
          </cell>
          <cell r="O67">
            <v>15.6</v>
          </cell>
          <cell r="P67">
            <v>10.439</v>
          </cell>
          <cell r="Q67">
            <v>3.2650000000000001</v>
          </cell>
          <cell r="R67">
            <v>0</v>
          </cell>
          <cell r="S67">
            <v>0</v>
          </cell>
          <cell r="T67">
            <v>68.594000000000008</v>
          </cell>
          <cell r="U67">
            <v>60.36272000000001</v>
          </cell>
          <cell r="V67">
            <v>2.5000000000000001E-3</v>
          </cell>
          <cell r="W67">
            <v>0</v>
          </cell>
          <cell r="X67">
            <v>-1.3999999999999999E-2</v>
          </cell>
          <cell r="Y67">
            <v>-2.5000000000000001E-2</v>
          </cell>
          <cell r="Z67">
            <v>0.12</v>
          </cell>
          <cell r="AA67">
            <v>1.4999999999999999E-2</v>
          </cell>
          <cell r="AB67">
            <v>0.01</v>
          </cell>
          <cell r="AC67">
            <v>0.15128501253132834</v>
          </cell>
          <cell r="AD67">
            <v>0</v>
          </cell>
          <cell r="AE67">
            <v>-0.55005999999999988</v>
          </cell>
          <cell r="AF67">
            <v>-0.39</v>
          </cell>
          <cell r="AG67">
            <v>8.2312799999999999</v>
          </cell>
          <cell r="AH67">
            <v>0.91922923857868033</v>
          </cell>
          <cell r="AI67">
            <v>0.60972444444444462</v>
          </cell>
          <cell r="AJ67">
            <v>8.9714586955544533</v>
          </cell>
          <cell r="AK67">
            <v>69.334178695554471</v>
          </cell>
          <cell r="AL67" t="str">
            <v>1/13  Egy Comb</v>
          </cell>
          <cell r="AM67">
            <v>0</v>
          </cell>
          <cell r="AN67" t="str">
            <v>2/16  Egy Comb</v>
          </cell>
          <cell r="AO67" t="str">
            <v xml:space="preserve">1/14OE  </v>
          </cell>
          <cell r="AP67" t="str">
            <v>2/20  Gas Mer</v>
          </cell>
          <cell r="AQ67">
            <v>0</v>
          </cell>
          <cell r="AR67">
            <v>0</v>
          </cell>
          <cell r="AS67">
            <v>172.09</v>
          </cell>
          <cell r="AT67">
            <v>0</v>
          </cell>
          <cell r="AU67">
            <v>142.57</v>
          </cell>
          <cell r="AV67">
            <v>75.75</v>
          </cell>
          <cell r="AW67">
            <v>174</v>
          </cell>
          <cell r="AX67">
            <v>0</v>
          </cell>
          <cell r="AY67">
            <v>0</v>
          </cell>
          <cell r="AZ67">
            <v>6.7614160999999999</v>
          </cell>
          <cell r="BA67">
            <v>2.2240919999999997</v>
          </cell>
          <cell r="BB67">
            <v>0.79075424999999999</v>
          </cell>
          <cell r="BC67">
            <v>0.56811</v>
          </cell>
          <cell r="BD67">
            <v>0</v>
          </cell>
          <cell r="BE67">
            <v>2.2814655809523812E-2</v>
          </cell>
          <cell r="BF67">
            <v>0</v>
          </cell>
          <cell r="BI67">
            <v>0</v>
          </cell>
          <cell r="BJ67">
            <v>0.13862509139086296</v>
          </cell>
          <cell r="BK67">
            <v>9.194997644444447E-2</v>
          </cell>
          <cell r="BL67">
            <v>0.25338972364483126</v>
          </cell>
          <cell r="BM67">
            <v>-3.7821253132832083E-3</v>
          </cell>
          <cell r="BN67">
            <v>0</v>
          </cell>
          <cell r="BO67">
            <v>0</v>
          </cell>
          <cell r="BP67">
            <v>0</v>
          </cell>
          <cell r="BQ67">
            <v>0</v>
          </cell>
          <cell r="BR67">
            <v>-2.2980730964467008E-2</v>
          </cell>
          <cell r="BS67">
            <v>0</v>
          </cell>
          <cell r="BT67">
            <v>-2.6762856277750217E-2</v>
          </cell>
          <cell r="BU67">
            <v>154.49984070975347</v>
          </cell>
          <cell r="BV67">
            <v>-0.3350253807106599</v>
          </cell>
          <cell r="BW67">
            <v>154.16481532904282</v>
          </cell>
          <cell r="BX67">
            <v>175.56800080653804</v>
          </cell>
          <cell r="BY67">
            <v>-0.38071065989847713</v>
          </cell>
          <cell r="BZ67">
            <v>175.18729014663955</v>
          </cell>
          <cell r="CA67">
            <v>175.56800080653804</v>
          </cell>
          <cell r="CB67">
            <v>-0.44336730150248715</v>
          </cell>
          <cell r="CC67">
            <v>175.12463350503555</v>
          </cell>
          <cell r="CD67">
            <v>0.55005999999999988</v>
          </cell>
          <cell r="CE67">
            <v>200</v>
          </cell>
          <cell r="CF67">
            <v>1.8225156189118044</v>
          </cell>
          <cell r="CG67">
            <v>0.39</v>
          </cell>
          <cell r="CH67">
            <v>140</v>
          </cell>
          <cell r="CI67">
            <v>0.90453180373581565</v>
          </cell>
          <cell r="CJ67">
            <v>2.7270474226476198</v>
          </cell>
          <cell r="CK67">
            <v>0.58580859179308009</v>
          </cell>
          <cell r="CL67">
            <v>0.23259389238920972</v>
          </cell>
          <cell r="CM67">
            <v>3.0681818181818179</v>
          </cell>
          <cell r="CN67">
            <v>3.8865843023641076</v>
          </cell>
          <cell r="CO67">
            <v>1.2171800740589555E-2</v>
          </cell>
          <cell r="CP67">
            <v>1.3522727272727275</v>
          </cell>
          <cell r="CQ67">
            <v>1.3644445280133171</v>
          </cell>
          <cell r="CR67">
            <v>14.66</v>
          </cell>
          <cell r="CS67">
            <v>9.98</v>
          </cell>
          <cell r="CT67">
            <v>60.77</v>
          </cell>
          <cell r="CU67">
            <v>0</v>
          </cell>
          <cell r="CV67">
            <v>268.51270975806057</v>
          </cell>
        </row>
        <row r="68">
          <cell r="K68" t="str">
            <v>ExportKohlsBig One StripeUSABath76x137L</v>
          </cell>
          <cell r="L68">
            <v>0</v>
          </cell>
          <cell r="M68">
            <v>371.42</v>
          </cell>
          <cell r="N68">
            <v>0</v>
          </cell>
          <cell r="O68">
            <v>90.53</v>
          </cell>
          <cell r="P68">
            <v>74.27</v>
          </cell>
          <cell r="Q68">
            <v>22.72</v>
          </cell>
          <cell r="R68">
            <v>0</v>
          </cell>
          <cell r="S68">
            <v>0</v>
          </cell>
          <cell r="T68">
            <v>558.94000000000005</v>
          </cell>
          <cell r="U68">
            <v>547.76120000000003</v>
          </cell>
          <cell r="V68">
            <v>2.5000000000000001E-3</v>
          </cell>
          <cell r="W68">
            <v>0</v>
          </cell>
          <cell r="X68">
            <v>0</v>
          </cell>
          <cell r="Y68">
            <v>-2.5000000000000001E-2</v>
          </cell>
          <cell r="Z68">
            <v>2.0000000000000018E-2</v>
          </cell>
          <cell r="AA68">
            <v>1.4999999999999999E-2</v>
          </cell>
          <cell r="AB68">
            <v>0.01</v>
          </cell>
          <cell r="AC68">
            <v>1.3728350877192983</v>
          </cell>
          <cell r="AD68">
            <v>0</v>
          </cell>
          <cell r="AE68">
            <v>0</v>
          </cell>
          <cell r="AF68">
            <v>-2.2632500000000002</v>
          </cell>
          <cell r="AG68">
            <v>11.178800000000011</v>
          </cell>
          <cell r="AH68">
            <v>8.3415411167512694</v>
          </cell>
          <cell r="AI68">
            <v>5.5329414141414146</v>
          </cell>
          <cell r="AJ68">
            <v>24.162867618611994</v>
          </cell>
          <cell r="AK68">
            <v>571.92406761861207</v>
          </cell>
          <cell r="AL68" t="str">
            <v>2/24  DyedPattern</v>
          </cell>
          <cell r="AM68">
            <v>0</v>
          </cell>
          <cell r="AN68" t="str">
            <v>2/24  DyedPattern</v>
          </cell>
          <cell r="AO68" t="str">
            <v>1/16  CombDyed</v>
          </cell>
          <cell r="AP68" t="str">
            <v>2/24  KC</v>
          </cell>
          <cell r="AQ68">
            <v>0</v>
          </cell>
          <cell r="AR68">
            <v>0</v>
          </cell>
          <cell r="AS68">
            <v>160</v>
          </cell>
          <cell r="AT68">
            <v>0</v>
          </cell>
          <cell r="AU68">
            <v>160</v>
          </cell>
          <cell r="AV68">
            <v>150</v>
          </cell>
          <cell r="AW68">
            <v>107.5</v>
          </cell>
          <cell r="AX68">
            <v>0</v>
          </cell>
          <cell r="AY68">
            <v>0</v>
          </cell>
          <cell r="AZ68">
            <v>59.427200000000006</v>
          </cell>
          <cell r="BA68">
            <v>14.4848</v>
          </cell>
          <cell r="BB68">
            <v>11.140499999999999</v>
          </cell>
          <cell r="BC68">
            <v>2.4424000000000001</v>
          </cell>
          <cell r="BD68">
            <v>0</v>
          </cell>
          <cell r="BE68">
            <v>0.21489975438596493</v>
          </cell>
          <cell r="BF68">
            <v>0</v>
          </cell>
          <cell r="BI68">
            <v>0</v>
          </cell>
          <cell r="BJ68">
            <v>1.3057614517766498</v>
          </cell>
          <cell r="BK68">
            <v>0.86611113131313144</v>
          </cell>
          <cell r="BL68">
            <v>2.3867723374757461</v>
          </cell>
          <cell r="BM68">
            <v>-3.4320877192982456E-2</v>
          </cell>
          <cell r="BN68">
            <v>0</v>
          </cell>
          <cell r="BO68">
            <v>0</v>
          </cell>
          <cell r="BP68">
            <v>0</v>
          </cell>
          <cell r="BQ68">
            <v>0</v>
          </cell>
          <cell r="BR68">
            <v>-0.20853852791878175</v>
          </cell>
          <cell r="BS68">
            <v>0</v>
          </cell>
          <cell r="BT68">
            <v>-0.24285940511176421</v>
          </cell>
          <cell r="BU68">
            <v>160.80737169906564</v>
          </cell>
          <cell r="BV68">
            <v>-0.37309644670050757</v>
          </cell>
          <cell r="BW68">
            <v>160.43427525236513</v>
          </cell>
          <cell r="BX68">
            <v>164.08915479496494</v>
          </cell>
          <cell r="BY68">
            <v>-0.38071065989847713</v>
          </cell>
          <cell r="BZ68">
            <v>163.70844413506646</v>
          </cell>
          <cell r="CA68">
            <v>164.08915479496494</v>
          </cell>
          <cell r="CB68">
            <v>-0.44336730150248721</v>
          </cell>
          <cell r="CC68">
            <v>163.64578749346245</v>
          </cell>
          <cell r="CD68">
            <v>0</v>
          </cell>
          <cell r="CE68">
            <v>200</v>
          </cell>
          <cell r="CF68">
            <v>0</v>
          </cell>
          <cell r="CG68">
            <v>2.2632500000000002</v>
          </cell>
          <cell r="CH68">
            <v>140</v>
          </cell>
          <cell r="CI68">
            <v>0.57845462584790597</v>
          </cell>
          <cell r="CJ68">
            <v>0.57845462584790597</v>
          </cell>
          <cell r="CK68">
            <v>0.61026228217697776</v>
          </cell>
          <cell r="CL68">
            <v>0.14874547521803294</v>
          </cell>
          <cell r="CM68">
            <v>2.7551020408163263</v>
          </cell>
          <cell r="CN68">
            <v>3.514109798211337</v>
          </cell>
          <cell r="CO68">
            <v>1.2679894085232762E-2</v>
          </cell>
          <cell r="CP68">
            <v>1.2142857142857144</v>
          </cell>
          <cell r="CQ68">
            <v>1.2269656083709473</v>
          </cell>
          <cell r="CR68">
            <v>1.21</v>
          </cell>
          <cell r="CS68">
            <v>9.81</v>
          </cell>
          <cell r="CT68">
            <v>9.26</v>
          </cell>
          <cell r="CU68">
            <v>0</v>
          </cell>
          <cell r="CV68">
            <v>189.24531752589266</v>
          </cell>
        </row>
        <row r="69">
          <cell r="K69" t="str">
            <v>ExportKohlsBig One StripeUSABath76x137M</v>
          </cell>
          <cell r="L69">
            <v>0</v>
          </cell>
          <cell r="M69">
            <v>371.42</v>
          </cell>
          <cell r="N69">
            <v>0</v>
          </cell>
          <cell r="O69">
            <v>90.53</v>
          </cell>
          <cell r="P69">
            <v>74.27</v>
          </cell>
          <cell r="Q69">
            <v>22.72</v>
          </cell>
          <cell r="R69">
            <v>0</v>
          </cell>
          <cell r="S69">
            <v>0</v>
          </cell>
          <cell r="T69">
            <v>558.94000000000005</v>
          </cell>
          <cell r="U69">
            <v>547.76120000000003</v>
          </cell>
          <cell r="V69">
            <v>2.5000000000000001E-3</v>
          </cell>
          <cell r="W69">
            <v>0</v>
          </cell>
          <cell r="X69">
            <v>0</v>
          </cell>
          <cell r="Y69">
            <v>-2.5000000000000001E-2</v>
          </cell>
          <cell r="Z69">
            <v>2.0000000000000018E-2</v>
          </cell>
          <cell r="AA69">
            <v>1.4999999999999999E-2</v>
          </cell>
          <cell r="AB69">
            <v>0.01</v>
          </cell>
          <cell r="AC69">
            <v>1.3728350877192983</v>
          </cell>
          <cell r="AD69">
            <v>0</v>
          </cell>
          <cell r="AE69">
            <v>0</v>
          </cell>
          <cell r="AF69">
            <v>-2.2632500000000002</v>
          </cell>
          <cell r="AG69">
            <v>11.178800000000011</v>
          </cell>
          <cell r="AH69">
            <v>8.3415411167512694</v>
          </cell>
          <cell r="AI69">
            <v>5.5329414141414146</v>
          </cell>
          <cell r="AJ69">
            <v>24.162867618611994</v>
          </cell>
          <cell r="AK69">
            <v>571.92406761861207</v>
          </cell>
          <cell r="AL69" t="str">
            <v>2/24  DyedPattern</v>
          </cell>
          <cell r="AM69">
            <v>0</v>
          </cell>
          <cell r="AN69" t="str">
            <v>2/24  DyedPattern</v>
          </cell>
          <cell r="AO69" t="str">
            <v>1/16  CombDyed</v>
          </cell>
          <cell r="AP69" t="str">
            <v>2/24  KC</v>
          </cell>
          <cell r="AQ69">
            <v>0</v>
          </cell>
          <cell r="AR69">
            <v>0</v>
          </cell>
          <cell r="AS69">
            <v>160</v>
          </cell>
          <cell r="AT69">
            <v>0</v>
          </cell>
          <cell r="AU69">
            <v>160</v>
          </cell>
          <cell r="AV69">
            <v>150</v>
          </cell>
          <cell r="AW69">
            <v>107.5</v>
          </cell>
          <cell r="AX69">
            <v>0</v>
          </cell>
          <cell r="AY69">
            <v>0</v>
          </cell>
          <cell r="AZ69">
            <v>59.427200000000006</v>
          </cell>
          <cell r="BA69">
            <v>14.4848</v>
          </cell>
          <cell r="BB69">
            <v>11.140499999999999</v>
          </cell>
          <cell r="BC69">
            <v>2.4424000000000001</v>
          </cell>
          <cell r="BD69">
            <v>0</v>
          </cell>
          <cell r="BE69">
            <v>0.21489975438596493</v>
          </cell>
          <cell r="BF69">
            <v>0</v>
          </cell>
          <cell r="BI69">
            <v>0</v>
          </cell>
          <cell r="BJ69">
            <v>1.3057614517766498</v>
          </cell>
          <cell r="BK69">
            <v>0.86611113131313144</v>
          </cell>
          <cell r="BL69">
            <v>2.3867723374757461</v>
          </cell>
          <cell r="BM69">
            <v>-3.4320877192982456E-2</v>
          </cell>
          <cell r="BN69">
            <v>0</v>
          </cell>
          <cell r="BO69">
            <v>0</v>
          </cell>
          <cell r="BP69">
            <v>0</v>
          </cell>
          <cell r="BQ69">
            <v>0</v>
          </cell>
          <cell r="BR69">
            <v>-0.20853852791878175</v>
          </cell>
          <cell r="BS69">
            <v>0</v>
          </cell>
          <cell r="BT69">
            <v>-0.24285940511176421</v>
          </cell>
          <cell r="BU69">
            <v>160.80737169906564</v>
          </cell>
          <cell r="BV69">
            <v>-0.37309644670050757</v>
          </cell>
          <cell r="BW69">
            <v>160.43427525236513</v>
          </cell>
          <cell r="BX69">
            <v>164.08915479496494</v>
          </cell>
          <cell r="BY69">
            <v>-0.38071065989847713</v>
          </cell>
          <cell r="BZ69">
            <v>163.70844413506646</v>
          </cell>
          <cell r="CA69">
            <v>164.08915479496494</v>
          </cell>
          <cell r="CB69">
            <v>-0.44336730150248721</v>
          </cell>
          <cell r="CC69">
            <v>163.64578749346245</v>
          </cell>
          <cell r="CD69">
            <v>0</v>
          </cell>
          <cell r="CE69">
            <v>200</v>
          </cell>
          <cell r="CF69">
            <v>0</v>
          </cell>
          <cell r="CG69">
            <v>2.2632500000000002</v>
          </cell>
          <cell r="CH69">
            <v>140</v>
          </cell>
          <cell r="CI69">
            <v>0.57845462584790597</v>
          </cell>
          <cell r="CJ69">
            <v>0.57845462584790597</v>
          </cell>
          <cell r="CK69">
            <v>0.61026228217697776</v>
          </cell>
          <cell r="CL69">
            <v>0.14874547521803294</v>
          </cell>
          <cell r="CM69">
            <v>2.7551020408163263</v>
          </cell>
          <cell r="CN69">
            <v>3.514109798211337</v>
          </cell>
          <cell r="CO69">
            <v>1.2679894085232762E-2</v>
          </cell>
          <cell r="CP69">
            <v>1.2142857142857144</v>
          </cell>
          <cell r="CQ69">
            <v>1.2269656083709473</v>
          </cell>
          <cell r="CR69">
            <v>4.22</v>
          </cell>
          <cell r="CS69">
            <v>9.7200000000000006</v>
          </cell>
          <cell r="CT69">
            <v>9.26</v>
          </cell>
          <cell r="CU69">
            <v>0</v>
          </cell>
          <cell r="CV69">
            <v>192.16531752589265</v>
          </cell>
        </row>
        <row r="70">
          <cell r="K70" t="str">
            <v>ExportKohlsBig One StripeUSABath76x137D</v>
          </cell>
          <cell r="L70">
            <v>0</v>
          </cell>
          <cell r="M70">
            <v>371.42</v>
          </cell>
          <cell r="N70">
            <v>0</v>
          </cell>
          <cell r="O70">
            <v>90.53</v>
          </cell>
          <cell r="P70">
            <v>74.27</v>
          </cell>
          <cell r="Q70">
            <v>22.72</v>
          </cell>
          <cell r="R70">
            <v>0</v>
          </cell>
          <cell r="S70">
            <v>0</v>
          </cell>
          <cell r="T70">
            <v>558.94000000000005</v>
          </cell>
          <cell r="U70">
            <v>547.76120000000003</v>
          </cell>
          <cell r="V70">
            <v>2.5000000000000001E-3</v>
          </cell>
          <cell r="W70">
            <v>0</v>
          </cell>
          <cell r="X70">
            <v>0</v>
          </cell>
          <cell r="Y70">
            <v>-2.5000000000000001E-2</v>
          </cell>
          <cell r="Z70">
            <v>2.0000000000000018E-2</v>
          </cell>
          <cell r="AA70">
            <v>1.4999999999999999E-2</v>
          </cell>
          <cell r="AB70">
            <v>0.01</v>
          </cell>
          <cell r="AC70">
            <v>1.3728350877192983</v>
          </cell>
          <cell r="AD70">
            <v>0</v>
          </cell>
          <cell r="AE70">
            <v>0</v>
          </cell>
          <cell r="AF70">
            <v>-2.2632500000000002</v>
          </cell>
          <cell r="AG70">
            <v>11.178800000000011</v>
          </cell>
          <cell r="AH70">
            <v>8.3415411167512694</v>
          </cell>
          <cell r="AI70">
            <v>5.5329414141414146</v>
          </cell>
          <cell r="AJ70">
            <v>24.162867618611994</v>
          </cell>
          <cell r="AK70">
            <v>571.92406761861207</v>
          </cell>
          <cell r="AL70" t="str">
            <v>2/24  DyedPattern</v>
          </cell>
          <cell r="AM70">
            <v>0</v>
          </cell>
          <cell r="AN70" t="str">
            <v>2/24  DyedPattern</v>
          </cell>
          <cell r="AO70" t="str">
            <v>1/16  CombDyed</v>
          </cell>
          <cell r="AP70" t="str">
            <v>2/24  KC</v>
          </cell>
          <cell r="AQ70">
            <v>0</v>
          </cell>
          <cell r="AR70">
            <v>0</v>
          </cell>
          <cell r="AS70">
            <v>160</v>
          </cell>
          <cell r="AT70">
            <v>0</v>
          </cell>
          <cell r="AU70">
            <v>160</v>
          </cell>
          <cell r="AV70">
            <v>150</v>
          </cell>
          <cell r="AW70">
            <v>107.5</v>
          </cell>
          <cell r="AX70">
            <v>0</v>
          </cell>
          <cell r="AY70">
            <v>0</v>
          </cell>
          <cell r="AZ70">
            <v>59.427200000000006</v>
          </cell>
          <cell r="BA70">
            <v>14.4848</v>
          </cell>
          <cell r="BB70">
            <v>11.140499999999999</v>
          </cell>
          <cell r="BC70">
            <v>2.4424000000000001</v>
          </cell>
          <cell r="BD70">
            <v>0</v>
          </cell>
          <cell r="BE70">
            <v>0.21489975438596493</v>
          </cell>
          <cell r="BF70">
            <v>0</v>
          </cell>
          <cell r="BI70">
            <v>0</v>
          </cell>
          <cell r="BJ70">
            <v>1.3057614517766498</v>
          </cell>
          <cell r="BK70">
            <v>0.86611113131313144</v>
          </cell>
          <cell r="BL70">
            <v>2.3867723374757461</v>
          </cell>
          <cell r="BM70">
            <v>-3.4320877192982456E-2</v>
          </cell>
          <cell r="BN70">
            <v>0</v>
          </cell>
          <cell r="BO70">
            <v>0</v>
          </cell>
          <cell r="BP70">
            <v>0</v>
          </cell>
          <cell r="BQ70">
            <v>0</v>
          </cell>
          <cell r="BR70">
            <v>-0.20853852791878175</v>
          </cell>
          <cell r="BS70">
            <v>0</v>
          </cell>
          <cell r="BT70">
            <v>-0.24285940511176421</v>
          </cell>
          <cell r="BU70">
            <v>160.80737169906564</v>
          </cell>
          <cell r="BV70">
            <v>-0.37309644670050757</v>
          </cell>
          <cell r="BW70">
            <v>160.43427525236513</v>
          </cell>
          <cell r="BX70">
            <v>164.08915479496494</v>
          </cell>
          <cell r="BY70">
            <v>-0.38071065989847713</v>
          </cell>
          <cell r="BZ70">
            <v>163.70844413506646</v>
          </cell>
          <cell r="CA70">
            <v>164.08915479496494</v>
          </cell>
          <cell r="CB70">
            <v>-0.44336730150248721</v>
          </cell>
          <cell r="CC70">
            <v>163.64578749346245</v>
          </cell>
          <cell r="CD70">
            <v>0</v>
          </cell>
          <cell r="CE70">
            <v>200</v>
          </cell>
          <cell r="CF70">
            <v>0</v>
          </cell>
          <cell r="CG70">
            <v>2.2632500000000002</v>
          </cell>
          <cell r="CH70">
            <v>140</v>
          </cell>
          <cell r="CI70">
            <v>0.57845462584790597</v>
          </cell>
          <cell r="CJ70">
            <v>0.57845462584790597</v>
          </cell>
          <cell r="CK70">
            <v>0.61026228217697776</v>
          </cell>
          <cell r="CL70">
            <v>0.14874547521803294</v>
          </cell>
          <cell r="CM70">
            <v>2.7551020408163263</v>
          </cell>
          <cell r="CN70">
            <v>3.514109798211337</v>
          </cell>
          <cell r="CO70">
            <v>1.2679894085232762E-2</v>
          </cell>
          <cell r="CP70">
            <v>1.2142857142857144</v>
          </cell>
          <cell r="CQ70">
            <v>1.2269656083709473</v>
          </cell>
          <cell r="CR70">
            <v>14.66</v>
          </cell>
          <cell r="CS70">
            <v>9.98</v>
          </cell>
          <cell r="CT70">
            <v>9.26</v>
          </cell>
          <cell r="CU70">
            <v>0</v>
          </cell>
          <cell r="CV70">
            <v>202.86531752589266</v>
          </cell>
        </row>
        <row r="71">
          <cell r="K71" t="str">
            <v>ExportKohlsBig One StripeUSAHand41x71L</v>
          </cell>
          <cell r="L71">
            <v>0</v>
          </cell>
          <cell r="M71">
            <v>90.83</v>
          </cell>
          <cell r="N71">
            <v>0</v>
          </cell>
          <cell r="O71">
            <v>26.33</v>
          </cell>
          <cell r="P71">
            <v>20.6</v>
          </cell>
          <cell r="Q71">
            <v>6.9</v>
          </cell>
          <cell r="R71">
            <v>0</v>
          </cell>
          <cell r="S71">
            <v>0</v>
          </cell>
          <cell r="T71">
            <v>144.66</v>
          </cell>
          <cell r="U71">
            <v>141.76679999999999</v>
          </cell>
          <cell r="V71">
            <v>2.5000000000000001E-3</v>
          </cell>
          <cell r="W71">
            <v>0</v>
          </cell>
          <cell r="X71">
            <v>0</v>
          </cell>
          <cell r="Y71">
            <v>-2.5000000000000001E-2</v>
          </cell>
          <cell r="Z71">
            <v>2.0000000000000018E-2</v>
          </cell>
          <cell r="AA71">
            <v>1.4999999999999999E-2</v>
          </cell>
          <cell r="AB71">
            <v>0.01</v>
          </cell>
          <cell r="AC71">
            <v>0.35530526315789468</v>
          </cell>
          <cell r="AD71">
            <v>0</v>
          </cell>
          <cell r="AE71">
            <v>0</v>
          </cell>
          <cell r="AF71">
            <v>-0.65825</v>
          </cell>
          <cell r="AG71">
            <v>2.8932000000000024</v>
          </cell>
          <cell r="AH71">
            <v>2.158885279187817</v>
          </cell>
          <cell r="AI71">
            <v>1.4319878787878788</v>
          </cell>
          <cell r="AJ71">
            <v>6.1811284211335931</v>
          </cell>
          <cell r="AK71">
            <v>147.94792842113358</v>
          </cell>
          <cell r="AL71" t="str">
            <v>2/24  DyedPattern</v>
          </cell>
          <cell r="AM71">
            <v>0</v>
          </cell>
          <cell r="AN71" t="str">
            <v>2/24  DyedPattern</v>
          </cell>
          <cell r="AO71" t="str">
            <v>1/16  CombDyed</v>
          </cell>
          <cell r="AP71" t="str">
            <v>2/24  KC</v>
          </cell>
          <cell r="AQ71">
            <v>0</v>
          </cell>
          <cell r="AR71">
            <v>0</v>
          </cell>
          <cell r="AS71">
            <v>160</v>
          </cell>
          <cell r="AT71">
            <v>0</v>
          </cell>
          <cell r="AU71">
            <v>160</v>
          </cell>
          <cell r="AV71">
            <v>150</v>
          </cell>
          <cell r="AW71">
            <v>107.5</v>
          </cell>
          <cell r="AX71">
            <v>0</v>
          </cell>
          <cell r="AY71">
            <v>0</v>
          </cell>
          <cell r="AZ71">
            <v>14.5328</v>
          </cell>
          <cell r="BA71">
            <v>4.2127999999999997</v>
          </cell>
          <cell r="BB71">
            <v>3.09</v>
          </cell>
          <cell r="BC71">
            <v>0.74175000000000002</v>
          </cell>
          <cell r="BD71">
            <v>0</v>
          </cell>
          <cell r="BE71">
            <v>5.5453140350877186E-2</v>
          </cell>
          <cell r="BF71">
            <v>0</v>
          </cell>
          <cell r="BI71">
            <v>0</v>
          </cell>
          <cell r="BJ71">
            <v>0.3369411624365482</v>
          </cell>
          <cell r="BK71">
            <v>0.22349295959595961</v>
          </cell>
          <cell r="BL71">
            <v>0.61588726238338498</v>
          </cell>
          <cell r="BM71">
            <v>-8.8826315789473659E-3</v>
          </cell>
          <cell r="BN71">
            <v>0</v>
          </cell>
          <cell r="BO71">
            <v>0</v>
          </cell>
          <cell r="BP71">
            <v>0</v>
          </cell>
          <cell r="BQ71">
            <v>0</v>
          </cell>
          <cell r="BR71">
            <v>-5.3972131979695429E-2</v>
          </cell>
          <cell r="BS71">
            <v>0</v>
          </cell>
          <cell r="BT71">
            <v>-6.2854763558642793E-2</v>
          </cell>
          <cell r="BU71">
            <v>160.32930500748918</v>
          </cell>
          <cell r="BV71">
            <v>-0.37309644670050757</v>
          </cell>
          <cell r="BW71">
            <v>159.95620856078867</v>
          </cell>
          <cell r="BX71">
            <v>163.60133164029509</v>
          </cell>
          <cell r="BY71">
            <v>-0.38071065989847713</v>
          </cell>
          <cell r="BZ71">
            <v>163.2206209803966</v>
          </cell>
          <cell r="CA71">
            <v>163.60133164029509</v>
          </cell>
          <cell r="CB71">
            <v>-0.44336730150248715</v>
          </cell>
          <cell r="CC71">
            <v>163.1579643387926</v>
          </cell>
          <cell r="CD71">
            <v>0</v>
          </cell>
          <cell r="CE71">
            <v>200</v>
          </cell>
          <cell r="CF71">
            <v>0</v>
          </cell>
          <cell r="CG71">
            <v>0.65825</v>
          </cell>
          <cell r="CH71">
            <v>140</v>
          </cell>
          <cell r="CI71">
            <v>0.65004641425213805</v>
          </cell>
          <cell r="CJ71">
            <v>0.65004641425213805</v>
          </cell>
          <cell r="CK71">
            <v>0.57663007135662225</v>
          </cell>
          <cell r="CL71">
            <v>0.16715479223626403</v>
          </cell>
          <cell r="CM71">
            <v>2.7551020408163263</v>
          </cell>
          <cell r="CN71">
            <v>3.4988869044092126</v>
          </cell>
          <cell r="CO71">
            <v>1.1981091482632043E-2</v>
          </cell>
          <cell r="CP71">
            <v>1.2142857142857146</v>
          </cell>
          <cell r="CQ71">
            <v>1.2262668057683466</v>
          </cell>
          <cell r="CR71">
            <v>1.21</v>
          </cell>
          <cell r="CS71">
            <v>9.81</v>
          </cell>
          <cell r="CT71">
            <v>9.61</v>
          </cell>
          <cell r="CU71">
            <v>0</v>
          </cell>
          <cell r="CV71">
            <v>189.16316446322227</v>
          </cell>
        </row>
        <row r="72">
          <cell r="K72" t="str">
            <v>ExportKohlsBig One StripeUSAHand41x71M</v>
          </cell>
          <cell r="L72">
            <v>0</v>
          </cell>
          <cell r="M72">
            <v>90.83</v>
          </cell>
          <cell r="N72">
            <v>0</v>
          </cell>
          <cell r="O72">
            <v>26.33</v>
          </cell>
          <cell r="P72">
            <v>20.6</v>
          </cell>
          <cell r="Q72">
            <v>6.9</v>
          </cell>
          <cell r="R72">
            <v>0</v>
          </cell>
          <cell r="S72">
            <v>0</v>
          </cell>
          <cell r="T72">
            <v>144.66</v>
          </cell>
          <cell r="U72">
            <v>141.76679999999999</v>
          </cell>
          <cell r="V72">
            <v>2.5000000000000001E-3</v>
          </cell>
          <cell r="W72">
            <v>0</v>
          </cell>
          <cell r="X72">
            <v>0</v>
          </cell>
          <cell r="Y72">
            <v>-2.5000000000000001E-2</v>
          </cell>
          <cell r="Z72">
            <v>2.0000000000000018E-2</v>
          </cell>
          <cell r="AA72">
            <v>1.4999999999999999E-2</v>
          </cell>
          <cell r="AB72">
            <v>0.01</v>
          </cell>
          <cell r="AC72">
            <v>0.35530526315789468</v>
          </cell>
          <cell r="AD72">
            <v>0</v>
          </cell>
          <cell r="AE72">
            <v>0</v>
          </cell>
          <cell r="AF72">
            <v>-0.65825</v>
          </cell>
          <cell r="AG72">
            <v>2.8932000000000024</v>
          </cell>
          <cell r="AH72">
            <v>2.158885279187817</v>
          </cell>
          <cell r="AI72">
            <v>1.4319878787878788</v>
          </cell>
          <cell r="AJ72">
            <v>6.1811284211335931</v>
          </cell>
          <cell r="AK72">
            <v>147.94792842113358</v>
          </cell>
          <cell r="AL72" t="str">
            <v>2/24  DyedPattern</v>
          </cell>
          <cell r="AM72">
            <v>0</v>
          </cell>
          <cell r="AN72" t="str">
            <v>2/24  DyedPattern</v>
          </cell>
          <cell r="AO72" t="str">
            <v>1/16  CombDyed</v>
          </cell>
          <cell r="AP72" t="str">
            <v>2/24  KC</v>
          </cell>
          <cell r="AQ72">
            <v>0</v>
          </cell>
          <cell r="AR72">
            <v>0</v>
          </cell>
          <cell r="AS72">
            <v>160</v>
          </cell>
          <cell r="AT72">
            <v>0</v>
          </cell>
          <cell r="AU72">
            <v>160</v>
          </cell>
          <cell r="AV72">
            <v>150</v>
          </cell>
          <cell r="AW72">
            <v>107.5</v>
          </cell>
          <cell r="AX72">
            <v>0</v>
          </cell>
          <cell r="AY72">
            <v>0</v>
          </cell>
          <cell r="AZ72">
            <v>14.5328</v>
          </cell>
          <cell r="BA72">
            <v>4.2127999999999997</v>
          </cell>
          <cell r="BB72">
            <v>3.09</v>
          </cell>
          <cell r="BC72">
            <v>0.74175000000000002</v>
          </cell>
          <cell r="BD72">
            <v>0</v>
          </cell>
          <cell r="BE72">
            <v>5.5453140350877186E-2</v>
          </cell>
          <cell r="BF72">
            <v>0</v>
          </cell>
          <cell r="BI72">
            <v>0</v>
          </cell>
          <cell r="BJ72">
            <v>0.3369411624365482</v>
          </cell>
          <cell r="BK72">
            <v>0.22349295959595961</v>
          </cell>
          <cell r="BL72">
            <v>0.61588726238338498</v>
          </cell>
          <cell r="BM72">
            <v>-8.8826315789473659E-3</v>
          </cell>
          <cell r="BN72">
            <v>0</v>
          </cell>
          <cell r="BO72">
            <v>0</v>
          </cell>
          <cell r="BP72">
            <v>0</v>
          </cell>
          <cell r="BQ72">
            <v>0</v>
          </cell>
          <cell r="BR72">
            <v>-5.3972131979695429E-2</v>
          </cell>
          <cell r="BS72">
            <v>0</v>
          </cell>
          <cell r="BT72">
            <v>-6.2854763558642793E-2</v>
          </cell>
          <cell r="BU72">
            <v>160.32930500748918</v>
          </cell>
          <cell r="BV72">
            <v>-0.37309644670050757</v>
          </cell>
          <cell r="BW72">
            <v>159.95620856078867</v>
          </cell>
          <cell r="BX72">
            <v>163.60133164029509</v>
          </cell>
          <cell r="BY72">
            <v>-0.38071065989847713</v>
          </cell>
          <cell r="BZ72">
            <v>163.2206209803966</v>
          </cell>
          <cell r="CA72">
            <v>163.60133164029509</v>
          </cell>
          <cell r="CB72">
            <v>-0.44336730150248715</v>
          </cell>
          <cell r="CC72">
            <v>163.1579643387926</v>
          </cell>
          <cell r="CD72">
            <v>0</v>
          </cell>
          <cell r="CE72">
            <v>200</v>
          </cell>
          <cell r="CF72">
            <v>0</v>
          </cell>
          <cell r="CG72">
            <v>0.65825</v>
          </cell>
          <cell r="CH72">
            <v>140</v>
          </cell>
          <cell r="CI72">
            <v>0.65004641425213805</v>
          </cell>
          <cell r="CJ72">
            <v>0.65004641425213805</v>
          </cell>
          <cell r="CK72">
            <v>0.57663007135662225</v>
          </cell>
          <cell r="CL72">
            <v>0.16715479223626403</v>
          </cell>
          <cell r="CM72">
            <v>2.7551020408163263</v>
          </cell>
          <cell r="CN72">
            <v>3.4988869044092126</v>
          </cell>
          <cell r="CO72">
            <v>1.1981091482632043E-2</v>
          </cell>
          <cell r="CP72">
            <v>1.2142857142857146</v>
          </cell>
          <cell r="CQ72">
            <v>1.2262668057683466</v>
          </cell>
          <cell r="CR72">
            <v>4.22</v>
          </cell>
          <cell r="CS72">
            <v>9.7200000000000006</v>
          </cell>
          <cell r="CT72">
            <v>9.61</v>
          </cell>
          <cell r="CU72">
            <v>0</v>
          </cell>
          <cell r="CV72">
            <v>192.08316446322229</v>
          </cell>
        </row>
        <row r="73">
          <cell r="K73" t="str">
            <v>ExportKohlsBig One StripeUSAHand41x71D</v>
          </cell>
          <cell r="L73">
            <v>0</v>
          </cell>
          <cell r="M73">
            <v>90.83</v>
          </cell>
          <cell r="N73">
            <v>0</v>
          </cell>
          <cell r="O73">
            <v>26.33</v>
          </cell>
          <cell r="P73">
            <v>20.6</v>
          </cell>
          <cell r="Q73">
            <v>6.9</v>
          </cell>
          <cell r="R73">
            <v>0</v>
          </cell>
          <cell r="S73">
            <v>0</v>
          </cell>
          <cell r="T73">
            <v>144.66</v>
          </cell>
          <cell r="U73">
            <v>141.76679999999999</v>
          </cell>
          <cell r="V73">
            <v>2.5000000000000001E-3</v>
          </cell>
          <cell r="W73">
            <v>0</v>
          </cell>
          <cell r="X73">
            <v>0</v>
          </cell>
          <cell r="Y73">
            <v>-2.5000000000000001E-2</v>
          </cell>
          <cell r="Z73">
            <v>2.0000000000000018E-2</v>
          </cell>
          <cell r="AA73">
            <v>1.4999999999999999E-2</v>
          </cell>
          <cell r="AB73">
            <v>0.01</v>
          </cell>
          <cell r="AC73">
            <v>0.35530526315789468</v>
          </cell>
          <cell r="AD73">
            <v>0</v>
          </cell>
          <cell r="AE73">
            <v>0</v>
          </cell>
          <cell r="AF73">
            <v>-0.65825</v>
          </cell>
          <cell r="AG73">
            <v>2.8932000000000024</v>
          </cell>
          <cell r="AH73">
            <v>2.158885279187817</v>
          </cell>
          <cell r="AI73">
            <v>1.4319878787878788</v>
          </cell>
          <cell r="AJ73">
            <v>6.1811284211335931</v>
          </cell>
          <cell r="AK73">
            <v>147.94792842113358</v>
          </cell>
          <cell r="AL73" t="str">
            <v>2/24  DyedPattern</v>
          </cell>
          <cell r="AM73">
            <v>0</v>
          </cell>
          <cell r="AN73" t="str">
            <v>2/24  DyedPattern</v>
          </cell>
          <cell r="AO73" t="str">
            <v>1/16  CombDyed</v>
          </cell>
          <cell r="AP73" t="str">
            <v>2/24  KC</v>
          </cell>
          <cell r="AQ73">
            <v>0</v>
          </cell>
          <cell r="AR73">
            <v>0</v>
          </cell>
          <cell r="AS73">
            <v>160</v>
          </cell>
          <cell r="AT73">
            <v>0</v>
          </cell>
          <cell r="AU73">
            <v>160</v>
          </cell>
          <cell r="AV73">
            <v>150</v>
          </cell>
          <cell r="AW73">
            <v>107.5</v>
          </cell>
          <cell r="AX73">
            <v>0</v>
          </cell>
          <cell r="AY73">
            <v>0</v>
          </cell>
          <cell r="AZ73">
            <v>14.5328</v>
          </cell>
          <cell r="BA73">
            <v>4.2127999999999997</v>
          </cell>
          <cell r="BB73">
            <v>3.09</v>
          </cell>
          <cell r="BC73">
            <v>0.74175000000000002</v>
          </cell>
          <cell r="BD73">
            <v>0</v>
          </cell>
          <cell r="BE73">
            <v>5.5453140350877186E-2</v>
          </cell>
          <cell r="BF73">
            <v>0</v>
          </cell>
          <cell r="BI73">
            <v>0</v>
          </cell>
          <cell r="BJ73">
            <v>0.3369411624365482</v>
          </cell>
          <cell r="BK73">
            <v>0.22349295959595961</v>
          </cell>
          <cell r="BL73">
            <v>0.61588726238338498</v>
          </cell>
          <cell r="BM73">
            <v>-8.8826315789473659E-3</v>
          </cell>
          <cell r="BN73">
            <v>0</v>
          </cell>
          <cell r="BO73">
            <v>0</v>
          </cell>
          <cell r="BP73">
            <v>0</v>
          </cell>
          <cell r="BQ73">
            <v>0</v>
          </cell>
          <cell r="BR73">
            <v>-5.3972131979695429E-2</v>
          </cell>
          <cell r="BS73">
            <v>0</v>
          </cell>
          <cell r="BT73">
            <v>-6.2854763558642793E-2</v>
          </cell>
          <cell r="BU73">
            <v>160.32930500748918</v>
          </cell>
          <cell r="BV73">
            <v>-0.37309644670050757</v>
          </cell>
          <cell r="BW73">
            <v>159.95620856078867</v>
          </cell>
          <cell r="BX73">
            <v>163.60133164029509</v>
          </cell>
          <cell r="BY73">
            <v>-0.38071065989847713</v>
          </cell>
          <cell r="BZ73">
            <v>163.2206209803966</v>
          </cell>
          <cell r="CA73">
            <v>163.60133164029509</v>
          </cell>
          <cell r="CB73">
            <v>-0.44336730150248715</v>
          </cell>
          <cell r="CC73">
            <v>163.1579643387926</v>
          </cell>
          <cell r="CD73">
            <v>0</v>
          </cell>
          <cell r="CE73">
            <v>200</v>
          </cell>
          <cell r="CF73">
            <v>0</v>
          </cell>
          <cell r="CG73">
            <v>0.65825</v>
          </cell>
          <cell r="CH73">
            <v>140</v>
          </cell>
          <cell r="CI73">
            <v>0.65004641425213805</v>
          </cell>
          <cell r="CJ73">
            <v>0.65004641425213805</v>
          </cell>
          <cell r="CK73">
            <v>0.57663007135662225</v>
          </cell>
          <cell r="CL73">
            <v>0.16715479223626403</v>
          </cell>
          <cell r="CM73">
            <v>2.7551020408163263</v>
          </cell>
          <cell r="CN73">
            <v>3.4988869044092126</v>
          </cell>
          <cell r="CO73">
            <v>1.1981091482632043E-2</v>
          </cell>
          <cell r="CP73">
            <v>1.2142857142857146</v>
          </cell>
          <cell r="CQ73">
            <v>1.2262668057683466</v>
          </cell>
          <cell r="CR73">
            <v>14.66</v>
          </cell>
          <cell r="CS73">
            <v>9.98</v>
          </cell>
          <cell r="CT73">
            <v>9.61</v>
          </cell>
          <cell r="CU73">
            <v>0</v>
          </cell>
          <cell r="CV73">
            <v>202.78316446322228</v>
          </cell>
        </row>
        <row r="74">
          <cell r="K74" t="str">
            <v>ExportKohlsBig One StripeUSAWash30x30L</v>
          </cell>
          <cell r="L74">
            <v>0</v>
          </cell>
          <cell r="M74">
            <v>28</v>
          </cell>
          <cell r="N74">
            <v>0</v>
          </cell>
          <cell r="O74">
            <v>9</v>
          </cell>
          <cell r="P74">
            <v>6.45</v>
          </cell>
          <cell r="Q74">
            <v>5</v>
          </cell>
          <cell r="R74">
            <v>0</v>
          </cell>
          <cell r="S74">
            <v>0</v>
          </cell>
          <cell r="T74">
            <v>48.45</v>
          </cell>
          <cell r="U74">
            <v>47.481000000000002</v>
          </cell>
          <cell r="V74">
            <v>2.5000000000000001E-3</v>
          </cell>
          <cell r="W74">
            <v>0</v>
          </cell>
          <cell r="X74">
            <v>0</v>
          </cell>
          <cell r="Y74">
            <v>-2.5000000000000001E-2</v>
          </cell>
          <cell r="Z74">
            <v>2.0000000000000018E-2</v>
          </cell>
          <cell r="AA74">
            <v>1.4999999999999999E-2</v>
          </cell>
          <cell r="AB74">
            <v>0.01</v>
          </cell>
          <cell r="AC74">
            <v>0.11900000000000001</v>
          </cell>
          <cell r="AD74">
            <v>0</v>
          </cell>
          <cell r="AE74">
            <v>0</v>
          </cell>
          <cell r="AF74">
            <v>-0.22500000000000001</v>
          </cell>
          <cell r="AG74">
            <v>0.96900000000000097</v>
          </cell>
          <cell r="AH74">
            <v>0.72306091370558379</v>
          </cell>
          <cell r="AI74">
            <v>0.47960606060606059</v>
          </cell>
          <cell r="AJ74">
            <v>2.0656669743116454</v>
          </cell>
          <cell r="AK74">
            <v>49.546666974311648</v>
          </cell>
          <cell r="AL74" t="str">
            <v>2/24  DyedPattern</v>
          </cell>
          <cell r="AM74">
            <v>0</v>
          </cell>
          <cell r="AN74" t="str">
            <v>2/24  DyedPattern</v>
          </cell>
          <cell r="AO74" t="str">
            <v>1/16  CombDyed</v>
          </cell>
          <cell r="AP74" t="str">
            <v>2/24  KC</v>
          </cell>
          <cell r="AQ74">
            <v>0</v>
          </cell>
          <cell r="AR74">
            <v>0</v>
          </cell>
          <cell r="AS74">
            <v>160</v>
          </cell>
          <cell r="AT74">
            <v>0</v>
          </cell>
          <cell r="AU74">
            <v>160</v>
          </cell>
          <cell r="AV74">
            <v>150</v>
          </cell>
          <cell r="AW74">
            <v>107.5</v>
          </cell>
          <cell r="AX74">
            <v>0</v>
          </cell>
          <cell r="AY74">
            <v>0</v>
          </cell>
          <cell r="AZ74">
            <v>4.4800000000000004</v>
          </cell>
          <cell r="BA74">
            <v>1.44</v>
          </cell>
          <cell r="BB74">
            <v>0.96750000000000003</v>
          </cell>
          <cell r="BC74">
            <v>0.53749999999999998</v>
          </cell>
          <cell r="BD74">
            <v>0</v>
          </cell>
          <cell r="BE74">
            <v>1.8236842105263159E-2</v>
          </cell>
          <cell r="BF74">
            <v>0</v>
          </cell>
          <cell r="BI74">
            <v>0</v>
          </cell>
          <cell r="BJ74">
            <v>0.11080964467005076</v>
          </cell>
          <cell r="BK74">
            <v>7.3499999999999996E-2</v>
          </cell>
          <cell r="BL74">
            <v>0.20254648677531389</v>
          </cell>
          <cell r="BM74">
            <v>-2.9750000000000002E-3</v>
          </cell>
          <cell r="BN74">
            <v>0</v>
          </cell>
          <cell r="BO74">
            <v>0</v>
          </cell>
          <cell r="BP74">
            <v>0</v>
          </cell>
          <cell r="BQ74">
            <v>0</v>
          </cell>
          <cell r="BR74">
            <v>-1.8076522842639595E-2</v>
          </cell>
          <cell r="BS74">
            <v>0</v>
          </cell>
          <cell r="BT74">
            <v>-2.1051522842639593E-2</v>
          </cell>
          <cell r="BU74">
            <v>157.4313000366422</v>
          </cell>
          <cell r="BV74">
            <v>-0.37309644670050757</v>
          </cell>
          <cell r="BW74">
            <v>157.05820358994168</v>
          </cell>
          <cell r="BX74">
            <v>160.64418371085938</v>
          </cell>
          <cell r="BY74">
            <v>-0.38071065989847713</v>
          </cell>
          <cell r="BZ74">
            <v>160.2634730509609</v>
          </cell>
          <cell r="CA74">
            <v>160.64418371085938</v>
          </cell>
          <cell r="CB74">
            <v>-0.44336730150248715</v>
          </cell>
          <cell r="CC74">
            <v>160.20081640935689</v>
          </cell>
          <cell r="CD74">
            <v>0</v>
          </cell>
          <cell r="CE74">
            <v>200</v>
          </cell>
          <cell r="CF74">
            <v>0</v>
          </cell>
          <cell r="CG74">
            <v>0.22500000000000001</v>
          </cell>
          <cell r="CH74">
            <v>140</v>
          </cell>
          <cell r="CI74">
            <v>0.6634232640424591</v>
          </cell>
          <cell r="CJ74">
            <v>0.6634232640424591</v>
          </cell>
          <cell r="CK74">
            <v>0.53073861123396715</v>
          </cell>
          <cell r="CL74">
            <v>0.17059455361091805</v>
          </cell>
          <cell r="CM74">
            <v>2.7551020408163263</v>
          </cell>
          <cell r="CN74">
            <v>3.4564352056612115</v>
          </cell>
          <cell r="CO74">
            <v>1.1027568922305766E-2</v>
          </cell>
          <cell r="CP74">
            <v>1.2142857142857144</v>
          </cell>
          <cell r="CQ74">
            <v>1.2253132832080202</v>
          </cell>
          <cell r="CR74">
            <v>1.21</v>
          </cell>
          <cell r="CS74">
            <v>9.81</v>
          </cell>
          <cell r="CT74">
            <v>32.75</v>
          </cell>
          <cell r="CU74">
            <v>0</v>
          </cell>
          <cell r="CV74">
            <v>209.31598816226858</v>
          </cell>
        </row>
        <row r="75">
          <cell r="K75" t="str">
            <v>ExportKohlsBig One StripeUSAWash30x30M</v>
          </cell>
          <cell r="L75">
            <v>0</v>
          </cell>
          <cell r="M75">
            <v>28</v>
          </cell>
          <cell r="N75">
            <v>0</v>
          </cell>
          <cell r="O75">
            <v>9</v>
          </cell>
          <cell r="P75">
            <v>6.45</v>
          </cell>
          <cell r="Q75">
            <v>5</v>
          </cell>
          <cell r="R75">
            <v>0</v>
          </cell>
          <cell r="S75">
            <v>0</v>
          </cell>
          <cell r="T75">
            <v>48.45</v>
          </cell>
          <cell r="U75">
            <v>47.481000000000002</v>
          </cell>
          <cell r="V75">
            <v>2.5000000000000001E-3</v>
          </cell>
          <cell r="W75">
            <v>0</v>
          </cell>
          <cell r="X75">
            <v>0</v>
          </cell>
          <cell r="Y75">
            <v>-2.5000000000000001E-2</v>
          </cell>
          <cell r="Z75">
            <v>2.0000000000000018E-2</v>
          </cell>
          <cell r="AA75">
            <v>1.4999999999999999E-2</v>
          </cell>
          <cell r="AB75">
            <v>0.01</v>
          </cell>
          <cell r="AC75">
            <v>0.11900000000000001</v>
          </cell>
          <cell r="AD75">
            <v>0</v>
          </cell>
          <cell r="AE75">
            <v>0</v>
          </cell>
          <cell r="AF75">
            <v>-0.22500000000000001</v>
          </cell>
          <cell r="AG75">
            <v>0.96900000000000097</v>
          </cell>
          <cell r="AH75">
            <v>0.72306091370558379</v>
          </cell>
          <cell r="AI75">
            <v>0.47960606060606059</v>
          </cell>
          <cell r="AJ75">
            <v>2.0656669743116454</v>
          </cell>
          <cell r="AK75">
            <v>49.546666974311648</v>
          </cell>
          <cell r="AL75" t="str">
            <v>2/24  DyedPattern</v>
          </cell>
          <cell r="AM75">
            <v>0</v>
          </cell>
          <cell r="AN75" t="str">
            <v>2/24  DyedPattern</v>
          </cell>
          <cell r="AO75" t="str">
            <v>1/16  CombDyed</v>
          </cell>
          <cell r="AP75" t="str">
            <v>2/24  KC</v>
          </cell>
          <cell r="AQ75">
            <v>0</v>
          </cell>
          <cell r="AR75">
            <v>0</v>
          </cell>
          <cell r="AS75">
            <v>160</v>
          </cell>
          <cell r="AT75">
            <v>0</v>
          </cell>
          <cell r="AU75">
            <v>160</v>
          </cell>
          <cell r="AV75">
            <v>150</v>
          </cell>
          <cell r="AW75">
            <v>107.5</v>
          </cell>
          <cell r="AX75">
            <v>0</v>
          </cell>
          <cell r="AY75">
            <v>0</v>
          </cell>
          <cell r="AZ75">
            <v>4.4800000000000004</v>
          </cell>
          <cell r="BA75">
            <v>1.44</v>
          </cell>
          <cell r="BB75">
            <v>0.96750000000000003</v>
          </cell>
          <cell r="BC75">
            <v>0.53749999999999998</v>
          </cell>
          <cell r="BD75">
            <v>0</v>
          </cell>
          <cell r="BE75">
            <v>1.8236842105263159E-2</v>
          </cell>
          <cell r="BF75">
            <v>0</v>
          </cell>
          <cell r="BI75">
            <v>0</v>
          </cell>
          <cell r="BJ75">
            <v>0.11080964467005076</v>
          </cell>
          <cell r="BK75">
            <v>7.3499999999999996E-2</v>
          </cell>
          <cell r="BL75">
            <v>0.20254648677531389</v>
          </cell>
          <cell r="BM75">
            <v>-2.9750000000000002E-3</v>
          </cell>
          <cell r="BN75">
            <v>0</v>
          </cell>
          <cell r="BO75">
            <v>0</v>
          </cell>
          <cell r="BP75">
            <v>0</v>
          </cell>
          <cell r="BQ75">
            <v>0</v>
          </cell>
          <cell r="BR75">
            <v>-1.8076522842639595E-2</v>
          </cell>
          <cell r="BS75">
            <v>0</v>
          </cell>
          <cell r="BT75">
            <v>-2.1051522842639593E-2</v>
          </cell>
          <cell r="BU75">
            <v>157.4313000366422</v>
          </cell>
          <cell r="BV75">
            <v>-0.37309644670050757</v>
          </cell>
          <cell r="BW75">
            <v>157.05820358994168</v>
          </cell>
          <cell r="BX75">
            <v>160.64418371085938</v>
          </cell>
          <cell r="BY75">
            <v>-0.38071065989847713</v>
          </cell>
          <cell r="BZ75">
            <v>160.2634730509609</v>
          </cell>
          <cell r="CA75">
            <v>160.64418371085938</v>
          </cell>
          <cell r="CB75">
            <v>-0.44336730150248715</v>
          </cell>
          <cell r="CC75">
            <v>160.20081640935689</v>
          </cell>
          <cell r="CD75">
            <v>0</v>
          </cell>
          <cell r="CE75">
            <v>200</v>
          </cell>
          <cell r="CF75">
            <v>0</v>
          </cell>
          <cell r="CG75">
            <v>0.22500000000000001</v>
          </cell>
          <cell r="CH75">
            <v>140</v>
          </cell>
          <cell r="CI75">
            <v>0.6634232640424591</v>
          </cell>
          <cell r="CJ75">
            <v>0.6634232640424591</v>
          </cell>
          <cell r="CK75">
            <v>0.53073861123396715</v>
          </cell>
          <cell r="CL75">
            <v>0.17059455361091805</v>
          </cell>
          <cell r="CM75">
            <v>2.7551020408163263</v>
          </cell>
          <cell r="CN75">
            <v>3.4564352056612115</v>
          </cell>
          <cell r="CO75">
            <v>1.1027568922305766E-2</v>
          </cell>
          <cell r="CP75">
            <v>1.2142857142857144</v>
          </cell>
          <cell r="CQ75">
            <v>1.2253132832080202</v>
          </cell>
          <cell r="CR75">
            <v>4.22</v>
          </cell>
          <cell r="CS75">
            <v>9.7200000000000006</v>
          </cell>
          <cell r="CT75">
            <v>32.75</v>
          </cell>
          <cell r="CU75">
            <v>0</v>
          </cell>
          <cell r="CV75">
            <v>212.23598816226857</v>
          </cell>
        </row>
        <row r="76">
          <cell r="K76" t="str">
            <v>ExportKohlsBig One StripeUSAWash30x30D</v>
          </cell>
          <cell r="L76">
            <v>0</v>
          </cell>
          <cell r="M76">
            <v>28</v>
          </cell>
          <cell r="N76">
            <v>0</v>
          </cell>
          <cell r="O76">
            <v>9</v>
          </cell>
          <cell r="P76">
            <v>6.45</v>
          </cell>
          <cell r="Q76">
            <v>5</v>
          </cell>
          <cell r="R76">
            <v>0</v>
          </cell>
          <cell r="S76">
            <v>0</v>
          </cell>
          <cell r="T76">
            <v>48.45</v>
          </cell>
          <cell r="U76">
            <v>47.481000000000002</v>
          </cell>
          <cell r="V76">
            <v>2.5000000000000001E-3</v>
          </cell>
          <cell r="W76">
            <v>0</v>
          </cell>
          <cell r="X76">
            <v>0</v>
          </cell>
          <cell r="Y76">
            <v>-2.5000000000000001E-2</v>
          </cell>
          <cell r="Z76">
            <v>2.0000000000000018E-2</v>
          </cell>
          <cell r="AA76">
            <v>1.4999999999999999E-2</v>
          </cell>
          <cell r="AB76">
            <v>0.01</v>
          </cell>
          <cell r="AC76">
            <v>0.11900000000000001</v>
          </cell>
          <cell r="AD76">
            <v>0</v>
          </cell>
          <cell r="AE76">
            <v>0</v>
          </cell>
          <cell r="AF76">
            <v>-0.22500000000000001</v>
          </cell>
          <cell r="AG76">
            <v>0.96900000000000097</v>
          </cell>
          <cell r="AH76">
            <v>0.72306091370558379</v>
          </cell>
          <cell r="AI76">
            <v>0.47960606060606059</v>
          </cell>
          <cell r="AJ76">
            <v>2.0656669743116454</v>
          </cell>
          <cell r="AK76">
            <v>49.546666974311648</v>
          </cell>
          <cell r="AL76" t="str">
            <v>2/24  DyedPattern</v>
          </cell>
          <cell r="AM76">
            <v>0</v>
          </cell>
          <cell r="AN76" t="str">
            <v>2/24  DyedPattern</v>
          </cell>
          <cell r="AO76" t="str">
            <v>1/16  CombDyed</v>
          </cell>
          <cell r="AP76" t="str">
            <v>2/24  KC</v>
          </cell>
          <cell r="AQ76">
            <v>0</v>
          </cell>
          <cell r="AR76">
            <v>0</v>
          </cell>
          <cell r="AS76">
            <v>160</v>
          </cell>
          <cell r="AT76">
            <v>0</v>
          </cell>
          <cell r="AU76">
            <v>160</v>
          </cell>
          <cell r="AV76">
            <v>150</v>
          </cell>
          <cell r="AW76">
            <v>107.5</v>
          </cell>
          <cell r="AX76">
            <v>0</v>
          </cell>
          <cell r="AY76">
            <v>0</v>
          </cell>
          <cell r="AZ76">
            <v>4.4800000000000004</v>
          </cell>
          <cell r="BA76">
            <v>1.44</v>
          </cell>
          <cell r="BB76">
            <v>0.96750000000000003</v>
          </cell>
          <cell r="BC76">
            <v>0.53749999999999998</v>
          </cell>
          <cell r="BD76">
            <v>0</v>
          </cell>
          <cell r="BE76">
            <v>1.8236842105263159E-2</v>
          </cell>
          <cell r="BF76">
            <v>0</v>
          </cell>
          <cell r="BI76">
            <v>0</v>
          </cell>
          <cell r="BJ76">
            <v>0.11080964467005076</v>
          </cell>
          <cell r="BK76">
            <v>7.3499999999999996E-2</v>
          </cell>
          <cell r="BL76">
            <v>0.20254648677531389</v>
          </cell>
          <cell r="BM76">
            <v>-2.9750000000000002E-3</v>
          </cell>
          <cell r="BN76">
            <v>0</v>
          </cell>
          <cell r="BO76">
            <v>0</v>
          </cell>
          <cell r="BP76">
            <v>0</v>
          </cell>
          <cell r="BQ76">
            <v>0</v>
          </cell>
          <cell r="BR76">
            <v>-1.8076522842639595E-2</v>
          </cell>
          <cell r="BS76">
            <v>0</v>
          </cell>
          <cell r="BT76">
            <v>-2.1051522842639593E-2</v>
          </cell>
          <cell r="BU76">
            <v>157.4313000366422</v>
          </cell>
          <cell r="BV76">
            <v>-0.37309644670050757</v>
          </cell>
          <cell r="BW76">
            <v>157.05820358994168</v>
          </cell>
          <cell r="BX76">
            <v>160.64418371085938</v>
          </cell>
          <cell r="BY76">
            <v>-0.38071065989847713</v>
          </cell>
          <cell r="BZ76">
            <v>160.2634730509609</v>
          </cell>
          <cell r="CA76">
            <v>160.64418371085938</v>
          </cell>
          <cell r="CB76">
            <v>-0.44336730150248715</v>
          </cell>
          <cell r="CC76">
            <v>160.20081640935689</v>
          </cell>
          <cell r="CD76">
            <v>0</v>
          </cell>
          <cell r="CE76">
            <v>200</v>
          </cell>
          <cell r="CF76">
            <v>0</v>
          </cell>
          <cell r="CG76">
            <v>0.22500000000000001</v>
          </cell>
          <cell r="CH76">
            <v>140</v>
          </cell>
          <cell r="CI76">
            <v>0.6634232640424591</v>
          </cell>
          <cell r="CJ76">
            <v>0.6634232640424591</v>
          </cell>
          <cell r="CK76">
            <v>0.53073861123396715</v>
          </cell>
          <cell r="CL76">
            <v>0.17059455361091805</v>
          </cell>
          <cell r="CM76">
            <v>2.7551020408163263</v>
          </cell>
          <cell r="CN76">
            <v>3.4564352056612115</v>
          </cell>
          <cell r="CO76">
            <v>1.1027568922305766E-2</v>
          </cell>
          <cell r="CP76">
            <v>1.2142857142857144</v>
          </cell>
          <cell r="CQ76">
            <v>1.2253132832080202</v>
          </cell>
          <cell r="CR76">
            <v>14.66</v>
          </cell>
          <cell r="CS76">
            <v>9.98</v>
          </cell>
          <cell r="CT76">
            <v>32.75</v>
          </cell>
          <cell r="CU76">
            <v>0</v>
          </cell>
          <cell r="CV76">
            <v>222.93598816226859</v>
          </cell>
        </row>
        <row r="77">
          <cell r="K77" t="str">
            <v>ExportKohlsBig One SolidUSABath76x137L</v>
          </cell>
          <cell r="L77">
            <v>0</v>
          </cell>
          <cell r="M77">
            <v>392.87</v>
          </cell>
          <cell r="N77">
            <v>0</v>
          </cell>
          <cell r="O77">
            <v>88.95</v>
          </cell>
          <cell r="P77">
            <v>74.804000000000002</v>
          </cell>
          <cell r="Q77">
            <v>32.276000000000003</v>
          </cell>
          <cell r="R77">
            <v>0</v>
          </cell>
          <cell r="S77">
            <v>0</v>
          </cell>
          <cell r="T77">
            <v>588.9</v>
          </cell>
          <cell r="U77">
            <v>547.67699999999991</v>
          </cell>
          <cell r="V77">
            <v>2.5000000000000001E-3</v>
          </cell>
          <cell r="W77">
            <v>0</v>
          </cell>
          <cell r="X77">
            <v>-1.3999999999999999E-2</v>
          </cell>
          <cell r="Y77">
            <v>-2.5000000000000001E-2</v>
          </cell>
          <cell r="Z77">
            <v>7.0000000000000173E-2</v>
          </cell>
          <cell r="AA77">
            <v>1.4999999999999999E-2</v>
          </cell>
          <cell r="AB77">
            <v>0.01</v>
          </cell>
          <cell r="AC77">
            <v>1.3726240601503756</v>
          </cell>
          <cell r="AD77">
            <v>0</v>
          </cell>
          <cell r="AE77">
            <v>-5.5001799999999994</v>
          </cell>
          <cell r="AF77">
            <v>-2.2237500000000003</v>
          </cell>
          <cell r="AG77">
            <v>41.223000000000098</v>
          </cell>
          <cell r="AH77">
            <v>8.3402588832487297</v>
          </cell>
          <cell r="AI77">
            <v>5.5320909090909085</v>
          </cell>
          <cell r="AJ77">
            <v>48.744043852490115</v>
          </cell>
          <cell r="AK77">
            <v>596.42104385249002</v>
          </cell>
          <cell r="AL77" t="str">
            <v>1/13   KC</v>
          </cell>
          <cell r="AM77">
            <v>0</v>
          </cell>
          <cell r="AN77" t="str">
            <v>2/24  KC</v>
          </cell>
          <cell r="AO77" t="str">
            <v xml:space="preserve">1/16OE  </v>
          </cell>
          <cell r="AP77" t="str">
            <v>2/24  KC</v>
          </cell>
          <cell r="AQ77">
            <v>0</v>
          </cell>
          <cell r="AR77">
            <v>0</v>
          </cell>
          <cell r="AS77">
            <v>84.5</v>
          </cell>
          <cell r="AT77">
            <v>0</v>
          </cell>
          <cell r="AU77">
            <v>107.5</v>
          </cell>
          <cell r="AV77">
            <v>77.75</v>
          </cell>
          <cell r="AW77">
            <v>107.5</v>
          </cell>
          <cell r="AX77">
            <v>0</v>
          </cell>
          <cell r="AY77">
            <v>0</v>
          </cell>
          <cell r="AZ77">
            <v>33.197515000000003</v>
          </cell>
          <cell r="BA77">
            <v>9.562125</v>
          </cell>
          <cell r="BB77">
            <v>5.8160110000000005</v>
          </cell>
          <cell r="BC77">
            <v>3.4696700000000007</v>
          </cell>
          <cell r="BD77">
            <v>0</v>
          </cell>
          <cell r="BE77">
            <v>0.12130864293233083</v>
          </cell>
          <cell r="BF77">
            <v>0</v>
          </cell>
          <cell r="BI77">
            <v>0</v>
          </cell>
          <cell r="BJ77">
            <v>0.73708855629441627</v>
          </cell>
          <cell r="BK77">
            <v>0.48891059121212127</v>
          </cell>
          <cell r="BL77">
            <v>1.3473077904388684</v>
          </cell>
          <cell r="BM77">
            <v>-3.431560150375939E-2</v>
          </cell>
          <cell r="BN77">
            <v>0</v>
          </cell>
          <cell r="BO77">
            <v>0</v>
          </cell>
          <cell r="BP77">
            <v>0</v>
          </cell>
          <cell r="BQ77">
            <v>0</v>
          </cell>
          <cell r="BR77">
            <v>-0.20850647208121825</v>
          </cell>
          <cell r="BS77">
            <v>0</v>
          </cell>
          <cell r="BT77">
            <v>-0.24282207358497765</v>
          </cell>
          <cell r="BU77">
            <v>90.665017474000479</v>
          </cell>
          <cell r="BV77">
            <v>-0.35406091370558374</v>
          </cell>
          <cell r="BW77">
            <v>90.310956560294898</v>
          </cell>
          <cell r="BX77">
            <v>97.489266101075785</v>
          </cell>
          <cell r="BY77">
            <v>-0.38071065989847719</v>
          </cell>
          <cell r="BZ77">
            <v>97.108555441177302</v>
          </cell>
          <cell r="CA77">
            <v>97.489266101075785</v>
          </cell>
          <cell r="CB77">
            <v>-0.44336730150248721</v>
          </cell>
          <cell r="CC77">
            <v>97.045898799573294</v>
          </cell>
          <cell r="CD77">
            <v>5.5001799999999994</v>
          </cell>
          <cell r="CE77">
            <v>200</v>
          </cell>
          <cell r="CF77">
            <v>2.0085488344407381</v>
          </cell>
          <cell r="CG77">
            <v>2.2237500000000003</v>
          </cell>
          <cell r="CH77">
            <v>140</v>
          </cell>
          <cell r="CI77">
            <v>0.56844636528464787</v>
          </cell>
          <cell r="CJ77">
            <v>2.5769951997253857</v>
          </cell>
          <cell r="CK77">
            <v>0.64560498249880871</v>
          </cell>
          <cell r="CL77">
            <v>0.14617192250176655</v>
          </cell>
          <cell r="CM77">
            <v>2.903225806451613</v>
          </cell>
          <cell r="CN77">
            <v>3.6950027114521884</v>
          </cell>
          <cell r="CO77">
            <v>1.341423685858636E-2</v>
          </cell>
          <cell r="CP77">
            <v>1.2795698924731187</v>
          </cell>
          <cell r="CQ77">
            <v>1.292984129331705</v>
          </cell>
          <cell r="CR77">
            <v>1.21</v>
          </cell>
          <cell r="CS77">
            <v>9.81</v>
          </cell>
          <cell r="CT77">
            <v>9.26</v>
          </cell>
          <cell r="CU77">
            <v>0</v>
          </cell>
          <cell r="CV77">
            <v>124.89088084008257</v>
          </cell>
        </row>
        <row r="78">
          <cell r="K78" t="str">
            <v>ExportKohlsBig One SolidUSABath76x137M</v>
          </cell>
          <cell r="L78">
            <v>0</v>
          </cell>
          <cell r="M78">
            <v>392.87</v>
          </cell>
          <cell r="N78">
            <v>0</v>
          </cell>
          <cell r="O78">
            <v>88.95</v>
          </cell>
          <cell r="P78">
            <v>74.804000000000002</v>
          </cell>
          <cell r="Q78">
            <v>32.276000000000003</v>
          </cell>
          <cell r="R78">
            <v>0</v>
          </cell>
          <cell r="S78">
            <v>0</v>
          </cell>
          <cell r="T78">
            <v>588.9</v>
          </cell>
          <cell r="U78">
            <v>547.67699999999991</v>
          </cell>
          <cell r="V78">
            <v>2.5000000000000001E-3</v>
          </cell>
          <cell r="W78">
            <v>0</v>
          </cell>
          <cell r="X78">
            <v>-1.3999999999999999E-2</v>
          </cell>
          <cell r="Y78">
            <v>-2.5000000000000001E-2</v>
          </cell>
          <cell r="Z78">
            <v>7.0000000000000173E-2</v>
          </cell>
          <cell r="AA78">
            <v>1.4999999999999999E-2</v>
          </cell>
          <cell r="AB78">
            <v>0.01</v>
          </cell>
          <cell r="AC78">
            <v>1.3726240601503756</v>
          </cell>
          <cell r="AD78">
            <v>0</v>
          </cell>
          <cell r="AE78">
            <v>-5.5001799999999994</v>
          </cell>
          <cell r="AF78">
            <v>-2.2237500000000003</v>
          </cell>
          <cell r="AG78">
            <v>41.223000000000098</v>
          </cell>
          <cell r="AH78">
            <v>8.3402588832487297</v>
          </cell>
          <cell r="AI78">
            <v>5.5320909090909085</v>
          </cell>
          <cell r="AJ78">
            <v>48.744043852490115</v>
          </cell>
          <cell r="AK78">
            <v>596.42104385249002</v>
          </cell>
          <cell r="AL78" t="str">
            <v>1/13   KC</v>
          </cell>
          <cell r="AM78">
            <v>0</v>
          </cell>
          <cell r="AN78" t="str">
            <v>2/24  KC</v>
          </cell>
          <cell r="AO78" t="str">
            <v xml:space="preserve">1/16OE  </v>
          </cell>
          <cell r="AP78" t="str">
            <v>2/24  KC</v>
          </cell>
          <cell r="AQ78">
            <v>0</v>
          </cell>
          <cell r="AR78">
            <v>0</v>
          </cell>
          <cell r="AS78">
            <v>84.5</v>
          </cell>
          <cell r="AT78">
            <v>0</v>
          </cell>
          <cell r="AU78">
            <v>107.5</v>
          </cell>
          <cell r="AV78">
            <v>77.75</v>
          </cell>
          <cell r="AW78">
            <v>107.5</v>
          </cell>
          <cell r="AX78">
            <v>0</v>
          </cell>
          <cell r="AY78">
            <v>0</v>
          </cell>
          <cell r="AZ78">
            <v>33.197515000000003</v>
          </cell>
          <cell r="BA78">
            <v>9.562125</v>
          </cell>
          <cell r="BB78">
            <v>5.8160110000000005</v>
          </cell>
          <cell r="BC78">
            <v>3.4696700000000007</v>
          </cell>
          <cell r="BD78">
            <v>0</v>
          </cell>
          <cell r="BE78">
            <v>0.12130864293233083</v>
          </cell>
          <cell r="BF78">
            <v>0</v>
          </cell>
          <cell r="BI78">
            <v>0</v>
          </cell>
          <cell r="BJ78">
            <v>0.73708855629441627</v>
          </cell>
          <cell r="BK78">
            <v>0.48891059121212127</v>
          </cell>
          <cell r="BL78">
            <v>1.3473077904388684</v>
          </cell>
          <cell r="BM78">
            <v>-3.431560150375939E-2</v>
          </cell>
          <cell r="BN78">
            <v>0</v>
          </cell>
          <cell r="BO78">
            <v>0</v>
          </cell>
          <cell r="BP78">
            <v>0</v>
          </cell>
          <cell r="BQ78">
            <v>0</v>
          </cell>
          <cell r="BR78">
            <v>-0.20850647208121825</v>
          </cell>
          <cell r="BS78">
            <v>0</v>
          </cell>
          <cell r="BT78">
            <v>-0.24282207358497765</v>
          </cell>
          <cell r="BU78">
            <v>90.665017474000479</v>
          </cell>
          <cell r="BV78">
            <v>-0.35406091370558374</v>
          </cell>
          <cell r="BW78">
            <v>90.310956560294898</v>
          </cell>
          <cell r="BX78">
            <v>97.489266101075785</v>
          </cell>
          <cell r="BY78">
            <v>-0.38071065989847719</v>
          </cell>
          <cell r="BZ78">
            <v>97.108555441177302</v>
          </cell>
          <cell r="CA78">
            <v>97.489266101075785</v>
          </cell>
          <cell r="CB78">
            <v>-0.44336730150248721</v>
          </cell>
          <cell r="CC78">
            <v>97.045898799573294</v>
          </cell>
          <cell r="CD78">
            <v>5.5001799999999994</v>
          </cell>
          <cell r="CE78">
            <v>200</v>
          </cell>
          <cell r="CF78">
            <v>2.0085488344407381</v>
          </cell>
          <cell r="CG78">
            <v>2.2237500000000003</v>
          </cell>
          <cell r="CH78">
            <v>140</v>
          </cell>
          <cell r="CI78">
            <v>0.56844636528464787</v>
          </cell>
          <cell r="CJ78">
            <v>2.5769951997253857</v>
          </cell>
          <cell r="CK78">
            <v>0.64560498249880871</v>
          </cell>
          <cell r="CL78">
            <v>0.14617192250176655</v>
          </cell>
          <cell r="CM78">
            <v>2.903225806451613</v>
          </cell>
          <cell r="CN78">
            <v>3.6950027114521884</v>
          </cell>
          <cell r="CO78">
            <v>1.341423685858636E-2</v>
          </cell>
          <cell r="CP78">
            <v>1.2795698924731187</v>
          </cell>
          <cell r="CQ78">
            <v>1.292984129331705</v>
          </cell>
          <cell r="CR78">
            <v>4.22</v>
          </cell>
          <cell r="CS78">
            <v>9.7200000000000006</v>
          </cell>
          <cell r="CT78">
            <v>9.26</v>
          </cell>
          <cell r="CU78">
            <v>0</v>
          </cell>
          <cell r="CV78">
            <v>127.81088084008258</v>
          </cell>
        </row>
        <row r="79">
          <cell r="K79" t="str">
            <v>ExportKohlsBig One SolidUSABath76x137D</v>
          </cell>
          <cell r="L79">
            <v>0</v>
          </cell>
          <cell r="M79">
            <v>392.87</v>
          </cell>
          <cell r="N79">
            <v>0</v>
          </cell>
          <cell r="O79">
            <v>88.95</v>
          </cell>
          <cell r="P79">
            <v>74.804000000000002</v>
          </cell>
          <cell r="Q79">
            <v>32.276000000000003</v>
          </cell>
          <cell r="R79">
            <v>0</v>
          </cell>
          <cell r="S79">
            <v>0</v>
          </cell>
          <cell r="T79">
            <v>588.9</v>
          </cell>
          <cell r="U79">
            <v>547.67699999999991</v>
          </cell>
          <cell r="V79">
            <v>2.5000000000000001E-3</v>
          </cell>
          <cell r="W79">
            <v>0</v>
          </cell>
          <cell r="X79">
            <v>-1.3999999999999999E-2</v>
          </cell>
          <cell r="Y79">
            <v>-2.5000000000000001E-2</v>
          </cell>
          <cell r="Z79">
            <v>7.0000000000000173E-2</v>
          </cell>
          <cell r="AA79">
            <v>1.4999999999999999E-2</v>
          </cell>
          <cell r="AB79">
            <v>0.01</v>
          </cell>
          <cell r="AC79">
            <v>1.3726240601503756</v>
          </cell>
          <cell r="AD79">
            <v>0</v>
          </cell>
          <cell r="AE79">
            <v>-5.5001799999999994</v>
          </cell>
          <cell r="AF79">
            <v>-2.2237500000000003</v>
          </cell>
          <cell r="AG79">
            <v>41.223000000000098</v>
          </cell>
          <cell r="AH79">
            <v>8.3402588832487297</v>
          </cell>
          <cell r="AI79">
            <v>5.5320909090909085</v>
          </cell>
          <cell r="AJ79">
            <v>48.744043852490115</v>
          </cell>
          <cell r="AK79">
            <v>596.42104385249002</v>
          </cell>
          <cell r="AL79" t="str">
            <v>1/13   KC</v>
          </cell>
          <cell r="AM79">
            <v>0</v>
          </cell>
          <cell r="AN79" t="str">
            <v>2/24  KC</v>
          </cell>
          <cell r="AO79" t="str">
            <v xml:space="preserve">1/16OE  </v>
          </cell>
          <cell r="AP79" t="str">
            <v>2/24  KC</v>
          </cell>
          <cell r="AQ79">
            <v>0</v>
          </cell>
          <cell r="AR79">
            <v>0</v>
          </cell>
          <cell r="AS79">
            <v>84.5</v>
          </cell>
          <cell r="AT79">
            <v>0</v>
          </cell>
          <cell r="AU79">
            <v>107.5</v>
          </cell>
          <cell r="AV79">
            <v>77.75</v>
          </cell>
          <cell r="AW79">
            <v>107.5</v>
          </cell>
          <cell r="AX79">
            <v>0</v>
          </cell>
          <cell r="AY79">
            <v>0</v>
          </cell>
          <cell r="AZ79">
            <v>33.197515000000003</v>
          </cell>
          <cell r="BA79">
            <v>9.562125</v>
          </cell>
          <cell r="BB79">
            <v>5.8160110000000005</v>
          </cell>
          <cell r="BC79">
            <v>3.4696700000000007</v>
          </cell>
          <cell r="BD79">
            <v>0</v>
          </cell>
          <cell r="BE79">
            <v>0.12130864293233083</v>
          </cell>
          <cell r="BF79">
            <v>0</v>
          </cell>
          <cell r="BI79">
            <v>0</v>
          </cell>
          <cell r="BJ79">
            <v>0.73708855629441627</v>
          </cell>
          <cell r="BK79">
            <v>0.48891059121212127</v>
          </cell>
          <cell r="BL79">
            <v>1.3473077904388684</v>
          </cell>
          <cell r="BM79">
            <v>-3.431560150375939E-2</v>
          </cell>
          <cell r="BN79">
            <v>0</v>
          </cell>
          <cell r="BO79">
            <v>0</v>
          </cell>
          <cell r="BP79">
            <v>0</v>
          </cell>
          <cell r="BQ79">
            <v>0</v>
          </cell>
          <cell r="BR79">
            <v>-0.20850647208121825</v>
          </cell>
          <cell r="BS79">
            <v>0</v>
          </cell>
          <cell r="BT79">
            <v>-0.24282207358497765</v>
          </cell>
          <cell r="BU79">
            <v>90.665017474000479</v>
          </cell>
          <cell r="BV79">
            <v>-0.35406091370558374</v>
          </cell>
          <cell r="BW79">
            <v>90.310956560294898</v>
          </cell>
          <cell r="BX79">
            <v>97.489266101075785</v>
          </cell>
          <cell r="BY79">
            <v>-0.38071065989847719</v>
          </cell>
          <cell r="BZ79">
            <v>97.108555441177302</v>
          </cell>
          <cell r="CA79">
            <v>97.489266101075785</v>
          </cell>
          <cell r="CB79">
            <v>-0.44336730150248721</v>
          </cell>
          <cell r="CC79">
            <v>97.045898799573294</v>
          </cell>
          <cell r="CD79">
            <v>5.5001799999999994</v>
          </cell>
          <cell r="CE79">
            <v>200</v>
          </cell>
          <cell r="CF79">
            <v>2.0085488344407381</v>
          </cell>
          <cell r="CG79">
            <v>2.2237500000000003</v>
          </cell>
          <cell r="CH79">
            <v>140</v>
          </cell>
          <cell r="CI79">
            <v>0.56844636528464787</v>
          </cell>
          <cell r="CJ79">
            <v>2.5769951997253857</v>
          </cell>
          <cell r="CK79">
            <v>0.64560498249880871</v>
          </cell>
          <cell r="CL79">
            <v>0.14617192250176655</v>
          </cell>
          <cell r="CM79">
            <v>2.903225806451613</v>
          </cell>
          <cell r="CN79">
            <v>3.6950027114521884</v>
          </cell>
          <cell r="CO79">
            <v>1.341423685858636E-2</v>
          </cell>
          <cell r="CP79">
            <v>1.2795698924731187</v>
          </cell>
          <cell r="CQ79">
            <v>1.292984129331705</v>
          </cell>
          <cell r="CR79">
            <v>14.66</v>
          </cell>
          <cell r="CS79">
            <v>9.98</v>
          </cell>
          <cell r="CT79">
            <v>9.26</v>
          </cell>
          <cell r="CU79">
            <v>0</v>
          </cell>
          <cell r="CV79">
            <v>138.51088084008256</v>
          </cell>
        </row>
        <row r="80">
          <cell r="K80" t="str">
            <v>ExportKohlsBig One SolidUSAHand41x71L</v>
          </cell>
          <cell r="L80">
            <v>0</v>
          </cell>
          <cell r="M80">
            <v>89.11</v>
          </cell>
          <cell r="N80">
            <v>0</v>
          </cell>
          <cell r="O80">
            <v>26.58</v>
          </cell>
          <cell r="P80">
            <v>20.52</v>
          </cell>
          <cell r="Q80">
            <v>16.59</v>
          </cell>
          <cell r="R80">
            <v>0</v>
          </cell>
          <cell r="S80">
            <v>0</v>
          </cell>
          <cell r="T80">
            <v>152.80000000000001</v>
          </cell>
          <cell r="U80">
            <v>142.10400000000001</v>
          </cell>
          <cell r="V80">
            <v>2.5000000000000001E-3</v>
          </cell>
          <cell r="W80">
            <v>0</v>
          </cell>
          <cell r="X80">
            <v>-1.3999999999999999E-2</v>
          </cell>
          <cell r="Y80">
            <v>-2.5000000000000001E-2</v>
          </cell>
          <cell r="Z80">
            <v>6.9999999999999951E-2</v>
          </cell>
          <cell r="AA80">
            <v>1.4999999999999999E-2</v>
          </cell>
          <cell r="AB80">
            <v>0.01</v>
          </cell>
          <cell r="AC80">
            <v>0.35615037593984966</v>
          </cell>
          <cell r="AD80">
            <v>0</v>
          </cell>
          <cell r="AE80">
            <v>-1.2475399999999999</v>
          </cell>
          <cell r="AF80">
            <v>-0.66449999999999998</v>
          </cell>
          <cell r="AG80">
            <v>10.695999999999993</v>
          </cell>
          <cell r="AH80">
            <v>2.164020304568528</v>
          </cell>
          <cell r="AI80">
            <v>1.4353939393939397</v>
          </cell>
          <cell r="AJ80">
            <v>12.73952461990231</v>
          </cell>
          <cell r="AK80">
            <v>154.84352461990233</v>
          </cell>
          <cell r="AL80" t="str">
            <v>1/13   KC</v>
          </cell>
          <cell r="AM80">
            <v>0</v>
          </cell>
          <cell r="AN80" t="str">
            <v>2/24  KC</v>
          </cell>
          <cell r="AO80" t="str">
            <v xml:space="preserve">1/16OE  </v>
          </cell>
          <cell r="AP80" t="str">
            <v>2/24  KC</v>
          </cell>
          <cell r="AQ80">
            <v>0</v>
          </cell>
          <cell r="AR80">
            <v>0</v>
          </cell>
          <cell r="AS80">
            <v>84.5</v>
          </cell>
          <cell r="AT80">
            <v>0</v>
          </cell>
          <cell r="AU80">
            <v>107.5</v>
          </cell>
          <cell r="AV80">
            <v>77.75</v>
          </cell>
          <cell r="AW80">
            <v>107.5</v>
          </cell>
          <cell r="AX80">
            <v>0</v>
          </cell>
          <cell r="AY80">
            <v>0</v>
          </cell>
          <cell r="AZ80">
            <v>7.529795</v>
          </cell>
          <cell r="BA80">
            <v>2.8573499999999998</v>
          </cell>
          <cell r="BB80">
            <v>1.5954300000000001</v>
          </cell>
          <cell r="BC80">
            <v>1.783425</v>
          </cell>
          <cell r="BD80">
            <v>0</v>
          </cell>
          <cell r="BE80">
            <v>3.2086165413533832E-2</v>
          </cell>
          <cell r="BF80">
            <v>0</v>
          </cell>
          <cell r="BI80">
            <v>0</v>
          </cell>
          <cell r="BJ80">
            <v>0.19496010152284263</v>
          </cell>
          <cell r="BK80">
            <v>0.12931696969696971</v>
          </cell>
          <cell r="BL80">
            <v>0.35636323663334618</v>
          </cell>
          <cell r="BM80">
            <v>-8.9037593984962419E-3</v>
          </cell>
          <cell r="BN80">
            <v>0</v>
          </cell>
          <cell r="BO80">
            <v>0</v>
          </cell>
          <cell r="BP80">
            <v>0</v>
          </cell>
          <cell r="BQ80">
            <v>0</v>
          </cell>
          <cell r="BR80">
            <v>-5.41005076142132E-2</v>
          </cell>
          <cell r="BS80">
            <v>0</v>
          </cell>
          <cell r="BT80">
            <v>-6.3004267012709447E-2</v>
          </cell>
          <cell r="BU80">
            <v>92.423843171684197</v>
          </cell>
          <cell r="BV80">
            <v>-0.35406091370558379</v>
          </cell>
          <cell r="BW80">
            <v>92.069782257978616</v>
          </cell>
          <cell r="BX80">
            <v>99.380476528692682</v>
          </cell>
          <cell r="BY80">
            <v>-0.38071065989847719</v>
          </cell>
          <cell r="BZ80">
            <v>98.999765868794199</v>
          </cell>
          <cell r="CA80">
            <v>99.380476528692682</v>
          </cell>
          <cell r="CB80">
            <v>-0.44336730150248721</v>
          </cell>
          <cell r="CC80">
            <v>98.937109227190192</v>
          </cell>
          <cell r="CD80">
            <v>1.2475399999999999</v>
          </cell>
          <cell r="CE80">
            <v>200</v>
          </cell>
          <cell r="CF80">
            <v>1.7558126442605413</v>
          </cell>
          <cell r="CG80">
            <v>0.66449999999999998</v>
          </cell>
          <cell r="CH80">
            <v>140</v>
          </cell>
          <cell r="CI80">
            <v>0.65466137476777564</v>
          </cell>
          <cell r="CJ80">
            <v>2.4104740190283169</v>
          </cell>
          <cell r="CK80">
            <v>0.56436834994088825</v>
          </cell>
          <cell r="CL80">
            <v>0.16834149636885656</v>
          </cell>
          <cell r="CM80">
            <v>2.9032258064516125</v>
          </cell>
          <cell r="CN80">
            <v>3.6359356527613573</v>
          </cell>
          <cell r="CO80">
            <v>1.1726320159882902E-2</v>
          </cell>
          <cell r="CP80">
            <v>1.2795698924731185</v>
          </cell>
          <cell r="CQ80">
            <v>1.2912962126330014</v>
          </cell>
          <cell r="CR80">
            <v>1.21</v>
          </cell>
          <cell r="CS80">
            <v>9.81</v>
          </cell>
          <cell r="CT80">
            <v>9.61</v>
          </cell>
          <cell r="CU80">
            <v>0</v>
          </cell>
          <cell r="CV80">
            <v>126.90481511161286</v>
          </cell>
        </row>
        <row r="81">
          <cell r="K81" t="str">
            <v>ExportKohlsBig One SolidUSAHand41x71M</v>
          </cell>
          <cell r="L81">
            <v>0</v>
          </cell>
          <cell r="M81">
            <v>89.11</v>
          </cell>
          <cell r="N81">
            <v>0</v>
          </cell>
          <cell r="O81">
            <v>26.58</v>
          </cell>
          <cell r="P81">
            <v>20.52</v>
          </cell>
          <cell r="Q81">
            <v>16.59</v>
          </cell>
          <cell r="R81">
            <v>0</v>
          </cell>
          <cell r="S81">
            <v>0</v>
          </cell>
          <cell r="T81">
            <v>152.80000000000001</v>
          </cell>
          <cell r="U81">
            <v>142.10400000000001</v>
          </cell>
          <cell r="V81">
            <v>2.5000000000000001E-3</v>
          </cell>
          <cell r="W81">
            <v>0</v>
          </cell>
          <cell r="X81">
            <v>-1.3999999999999999E-2</v>
          </cell>
          <cell r="Y81">
            <v>-2.5000000000000001E-2</v>
          </cell>
          <cell r="Z81">
            <v>6.9999999999999951E-2</v>
          </cell>
          <cell r="AA81">
            <v>1.4999999999999999E-2</v>
          </cell>
          <cell r="AB81">
            <v>0.01</v>
          </cell>
          <cell r="AC81">
            <v>0.35615037593984966</v>
          </cell>
          <cell r="AD81">
            <v>0</v>
          </cell>
          <cell r="AE81">
            <v>-1.2475399999999999</v>
          </cell>
          <cell r="AF81">
            <v>-0.66449999999999998</v>
          </cell>
          <cell r="AG81">
            <v>10.695999999999993</v>
          </cell>
          <cell r="AH81">
            <v>2.164020304568528</v>
          </cell>
          <cell r="AI81">
            <v>1.4353939393939397</v>
          </cell>
          <cell r="AJ81">
            <v>12.73952461990231</v>
          </cell>
          <cell r="AK81">
            <v>154.84352461990233</v>
          </cell>
          <cell r="AL81" t="str">
            <v>1/13   KC</v>
          </cell>
          <cell r="AM81">
            <v>0</v>
          </cell>
          <cell r="AN81" t="str">
            <v>2/24  KC</v>
          </cell>
          <cell r="AO81" t="str">
            <v xml:space="preserve">1/16OE  </v>
          </cell>
          <cell r="AP81" t="str">
            <v>2/24  KC</v>
          </cell>
          <cell r="AQ81">
            <v>0</v>
          </cell>
          <cell r="AR81">
            <v>0</v>
          </cell>
          <cell r="AS81">
            <v>84.5</v>
          </cell>
          <cell r="AT81">
            <v>0</v>
          </cell>
          <cell r="AU81">
            <v>107.5</v>
          </cell>
          <cell r="AV81">
            <v>77.75</v>
          </cell>
          <cell r="AW81">
            <v>107.5</v>
          </cell>
          <cell r="AX81">
            <v>0</v>
          </cell>
          <cell r="AY81">
            <v>0</v>
          </cell>
          <cell r="AZ81">
            <v>7.529795</v>
          </cell>
          <cell r="BA81">
            <v>2.8573499999999998</v>
          </cell>
          <cell r="BB81">
            <v>1.5954300000000001</v>
          </cell>
          <cell r="BC81">
            <v>1.783425</v>
          </cell>
          <cell r="BD81">
            <v>0</v>
          </cell>
          <cell r="BE81">
            <v>3.2086165413533832E-2</v>
          </cell>
          <cell r="BF81">
            <v>0</v>
          </cell>
          <cell r="BI81">
            <v>0</v>
          </cell>
          <cell r="BJ81">
            <v>0.19496010152284263</v>
          </cell>
          <cell r="BK81">
            <v>0.12931696969696971</v>
          </cell>
          <cell r="BL81">
            <v>0.35636323663334618</v>
          </cell>
          <cell r="BM81">
            <v>-8.9037593984962419E-3</v>
          </cell>
          <cell r="BN81">
            <v>0</v>
          </cell>
          <cell r="BO81">
            <v>0</v>
          </cell>
          <cell r="BP81">
            <v>0</v>
          </cell>
          <cell r="BQ81">
            <v>0</v>
          </cell>
          <cell r="BR81">
            <v>-5.41005076142132E-2</v>
          </cell>
          <cell r="BS81">
            <v>0</v>
          </cell>
          <cell r="BT81">
            <v>-6.3004267012709447E-2</v>
          </cell>
          <cell r="BU81">
            <v>92.423843171684197</v>
          </cell>
          <cell r="BV81">
            <v>-0.35406091370558379</v>
          </cell>
          <cell r="BW81">
            <v>92.069782257978616</v>
          </cell>
          <cell r="BX81">
            <v>99.380476528692682</v>
          </cell>
          <cell r="BY81">
            <v>-0.38071065989847719</v>
          </cell>
          <cell r="BZ81">
            <v>98.999765868794199</v>
          </cell>
          <cell r="CA81">
            <v>99.380476528692682</v>
          </cell>
          <cell r="CB81">
            <v>-0.44336730150248721</v>
          </cell>
          <cell r="CC81">
            <v>98.937109227190192</v>
          </cell>
          <cell r="CD81">
            <v>1.2475399999999999</v>
          </cell>
          <cell r="CE81">
            <v>200</v>
          </cell>
          <cell r="CF81">
            <v>1.7558126442605413</v>
          </cell>
          <cell r="CG81">
            <v>0.66449999999999998</v>
          </cell>
          <cell r="CH81">
            <v>140</v>
          </cell>
          <cell r="CI81">
            <v>0.65466137476777564</v>
          </cell>
          <cell r="CJ81">
            <v>2.4104740190283169</v>
          </cell>
          <cell r="CK81">
            <v>0.56436834994088825</v>
          </cell>
          <cell r="CL81">
            <v>0.16834149636885656</v>
          </cell>
          <cell r="CM81">
            <v>2.9032258064516125</v>
          </cell>
          <cell r="CN81">
            <v>3.6359356527613573</v>
          </cell>
          <cell r="CO81">
            <v>1.1726320159882902E-2</v>
          </cell>
          <cell r="CP81">
            <v>1.2795698924731185</v>
          </cell>
          <cell r="CQ81">
            <v>1.2912962126330014</v>
          </cell>
          <cell r="CR81">
            <v>4.22</v>
          </cell>
          <cell r="CS81">
            <v>9.7200000000000006</v>
          </cell>
          <cell r="CT81">
            <v>9.61</v>
          </cell>
          <cell r="CU81">
            <v>0</v>
          </cell>
          <cell r="CV81">
            <v>129.82481511161288</v>
          </cell>
        </row>
        <row r="82">
          <cell r="K82" t="str">
            <v>ExportKohlsBig One SolidUSAHand41x71D</v>
          </cell>
          <cell r="L82">
            <v>0</v>
          </cell>
          <cell r="M82">
            <v>89.11</v>
          </cell>
          <cell r="N82">
            <v>0</v>
          </cell>
          <cell r="O82">
            <v>26.58</v>
          </cell>
          <cell r="P82">
            <v>20.52</v>
          </cell>
          <cell r="Q82">
            <v>16.59</v>
          </cell>
          <cell r="R82">
            <v>0</v>
          </cell>
          <cell r="S82">
            <v>0</v>
          </cell>
          <cell r="T82">
            <v>152.80000000000001</v>
          </cell>
          <cell r="U82">
            <v>142.10400000000001</v>
          </cell>
          <cell r="V82">
            <v>2.5000000000000001E-3</v>
          </cell>
          <cell r="W82">
            <v>0</v>
          </cell>
          <cell r="X82">
            <v>-1.3999999999999999E-2</v>
          </cell>
          <cell r="Y82">
            <v>-2.5000000000000001E-2</v>
          </cell>
          <cell r="Z82">
            <v>6.9999999999999951E-2</v>
          </cell>
          <cell r="AA82">
            <v>1.4999999999999999E-2</v>
          </cell>
          <cell r="AB82">
            <v>0.01</v>
          </cell>
          <cell r="AC82">
            <v>0.35615037593984966</v>
          </cell>
          <cell r="AD82">
            <v>0</v>
          </cell>
          <cell r="AE82">
            <v>-1.2475399999999999</v>
          </cell>
          <cell r="AF82">
            <v>-0.66449999999999998</v>
          </cell>
          <cell r="AG82">
            <v>10.695999999999993</v>
          </cell>
          <cell r="AH82">
            <v>2.164020304568528</v>
          </cell>
          <cell r="AI82">
            <v>1.4353939393939397</v>
          </cell>
          <cell r="AJ82">
            <v>12.73952461990231</v>
          </cell>
          <cell r="AK82">
            <v>154.84352461990233</v>
          </cell>
          <cell r="AL82" t="str">
            <v>1/13   KC</v>
          </cell>
          <cell r="AM82">
            <v>0</v>
          </cell>
          <cell r="AN82" t="str">
            <v>2/24  KC</v>
          </cell>
          <cell r="AO82" t="str">
            <v xml:space="preserve">1/16OE  </v>
          </cell>
          <cell r="AP82" t="str">
            <v>2/24  KC</v>
          </cell>
          <cell r="AQ82">
            <v>0</v>
          </cell>
          <cell r="AR82">
            <v>0</v>
          </cell>
          <cell r="AS82">
            <v>84.5</v>
          </cell>
          <cell r="AT82">
            <v>0</v>
          </cell>
          <cell r="AU82">
            <v>107.5</v>
          </cell>
          <cell r="AV82">
            <v>77.75</v>
          </cell>
          <cell r="AW82">
            <v>107.5</v>
          </cell>
          <cell r="AX82">
            <v>0</v>
          </cell>
          <cell r="AY82">
            <v>0</v>
          </cell>
          <cell r="AZ82">
            <v>7.529795</v>
          </cell>
          <cell r="BA82">
            <v>2.8573499999999998</v>
          </cell>
          <cell r="BB82">
            <v>1.5954300000000001</v>
          </cell>
          <cell r="BC82">
            <v>1.783425</v>
          </cell>
          <cell r="BD82">
            <v>0</v>
          </cell>
          <cell r="BE82">
            <v>3.2086165413533832E-2</v>
          </cell>
          <cell r="BF82">
            <v>0</v>
          </cell>
          <cell r="BI82">
            <v>0</v>
          </cell>
          <cell r="BJ82">
            <v>0.19496010152284263</v>
          </cell>
          <cell r="BK82">
            <v>0.12931696969696971</v>
          </cell>
          <cell r="BL82">
            <v>0.35636323663334618</v>
          </cell>
          <cell r="BM82">
            <v>-8.9037593984962419E-3</v>
          </cell>
          <cell r="BN82">
            <v>0</v>
          </cell>
          <cell r="BO82">
            <v>0</v>
          </cell>
          <cell r="BP82">
            <v>0</v>
          </cell>
          <cell r="BQ82">
            <v>0</v>
          </cell>
          <cell r="BR82">
            <v>-5.41005076142132E-2</v>
          </cell>
          <cell r="BS82">
            <v>0</v>
          </cell>
          <cell r="BT82">
            <v>-6.3004267012709447E-2</v>
          </cell>
          <cell r="BU82">
            <v>92.423843171684197</v>
          </cell>
          <cell r="BV82">
            <v>-0.35406091370558379</v>
          </cell>
          <cell r="BW82">
            <v>92.069782257978616</v>
          </cell>
          <cell r="BX82">
            <v>99.380476528692682</v>
          </cell>
          <cell r="BY82">
            <v>-0.38071065989847719</v>
          </cell>
          <cell r="BZ82">
            <v>98.999765868794199</v>
          </cell>
          <cell r="CA82">
            <v>99.380476528692682</v>
          </cell>
          <cell r="CB82">
            <v>-0.44336730150248721</v>
          </cell>
          <cell r="CC82">
            <v>98.937109227190192</v>
          </cell>
          <cell r="CD82">
            <v>1.2475399999999999</v>
          </cell>
          <cell r="CE82">
            <v>200</v>
          </cell>
          <cell r="CF82">
            <v>1.7558126442605413</v>
          </cell>
          <cell r="CG82">
            <v>0.66449999999999998</v>
          </cell>
          <cell r="CH82">
            <v>140</v>
          </cell>
          <cell r="CI82">
            <v>0.65466137476777564</v>
          </cell>
          <cell r="CJ82">
            <v>2.4104740190283169</v>
          </cell>
          <cell r="CK82">
            <v>0.56436834994088825</v>
          </cell>
          <cell r="CL82">
            <v>0.16834149636885656</v>
          </cell>
          <cell r="CM82">
            <v>2.9032258064516125</v>
          </cell>
          <cell r="CN82">
            <v>3.6359356527613573</v>
          </cell>
          <cell r="CO82">
            <v>1.1726320159882902E-2</v>
          </cell>
          <cell r="CP82">
            <v>1.2795698924731185</v>
          </cell>
          <cell r="CQ82">
            <v>1.2912962126330014</v>
          </cell>
          <cell r="CR82">
            <v>14.66</v>
          </cell>
          <cell r="CS82">
            <v>9.98</v>
          </cell>
          <cell r="CT82">
            <v>9.61</v>
          </cell>
          <cell r="CU82">
            <v>0</v>
          </cell>
          <cell r="CV82">
            <v>140.52481511161287</v>
          </cell>
        </row>
        <row r="83">
          <cell r="K83" t="str">
            <v>ExportKohlsBig One SolidUSAWash30x30L</v>
          </cell>
          <cell r="L83">
            <v>0</v>
          </cell>
          <cell r="M83">
            <v>37.11</v>
          </cell>
          <cell r="N83">
            <v>0</v>
          </cell>
          <cell r="O83">
            <v>10.72</v>
          </cell>
          <cell r="P83">
            <v>7.774</v>
          </cell>
          <cell r="Q83">
            <v>4.5999999999999996</v>
          </cell>
          <cell r="R83">
            <v>0</v>
          </cell>
          <cell r="S83">
            <v>0</v>
          </cell>
          <cell r="T83">
            <v>60.204000000000001</v>
          </cell>
          <cell r="U83">
            <v>52.979520000000001</v>
          </cell>
          <cell r="V83">
            <v>2.5000000000000001E-3</v>
          </cell>
          <cell r="W83">
            <v>0</v>
          </cell>
          <cell r="X83">
            <v>-1.3999999999999999E-2</v>
          </cell>
          <cell r="Y83">
            <v>-2.5000000000000001E-2</v>
          </cell>
          <cell r="Z83">
            <v>0.12</v>
          </cell>
          <cell r="AA83">
            <v>1.4999999999999999E-2</v>
          </cell>
          <cell r="AB83">
            <v>0.01</v>
          </cell>
          <cell r="AC83">
            <v>0.13278075187969923</v>
          </cell>
          <cell r="AD83">
            <v>0</v>
          </cell>
          <cell r="AE83">
            <v>-0.51953999999999989</v>
          </cell>
          <cell r="AF83">
            <v>-0.26800000000000002</v>
          </cell>
          <cell r="AG83">
            <v>7.2244799999999998</v>
          </cell>
          <cell r="AH83">
            <v>0.80679472081218273</v>
          </cell>
          <cell r="AI83">
            <v>0.53514666666666677</v>
          </cell>
          <cell r="AJ83">
            <v>7.9116621393585485</v>
          </cell>
          <cell r="AK83">
            <v>60.891182139358548</v>
          </cell>
          <cell r="AL83" t="str">
            <v>1/13   KC</v>
          </cell>
          <cell r="AM83">
            <v>0</v>
          </cell>
          <cell r="AN83" t="str">
            <v>2/24  KC</v>
          </cell>
          <cell r="AO83" t="str">
            <v xml:space="preserve">1/16OE  </v>
          </cell>
          <cell r="AP83" t="str">
            <v>2/24  KC</v>
          </cell>
          <cell r="AQ83">
            <v>0</v>
          </cell>
          <cell r="AR83">
            <v>0</v>
          </cell>
          <cell r="AS83">
            <v>84.5</v>
          </cell>
          <cell r="AT83">
            <v>0</v>
          </cell>
          <cell r="AU83">
            <v>107.5</v>
          </cell>
          <cell r="AV83">
            <v>77.75</v>
          </cell>
          <cell r="AW83">
            <v>107.5</v>
          </cell>
          <cell r="AX83">
            <v>0</v>
          </cell>
          <cell r="AY83">
            <v>0</v>
          </cell>
          <cell r="AZ83">
            <v>3.1357949999999999</v>
          </cell>
          <cell r="BA83">
            <v>1.1524000000000001</v>
          </cell>
          <cell r="BB83">
            <v>0.60442850000000004</v>
          </cell>
          <cell r="BC83">
            <v>0.49449999999999994</v>
          </cell>
          <cell r="BD83">
            <v>0</v>
          </cell>
          <cell r="BE83">
            <v>1.1881375137844609E-2</v>
          </cell>
          <cell r="BF83">
            <v>0</v>
          </cell>
          <cell r="BI83">
            <v>0</v>
          </cell>
          <cell r="BJ83">
            <v>7.2192924060913696E-2</v>
          </cell>
          <cell r="BK83">
            <v>4.7885542222222223E-2</v>
          </cell>
          <cell r="BL83">
            <v>0.13195984142098052</v>
          </cell>
          <cell r="BM83">
            <v>-3.3195187969924807E-3</v>
          </cell>
          <cell r="BN83">
            <v>0</v>
          </cell>
          <cell r="BO83">
            <v>0</v>
          </cell>
          <cell r="BP83">
            <v>0</v>
          </cell>
          <cell r="BQ83">
            <v>0</v>
          </cell>
          <cell r="BR83">
            <v>-2.0169868020304571E-2</v>
          </cell>
          <cell r="BS83">
            <v>0</v>
          </cell>
          <cell r="BT83">
            <v>-2.348938681729705E-2</v>
          </cell>
          <cell r="BU83">
            <v>91.673034041275983</v>
          </cell>
          <cell r="BV83">
            <v>-0.33502538071065996</v>
          </cell>
          <cell r="BW83">
            <v>91.338008660565322</v>
          </cell>
          <cell r="BX83">
            <v>104.17390231963181</v>
          </cell>
          <cell r="BY83">
            <v>-0.38071065989847719</v>
          </cell>
          <cell r="BZ83">
            <v>103.79319165973332</v>
          </cell>
          <cell r="CA83">
            <v>104.17390231963181</v>
          </cell>
          <cell r="CB83">
            <v>-0.44336730150248721</v>
          </cell>
          <cell r="CC83">
            <v>103.73053501812932</v>
          </cell>
          <cell r="CD83">
            <v>0.51953999999999989</v>
          </cell>
          <cell r="CE83">
            <v>200</v>
          </cell>
          <cell r="CF83">
            <v>1.9612861724681532</v>
          </cell>
          <cell r="CG83">
            <v>0.26800000000000002</v>
          </cell>
          <cell r="CH83">
            <v>140</v>
          </cell>
          <cell r="CI83">
            <v>0.70819818677103907</v>
          </cell>
          <cell r="CJ83">
            <v>2.6694843592391924</v>
          </cell>
          <cell r="CK83">
            <v>0.63041341257904926</v>
          </cell>
          <cell r="CL83">
            <v>0.18210810516969575</v>
          </cell>
          <cell r="CM83">
            <v>3.0681818181818179</v>
          </cell>
          <cell r="CN83">
            <v>3.8807033359305629</v>
          </cell>
          <cell r="CO83">
            <v>1.3098589794698027E-2</v>
          </cell>
          <cell r="CP83">
            <v>1.3522727272727275</v>
          </cell>
          <cell r="CQ83">
            <v>1.3653713170674255</v>
          </cell>
          <cell r="CR83">
            <v>1.21</v>
          </cell>
          <cell r="CS83">
            <v>9.81</v>
          </cell>
          <cell r="CT83">
            <v>32.75</v>
          </cell>
          <cell r="CU83">
            <v>0</v>
          </cell>
          <cell r="CV83">
            <v>155.41609403036648</v>
          </cell>
        </row>
        <row r="84">
          <cell r="K84" t="str">
            <v>ExportKohlsBig One SolidUSAWash30x30M</v>
          </cell>
          <cell r="L84">
            <v>0</v>
          </cell>
          <cell r="M84">
            <v>37.11</v>
          </cell>
          <cell r="N84">
            <v>0</v>
          </cell>
          <cell r="O84">
            <v>10.72</v>
          </cell>
          <cell r="P84">
            <v>7.774</v>
          </cell>
          <cell r="Q84">
            <v>4.5999999999999996</v>
          </cell>
          <cell r="R84">
            <v>0</v>
          </cell>
          <cell r="S84">
            <v>0</v>
          </cell>
          <cell r="T84">
            <v>60.204000000000001</v>
          </cell>
          <cell r="U84">
            <v>52.979520000000001</v>
          </cell>
          <cell r="V84">
            <v>2.5000000000000001E-3</v>
          </cell>
          <cell r="W84">
            <v>0</v>
          </cell>
          <cell r="X84">
            <v>-1.3999999999999999E-2</v>
          </cell>
          <cell r="Y84">
            <v>-2.5000000000000001E-2</v>
          </cell>
          <cell r="Z84">
            <v>0.12</v>
          </cell>
          <cell r="AA84">
            <v>1.4999999999999999E-2</v>
          </cell>
          <cell r="AB84">
            <v>0.01</v>
          </cell>
          <cell r="AC84">
            <v>0.13278075187969923</v>
          </cell>
          <cell r="AD84">
            <v>0</v>
          </cell>
          <cell r="AE84">
            <v>-0.51953999999999989</v>
          </cell>
          <cell r="AF84">
            <v>-0.26800000000000002</v>
          </cell>
          <cell r="AG84">
            <v>7.2244799999999998</v>
          </cell>
          <cell r="AH84">
            <v>0.80679472081218273</v>
          </cell>
          <cell r="AI84">
            <v>0.53514666666666677</v>
          </cell>
          <cell r="AJ84">
            <v>7.9116621393585485</v>
          </cell>
          <cell r="AK84">
            <v>60.891182139358548</v>
          </cell>
          <cell r="AL84" t="str">
            <v>1/13   KC</v>
          </cell>
          <cell r="AM84">
            <v>0</v>
          </cell>
          <cell r="AN84" t="str">
            <v>2/24  KC</v>
          </cell>
          <cell r="AO84" t="str">
            <v xml:space="preserve">1/16OE  </v>
          </cell>
          <cell r="AP84" t="str">
            <v>2/24  KC</v>
          </cell>
          <cell r="AQ84">
            <v>0</v>
          </cell>
          <cell r="AR84">
            <v>0</v>
          </cell>
          <cell r="AS84">
            <v>84.5</v>
          </cell>
          <cell r="AT84">
            <v>0</v>
          </cell>
          <cell r="AU84">
            <v>107.5</v>
          </cell>
          <cell r="AV84">
            <v>77.75</v>
          </cell>
          <cell r="AW84">
            <v>107.5</v>
          </cell>
          <cell r="AX84">
            <v>0</v>
          </cell>
          <cell r="AY84">
            <v>0</v>
          </cell>
          <cell r="AZ84">
            <v>3.1357949999999999</v>
          </cell>
          <cell r="BA84">
            <v>1.1524000000000001</v>
          </cell>
          <cell r="BB84">
            <v>0.60442850000000004</v>
          </cell>
          <cell r="BC84">
            <v>0.49449999999999994</v>
          </cell>
          <cell r="BD84">
            <v>0</v>
          </cell>
          <cell r="BE84">
            <v>1.1881375137844609E-2</v>
          </cell>
          <cell r="BF84">
            <v>0</v>
          </cell>
          <cell r="BI84">
            <v>0</v>
          </cell>
          <cell r="BJ84">
            <v>7.2192924060913696E-2</v>
          </cell>
          <cell r="BK84">
            <v>4.7885542222222223E-2</v>
          </cell>
          <cell r="BL84">
            <v>0.13195984142098052</v>
          </cell>
          <cell r="BM84">
            <v>-3.3195187969924807E-3</v>
          </cell>
          <cell r="BN84">
            <v>0</v>
          </cell>
          <cell r="BO84">
            <v>0</v>
          </cell>
          <cell r="BP84">
            <v>0</v>
          </cell>
          <cell r="BQ84">
            <v>0</v>
          </cell>
          <cell r="BR84">
            <v>-2.0169868020304571E-2</v>
          </cell>
          <cell r="BS84">
            <v>0</v>
          </cell>
          <cell r="BT84">
            <v>-2.348938681729705E-2</v>
          </cell>
          <cell r="BU84">
            <v>91.673034041275983</v>
          </cell>
          <cell r="BV84">
            <v>-0.33502538071065996</v>
          </cell>
          <cell r="BW84">
            <v>91.338008660565322</v>
          </cell>
          <cell r="BX84">
            <v>104.17390231963181</v>
          </cell>
          <cell r="BY84">
            <v>-0.38071065989847719</v>
          </cell>
          <cell r="BZ84">
            <v>103.79319165973332</v>
          </cell>
          <cell r="CA84">
            <v>104.17390231963181</v>
          </cell>
          <cell r="CB84">
            <v>-0.44336730150248721</v>
          </cell>
          <cell r="CC84">
            <v>103.73053501812932</v>
          </cell>
          <cell r="CD84">
            <v>0.51953999999999989</v>
          </cell>
          <cell r="CE84">
            <v>200</v>
          </cell>
          <cell r="CF84">
            <v>1.9612861724681532</v>
          </cell>
          <cell r="CG84">
            <v>0.26800000000000002</v>
          </cell>
          <cell r="CH84">
            <v>140</v>
          </cell>
          <cell r="CI84">
            <v>0.70819818677103907</v>
          </cell>
          <cell r="CJ84">
            <v>2.6694843592391924</v>
          </cell>
          <cell r="CK84">
            <v>0.63041341257904926</v>
          </cell>
          <cell r="CL84">
            <v>0.18210810516969575</v>
          </cell>
          <cell r="CM84">
            <v>3.0681818181818179</v>
          </cell>
          <cell r="CN84">
            <v>3.8807033359305629</v>
          </cell>
          <cell r="CO84">
            <v>1.3098589794698027E-2</v>
          </cell>
          <cell r="CP84">
            <v>1.3522727272727275</v>
          </cell>
          <cell r="CQ84">
            <v>1.3653713170674255</v>
          </cell>
          <cell r="CR84">
            <v>4.22</v>
          </cell>
          <cell r="CS84">
            <v>9.7200000000000006</v>
          </cell>
          <cell r="CT84">
            <v>32.75</v>
          </cell>
          <cell r="CU84">
            <v>0</v>
          </cell>
          <cell r="CV84">
            <v>158.3360940303665</v>
          </cell>
        </row>
        <row r="85">
          <cell r="K85" t="str">
            <v>ExportKohlsBig One SolidUSAWash30x30D</v>
          </cell>
          <cell r="L85">
            <v>0</v>
          </cell>
          <cell r="M85">
            <v>37.11</v>
          </cell>
          <cell r="N85">
            <v>0</v>
          </cell>
          <cell r="O85">
            <v>10.72</v>
          </cell>
          <cell r="P85">
            <v>7.774</v>
          </cell>
          <cell r="Q85">
            <v>4.5999999999999996</v>
          </cell>
          <cell r="R85">
            <v>0</v>
          </cell>
          <cell r="S85">
            <v>0</v>
          </cell>
          <cell r="T85">
            <v>60.204000000000001</v>
          </cell>
          <cell r="U85">
            <v>52.979520000000001</v>
          </cell>
          <cell r="V85">
            <v>2.5000000000000001E-3</v>
          </cell>
          <cell r="W85">
            <v>0</v>
          </cell>
          <cell r="X85">
            <v>-1.3999999999999999E-2</v>
          </cell>
          <cell r="Y85">
            <v>-2.5000000000000001E-2</v>
          </cell>
          <cell r="Z85">
            <v>0.12</v>
          </cell>
          <cell r="AA85">
            <v>1.4999999999999999E-2</v>
          </cell>
          <cell r="AB85">
            <v>0.01</v>
          </cell>
          <cell r="AC85">
            <v>0.13278075187969923</v>
          </cell>
          <cell r="AD85">
            <v>0</v>
          </cell>
          <cell r="AE85">
            <v>-0.51953999999999989</v>
          </cell>
          <cell r="AF85">
            <v>-0.26800000000000002</v>
          </cell>
          <cell r="AG85">
            <v>7.2244799999999998</v>
          </cell>
          <cell r="AH85">
            <v>0.80679472081218273</v>
          </cell>
          <cell r="AI85">
            <v>0.53514666666666677</v>
          </cell>
          <cell r="AJ85">
            <v>7.9116621393585485</v>
          </cell>
          <cell r="AK85">
            <v>60.891182139358548</v>
          </cell>
          <cell r="AL85" t="str">
            <v>1/13   KC</v>
          </cell>
          <cell r="AM85">
            <v>0</v>
          </cell>
          <cell r="AN85" t="str">
            <v>2/24  KC</v>
          </cell>
          <cell r="AO85" t="str">
            <v xml:space="preserve">1/16OE  </v>
          </cell>
          <cell r="AP85" t="str">
            <v>2/24  KC</v>
          </cell>
          <cell r="AQ85">
            <v>0</v>
          </cell>
          <cell r="AR85">
            <v>0</v>
          </cell>
          <cell r="AS85">
            <v>84.5</v>
          </cell>
          <cell r="AT85">
            <v>0</v>
          </cell>
          <cell r="AU85">
            <v>107.5</v>
          </cell>
          <cell r="AV85">
            <v>77.75</v>
          </cell>
          <cell r="AW85">
            <v>107.5</v>
          </cell>
          <cell r="AX85">
            <v>0</v>
          </cell>
          <cell r="AY85">
            <v>0</v>
          </cell>
          <cell r="AZ85">
            <v>3.1357949999999999</v>
          </cell>
          <cell r="BA85">
            <v>1.1524000000000001</v>
          </cell>
          <cell r="BB85">
            <v>0.60442850000000004</v>
          </cell>
          <cell r="BC85">
            <v>0.49449999999999994</v>
          </cell>
          <cell r="BD85">
            <v>0</v>
          </cell>
          <cell r="BE85">
            <v>1.1881375137844609E-2</v>
          </cell>
          <cell r="BF85">
            <v>0</v>
          </cell>
          <cell r="BI85">
            <v>0</v>
          </cell>
          <cell r="BJ85">
            <v>7.2192924060913696E-2</v>
          </cell>
          <cell r="BK85">
            <v>4.7885542222222223E-2</v>
          </cell>
          <cell r="BL85">
            <v>0.13195984142098052</v>
          </cell>
          <cell r="BM85">
            <v>-3.3195187969924807E-3</v>
          </cell>
          <cell r="BN85">
            <v>0</v>
          </cell>
          <cell r="BO85">
            <v>0</v>
          </cell>
          <cell r="BP85">
            <v>0</v>
          </cell>
          <cell r="BQ85">
            <v>0</v>
          </cell>
          <cell r="BR85">
            <v>-2.0169868020304571E-2</v>
          </cell>
          <cell r="BS85">
            <v>0</v>
          </cell>
          <cell r="BT85">
            <v>-2.348938681729705E-2</v>
          </cell>
          <cell r="BU85">
            <v>91.673034041275983</v>
          </cell>
          <cell r="BV85">
            <v>-0.33502538071065996</v>
          </cell>
          <cell r="BW85">
            <v>91.338008660565322</v>
          </cell>
          <cell r="BX85">
            <v>104.17390231963181</v>
          </cell>
          <cell r="BY85">
            <v>-0.38071065989847719</v>
          </cell>
          <cell r="BZ85">
            <v>103.79319165973332</v>
          </cell>
          <cell r="CA85">
            <v>104.17390231963181</v>
          </cell>
          <cell r="CB85">
            <v>-0.44336730150248721</v>
          </cell>
          <cell r="CC85">
            <v>103.73053501812932</v>
          </cell>
          <cell r="CD85">
            <v>0.51953999999999989</v>
          </cell>
          <cell r="CE85">
            <v>200</v>
          </cell>
          <cell r="CF85">
            <v>1.9612861724681532</v>
          </cell>
          <cell r="CG85">
            <v>0.26800000000000002</v>
          </cell>
          <cell r="CH85">
            <v>140</v>
          </cell>
          <cell r="CI85">
            <v>0.70819818677103907</v>
          </cell>
          <cell r="CJ85">
            <v>2.6694843592391924</v>
          </cell>
          <cell r="CK85">
            <v>0.63041341257904926</v>
          </cell>
          <cell r="CL85">
            <v>0.18210810516969575</v>
          </cell>
          <cell r="CM85">
            <v>3.0681818181818179</v>
          </cell>
          <cell r="CN85">
            <v>3.8807033359305629</v>
          </cell>
          <cell r="CO85">
            <v>1.3098589794698027E-2</v>
          </cell>
          <cell r="CP85">
            <v>1.3522727272727275</v>
          </cell>
          <cell r="CQ85">
            <v>1.3653713170674255</v>
          </cell>
          <cell r="CR85">
            <v>14.66</v>
          </cell>
          <cell r="CS85">
            <v>9.98</v>
          </cell>
          <cell r="CT85">
            <v>32.75</v>
          </cell>
          <cell r="CU85">
            <v>0</v>
          </cell>
          <cell r="CV85">
            <v>169.03609403036648</v>
          </cell>
        </row>
        <row r="86">
          <cell r="K86" t="str">
            <v>ExportIst New Buyer00Bath76x137L</v>
          </cell>
          <cell r="L86">
            <v>0</v>
          </cell>
          <cell r="M86">
            <v>415.87</v>
          </cell>
          <cell r="N86">
            <v>0</v>
          </cell>
          <cell r="O86">
            <v>71.28</v>
          </cell>
          <cell r="P86">
            <v>67.712000000000003</v>
          </cell>
          <cell r="Q86">
            <v>36.33</v>
          </cell>
          <cell r="R86">
            <v>0</v>
          </cell>
          <cell r="S86">
            <v>0</v>
          </cell>
          <cell r="T86">
            <v>591.19200000000001</v>
          </cell>
          <cell r="U86">
            <v>549.80855999999994</v>
          </cell>
          <cell r="V86">
            <v>2.5000000000000001E-3</v>
          </cell>
          <cell r="W86">
            <v>0</v>
          </cell>
          <cell r="X86">
            <v>-1.3999999999999999E-2</v>
          </cell>
          <cell r="Y86">
            <v>-2.5000000000000001E-2</v>
          </cell>
          <cell r="Z86">
            <v>7.0000000000000062E-2</v>
          </cell>
          <cell r="AA86">
            <v>1.4999999999999999E-2</v>
          </cell>
          <cell r="AB86">
            <v>0.01</v>
          </cell>
          <cell r="AC86">
            <v>1.3779663157894735</v>
          </cell>
          <cell r="AD86">
            <v>0</v>
          </cell>
          <cell r="AE86">
            <v>-5.8221799999999995</v>
          </cell>
          <cell r="AF86">
            <v>-1.782</v>
          </cell>
          <cell r="AG86">
            <v>41.383440000000036</v>
          </cell>
          <cell r="AH86">
            <v>8.3727191878172569</v>
          </cell>
          <cell r="AI86">
            <v>5.5536218181818171</v>
          </cell>
          <cell r="AJ86">
            <v>49.083567321788586</v>
          </cell>
          <cell r="AK86">
            <v>598.89212732178851</v>
          </cell>
          <cell r="AL86" t="str">
            <v>1/13  Comb</v>
          </cell>
          <cell r="AM86">
            <v>0</v>
          </cell>
          <cell r="AN86" t="str">
            <v>2/30  KC</v>
          </cell>
          <cell r="AO86" t="str">
            <v xml:space="preserve">1/16OE  </v>
          </cell>
          <cell r="AP86" t="str">
            <v>2/20  Gas Mer</v>
          </cell>
          <cell r="AQ86">
            <v>0</v>
          </cell>
          <cell r="AR86">
            <v>0</v>
          </cell>
          <cell r="AS86">
            <v>96.5</v>
          </cell>
          <cell r="AT86">
            <v>0</v>
          </cell>
          <cell r="AU86">
            <v>118.5</v>
          </cell>
          <cell r="AV86">
            <v>77.75</v>
          </cell>
          <cell r="AW86">
            <v>174</v>
          </cell>
          <cell r="AX86">
            <v>0</v>
          </cell>
          <cell r="AY86">
            <v>0</v>
          </cell>
          <cell r="AZ86">
            <v>40.131455000000003</v>
          </cell>
          <cell r="BA86">
            <v>8.4466800000000006</v>
          </cell>
          <cell r="BB86">
            <v>5.264608</v>
          </cell>
          <cell r="BC86">
            <v>6.3214199999999998</v>
          </cell>
          <cell r="BD86">
            <v>0</v>
          </cell>
          <cell r="BE86">
            <v>0.14023225962406013</v>
          </cell>
          <cell r="BF86">
            <v>0</v>
          </cell>
          <cell r="BI86">
            <v>0</v>
          </cell>
          <cell r="BJ86">
            <v>0.85207114096446679</v>
          </cell>
          <cell r="BK86">
            <v>0.56517850090909083</v>
          </cell>
          <cell r="BL86">
            <v>1.5574819014976178</v>
          </cell>
          <cell r="BM86">
            <v>-3.4449157894736834E-2</v>
          </cell>
          <cell r="BN86">
            <v>0</v>
          </cell>
          <cell r="BO86">
            <v>0</v>
          </cell>
          <cell r="BP86">
            <v>0</v>
          </cell>
          <cell r="BQ86">
            <v>0</v>
          </cell>
          <cell r="BR86">
            <v>-0.20931797969543142</v>
          </cell>
          <cell r="BS86">
            <v>0</v>
          </cell>
          <cell r="BT86">
            <v>-0.24376713759016827</v>
          </cell>
          <cell r="BU86">
            <v>104.40202996910922</v>
          </cell>
          <cell r="BV86">
            <v>-0.35406091370558362</v>
          </cell>
          <cell r="BW86">
            <v>104.04796905540364</v>
          </cell>
          <cell r="BX86">
            <v>112.26024727861207</v>
          </cell>
          <cell r="BY86">
            <v>-0.38071065989847708</v>
          </cell>
          <cell r="BZ86">
            <v>111.87953661871359</v>
          </cell>
          <cell r="CA86">
            <v>112.26024727861207</v>
          </cell>
          <cell r="CB86">
            <v>-0.44336730150248715</v>
          </cell>
          <cell r="CC86">
            <v>111.81687997710958</v>
          </cell>
          <cell r="CD86">
            <v>5.8221799999999995</v>
          </cell>
          <cell r="CE86">
            <v>200</v>
          </cell>
          <cell r="CF86">
            <v>2.1178935446185125</v>
          </cell>
          <cell r="CG86">
            <v>1.782</v>
          </cell>
          <cell r="CH86">
            <v>140</v>
          </cell>
          <cell r="CI86">
            <v>0.45375794076396347</v>
          </cell>
          <cell r="CJ86">
            <v>2.5716514853824761</v>
          </cell>
          <cell r="CK86">
            <v>0.68075149648452182</v>
          </cell>
          <cell r="CL86">
            <v>0.11668061333930488</v>
          </cell>
          <cell r="CM86">
            <v>2.903225806451613</v>
          </cell>
          <cell r="CN86">
            <v>3.7006579162754396</v>
          </cell>
          <cell r="CO86">
            <v>1.4144503315845066E-2</v>
          </cell>
          <cell r="CP86">
            <v>1.2795698924731185</v>
          </cell>
          <cell r="CQ86">
            <v>1.2937143957889636</v>
          </cell>
          <cell r="CR86">
            <v>1.21</v>
          </cell>
          <cell r="CS86">
            <v>9.81</v>
          </cell>
          <cell r="CT86">
            <v>12.35</v>
          </cell>
          <cell r="CU86">
            <v>0</v>
          </cell>
          <cell r="CV86">
            <v>142.75290377455647</v>
          </cell>
        </row>
        <row r="87">
          <cell r="K87" t="str">
            <v>ExportIst New Buyer00Bath76x137M</v>
          </cell>
          <cell r="L87">
            <v>0</v>
          </cell>
          <cell r="M87">
            <v>415.87</v>
          </cell>
          <cell r="N87">
            <v>0</v>
          </cell>
          <cell r="O87">
            <v>71.28</v>
          </cell>
          <cell r="P87">
            <v>67.712000000000003</v>
          </cell>
          <cell r="Q87">
            <v>36.33</v>
          </cell>
          <cell r="R87">
            <v>0</v>
          </cell>
          <cell r="S87">
            <v>0</v>
          </cell>
          <cell r="T87">
            <v>591.19200000000001</v>
          </cell>
          <cell r="U87">
            <v>549.80855999999994</v>
          </cell>
          <cell r="V87">
            <v>2.5000000000000001E-3</v>
          </cell>
          <cell r="W87">
            <v>0</v>
          </cell>
          <cell r="X87">
            <v>-1.3999999999999999E-2</v>
          </cell>
          <cell r="Y87">
            <v>-2.5000000000000001E-2</v>
          </cell>
          <cell r="Z87">
            <v>7.0000000000000062E-2</v>
          </cell>
          <cell r="AA87">
            <v>1.4999999999999999E-2</v>
          </cell>
          <cell r="AB87">
            <v>0.01</v>
          </cell>
          <cell r="AC87">
            <v>1.3779663157894735</v>
          </cell>
          <cell r="AD87">
            <v>0</v>
          </cell>
          <cell r="AE87">
            <v>-5.8221799999999995</v>
          </cell>
          <cell r="AF87">
            <v>-1.782</v>
          </cell>
          <cell r="AG87">
            <v>41.383440000000036</v>
          </cell>
          <cell r="AH87">
            <v>8.3727191878172569</v>
          </cell>
          <cell r="AI87">
            <v>5.5536218181818171</v>
          </cell>
          <cell r="AJ87">
            <v>49.083567321788586</v>
          </cell>
          <cell r="AK87">
            <v>598.89212732178851</v>
          </cell>
          <cell r="AL87" t="str">
            <v>1/13  Comb</v>
          </cell>
          <cell r="AM87">
            <v>0</v>
          </cell>
          <cell r="AN87" t="str">
            <v>2/30  KC</v>
          </cell>
          <cell r="AO87" t="str">
            <v xml:space="preserve">1/16OE  </v>
          </cell>
          <cell r="AP87" t="str">
            <v>2/20  Gas Mer</v>
          </cell>
          <cell r="AQ87">
            <v>0</v>
          </cell>
          <cell r="AR87">
            <v>0</v>
          </cell>
          <cell r="AS87">
            <v>96.5</v>
          </cell>
          <cell r="AT87">
            <v>0</v>
          </cell>
          <cell r="AU87">
            <v>118.5</v>
          </cell>
          <cell r="AV87">
            <v>77.75</v>
          </cell>
          <cell r="AW87">
            <v>174</v>
          </cell>
          <cell r="AX87">
            <v>0</v>
          </cell>
          <cell r="AY87">
            <v>0</v>
          </cell>
          <cell r="AZ87">
            <v>40.131455000000003</v>
          </cell>
          <cell r="BA87">
            <v>8.4466800000000006</v>
          </cell>
          <cell r="BB87">
            <v>5.264608</v>
          </cell>
          <cell r="BC87">
            <v>6.3214199999999998</v>
          </cell>
          <cell r="BD87">
            <v>0</v>
          </cell>
          <cell r="BE87">
            <v>0.14023225962406013</v>
          </cell>
          <cell r="BF87">
            <v>0</v>
          </cell>
          <cell r="BI87">
            <v>0</v>
          </cell>
          <cell r="BJ87">
            <v>0.85207114096446679</v>
          </cell>
          <cell r="BK87">
            <v>0.56517850090909083</v>
          </cell>
          <cell r="BL87">
            <v>1.5574819014976178</v>
          </cell>
          <cell r="BM87">
            <v>-3.4449157894736834E-2</v>
          </cell>
          <cell r="BN87">
            <v>0</v>
          </cell>
          <cell r="BO87">
            <v>0</v>
          </cell>
          <cell r="BP87">
            <v>0</v>
          </cell>
          <cell r="BQ87">
            <v>0</v>
          </cell>
          <cell r="BR87">
            <v>-0.20931797969543142</v>
          </cell>
          <cell r="BS87">
            <v>0</v>
          </cell>
          <cell r="BT87">
            <v>-0.24376713759016827</v>
          </cell>
          <cell r="BU87">
            <v>104.40202996910922</v>
          </cell>
          <cell r="BV87">
            <v>-0.35406091370558362</v>
          </cell>
          <cell r="BW87">
            <v>104.04796905540364</v>
          </cell>
          <cell r="BX87">
            <v>112.26024727861207</v>
          </cell>
          <cell r="BY87">
            <v>-0.38071065989847708</v>
          </cell>
          <cell r="BZ87">
            <v>111.87953661871359</v>
          </cell>
          <cell r="CA87">
            <v>112.26024727861207</v>
          </cell>
          <cell r="CB87">
            <v>-0.44336730150248715</v>
          </cell>
          <cell r="CC87">
            <v>111.81687997710958</v>
          </cell>
          <cell r="CD87">
            <v>5.8221799999999995</v>
          </cell>
          <cell r="CE87">
            <v>200</v>
          </cell>
          <cell r="CF87">
            <v>2.1178935446185125</v>
          </cell>
          <cell r="CG87">
            <v>1.782</v>
          </cell>
          <cell r="CH87">
            <v>140</v>
          </cell>
          <cell r="CI87">
            <v>0.45375794076396347</v>
          </cell>
          <cell r="CJ87">
            <v>2.5716514853824761</v>
          </cell>
          <cell r="CK87">
            <v>0.68075149648452182</v>
          </cell>
          <cell r="CL87">
            <v>0.11668061333930488</v>
          </cell>
          <cell r="CM87">
            <v>2.903225806451613</v>
          </cell>
          <cell r="CN87">
            <v>3.7006579162754396</v>
          </cell>
          <cell r="CO87">
            <v>1.4144503315845066E-2</v>
          </cell>
          <cell r="CP87">
            <v>1.2795698924731185</v>
          </cell>
          <cell r="CQ87">
            <v>1.2937143957889636</v>
          </cell>
          <cell r="CR87">
            <v>4.22</v>
          </cell>
          <cell r="CS87">
            <v>9.7200000000000006</v>
          </cell>
          <cell r="CT87">
            <v>12.35</v>
          </cell>
          <cell r="CU87">
            <v>0</v>
          </cell>
          <cell r="CV87">
            <v>145.67290377455646</v>
          </cell>
        </row>
        <row r="88">
          <cell r="K88" t="str">
            <v>ExportIst New Buyer00Bath76x137D</v>
          </cell>
          <cell r="L88">
            <v>0</v>
          </cell>
          <cell r="M88">
            <v>415.87</v>
          </cell>
          <cell r="N88">
            <v>0</v>
          </cell>
          <cell r="O88">
            <v>71.28</v>
          </cell>
          <cell r="P88">
            <v>67.712000000000003</v>
          </cell>
          <cell r="Q88">
            <v>36.33</v>
          </cell>
          <cell r="R88">
            <v>0</v>
          </cell>
          <cell r="S88">
            <v>0</v>
          </cell>
          <cell r="T88">
            <v>591.19200000000001</v>
          </cell>
          <cell r="U88">
            <v>549.80855999999994</v>
          </cell>
          <cell r="V88">
            <v>2.5000000000000001E-3</v>
          </cell>
          <cell r="W88">
            <v>0</v>
          </cell>
          <cell r="X88">
            <v>-1.3999999999999999E-2</v>
          </cell>
          <cell r="Y88">
            <v>-2.5000000000000001E-2</v>
          </cell>
          <cell r="Z88">
            <v>7.0000000000000062E-2</v>
          </cell>
          <cell r="AA88">
            <v>1.4999999999999999E-2</v>
          </cell>
          <cell r="AB88">
            <v>0.01</v>
          </cell>
          <cell r="AC88">
            <v>1.3779663157894735</v>
          </cell>
          <cell r="AD88">
            <v>0</v>
          </cell>
          <cell r="AE88">
            <v>-5.8221799999999995</v>
          </cell>
          <cell r="AF88">
            <v>-1.782</v>
          </cell>
          <cell r="AG88">
            <v>41.383440000000036</v>
          </cell>
          <cell r="AH88">
            <v>8.3727191878172569</v>
          </cell>
          <cell r="AI88">
            <v>5.5536218181818171</v>
          </cell>
          <cell r="AJ88">
            <v>49.083567321788586</v>
          </cell>
          <cell r="AK88">
            <v>598.89212732178851</v>
          </cell>
          <cell r="AL88" t="str">
            <v>1/13  Comb</v>
          </cell>
          <cell r="AM88">
            <v>0</v>
          </cell>
          <cell r="AN88" t="str">
            <v>2/30  KC</v>
          </cell>
          <cell r="AO88" t="str">
            <v xml:space="preserve">1/16OE  </v>
          </cell>
          <cell r="AP88" t="str">
            <v>2/20  Gas Mer</v>
          </cell>
          <cell r="AQ88">
            <v>0</v>
          </cell>
          <cell r="AR88">
            <v>0</v>
          </cell>
          <cell r="AS88">
            <v>96.5</v>
          </cell>
          <cell r="AT88">
            <v>0</v>
          </cell>
          <cell r="AU88">
            <v>118.5</v>
          </cell>
          <cell r="AV88">
            <v>77.75</v>
          </cell>
          <cell r="AW88">
            <v>174</v>
          </cell>
          <cell r="AX88">
            <v>0</v>
          </cell>
          <cell r="AY88">
            <v>0</v>
          </cell>
          <cell r="AZ88">
            <v>40.131455000000003</v>
          </cell>
          <cell r="BA88">
            <v>8.4466800000000006</v>
          </cell>
          <cell r="BB88">
            <v>5.264608</v>
          </cell>
          <cell r="BC88">
            <v>6.3214199999999998</v>
          </cell>
          <cell r="BD88">
            <v>0</v>
          </cell>
          <cell r="BE88">
            <v>0.14023225962406013</v>
          </cell>
          <cell r="BF88">
            <v>0</v>
          </cell>
          <cell r="BI88">
            <v>0</v>
          </cell>
          <cell r="BJ88">
            <v>0.85207114096446679</v>
          </cell>
          <cell r="BK88">
            <v>0.56517850090909083</v>
          </cell>
          <cell r="BL88">
            <v>1.5574819014976178</v>
          </cell>
          <cell r="BM88">
            <v>-3.4449157894736834E-2</v>
          </cell>
          <cell r="BN88">
            <v>0</v>
          </cell>
          <cell r="BO88">
            <v>0</v>
          </cell>
          <cell r="BP88">
            <v>0</v>
          </cell>
          <cell r="BQ88">
            <v>0</v>
          </cell>
          <cell r="BR88">
            <v>-0.20931797969543142</v>
          </cell>
          <cell r="BS88">
            <v>0</v>
          </cell>
          <cell r="BT88">
            <v>-0.24376713759016827</v>
          </cell>
          <cell r="BU88">
            <v>104.40202996910922</v>
          </cell>
          <cell r="BV88">
            <v>-0.35406091370558362</v>
          </cell>
          <cell r="BW88">
            <v>104.04796905540364</v>
          </cell>
          <cell r="BX88">
            <v>112.26024727861207</v>
          </cell>
          <cell r="BY88">
            <v>-0.38071065989847708</v>
          </cell>
          <cell r="BZ88">
            <v>111.87953661871359</v>
          </cell>
          <cell r="CA88">
            <v>112.26024727861207</v>
          </cell>
          <cell r="CB88">
            <v>-0.44336730150248715</v>
          </cell>
          <cell r="CC88">
            <v>111.81687997710958</v>
          </cell>
          <cell r="CD88">
            <v>5.8221799999999995</v>
          </cell>
          <cell r="CE88">
            <v>200</v>
          </cell>
          <cell r="CF88">
            <v>2.1178935446185125</v>
          </cell>
          <cell r="CG88">
            <v>1.782</v>
          </cell>
          <cell r="CH88">
            <v>140</v>
          </cell>
          <cell r="CI88">
            <v>0.45375794076396347</v>
          </cell>
          <cell r="CJ88">
            <v>2.5716514853824761</v>
          </cell>
          <cell r="CK88">
            <v>0.68075149648452182</v>
          </cell>
          <cell r="CL88">
            <v>0.11668061333930488</v>
          </cell>
          <cell r="CM88">
            <v>2.903225806451613</v>
          </cell>
          <cell r="CN88">
            <v>3.7006579162754396</v>
          </cell>
          <cell r="CO88">
            <v>1.4144503315845066E-2</v>
          </cell>
          <cell r="CP88">
            <v>1.2795698924731185</v>
          </cell>
          <cell r="CQ88">
            <v>1.2937143957889636</v>
          </cell>
          <cell r="CR88">
            <v>14.66</v>
          </cell>
          <cell r="CS88">
            <v>9.98</v>
          </cell>
          <cell r="CT88">
            <v>12.35</v>
          </cell>
          <cell r="CU88">
            <v>0</v>
          </cell>
          <cell r="CV88">
            <v>156.37290377455648</v>
          </cell>
        </row>
        <row r="89">
          <cell r="K89" t="str">
            <v>ExportIst New Buyer00Hand41x76L</v>
          </cell>
          <cell r="L89">
            <v>0</v>
          </cell>
          <cell r="M89">
            <v>107.55</v>
          </cell>
          <cell r="N89">
            <v>0</v>
          </cell>
          <cell r="O89">
            <v>21.15</v>
          </cell>
          <cell r="P89">
            <v>21.649000000000001</v>
          </cell>
          <cell r="Q89">
            <v>13.05</v>
          </cell>
          <cell r="R89">
            <v>0</v>
          </cell>
          <cell r="S89">
            <v>0</v>
          </cell>
          <cell r="T89">
            <v>163.399</v>
          </cell>
          <cell r="U89">
            <v>151.96106999999998</v>
          </cell>
          <cell r="V89">
            <v>2.5000000000000001E-3</v>
          </cell>
          <cell r="W89">
            <v>0</v>
          </cell>
          <cell r="X89">
            <v>-1.3999999999999999E-2</v>
          </cell>
          <cell r="Y89">
            <v>-2.5000000000000001E-2</v>
          </cell>
          <cell r="Z89">
            <v>7.0000000000000173E-2</v>
          </cell>
          <cell r="AA89">
            <v>1.4999999999999999E-2</v>
          </cell>
          <cell r="AB89">
            <v>0.01</v>
          </cell>
          <cell r="AC89">
            <v>0.3808548120300751</v>
          </cell>
          <cell r="AD89">
            <v>0</v>
          </cell>
          <cell r="AE89">
            <v>-1.5056999999999998</v>
          </cell>
          <cell r="AF89">
            <v>-0.52874999999999994</v>
          </cell>
          <cell r="AG89">
            <v>11.437930000000028</v>
          </cell>
          <cell r="AH89">
            <v>2.3141279695431467</v>
          </cell>
          <cell r="AI89">
            <v>1.534960303030303</v>
          </cell>
          <cell r="AJ89">
            <v>13.633423084603553</v>
          </cell>
          <cell r="AK89">
            <v>165.59449308460353</v>
          </cell>
          <cell r="AL89" t="str">
            <v>1/13  Comb</v>
          </cell>
          <cell r="AM89">
            <v>0</v>
          </cell>
          <cell r="AN89" t="str">
            <v>2/30  KC</v>
          </cell>
          <cell r="AO89" t="str">
            <v xml:space="preserve">1/16OE  </v>
          </cell>
          <cell r="AP89" t="str">
            <v>2/20  Gas Mer</v>
          </cell>
          <cell r="AQ89">
            <v>0</v>
          </cell>
          <cell r="AR89">
            <v>0</v>
          </cell>
          <cell r="AS89">
            <v>96.5</v>
          </cell>
          <cell r="AT89">
            <v>0</v>
          </cell>
          <cell r="AU89">
            <v>118.5</v>
          </cell>
          <cell r="AV89">
            <v>77.75</v>
          </cell>
          <cell r="AW89">
            <v>174</v>
          </cell>
          <cell r="AX89">
            <v>0</v>
          </cell>
          <cell r="AY89">
            <v>0</v>
          </cell>
          <cell r="AZ89">
            <v>10.378575</v>
          </cell>
          <cell r="BA89">
            <v>2.5062749999999996</v>
          </cell>
          <cell r="BB89">
            <v>1.6832097500000001</v>
          </cell>
          <cell r="BC89">
            <v>2.2707000000000002</v>
          </cell>
          <cell r="BD89">
            <v>0</v>
          </cell>
          <cell r="BE89">
            <v>3.9248237011278192E-2</v>
          </cell>
          <cell r="BF89">
            <v>0</v>
          </cell>
          <cell r="BI89">
            <v>0</v>
          </cell>
          <cell r="BJ89">
            <v>0.23847786651015226</v>
          </cell>
          <cell r="BK89">
            <v>0.15818228856060607</v>
          </cell>
          <cell r="BL89">
            <v>0.43590839208203652</v>
          </cell>
          <cell r="BM89">
            <v>-9.5213703007518777E-3</v>
          </cell>
          <cell r="BN89">
            <v>0</v>
          </cell>
          <cell r="BO89">
            <v>0</v>
          </cell>
          <cell r="BP89">
            <v>0</v>
          </cell>
          <cell r="BQ89">
            <v>0</v>
          </cell>
          <cell r="BR89">
            <v>-5.7853199238578665E-2</v>
          </cell>
          <cell r="BS89">
            <v>0</v>
          </cell>
          <cell r="BT89">
            <v>-6.7374569539330548E-2</v>
          </cell>
          <cell r="BU89">
            <v>105.72077027449396</v>
          </cell>
          <cell r="BV89">
            <v>-0.35406091370558368</v>
          </cell>
          <cell r="BW89">
            <v>105.36670936078838</v>
          </cell>
          <cell r="BX89">
            <v>113.67824760698277</v>
          </cell>
          <cell r="BY89">
            <v>-0.38071065989847713</v>
          </cell>
          <cell r="BZ89">
            <v>113.29753694708428</v>
          </cell>
          <cell r="CA89">
            <v>113.67824760698277</v>
          </cell>
          <cell r="CB89">
            <v>-0.44336730150248715</v>
          </cell>
          <cell r="CC89">
            <v>113.23488030548027</v>
          </cell>
          <cell r="CD89">
            <v>1.5056999999999998</v>
          </cell>
          <cell r="CE89">
            <v>200</v>
          </cell>
          <cell r="CF89">
            <v>1.9816917582904623</v>
          </cell>
          <cell r="CG89">
            <v>0.52874999999999994</v>
          </cell>
          <cell r="CH89">
            <v>140</v>
          </cell>
          <cell r="CI89">
            <v>0.48713134225759269</v>
          </cell>
          <cell r="CJ89">
            <v>2.4688231005480548</v>
          </cell>
          <cell r="CK89">
            <v>0.63697235087907711</v>
          </cell>
          <cell r="CL89">
            <v>0.12526234515195239</v>
          </cell>
          <cell r="CM89">
            <v>2.903225806451613</v>
          </cell>
          <cell r="CN89">
            <v>3.6654605024826425</v>
          </cell>
          <cell r="CO89">
            <v>1.3234869957154161E-2</v>
          </cell>
          <cell r="CP89">
            <v>1.2795698924731185</v>
          </cell>
          <cell r="CQ89">
            <v>1.2928047624302725</v>
          </cell>
          <cell r="CR89">
            <v>1.21</v>
          </cell>
          <cell r="CS89">
            <v>9.81</v>
          </cell>
          <cell r="CT89">
            <v>24.95</v>
          </cell>
          <cell r="CU89">
            <v>0</v>
          </cell>
          <cell r="CV89">
            <v>156.63196867094126</v>
          </cell>
        </row>
        <row r="90">
          <cell r="K90" t="str">
            <v>ExportIst New Buyer00Hand41x76M</v>
          </cell>
          <cell r="L90">
            <v>0</v>
          </cell>
          <cell r="M90">
            <v>107.55</v>
          </cell>
          <cell r="N90">
            <v>0</v>
          </cell>
          <cell r="O90">
            <v>21.15</v>
          </cell>
          <cell r="P90">
            <v>21.649000000000001</v>
          </cell>
          <cell r="Q90">
            <v>13.05</v>
          </cell>
          <cell r="R90">
            <v>0</v>
          </cell>
          <cell r="S90">
            <v>0</v>
          </cell>
          <cell r="T90">
            <v>163.399</v>
          </cell>
          <cell r="U90">
            <v>151.96106999999998</v>
          </cell>
          <cell r="V90">
            <v>2.5000000000000001E-3</v>
          </cell>
          <cell r="W90">
            <v>0</v>
          </cell>
          <cell r="X90">
            <v>-1.3999999999999999E-2</v>
          </cell>
          <cell r="Y90">
            <v>-2.5000000000000001E-2</v>
          </cell>
          <cell r="Z90">
            <v>7.0000000000000173E-2</v>
          </cell>
          <cell r="AA90">
            <v>1.4999999999999999E-2</v>
          </cell>
          <cell r="AB90">
            <v>0.01</v>
          </cell>
          <cell r="AC90">
            <v>0.3808548120300751</v>
          </cell>
          <cell r="AD90">
            <v>0</v>
          </cell>
          <cell r="AE90">
            <v>-1.5056999999999998</v>
          </cell>
          <cell r="AF90">
            <v>-0.52874999999999994</v>
          </cell>
          <cell r="AG90">
            <v>11.437930000000028</v>
          </cell>
          <cell r="AH90">
            <v>2.3141279695431467</v>
          </cell>
          <cell r="AI90">
            <v>1.534960303030303</v>
          </cell>
          <cell r="AJ90">
            <v>13.633423084603553</v>
          </cell>
          <cell r="AK90">
            <v>165.59449308460353</v>
          </cell>
          <cell r="AL90" t="str">
            <v>1/13  Comb</v>
          </cell>
          <cell r="AM90">
            <v>0</v>
          </cell>
          <cell r="AN90" t="str">
            <v>2/30  KC</v>
          </cell>
          <cell r="AO90" t="str">
            <v xml:space="preserve">1/16OE  </v>
          </cell>
          <cell r="AP90" t="str">
            <v>2/20  Gas Mer</v>
          </cell>
          <cell r="AQ90">
            <v>0</v>
          </cell>
          <cell r="AR90">
            <v>0</v>
          </cell>
          <cell r="AS90">
            <v>96.5</v>
          </cell>
          <cell r="AT90">
            <v>0</v>
          </cell>
          <cell r="AU90">
            <v>118.5</v>
          </cell>
          <cell r="AV90">
            <v>77.75</v>
          </cell>
          <cell r="AW90">
            <v>174</v>
          </cell>
          <cell r="AX90">
            <v>0</v>
          </cell>
          <cell r="AY90">
            <v>0</v>
          </cell>
          <cell r="AZ90">
            <v>10.378575</v>
          </cell>
          <cell r="BA90">
            <v>2.5062749999999996</v>
          </cell>
          <cell r="BB90">
            <v>1.6832097500000001</v>
          </cell>
          <cell r="BC90">
            <v>2.2707000000000002</v>
          </cell>
          <cell r="BD90">
            <v>0</v>
          </cell>
          <cell r="BE90">
            <v>3.9248237011278192E-2</v>
          </cell>
          <cell r="BF90">
            <v>0</v>
          </cell>
          <cell r="BI90">
            <v>0</v>
          </cell>
          <cell r="BJ90">
            <v>0.23847786651015226</v>
          </cell>
          <cell r="BK90">
            <v>0.15818228856060607</v>
          </cell>
          <cell r="BL90">
            <v>0.43590839208203652</v>
          </cell>
          <cell r="BM90">
            <v>-9.5213703007518777E-3</v>
          </cell>
          <cell r="BN90">
            <v>0</v>
          </cell>
          <cell r="BO90">
            <v>0</v>
          </cell>
          <cell r="BP90">
            <v>0</v>
          </cell>
          <cell r="BQ90">
            <v>0</v>
          </cell>
          <cell r="BR90">
            <v>-5.7853199238578665E-2</v>
          </cell>
          <cell r="BS90">
            <v>0</v>
          </cell>
          <cell r="BT90">
            <v>-6.7374569539330548E-2</v>
          </cell>
          <cell r="BU90">
            <v>105.72077027449396</v>
          </cell>
          <cell r="BV90">
            <v>-0.35406091370558368</v>
          </cell>
          <cell r="BW90">
            <v>105.36670936078838</v>
          </cell>
          <cell r="BX90">
            <v>113.67824760698277</v>
          </cell>
          <cell r="BY90">
            <v>-0.38071065989847713</v>
          </cell>
          <cell r="BZ90">
            <v>113.29753694708428</v>
          </cell>
          <cell r="CA90">
            <v>113.67824760698277</v>
          </cell>
          <cell r="CB90">
            <v>-0.44336730150248715</v>
          </cell>
          <cell r="CC90">
            <v>113.23488030548027</v>
          </cell>
          <cell r="CD90">
            <v>1.5056999999999998</v>
          </cell>
          <cell r="CE90">
            <v>200</v>
          </cell>
          <cell r="CF90">
            <v>1.9816917582904623</v>
          </cell>
          <cell r="CG90">
            <v>0.52874999999999994</v>
          </cell>
          <cell r="CH90">
            <v>140</v>
          </cell>
          <cell r="CI90">
            <v>0.48713134225759269</v>
          </cell>
          <cell r="CJ90">
            <v>2.4688231005480548</v>
          </cell>
          <cell r="CK90">
            <v>0.63697235087907711</v>
          </cell>
          <cell r="CL90">
            <v>0.12526234515195239</v>
          </cell>
          <cell r="CM90">
            <v>2.903225806451613</v>
          </cell>
          <cell r="CN90">
            <v>3.6654605024826425</v>
          </cell>
          <cell r="CO90">
            <v>1.3234869957154161E-2</v>
          </cell>
          <cell r="CP90">
            <v>1.2795698924731185</v>
          </cell>
          <cell r="CQ90">
            <v>1.2928047624302725</v>
          </cell>
          <cell r="CR90">
            <v>4.22</v>
          </cell>
          <cell r="CS90">
            <v>9.7200000000000006</v>
          </cell>
          <cell r="CT90">
            <v>24.95</v>
          </cell>
          <cell r="CU90">
            <v>0</v>
          </cell>
          <cell r="CV90">
            <v>159.55196867094125</v>
          </cell>
        </row>
        <row r="91">
          <cell r="K91" t="str">
            <v>ExportIst New Buyer00Hand41x76D</v>
          </cell>
          <cell r="L91">
            <v>0</v>
          </cell>
          <cell r="M91">
            <v>107.55</v>
          </cell>
          <cell r="N91">
            <v>0</v>
          </cell>
          <cell r="O91">
            <v>21.15</v>
          </cell>
          <cell r="P91">
            <v>21.649000000000001</v>
          </cell>
          <cell r="Q91">
            <v>13.05</v>
          </cell>
          <cell r="R91">
            <v>0</v>
          </cell>
          <cell r="S91">
            <v>0</v>
          </cell>
          <cell r="T91">
            <v>163.399</v>
          </cell>
          <cell r="U91">
            <v>151.96106999999998</v>
          </cell>
          <cell r="V91">
            <v>2.5000000000000001E-3</v>
          </cell>
          <cell r="W91">
            <v>0</v>
          </cell>
          <cell r="X91">
            <v>-1.3999999999999999E-2</v>
          </cell>
          <cell r="Y91">
            <v>-2.5000000000000001E-2</v>
          </cell>
          <cell r="Z91">
            <v>7.0000000000000173E-2</v>
          </cell>
          <cell r="AA91">
            <v>1.4999999999999999E-2</v>
          </cell>
          <cell r="AB91">
            <v>0.01</v>
          </cell>
          <cell r="AC91">
            <v>0.3808548120300751</v>
          </cell>
          <cell r="AD91">
            <v>0</v>
          </cell>
          <cell r="AE91">
            <v>-1.5056999999999998</v>
          </cell>
          <cell r="AF91">
            <v>-0.52874999999999994</v>
          </cell>
          <cell r="AG91">
            <v>11.437930000000028</v>
          </cell>
          <cell r="AH91">
            <v>2.3141279695431467</v>
          </cell>
          <cell r="AI91">
            <v>1.534960303030303</v>
          </cell>
          <cell r="AJ91">
            <v>13.633423084603553</v>
          </cell>
          <cell r="AK91">
            <v>165.59449308460353</v>
          </cell>
          <cell r="AL91" t="str">
            <v>1/13  Comb</v>
          </cell>
          <cell r="AM91">
            <v>0</v>
          </cell>
          <cell r="AN91" t="str">
            <v>2/30  KC</v>
          </cell>
          <cell r="AO91" t="str">
            <v xml:space="preserve">1/16OE  </v>
          </cell>
          <cell r="AP91" t="str">
            <v>2/20  Gas Mer</v>
          </cell>
          <cell r="AQ91">
            <v>0</v>
          </cell>
          <cell r="AR91">
            <v>0</v>
          </cell>
          <cell r="AS91">
            <v>96.5</v>
          </cell>
          <cell r="AT91">
            <v>0</v>
          </cell>
          <cell r="AU91">
            <v>118.5</v>
          </cell>
          <cell r="AV91">
            <v>77.75</v>
          </cell>
          <cell r="AW91">
            <v>174</v>
          </cell>
          <cell r="AX91">
            <v>0</v>
          </cell>
          <cell r="AY91">
            <v>0</v>
          </cell>
          <cell r="AZ91">
            <v>10.378575</v>
          </cell>
          <cell r="BA91">
            <v>2.5062749999999996</v>
          </cell>
          <cell r="BB91">
            <v>1.6832097500000001</v>
          </cell>
          <cell r="BC91">
            <v>2.2707000000000002</v>
          </cell>
          <cell r="BD91">
            <v>0</v>
          </cell>
          <cell r="BE91">
            <v>3.9248237011278192E-2</v>
          </cell>
          <cell r="BF91">
            <v>0</v>
          </cell>
          <cell r="BI91">
            <v>0</v>
          </cell>
          <cell r="BJ91">
            <v>0.23847786651015226</v>
          </cell>
          <cell r="BK91">
            <v>0.15818228856060607</v>
          </cell>
          <cell r="BL91">
            <v>0.43590839208203652</v>
          </cell>
          <cell r="BM91">
            <v>-9.5213703007518777E-3</v>
          </cell>
          <cell r="BN91">
            <v>0</v>
          </cell>
          <cell r="BO91">
            <v>0</v>
          </cell>
          <cell r="BP91">
            <v>0</v>
          </cell>
          <cell r="BQ91">
            <v>0</v>
          </cell>
          <cell r="BR91">
            <v>-5.7853199238578665E-2</v>
          </cell>
          <cell r="BS91">
            <v>0</v>
          </cell>
          <cell r="BT91">
            <v>-6.7374569539330548E-2</v>
          </cell>
          <cell r="BU91">
            <v>105.72077027449396</v>
          </cell>
          <cell r="BV91">
            <v>-0.35406091370558368</v>
          </cell>
          <cell r="BW91">
            <v>105.36670936078838</v>
          </cell>
          <cell r="BX91">
            <v>113.67824760698277</v>
          </cell>
          <cell r="BY91">
            <v>-0.38071065989847713</v>
          </cell>
          <cell r="BZ91">
            <v>113.29753694708428</v>
          </cell>
          <cell r="CA91">
            <v>113.67824760698277</v>
          </cell>
          <cell r="CB91">
            <v>-0.44336730150248715</v>
          </cell>
          <cell r="CC91">
            <v>113.23488030548027</v>
          </cell>
          <cell r="CD91">
            <v>1.5056999999999998</v>
          </cell>
          <cell r="CE91">
            <v>200</v>
          </cell>
          <cell r="CF91">
            <v>1.9816917582904623</v>
          </cell>
          <cell r="CG91">
            <v>0.52874999999999994</v>
          </cell>
          <cell r="CH91">
            <v>140</v>
          </cell>
          <cell r="CI91">
            <v>0.48713134225759269</v>
          </cell>
          <cell r="CJ91">
            <v>2.4688231005480548</v>
          </cell>
          <cell r="CK91">
            <v>0.63697235087907711</v>
          </cell>
          <cell r="CL91">
            <v>0.12526234515195239</v>
          </cell>
          <cell r="CM91">
            <v>2.903225806451613</v>
          </cell>
          <cell r="CN91">
            <v>3.6654605024826425</v>
          </cell>
          <cell r="CO91">
            <v>1.3234869957154161E-2</v>
          </cell>
          <cell r="CP91">
            <v>1.2795698924731185</v>
          </cell>
          <cell r="CQ91">
            <v>1.2928047624302725</v>
          </cell>
          <cell r="CR91">
            <v>14.66</v>
          </cell>
          <cell r="CS91">
            <v>9.98</v>
          </cell>
          <cell r="CT91">
            <v>24.95</v>
          </cell>
          <cell r="CU91">
            <v>0</v>
          </cell>
          <cell r="CV91">
            <v>170.25196867094127</v>
          </cell>
        </row>
        <row r="92">
          <cell r="K92" t="str">
            <v>ExportIst New Buyer00Wash33x33L</v>
          </cell>
          <cell r="L92">
            <v>0</v>
          </cell>
          <cell r="M92">
            <v>36.76</v>
          </cell>
          <cell r="N92">
            <v>0</v>
          </cell>
          <cell r="O92">
            <v>8.4499999999999993</v>
          </cell>
          <cell r="P92">
            <v>8.9339999999999993</v>
          </cell>
          <cell r="Q92">
            <v>7.2619999999999996</v>
          </cell>
          <cell r="R92">
            <v>0</v>
          </cell>
          <cell r="S92">
            <v>0</v>
          </cell>
          <cell r="T92">
            <v>61.405999999999992</v>
          </cell>
          <cell r="U92">
            <v>57.107579999999992</v>
          </cell>
          <cell r="V92">
            <v>2.5000000000000001E-3</v>
          </cell>
          <cell r="W92">
            <v>0</v>
          </cell>
          <cell r="X92">
            <v>-1.3999999999999999E-2</v>
          </cell>
          <cell r="Y92">
            <v>-2.5000000000000001E-2</v>
          </cell>
          <cell r="Z92">
            <v>7.0000000000000062E-2</v>
          </cell>
          <cell r="AA92">
            <v>1.4999999999999999E-2</v>
          </cell>
          <cell r="AB92">
            <v>0.01</v>
          </cell>
          <cell r="AC92">
            <v>0.1431267669172932</v>
          </cell>
          <cell r="AD92">
            <v>0</v>
          </cell>
          <cell r="AE92">
            <v>-0.51463999999999988</v>
          </cell>
          <cell r="AF92">
            <v>-0.21124999999999999</v>
          </cell>
          <cell r="AG92">
            <v>4.2984200000000028</v>
          </cell>
          <cell r="AH92">
            <v>0.86965857868020291</v>
          </cell>
          <cell r="AI92">
            <v>0.57684424242424237</v>
          </cell>
          <cell r="AJ92">
            <v>5.1621595880217406</v>
          </cell>
          <cell r="AK92">
            <v>62.269739588021736</v>
          </cell>
          <cell r="AL92" t="str">
            <v>1/13  Comb</v>
          </cell>
          <cell r="AM92">
            <v>0</v>
          </cell>
          <cell r="AN92" t="str">
            <v>2/30  KC</v>
          </cell>
          <cell r="AO92" t="str">
            <v xml:space="preserve">1/16OE  </v>
          </cell>
          <cell r="AP92" t="str">
            <v>2/20  Gas Mer</v>
          </cell>
          <cell r="AQ92">
            <v>0</v>
          </cell>
          <cell r="AR92">
            <v>0</v>
          </cell>
          <cell r="AS92">
            <v>96.5</v>
          </cell>
          <cell r="AT92">
            <v>0</v>
          </cell>
          <cell r="AU92">
            <v>118.5</v>
          </cell>
          <cell r="AV92">
            <v>77.75</v>
          </cell>
          <cell r="AW92">
            <v>174</v>
          </cell>
          <cell r="AX92">
            <v>0</v>
          </cell>
          <cell r="AY92">
            <v>0</v>
          </cell>
          <cell r="AZ92">
            <v>3.5473399999999997</v>
          </cell>
          <cell r="BA92">
            <v>1.001325</v>
          </cell>
          <cell r="BB92">
            <v>0.69461849999999992</v>
          </cell>
          <cell r="BC92">
            <v>1.2635879999999999</v>
          </cell>
          <cell r="BD92">
            <v>0</v>
          </cell>
          <cell r="BE92">
            <v>1.5166392218045111E-2</v>
          </cell>
          <cell r="BF92">
            <v>0</v>
          </cell>
          <cell r="BI92">
            <v>0</v>
          </cell>
          <cell r="BJ92">
            <v>9.2153154746192886E-2</v>
          </cell>
          <cell r="BK92">
            <v>6.1125156515151512E-2</v>
          </cell>
          <cell r="BL92">
            <v>0.1684447034793895</v>
          </cell>
          <cell r="BM92">
            <v>-3.5781691729323303E-3</v>
          </cell>
          <cell r="BN92">
            <v>0</v>
          </cell>
          <cell r="BO92">
            <v>0</v>
          </cell>
          <cell r="BP92">
            <v>0</v>
          </cell>
          <cell r="BQ92">
            <v>0</v>
          </cell>
          <cell r="BR92">
            <v>-2.1741464467005072E-2</v>
          </cell>
          <cell r="BS92">
            <v>0</v>
          </cell>
          <cell r="BT92">
            <v>-2.5319633639937403E-2</v>
          </cell>
          <cell r="BU92">
            <v>108.70788202259371</v>
          </cell>
          <cell r="BV92">
            <v>-0.35406091370558374</v>
          </cell>
          <cell r="BW92">
            <v>108.35382110888813</v>
          </cell>
          <cell r="BX92">
            <v>116.89019572321904</v>
          </cell>
          <cell r="BY92">
            <v>-0.38071065989847713</v>
          </cell>
          <cell r="BZ92">
            <v>116.50948506332055</v>
          </cell>
          <cell r="CA92">
            <v>116.89019572321904</v>
          </cell>
          <cell r="CB92">
            <v>-0.44336730150248715</v>
          </cell>
          <cell r="CC92">
            <v>116.44682842171655</v>
          </cell>
          <cell r="CD92">
            <v>0.51463999999999988</v>
          </cell>
          <cell r="CE92">
            <v>200</v>
          </cell>
          <cell r="CF92">
            <v>1.802352682428497</v>
          </cell>
          <cell r="CG92">
            <v>0.21124999999999999</v>
          </cell>
          <cell r="CH92">
            <v>140</v>
          </cell>
          <cell r="CI92">
            <v>0.51788221458517425</v>
          </cell>
          <cell r="CJ92">
            <v>2.3202348970136715</v>
          </cell>
          <cell r="CK92">
            <v>0.5793276479234456</v>
          </cell>
          <cell r="CL92">
            <v>0.13316971232190192</v>
          </cell>
          <cell r="CM92">
            <v>2.903225806451613</v>
          </cell>
          <cell r="CN92">
            <v>3.6157231666969603</v>
          </cell>
          <cell r="CO92">
            <v>1.2037141129076038E-2</v>
          </cell>
          <cell r="CP92">
            <v>1.2795698924731185</v>
          </cell>
          <cell r="CQ92">
            <v>1.2916070336021945</v>
          </cell>
          <cell r="CR92">
            <v>1.21</v>
          </cell>
          <cell r="CS92">
            <v>9.81</v>
          </cell>
          <cell r="CT92">
            <v>47.86</v>
          </cell>
          <cell r="CU92">
            <v>0</v>
          </cell>
          <cell r="CV92">
            <v>182.55439351902936</v>
          </cell>
        </row>
        <row r="93">
          <cell r="K93" t="str">
            <v>ExportIst New Buyer00Wash33x33M</v>
          </cell>
          <cell r="L93">
            <v>0</v>
          </cell>
          <cell r="M93">
            <v>36.76</v>
          </cell>
          <cell r="N93">
            <v>0</v>
          </cell>
          <cell r="O93">
            <v>8.4499999999999993</v>
          </cell>
          <cell r="P93">
            <v>8.9339999999999993</v>
          </cell>
          <cell r="Q93">
            <v>7.2619999999999996</v>
          </cell>
          <cell r="R93">
            <v>0</v>
          </cell>
          <cell r="S93">
            <v>0</v>
          </cell>
          <cell r="T93">
            <v>61.405999999999992</v>
          </cell>
          <cell r="U93">
            <v>57.107579999999992</v>
          </cell>
          <cell r="V93">
            <v>2.5000000000000001E-3</v>
          </cell>
          <cell r="W93">
            <v>0</v>
          </cell>
          <cell r="X93">
            <v>-1.3999999999999999E-2</v>
          </cell>
          <cell r="Y93">
            <v>-2.5000000000000001E-2</v>
          </cell>
          <cell r="Z93">
            <v>7.0000000000000062E-2</v>
          </cell>
          <cell r="AA93">
            <v>1.4999999999999999E-2</v>
          </cell>
          <cell r="AB93">
            <v>0.01</v>
          </cell>
          <cell r="AC93">
            <v>0.1431267669172932</v>
          </cell>
          <cell r="AD93">
            <v>0</v>
          </cell>
          <cell r="AE93">
            <v>-0.51463999999999988</v>
          </cell>
          <cell r="AF93">
            <v>-0.21124999999999999</v>
          </cell>
          <cell r="AG93">
            <v>4.2984200000000028</v>
          </cell>
          <cell r="AH93">
            <v>0.86965857868020291</v>
          </cell>
          <cell r="AI93">
            <v>0.57684424242424237</v>
          </cell>
          <cell r="AJ93">
            <v>5.1621595880217406</v>
          </cell>
          <cell r="AK93">
            <v>62.269739588021736</v>
          </cell>
          <cell r="AL93" t="str">
            <v>1/13  Comb</v>
          </cell>
          <cell r="AM93">
            <v>0</v>
          </cell>
          <cell r="AN93" t="str">
            <v>2/30  KC</v>
          </cell>
          <cell r="AO93" t="str">
            <v xml:space="preserve">1/16OE  </v>
          </cell>
          <cell r="AP93" t="str">
            <v>2/20  Gas Mer</v>
          </cell>
          <cell r="AQ93">
            <v>0</v>
          </cell>
          <cell r="AR93">
            <v>0</v>
          </cell>
          <cell r="AS93">
            <v>96.5</v>
          </cell>
          <cell r="AT93">
            <v>0</v>
          </cell>
          <cell r="AU93">
            <v>118.5</v>
          </cell>
          <cell r="AV93">
            <v>77.75</v>
          </cell>
          <cell r="AW93">
            <v>174</v>
          </cell>
          <cell r="AX93">
            <v>0</v>
          </cell>
          <cell r="AY93">
            <v>0</v>
          </cell>
          <cell r="AZ93">
            <v>3.5473399999999997</v>
          </cell>
          <cell r="BA93">
            <v>1.001325</v>
          </cell>
          <cell r="BB93">
            <v>0.69461849999999992</v>
          </cell>
          <cell r="BC93">
            <v>1.2635879999999999</v>
          </cell>
          <cell r="BD93">
            <v>0</v>
          </cell>
          <cell r="BE93">
            <v>1.5166392218045111E-2</v>
          </cell>
          <cell r="BF93">
            <v>0</v>
          </cell>
          <cell r="BI93">
            <v>0</v>
          </cell>
          <cell r="BJ93">
            <v>9.2153154746192886E-2</v>
          </cell>
          <cell r="BK93">
            <v>6.1125156515151512E-2</v>
          </cell>
          <cell r="BL93">
            <v>0.1684447034793895</v>
          </cell>
          <cell r="BM93">
            <v>-3.5781691729323303E-3</v>
          </cell>
          <cell r="BN93">
            <v>0</v>
          </cell>
          <cell r="BO93">
            <v>0</v>
          </cell>
          <cell r="BP93">
            <v>0</v>
          </cell>
          <cell r="BQ93">
            <v>0</v>
          </cell>
          <cell r="BR93">
            <v>-2.1741464467005072E-2</v>
          </cell>
          <cell r="BS93">
            <v>0</v>
          </cell>
          <cell r="BT93">
            <v>-2.5319633639937403E-2</v>
          </cell>
          <cell r="BU93">
            <v>108.70788202259371</v>
          </cell>
          <cell r="BV93">
            <v>-0.35406091370558374</v>
          </cell>
          <cell r="BW93">
            <v>108.35382110888813</v>
          </cell>
          <cell r="BX93">
            <v>116.89019572321904</v>
          </cell>
          <cell r="BY93">
            <v>-0.38071065989847713</v>
          </cell>
          <cell r="BZ93">
            <v>116.50948506332055</v>
          </cell>
          <cell r="CA93">
            <v>116.89019572321904</v>
          </cell>
          <cell r="CB93">
            <v>-0.44336730150248715</v>
          </cell>
          <cell r="CC93">
            <v>116.44682842171655</v>
          </cell>
          <cell r="CD93">
            <v>0.51463999999999988</v>
          </cell>
          <cell r="CE93">
            <v>200</v>
          </cell>
          <cell r="CF93">
            <v>1.802352682428497</v>
          </cell>
          <cell r="CG93">
            <v>0.21124999999999999</v>
          </cell>
          <cell r="CH93">
            <v>140</v>
          </cell>
          <cell r="CI93">
            <v>0.51788221458517425</v>
          </cell>
          <cell r="CJ93">
            <v>2.3202348970136715</v>
          </cell>
          <cell r="CK93">
            <v>0.5793276479234456</v>
          </cell>
          <cell r="CL93">
            <v>0.13316971232190192</v>
          </cell>
          <cell r="CM93">
            <v>2.903225806451613</v>
          </cell>
          <cell r="CN93">
            <v>3.6157231666969603</v>
          </cell>
          <cell r="CO93">
            <v>1.2037141129076038E-2</v>
          </cell>
          <cell r="CP93">
            <v>1.2795698924731185</v>
          </cell>
          <cell r="CQ93">
            <v>1.2916070336021945</v>
          </cell>
          <cell r="CR93">
            <v>4.22</v>
          </cell>
          <cell r="CS93">
            <v>9.7200000000000006</v>
          </cell>
          <cell r="CT93">
            <v>47.86</v>
          </cell>
          <cell r="CU93">
            <v>0</v>
          </cell>
          <cell r="CV93">
            <v>185.47439351902938</v>
          </cell>
        </row>
        <row r="94">
          <cell r="K94" t="str">
            <v>ExportIst New Buyer00Wash33x33D</v>
          </cell>
          <cell r="L94">
            <v>0</v>
          </cell>
          <cell r="M94">
            <v>36.76</v>
          </cell>
          <cell r="N94">
            <v>0</v>
          </cell>
          <cell r="O94">
            <v>8.4499999999999993</v>
          </cell>
          <cell r="P94">
            <v>8.9339999999999993</v>
          </cell>
          <cell r="Q94">
            <v>7.2619999999999996</v>
          </cell>
          <cell r="R94">
            <v>0</v>
          </cell>
          <cell r="S94">
            <v>0</v>
          </cell>
          <cell r="T94">
            <v>61.405999999999992</v>
          </cell>
          <cell r="U94">
            <v>57.107579999999992</v>
          </cell>
          <cell r="V94">
            <v>2.5000000000000001E-3</v>
          </cell>
          <cell r="W94">
            <v>0</v>
          </cell>
          <cell r="X94">
            <v>-1.3999999999999999E-2</v>
          </cell>
          <cell r="Y94">
            <v>-2.5000000000000001E-2</v>
          </cell>
          <cell r="Z94">
            <v>7.0000000000000062E-2</v>
          </cell>
          <cell r="AA94">
            <v>1.4999999999999999E-2</v>
          </cell>
          <cell r="AB94">
            <v>0.01</v>
          </cell>
          <cell r="AC94">
            <v>0.1431267669172932</v>
          </cell>
          <cell r="AD94">
            <v>0</v>
          </cell>
          <cell r="AE94">
            <v>-0.51463999999999988</v>
          </cell>
          <cell r="AF94">
            <v>-0.21124999999999999</v>
          </cell>
          <cell r="AG94">
            <v>4.2984200000000028</v>
          </cell>
          <cell r="AH94">
            <v>0.86965857868020291</v>
          </cell>
          <cell r="AI94">
            <v>0.57684424242424237</v>
          </cell>
          <cell r="AJ94">
            <v>5.1621595880217406</v>
          </cell>
          <cell r="AK94">
            <v>62.269739588021736</v>
          </cell>
          <cell r="AL94" t="str">
            <v>1/13  Comb</v>
          </cell>
          <cell r="AM94">
            <v>0</v>
          </cell>
          <cell r="AN94" t="str">
            <v>2/30  KC</v>
          </cell>
          <cell r="AO94" t="str">
            <v xml:space="preserve">1/16OE  </v>
          </cell>
          <cell r="AP94" t="str">
            <v>2/20  Gas Mer</v>
          </cell>
          <cell r="AQ94">
            <v>0</v>
          </cell>
          <cell r="AR94">
            <v>0</v>
          </cell>
          <cell r="AS94">
            <v>96.5</v>
          </cell>
          <cell r="AT94">
            <v>0</v>
          </cell>
          <cell r="AU94">
            <v>118.5</v>
          </cell>
          <cell r="AV94">
            <v>77.75</v>
          </cell>
          <cell r="AW94">
            <v>174</v>
          </cell>
          <cell r="AX94">
            <v>0</v>
          </cell>
          <cell r="AY94">
            <v>0</v>
          </cell>
          <cell r="AZ94">
            <v>3.5473399999999997</v>
          </cell>
          <cell r="BA94">
            <v>1.001325</v>
          </cell>
          <cell r="BB94">
            <v>0.69461849999999992</v>
          </cell>
          <cell r="BC94">
            <v>1.2635879999999999</v>
          </cell>
          <cell r="BD94">
            <v>0</v>
          </cell>
          <cell r="BE94">
            <v>1.5166392218045111E-2</v>
          </cell>
          <cell r="BF94">
            <v>0</v>
          </cell>
          <cell r="BI94">
            <v>0</v>
          </cell>
          <cell r="BJ94">
            <v>9.2153154746192886E-2</v>
          </cell>
          <cell r="BK94">
            <v>6.1125156515151512E-2</v>
          </cell>
          <cell r="BL94">
            <v>0.1684447034793895</v>
          </cell>
          <cell r="BM94">
            <v>-3.5781691729323303E-3</v>
          </cell>
          <cell r="BN94">
            <v>0</v>
          </cell>
          <cell r="BO94">
            <v>0</v>
          </cell>
          <cell r="BP94">
            <v>0</v>
          </cell>
          <cell r="BQ94">
            <v>0</v>
          </cell>
          <cell r="BR94">
            <v>-2.1741464467005072E-2</v>
          </cell>
          <cell r="BS94">
            <v>0</v>
          </cell>
          <cell r="BT94">
            <v>-2.5319633639937403E-2</v>
          </cell>
          <cell r="BU94">
            <v>108.70788202259371</v>
          </cell>
          <cell r="BV94">
            <v>-0.35406091370558374</v>
          </cell>
          <cell r="BW94">
            <v>108.35382110888813</v>
          </cell>
          <cell r="BX94">
            <v>116.89019572321904</v>
          </cell>
          <cell r="BY94">
            <v>-0.38071065989847713</v>
          </cell>
          <cell r="BZ94">
            <v>116.50948506332055</v>
          </cell>
          <cell r="CA94">
            <v>116.89019572321904</v>
          </cell>
          <cell r="CB94">
            <v>-0.44336730150248715</v>
          </cell>
          <cell r="CC94">
            <v>116.44682842171655</v>
          </cell>
          <cell r="CD94">
            <v>0.51463999999999988</v>
          </cell>
          <cell r="CE94">
            <v>200</v>
          </cell>
          <cell r="CF94">
            <v>1.802352682428497</v>
          </cell>
          <cell r="CG94">
            <v>0.21124999999999999</v>
          </cell>
          <cell r="CH94">
            <v>140</v>
          </cell>
          <cell r="CI94">
            <v>0.51788221458517425</v>
          </cell>
          <cell r="CJ94">
            <v>2.3202348970136715</v>
          </cell>
          <cell r="CK94">
            <v>0.5793276479234456</v>
          </cell>
          <cell r="CL94">
            <v>0.13316971232190192</v>
          </cell>
          <cell r="CM94">
            <v>2.903225806451613</v>
          </cell>
          <cell r="CN94">
            <v>3.6157231666969603</v>
          </cell>
          <cell r="CO94">
            <v>1.2037141129076038E-2</v>
          </cell>
          <cell r="CP94">
            <v>1.2795698924731185</v>
          </cell>
          <cell r="CQ94">
            <v>1.2916070336021945</v>
          </cell>
          <cell r="CR94">
            <v>14.66</v>
          </cell>
          <cell r="CS94">
            <v>9.98</v>
          </cell>
          <cell r="CT94">
            <v>47.86</v>
          </cell>
          <cell r="CU94">
            <v>0</v>
          </cell>
          <cell r="CV94">
            <v>196.17439351902937</v>
          </cell>
        </row>
        <row r="95">
          <cell r="K95" t="str">
            <v>Export2nd New Buyer00Bath76x137L</v>
          </cell>
          <cell r="L95">
            <v>0</v>
          </cell>
          <cell r="M95">
            <v>415.87</v>
          </cell>
          <cell r="N95">
            <v>0</v>
          </cell>
          <cell r="O95">
            <v>71.28</v>
          </cell>
          <cell r="P95">
            <v>67.712000000000003</v>
          </cell>
          <cell r="Q95">
            <v>36.33</v>
          </cell>
          <cell r="R95">
            <v>0</v>
          </cell>
          <cell r="S95">
            <v>0</v>
          </cell>
          <cell r="T95">
            <v>591.19200000000001</v>
          </cell>
          <cell r="U95">
            <v>549.80855999999994</v>
          </cell>
          <cell r="V95">
            <v>2.5000000000000001E-3</v>
          </cell>
          <cell r="W95">
            <v>0</v>
          </cell>
          <cell r="X95">
            <v>-1.3999999999999999E-2</v>
          </cell>
          <cell r="Y95">
            <v>-2.5000000000000001E-2</v>
          </cell>
          <cell r="Z95">
            <v>7.0000000000000062E-2</v>
          </cell>
          <cell r="AA95">
            <v>1.4999999999999999E-2</v>
          </cell>
          <cell r="AB95">
            <v>0.01</v>
          </cell>
          <cell r="AC95">
            <v>1.3779663157894735</v>
          </cell>
          <cell r="AD95">
            <v>0</v>
          </cell>
          <cell r="AE95">
            <v>-5.8221799999999995</v>
          </cell>
          <cell r="AF95">
            <v>-1.782</v>
          </cell>
          <cell r="AG95">
            <v>41.383440000000036</v>
          </cell>
          <cell r="AH95">
            <v>8.3727191878172569</v>
          </cell>
          <cell r="AI95">
            <v>5.5536218181818171</v>
          </cell>
          <cell r="AJ95">
            <v>49.083567321788586</v>
          </cell>
          <cell r="AK95">
            <v>598.89212732178851</v>
          </cell>
          <cell r="AL95" t="str">
            <v>1/13  Comb</v>
          </cell>
          <cell r="AM95">
            <v>0</v>
          </cell>
          <cell r="AN95" t="str">
            <v>2/30  KC</v>
          </cell>
          <cell r="AO95" t="str">
            <v xml:space="preserve">1/16OE  </v>
          </cell>
          <cell r="AP95" t="str">
            <v>2/20  Gas Mer</v>
          </cell>
          <cell r="AQ95">
            <v>0</v>
          </cell>
          <cell r="AR95">
            <v>0</v>
          </cell>
          <cell r="AS95">
            <v>96.5</v>
          </cell>
          <cell r="AT95">
            <v>0</v>
          </cell>
          <cell r="AU95">
            <v>118.5</v>
          </cell>
          <cell r="AV95">
            <v>77.75</v>
          </cell>
          <cell r="AW95">
            <v>174</v>
          </cell>
          <cell r="AX95">
            <v>0</v>
          </cell>
          <cell r="AY95">
            <v>0</v>
          </cell>
          <cell r="AZ95">
            <v>40.131455000000003</v>
          </cell>
          <cell r="BA95">
            <v>8.4466800000000006</v>
          </cell>
          <cell r="BB95">
            <v>5.264608</v>
          </cell>
          <cell r="BC95">
            <v>6.3214199999999998</v>
          </cell>
          <cell r="BD95">
            <v>0</v>
          </cell>
          <cell r="BE95">
            <v>0.14023225962406013</v>
          </cell>
          <cell r="BF95">
            <v>0</v>
          </cell>
          <cell r="BI95">
            <v>0</v>
          </cell>
          <cell r="BJ95">
            <v>0.85207114096446679</v>
          </cell>
          <cell r="BK95">
            <v>0.56517850090909083</v>
          </cell>
          <cell r="BL95">
            <v>1.5574819014976178</v>
          </cell>
          <cell r="BM95">
            <v>-3.4449157894736834E-2</v>
          </cell>
          <cell r="BN95">
            <v>0</v>
          </cell>
          <cell r="BO95">
            <v>0</v>
          </cell>
          <cell r="BP95">
            <v>0</v>
          </cell>
          <cell r="BQ95">
            <v>0</v>
          </cell>
          <cell r="BR95">
            <v>-0.20931797969543142</v>
          </cell>
          <cell r="BS95">
            <v>0</v>
          </cell>
          <cell r="BT95">
            <v>-0.24376713759016827</v>
          </cell>
          <cell r="BU95">
            <v>104.40202996910922</v>
          </cell>
          <cell r="BV95">
            <v>-0.35406091370558362</v>
          </cell>
          <cell r="BW95">
            <v>104.04796905540364</v>
          </cell>
          <cell r="BX95">
            <v>112.26024727861207</v>
          </cell>
          <cell r="BY95">
            <v>-0.38071065989847708</v>
          </cell>
          <cell r="BZ95">
            <v>111.87953661871359</v>
          </cell>
          <cell r="CA95">
            <v>112.26024727861207</v>
          </cell>
          <cell r="CB95">
            <v>-0.44336730150248715</v>
          </cell>
          <cell r="CC95">
            <v>111.81687997710958</v>
          </cell>
          <cell r="CD95">
            <v>5.8221799999999995</v>
          </cell>
          <cell r="CE95">
            <v>200</v>
          </cell>
          <cell r="CF95">
            <v>2.1178935446185125</v>
          </cell>
          <cell r="CG95">
            <v>1.782</v>
          </cell>
          <cell r="CH95">
            <v>140</v>
          </cell>
          <cell r="CI95">
            <v>0.45375794076396347</v>
          </cell>
          <cell r="CJ95">
            <v>2.5716514853824761</v>
          </cell>
          <cell r="CK95">
            <v>0.68075149648452182</v>
          </cell>
          <cell r="CL95">
            <v>0.11668061333930488</v>
          </cell>
          <cell r="CM95">
            <v>2.903225806451613</v>
          </cell>
          <cell r="CN95">
            <v>3.7006579162754396</v>
          </cell>
          <cell r="CO95">
            <v>1.4144503315845066E-2</v>
          </cell>
          <cell r="CP95">
            <v>1.2795698924731185</v>
          </cell>
          <cell r="CQ95">
            <v>1.2937143957889636</v>
          </cell>
          <cell r="CR95">
            <v>1.21</v>
          </cell>
          <cell r="CS95">
            <v>9.81</v>
          </cell>
          <cell r="CT95">
            <v>12.35</v>
          </cell>
          <cell r="CU95">
            <v>0</v>
          </cell>
          <cell r="CV95">
            <v>142.75290377455647</v>
          </cell>
        </row>
        <row r="96">
          <cell r="K96" t="str">
            <v>Export2nd New Buyer00Bath76x137M</v>
          </cell>
          <cell r="L96">
            <v>0</v>
          </cell>
          <cell r="M96">
            <v>415.87</v>
          </cell>
          <cell r="N96">
            <v>0</v>
          </cell>
          <cell r="O96">
            <v>71.28</v>
          </cell>
          <cell r="P96">
            <v>67.712000000000003</v>
          </cell>
          <cell r="Q96">
            <v>36.33</v>
          </cell>
          <cell r="R96">
            <v>0</v>
          </cell>
          <cell r="S96">
            <v>0</v>
          </cell>
          <cell r="T96">
            <v>591.19200000000001</v>
          </cell>
          <cell r="U96">
            <v>549.80855999999994</v>
          </cell>
          <cell r="V96">
            <v>2.5000000000000001E-3</v>
          </cell>
          <cell r="W96">
            <v>0</v>
          </cell>
          <cell r="X96">
            <v>-1.3999999999999999E-2</v>
          </cell>
          <cell r="Y96">
            <v>-2.5000000000000001E-2</v>
          </cell>
          <cell r="Z96">
            <v>7.0000000000000062E-2</v>
          </cell>
          <cell r="AA96">
            <v>1.4999999999999999E-2</v>
          </cell>
          <cell r="AB96">
            <v>0.01</v>
          </cell>
          <cell r="AC96">
            <v>1.3779663157894735</v>
          </cell>
          <cell r="AD96">
            <v>0</v>
          </cell>
          <cell r="AE96">
            <v>-5.8221799999999995</v>
          </cell>
          <cell r="AF96">
            <v>-1.782</v>
          </cell>
          <cell r="AG96">
            <v>41.383440000000036</v>
          </cell>
          <cell r="AH96">
            <v>8.3727191878172569</v>
          </cell>
          <cell r="AI96">
            <v>5.5536218181818171</v>
          </cell>
          <cell r="AJ96">
            <v>49.083567321788586</v>
          </cell>
          <cell r="AK96">
            <v>598.89212732178851</v>
          </cell>
          <cell r="AL96" t="str">
            <v>1/13  Comb</v>
          </cell>
          <cell r="AM96">
            <v>0</v>
          </cell>
          <cell r="AN96" t="str">
            <v>2/30  KC</v>
          </cell>
          <cell r="AO96" t="str">
            <v xml:space="preserve">1/16OE  </v>
          </cell>
          <cell r="AP96" t="str">
            <v>2/20  Gas Mer</v>
          </cell>
          <cell r="AQ96">
            <v>0</v>
          </cell>
          <cell r="AR96">
            <v>0</v>
          </cell>
          <cell r="AS96">
            <v>96.5</v>
          </cell>
          <cell r="AT96">
            <v>0</v>
          </cell>
          <cell r="AU96">
            <v>118.5</v>
          </cell>
          <cell r="AV96">
            <v>77.75</v>
          </cell>
          <cell r="AW96">
            <v>174</v>
          </cell>
          <cell r="AX96">
            <v>0</v>
          </cell>
          <cell r="AY96">
            <v>0</v>
          </cell>
          <cell r="AZ96">
            <v>40.131455000000003</v>
          </cell>
          <cell r="BA96">
            <v>8.4466800000000006</v>
          </cell>
          <cell r="BB96">
            <v>5.264608</v>
          </cell>
          <cell r="BC96">
            <v>6.3214199999999998</v>
          </cell>
          <cell r="BD96">
            <v>0</v>
          </cell>
          <cell r="BE96">
            <v>0.14023225962406013</v>
          </cell>
          <cell r="BF96">
            <v>0</v>
          </cell>
          <cell r="BI96">
            <v>0</v>
          </cell>
          <cell r="BJ96">
            <v>0.85207114096446679</v>
          </cell>
          <cell r="BK96">
            <v>0.56517850090909083</v>
          </cell>
          <cell r="BL96">
            <v>1.5574819014976178</v>
          </cell>
          <cell r="BM96">
            <v>-3.4449157894736834E-2</v>
          </cell>
          <cell r="BN96">
            <v>0</v>
          </cell>
          <cell r="BO96">
            <v>0</v>
          </cell>
          <cell r="BP96">
            <v>0</v>
          </cell>
          <cell r="BQ96">
            <v>0</v>
          </cell>
          <cell r="BR96">
            <v>-0.20931797969543142</v>
          </cell>
          <cell r="BS96">
            <v>0</v>
          </cell>
          <cell r="BT96">
            <v>-0.24376713759016827</v>
          </cell>
          <cell r="BU96">
            <v>104.40202996910922</v>
          </cell>
          <cell r="BV96">
            <v>-0.35406091370558362</v>
          </cell>
          <cell r="BW96">
            <v>104.04796905540364</v>
          </cell>
          <cell r="BX96">
            <v>112.26024727861207</v>
          </cell>
          <cell r="BY96">
            <v>-0.38071065989847708</v>
          </cell>
          <cell r="BZ96">
            <v>111.87953661871359</v>
          </cell>
          <cell r="CA96">
            <v>112.26024727861207</v>
          </cell>
          <cell r="CB96">
            <v>-0.44336730150248715</v>
          </cell>
          <cell r="CC96">
            <v>111.81687997710958</v>
          </cell>
          <cell r="CD96">
            <v>5.8221799999999995</v>
          </cell>
          <cell r="CE96">
            <v>200</v>
          </cell>
          <cell r="CF96">
            <v>2.1178935446185125</v>
          </cell>
          <cell r="CG96">
            <v>1.782</v>
          </cell>
          <cell r="CH96">
            <v>140</v>
          </cell>
          <cell r="CI96">
            <v>0.45375794076396347</v>
          </cell>
          <cell r="CJ96">
            <v>2.5716514853824761</v>
          </cell>
          <cell r="CK96">
            <v>0.68075149648452182</v>
          </cell>
          <cell r="CL96">
            <v>0.11668061333930488</v>
          </cell>
          <cell r="CM96">
            <v>2.903225806451613</v>
          </cell>
          <cell r="CN96">
            <v>3.7006579162754396</v>
          </cell>
          <cell r="CO96">
            <v>1.4144503315845066E-2</v>
          </cell>
          <cell r="CP96">
            <v>1.2795698924731185</v>
          </cell>
          <cell r="CQ96">
            <v>1.2937143957889636</v>
          </cell>
          <cell r="CR96">
            <v>4.22</v>
          </cell>
          <cell r="CS96">
            <v>9.7200000000000006</v>
          </cell>
          <cell r="CT96">
            <v>12.35</v>
          </cell>
          <cell r="CU96">
            <v>0</v>
          </cell>
          <cell r="CV96">
            <v>145.67290377455646</v>
          </cell>
        </row>
        <row r="97">
          <cell r="K97" t="str">
            <v>Export2nd New Buyer00Bath76x137D</v>
          </cell>
          <cell r="L97">
            <v>0</v>
          </cell>
          <cell r="M97">
            <v>415.87</v>
          </cell>
          <cell r="N97">
            <v>0</v>
          </cell>
          <cell r="O97">
            <v>71.28</v>
          </cell>
          <cell r="P97">
            <v>67.712000000000003</v>
          </cell>
          <cell r="Q97">
            <v>36.33</v>
          </cell>
          <cell r="R97">
            <v>0</v>
          </cell>
          <cell r="S97">
            <v>0</v>
          </cell>
          <cell r="T97">
            <v>591.19200000000001</v>
          </cell>
          <cell r="U97">
            <v>549.80855999999994</v>
          </cell>
          <cell r="V97">
            <v>2.5000000000000001E-3</v>
          </cell>
          <cell r="W97">
            <v>0</v>
          </cell>
          <cell r="X97">
            <v>-1.3999999999999999E-2</v>
          </cell>
          <cell r="Y97">
            <v>-2.5000000000000001E-2</v>
          </cell>
          <cell r="Z97">
            <v>7.0000000000000062E-2</v>
          </cell>
          <cell r="AA97">
            <v>1.4999999999999999E-2</v>
          </cell>
          <cell r="AB97">
            <v>0.01</v>
          </cell>
          <cell r="AC97">
            <v>1.3779663157894735</v>
          </cell>
          <cell r="AD97">
            <v>0</v>
          </cell>
          <cell r="AE97">
            <v>-5.8221799999999995</v>
          </cell>
          <cell r="AF97">
            <v>-1.782</v>
          </cell>
          <cell r="AG97">
            <v>41.383440000000036</v>
          </cell>
          <cell r="AH97">
            <v>8.3727191878172569</v>
          </cell>
          <cell r="AI97">
            <v>5.5536218181818171</v>
          </cell>
          <cell r="AJ97">
            <v>49.083567321788586</v>
          </cell>
          <cell r="AK97">
            <v>598.89212732178851</v>
          </cell>
          <cell r="AL97" t="str">
            <v>1/13  Comb</v>
          </cell>
          <cell r="AM97">
            <v>0</v>
          </cell>
          <cell r="AN97" t="str">
            <v>2/30  KC</v>
          </cell>
          <cell r="AO97" t="str">
            <v xml:space="preserve">1/16OE  </v>
          </cell>
          <cell r="AP97" t="str">
            <v>2/20  Gas Mer</v>
          </cell>
          <cell r="AQ97">
            <v>0</v>
          </cell>
          <cell r="AR97">
            <v>0</v>
          </cell>
          <cell r="AS97">
            <v>96.5</v>
          </cell>
          <cell r="AT97">
            <v>0</v>
          </cell>
          <cell r="AU97">
            <v>118.5</v>
          </cell>
          <cell r="AV97">
            <v>77.75</v>
          </cell>
          <cell r="AW97">
            <v>174</v>
          </cell>
          <cell r="AX97">
            <v>0</v>
          </cell>
          <cell r="AY97">
            <v>0</v>
          </cell>
          <cell r="AZ97">
            <v>40.131455000000003</v>
          </cell>
          <cell r="BA97">
            <v>8.4466800000000006</v>
          </cell>
          <cell r="BB97">
            <v>5.264608</v>
          </cell>
          <cell r="BC97">
            <v>6.3214199999999998</v>
          </cell>
          <cell r="BD97">
            <v>0</v>
          </cell>
          <cell r="BE97">
            <v>0.14023225962406013</v>
          </cell>
          <cell r="BF97">
            <v>0</v>
          </cell>
          <cell r="BI97">
            <v>0</v>
          </cell>
          <cell r="BJ97">
            <v>0.85207114096446679</v>
          </cell>
          <cell r="BK97">
            <v>0.56517850090909083</v>
          </cell>
          <cell r="BL97">
            <v>1.5574819014976178</v>
          </cell>
          <cell r="BM97">
            <v>-3.4449157894736834E-2</v>
          </cell>
          <cell r="BN97">
            <v>0</v>
          </cell>
          <cell r="BO97">
            <v>0</v>
          </cell>
          <cell r="BP97">
            <v>0</v>
          </cell>
          <cell r="BQ97">
            <v>0</v>
          </cell>
          <cell r="BR97">
            <v>-0.20931797969543142</v>
          </cell>
          <cell r="BS97">
            <v>0</v>
          </cell>
          <cell r="BT97">
            <v>-0.24376713759016827</v>
          </cell>
          <cell r="BU97">
            <v>104.40202996910922</v>
          </cell>
          <cell r="BV97">
            <v>-0.35406091370558362</v>
          </cell>
          <cell r="BW97">
            <v>104.04796905540364</v>
          </cell>
          <cell r="BX97">
            <v>112.26024727861207</v>
          </cell>
          <cell r="BY97">
            <v>-0.38071065989847708</v>
          </cell>
          <cell r="BZ97">
            <v>111.87953661871359</v>
          </cell>
          <cell r="CA97">
            <v>112.26024727861207</v>
          </cell>
          <cell r="CB97">
            <v>-0.44336730150248715</v>
          </cell>
          <cell r="CC97">
            <v>111.81687997710958</v>
          </cell>
          <cell r="CD97">
            <v>5.8221799999999995</v>
          </cell>
          <cell r="CE97">
            <v>200</v>
          </cell>
          <cell r="CF97">
            <v>2.1178935446185125</v>
          </cell>
          <cell r="CG97">
            <v>1.782</v>
          </cell>
          <cell r="CH97">
            <v>140</v>
          </cell>
          <cell r="CI97">
            <v>0.45375794076396347</v>
          </cell>
          <cell r="CJ97">
            <v>2.5716514853824761</v>
          </cell>
          <cell r="CK97">
            <v>0.68075149648452182</v>
          </cell>
          <cell r="CL97">
            <v>0.11668061333930488</v>
          </cell>
          <cell r="CM97">
            <v>2.903225806451613</v>
          </cell>
          <cell r="CN97">
            <v>3.7006579162754396</v>
          </cell>
          <cell r="CO97">
            <v>1.4144503315845066E-2</v>
          </cell>
          <cell r="CP97">
            <v>1.2795698924731185</v>
          </cell>
          <cell r="CQ97">
            <v>1.2937143957889636</v>
          </cell>
          <cell r="CR97">
            <v>14.66</v>
          </cell>
          <cell r="CS97">
            <v>9.98</v>
          </cell>
          <cell r="CT97">
            <v>12.35</v>
          </cell>
          <cell r="CU97">
            <v>0</v>
          </cell>
          <cell r="CV97">
            <v>156.37290377455648</v>
          </cell>
        </row>
        <row r="98">
          <cell r="K98" t="str">
            <v>Export2nd New Buyer00Hand41x76L</v>
          </cell>
          <cell r="L98">
            <v>0</v>
          </cell>
          <cell r="M98">
            <v>107.55</v>
          </cell>
          <cell r="N98">
            <v>0</v>
          </cell>
          <cell r="O98">
            <v>21.15</v>
          </cell>
          <cell r="P98">
            <v>21.649000000000001</v>
          </cell>
          <cell r="Q98">
            <v>13.05</v>
          </cell>
          <cell r="R98">
            <v>0</v>
          </cell>
          <cell r="S98">
            <v>0</v>
          </cell>
          <cell r="T98">
            <v>163.399</v>
          </cell>
          <cell r="U98">
            <v>151.96106999999998</v>
          </cell>
          <cell r="V98">
            <v>2.5000000000000001E-3</v>
          </cell>
          <cell r="W98">
            <v>0</v>
          </cell>
          <cell r="X98">
            <v>-1.3999999999999999E-2</v>
          </cell>
          <cell r="Y98">
            <v>-2.5000000000000001E-2</v>
          </cell>
          <cell r="Z98">
            <v>7.0000000000000173E-2</v>
          </cell>
          <cell r="AA98">
            <v>1.4999999999999999E-2</v>
          </cell>
          <cell r="AB98">
            <v>0.01</v>
          </cell>
          <cell r="AC98">
            <v>0.3808548120300751</v>
          </cell>
          <cell r="AD98">
            <v>0</v>
          </cell>
          <cell r="AE98">
            <v>-1.5056999999999998</v>
          </cell>
          <cell r="AF98">
            <v>-0.52874999999999994</v>
          </cell>
          <cell r="AG98">
            <v>11.437930000000028</v>
          </cell>
          <cell r="AH98">
            <v>2.3141279695431467</v>
          </cell>
          <cell r="AI98">
            <v>1.534960303030303</v>
          </cell>
          <cell r="AJ98">
            <v>13.633423084603553</v>
          </cell>
          <cell r="AK98">
            <v>165.59449308460353</v>
          </cell>
          <cell r="AL98" t="str">
            <v>1/13  Comb</v>
          </cell>
          <cell r="AM98">
            <v>0</v>
          </cell>
          <cell r="AN98" t="str">
            <v>2/30  KC</v>
          </cell>
          <cell r="AO98" t="str">
            <v xml:space="preserve">1/16OE  </v>
          </cell>
          <cell r="AP98" t="str">
            <v>2/20  Gas Mer</v>
          </cell>
          <cell r="AQ98">
            <v>0</v>
          </cell>
          <cell r="AR98">
            <v>0</v>
          </cell>
          <cell r="AS98">
            <v>96.5</v>
          </cell>
          <cell r="AT98">
            <v>0</v>
          </cell>
          <cell r="AU98">
            <v>118.5</v>
          </cell>
          <cell r="AV98">
            <v>77.75</v>
          </cell>
          <cell r="AW98">
            <v>174</v>
          </cell>
          <cell r="AX98">
            <v>0</v>
          </cell>
          <cell r="AY98">
            <v>0</v>
          </cell>
          <cell r="AZ98">
            <v>10.378575</v>
          </cell>
          <cell r="BA98">
            <v>2.5062749999999996</v>
          </cell>
          <cell r="BB98">
            <v>1.6832097500000001</v>
          </cell>
          <cell r="BC98">
            <v>2.2707000000000002</v>
          </cell>
          <cell r="BD98">
            <v>0</v>
          </cell>
          <cell r="BE98">
            <v>3.9248237011278192E-2</v>
          </cell>
          <cell r="BF98">
            <v>0</v>
          </cell>
          <cell r="BI98">
            <v>0</v>
          </cell>
          <cell r="BJ98">
            <v>0.23847786651015226</v>
          </cell>
          <cell r="BK98">
            <v>0.15818228856060607</v>
          </cell>
          <cell r="BL98">
            <v>0.43590839208203652</v>
          </cell>
          <cell r="BM98">
            <v>-9.5213703007518777E-3</v>
          </cell>
          <cell r="BN98">
            <v>0</v>
          </cell>
          <cell r="BO98">
            <v>0</v>
          </cell>
          <cell r="BP98">
            <v>0</v>
          </cell>
          <cell r="BQ98">
            <v>0</v>
          </cell>
          <cell r="BR98">
            <v>-5.7853199238578665E-2</v>
          </cell>
          <cell r="BS98">
            <v>0</v>
          </cell>
          <cell r="BT98">
            <v>-6.7374569539330548E-2</v>
          </cell>
          <cell r="BU98">
            <v>105.72077027449396</v>
          </cell>
          <cell r="BV98">
            <v>-0.35406091370558368</v>
          </cell>
          <cell r="BW98">
            <v>105.36670936078838</v>
          </cell>
          <cell r="BX98">
            <v>113.67824760698277</v>
          </cell>
          <cell r="BY98">
            <v>-0.38071065989847713</v>
          </cell>
          <cell r="BZ98">
            <v>113.29753694708428</v>
          </cell>
          <cell r="CA98">
            <v>113.67824760698277</v>
          </cell>
          <cell r="CB98">
            <v>-0.44336730150248715</v>
          </cell>
          <cell r="CC98">
            <v>113.23488030548027</v>
          </cell>
          <cell r="CD98">
            <v>1.5056999999999998</v>
          </cell>
          <cell r="CE98">
            <v>200</v>
          </cell>
          <cell r="CF98">
            <v>1.9816917582904623</v>
          </cell>
          <cell r="CG98">
            <v>0.52874999999999994</v>
          </cell>
          <cell r="CH98">
            <v>140</v>
          </cell>
          <cell r="CI98">
            <v>0.48713134225759269</v>
          </cell>
          <cell r="CJ98">
            <v>2.4688231005480548</v>
          </cell>
          <cell r="CK98">
            <v>0.63697235087907711</v>
          </cell>
          <cell r="CL98">
            <v>0.12526234515195239</v>
          </cell>
          <cell r="CM98">
            <v>2.903225806451613</v>
          </cell>
          <cell r="CN98">
            <v>3.6654605024826425</v>
          </cell>
          <cell r="CO98">
            <v>1.3234869957154161E-2</v>
          </cell>
          <cell r="CP98">
            <v>1.2795698924731185</v>
          </cell>
          <cell r="CQ98">
            <v>1.2928047624302725</v>
          </cell>
          <cell r="CR98">
            <v>1.21</v>
          </cell>
          <cell r="CS98">
            <v>9.81</v>
          </cell>
          <cell r="CT98">
            <v>24.95</v>
          </cell>
          <cell r="CU98">
            <v>0</v>
          </cell>
          <cell r="CV98">
            <v>156.63196867094126</v>
          </cell>
        </row>
        <row r="99">
          <cell r="K99" t="str">
            <v>Export2nd New Buyer00Hand41x76M</v>
          </cell>
          <cell r="L99">
            <v>0</v>
          </cell>
          <cell r="M99">
            <v>107.55</v>
          </cell>
          <cell r="N99">
            <v>0</v>
          </cell>
          <cell r="O99">
            <v>21.15</v>
          </cell>
          <cell r="P99">
            <v>21.649000000000001</v>
          </cell>
          <cell r="Q99">
            <v>13.05</v>
          </cell>
          <cell r="R99">
            <v>0</v>
          </cell>
          <cell r="S99">
            <v>0</v>
          </cell>
          <cell r="T99">
            <v>163.399</v>
          </cell>
          <cell r="U99">
            <v>151.96106999999998</v>
          </cell>
          <cell r="V99">
            <v>2.5000000000000001E-3</v>
          </cell>
          <cell r="W99">
            <v>0</v>
          </cell>
          <cell r="X99">
            <v>-1.3999999999999999E-2</v>
          </cell>
          <cell r="Y99">
            <v>-2.5000000000000001E-2</v>
          </cell>
          <cell r="Z99">
            <v>7.0000000000000173E-2</v>
          </cell>
          <cell r="AA99">
            <v>1.4999999999999999E-2</v>
          </cell>
          <cell r="AB99">
            <v>0.01</v>
          </cell>
          <cell r="AC99">
            <v>0.3808548120300751</v>
          </cell>
          <cell r="AD99">
            <v>0</v>
          </cell>
          <cell r="AE99">
            <v>-1.5056999999999998</v>
          </cell>
          <cell r="AF99">
            <v>-0.52874999999999994</v>
          </cell>
          <cell r="AG99">
            <v>11.437930000000028</v>
          </cell>
          <cell r="AH99">
            <v>2.3141279695431467</v>
          </cell>
          <cell r="AI99">
            <v>1.534960303030303</v>
          </cell>
          <cell r="AJ99">
            <v>13.633423084603553</v>
          </cell>
          <cell r="AK99">
            <v>165.59449308460353</v>
          </cell>
          <cell r="AL99" t="str">
            <v>1/13  Comb</v>
          </cell>
          <cell r="AM99">
            <v>0</v>
          </cell>
          <cell r="AN99" t="str">
            <v>2/30  KC</v>
          </cell>
          <cell r="AO99" t="str">
            <v xml:space="preserve">1/16OE  </v>
          </cell>
          <cell r="AP99" t="str">
            <v>2/20  Gas Mer</v>
          </cell>
          <cell r="AQ99">
            <v>0</v>
          </cell>
          <cell r="AR99">
            <v>0</v>
          </cell>
          <cell r="AS99">
            <v>96.5</v>
          </cell>
          <cell r="AT99">
            <v>0</v>
          </cell>
          <cell r="AU99">
            <v>118.5</v>
          </cell>
          <cell r="AV99">
            <v>77.75</v>
          </cell>
          <cell r="AW99">
            <v>174</v>
          </cell>
          <cell r="AX99">
            <v>0</v>
          </cell>
          <cell r="AY99">
            <v>0</v>
          </cell>
          <cell r="AZ99">
            <v>10.378575</v>
          </cell>
          <cell r="BA99">
            <v>2.5062749999999996</v>
          </cell>
          <cell r="BB99">
            <v>1.6832097500000001</v>
          </cell>
          <cell r="BC99">
            <v>2.2707000000000002</v>
          </cell>
          <cell r="BD99">
            <v>0</v>
          </cell>
          <cell r="BE99">
            <v>3.9248237011278192E-2</v>
          </cell>
          <cell r="BF99">
            <v>0</v>
          </cell>
          <cell r="BI99">
            <v>0</v>
          </cell>
          <cell r="BJ99">
            <v>0.23847786651015226</v>
          </cell>
          <cell r="BK99">
            <v>0.15818228856060607</v>
          </cell>
          <cell r="BL99">
            <v>0.43590839208203652</v>
          </cell>
          <cell r="BM99">
            <v>-9.5213703007518777E-3</v>
          </cell>
          <cell r="BN99">
            <v>0</v>
          </cell>
          <cell r="BO99">
            <v>0</v>
          </cell>
          <cell r="BP99">
            <v>0</v>
          </cell>
          <cell r="BQ99">
            <v>0</v>
          </cell>
          <cell r="BR99">
            <v>-5.7853199238578665E-2</v>
          </cell>
          <cell r="BS99">
            <v>0</v>
          </cell>
          <cell r="BT99">
            <v>-6.7374569539330548E-2</v>
          </cell>
          <cell r="BU99">
            <v>105.72077027449396</v>
          </cell>
          <cell r="BV99">
            <v>-0.35406091370558368</v>
          </cell>
          <cell r="BW99">
            <v>105.36670936078838</v>
          </cell>
          <cell r="BX99">
            <v>113.67824760698277</v>
          </cell>
          <cell r="BY99">
            <v>-0.38071065989847713</v>
          </cell>
          <cell r="BZ99">
            <v>113.29753694708428</v>
          </cell>
          <cell r="CA99">
            <v>113.67824760698277</v>
          </cell>
          <cell r="CB99">
            <v>-0.44336730150248715</v>
          </cell>
          <cell r="CC99">
            <v>113.23488030548027</v>
          </cell>
          <cell r="CD99">
            <v>1.5056999999999998</v>
          </cell>
          <cell r="CE99">
            <v>200</v>
          </cell>
          <cell r="CF99">
            <v>1.9816917582904623</v>
          </cell>
          <cell r="CG99">
            <v>0.52874999999999994</v>
          </cell>
          <cell r="CH99">
            <v>140</v>
          </cell>
          <cell r="CI99">
            <v>0.48713134225759269</v>
          </cell>
          <cell r="CJ99">
            <v>2.4688231005480548</v>
          </cell>
          <cell r="CK99">
            <v>0.63697235087907711</v>
          </cell>
          <cell r="CL99">
            <v>0.12526234515195239</v>
          </cell>
          <cell r="CM99">
            <v>2.903225806451613</v>
          </cell>
          <cell r="CN99">
            <v>3.6654605024826425</v>
          </cell>
          <cell r="CO99">
            <v>1.3234869957154161E-2</v>
          </cell>
          <cell r="CP99">
            <v>1.2795698924731185</v>
          </cell>
          <cell r="CQ99">
            <v>1.2928047624302725</v>
          </cell>
          <cell r="CR99">
            <v>4.22</v>
          </cell>
          <cell r="CS99">
            <v>9.7200000000000006</v>
          </cell>
          <cell r="CT99">
            <v>24.95</v>
          </cell>
          <cell r="CU99">
            <v>0</v>
          </cell>
          <cell r="CV99">
            <v>159.55196867094125</v>
          </cell>
        </row>
        <row r="100">
          <cell r="K100" t="str">
            <v>Export2nd New Buyer00Hand41x76D</v>
          </cell>
          <cell r="L100">
            <v>0</v>
          </cell>
          <cell r="M100">
            <v>107.55</v>
          </cell>
          <cell r="N100">
            <v>0</v>
          </cell>
          <cell r="O100">
            <v>21.15</v>
          </cell>
          <cell r="P100">
            <v>21.649000000000001</v>
          </cell>
          <cell r="Q100">
            <v>13.05</v>
          </cell>
          <cell r="R100">
            <v>0</v>
          </cell>
          <cell r="S100">
            <v>0</v>
          </cell>
          <cell r="T100">
            <v>163.399</v>
          </cell>
          <cell r="U100">
            <v>151.96106999999998</v>
          </cell>
          <cell r="V100">
            <v>2.5000000000000001E-3</v>
          </cell>
          <cell r="W100">
            <v>0</v>
          </cell>
          <cell r="X100">
            <v>-1.3999999999999999E-2</v>
          </cell>
          <cell r="Y100">
            <v>-2.5000000000000001E-2</v>
          </cell>
          <cell r="Z100">
            <v>7.0000000000000173E-2</v>
          </cell>
          <cell r="AA100">
            <v>1.4999999999999999E-2</v>
          </cell>
          <cell r="AB100">
            <v>0.01</v>
          </cell>
          <cell r="AC100">
            <v>0.3808548120300751</v>
          </cell>
          <cell r="AD100">
            <v>0</v>
          </cell>
          <cell r="AE100">
            <v>-1.5056999999999998</v>
          </cell>
          <cell r="AF100">
            <v>-0.52874999999999994</v>
          </cell>
          <cell r="AG100">
            <v>11.437930000000028</v>
          </cell>
          <cell r="AH100">
            <v>2.3141279695431467</v>
          </cell>
          <cell r="AI100">
            <v>1.534960303030303</v>
          </cell>
          <cell r="AJ100">
            <v>13.633423084603553</v>
          </cell>
          <cell r="AK100">
            <v>165.59449308460353</v>
          </cell>
          <cell r="AL100" t="str">
            <v>1/13  Comb</v>
          </cell>
          <cell r="AM100">
            <v>0</v>
          </cell>
          <cell r="AN100" t="str">
            <v>2/30  KC</v>
          </cell>
          <cell r="AO100" t="str">
            <v xml:space="preserve">1/16OE  </v>
          </cell>
          <cell r="AP100" t="str">
            <v>2/20  Gas Mer</v>
          </cell>
          <cell r="AQ100">
            <v>0</v>
          </cell>
          <cell r="AR100">
            <v>0</v>
          </cell>
          <cell r="AS100">
            <v>96.5</v>
          </cell>
          <cell r="AT100">
            <v>0</v>
          </cell>
          <cell r="AU100">
            <v>118.5</v>
          </cell>
          <cell r="AV100">
            <v>77.75</v>
          </cell>
          <cell r="AW100">
            <v>174</v>
          </cell>
          <cell r="AX100">
            <v>0</v>
          </cell>
          <cell r="AY100">
            <v>0</v>
          </cell>
          <cell r="AZ100">
            <v>10.378575</v>
          </cell>
          <cell r="BA100">
            <v>2.5062749999999996</v>
          </cell>
          <cell r="BB100">
            <v>1.6832097500000001</v>
          </cell>
          <cell r="BC100">
            <v>2.2707000000000002</v>
          </cell>
          <cell r="BD100">
            <v>0</v>
          </cell>
          <cell r="BE100">
            <v>3.9248237011278192E-2</v>
          </cell>
          <cell r="BF100">
            <v>0</v>
          </cell>
          <cell r="BI100">
            <v>0</v>
          </cell>
          <cell r="BJ100">
            <v>0.23847786651015226</v>
          </cell>
          <cell r="BK100">
            <v>0.15818228856060607</v>
          </cell>
          <cell r="BL100">
            <v>0.43590839208203652</v>
          </cell>
          <cell r="BM100">
            <v>-9.5213703007518777E-3</v>
          </cell>
          <cell r="BN100">
            <v>0</v>
          </cell>
          <cell r="BO100">
            <v>0</v>
          </cell>
          <cell r="BP100">
            <v>0</v>
          </cell>
          <cell r="BQ100">
            <v>0</v>
          </cell>
          <cell r="BR100">
            <v>-5.7853199238578665E-2</v>
          </cell>
          <cell r="BS100">
            <v>0</v>
          </cell>
          <cell r="BT100">
            <v>-6.7374569539330548E-2</v>
          </cell>
          <cell r="BU100">
            <v>105.72077027449396</v>
          </cell>
          <cell r="BV100">
            <v>-0.35406091370558368</v>
          </cell>
          <cell r="BW100">
            <v>105.36670936078838</v>
          </cell>
          <cell r="BX100">
            <v>113.67824760698277</v>
          </cell>
          <cell r="BY100">
            <v>-0.38071065989847713</v>
          </cell>
          <cell r="BZ100">
            <v>113.29753694708428</v>
          </cell>
          <cell r="CA100">
            <v>113.67824760698277</v>
          </cell>
          <cell r="CB100">
            <v>-0.44336730150248715</v>
          </cell>
          <cell r="CC100">
            <v>113.23488030548027</v>
          </cell>
          <cell r="CD100">
            <v>1.5056999999999998</v>
          </cell>
          <cell r="CE100">
            <v>200</v>
          </cell>
          <cell r="CF100">
            <v>1.9816917582904623</v>
          </cell>
          <cell r="CG100">
            <v>0.52874999999999994</v>
          </cell>
          <cell r="CH100">
            <v>140</v>
          </cell>
          <cell r="CI100">
            <v>0.48713134225759269</v>
          </cell>
          <cell r="CJ100">
            <v>2.4688231005480548</v>
          </cell>
          <cell r="CK100">
            <v>0.63697235087907711</v>
          </cell>
          <cell r="CL100">
            <v>0.12526234515195239</v>
          </cell>
          <cell r="CM100">
            <v>2.903225806451613</v>
          </cell>
          <cell r="CN100">
            <v>3.6654605024826425</v>
          </cell>
          <cell r="CO100">
            <v>1.3234869957154161E-2</v>
          </cell>
          <cell r="CP100">
            <v>1.2795698924731185</v>
          </cell>
          <cell r="CQ100">
            <v>1.2928047624302725</v>
          </cell>
          <cell r="CR100">
            <v>14.66</v>
          </cell>
          <cell r="CS100">
            <v>9.98</v>
          </cell>
          <cell r="CT100">
            <v>24.95</v>
          </cell>
          <cell r="CU100">
            <v>0</v>
          </cell>
          <cell r="CV100">
            <v>170.25196867094127</v>
          </cell>
        </row>
        <row r="101">
          <cell r="K101" t="str">
            <v>Export2nd New Buyer00Wash33x33L</v>
          </cell>
          <cell r="L101">
            <v>0</v>
          </cell>
          <cell r="M101">
            <v>36.76</v>
          </cell>
          <cell r="N101">
            <v>0</v>
          </cell>
          <cell r="O101">
            <v>8.4499999999999993</v>
          </cell>
          <cell r="P101">
            <v>8.9339999999999993</v>
          </cell>
          <cell r="Q101">
            <v>7.2619999999999996</v>
          </cell>
          <cell r="R101">
            <v>0</v>
          </cell>
          <cell r="S101">
            <v>0</v>
          </cell>
          <cell r="T101">
            <v>61.405999999999992</v>
          </cell>
          <cell r="U101">
            <v>57.107579999999992</v>
          </cell>
          <cell r="V101">
            <v>2.5000000000000001E-3</v>
          </cell>
          <cell r="W101">
            <v>0</v>
          </cell>
          <cell r="X101">
            <v>-1.3999999999999999E-2</v>
          </cell>
          <cell r="Y101">
            <v>-2.5000000000000001E-2</v>
          </cell>
          <cell r="Z101">
            <v>7.0000000000000062E-2</v>
          </cell>
          <cell r="AA101">
            <v>1.4999999999999999E-2</v>
          </cell>
          <cell r="AB101">
            <v>0.01</v>
          </cell>
          <cell r="AC101">
            <v>0.1431267669172932</v>
          </cell>
          <cell r="AD101">
            <v>0</v>
          </cell>
          <cell r="AE101">
            <v>-0.51463999999999988</v>
          </cell>
          <cell r="AF101">
            <v>-0.21124999999999999</v>
          </cell>
          <cell r="AG101">
            <v>4.2984200000000028</v>
          </cell>
          <cell r="AH101">
            <v>0.86965857868020291</v>
          </cell>
          <cell r="AI101">
            <v>0.57684424242424237</v>
          </cell>
          <cell r="AJ101">
            <v>5.1621595880217406</v>
          </cell>
          <cell r="AK101">
            <v>62.269739588021736</v>
          </cell>
          <cell r="AL101" t="str">
            <v>1/13  Comb</v>
          </cell>
          <cell r="AM101">
            <v>0</v>
          </cell>
          <cell r="AN101" t="str">
            <v>2/30  KC</v>
          </cell>
          <cell r="AO101" t="str">
            <v xml:space="preserve">1/16OE  </v>
          </cell>
          <cell r="AP101" t="str">
            <v>2/20  Gas Mer</v>
          </cell>
          <cell r="AQ101">
            <v>0</v>
          </cell>
          <cell r="AR101">
            <v>0</v>
          </cell>
          <cell r="AS101">
            <v>96.5</v>
          </cell>
          <cell r="AT101">
            <v>0</v>
          </cell>
          <cell r="AU101">
            <v>118.5</v>
          </cell>
          <cell r="AV101">
            <v>77.75</v>
          </cell>
          <cell r="AW101">
            <v>174</v>
          </cell>
          <cell r="AX101">
            <v>0</v>
          </cell>
          <cell r="AY101">
            <v>0</v>
          </cell>
          <cell r="AZ101">
            <v>3.5473399999999997</v>
          </cell>
          <cell r="BA101">
            <v>1.001325</v>
          </cell>
          <cell r="BB101">
            <v>0.69461849999999992</v>
          </cell>
          <cell r="BC101">
            <v>1.2635879999999999</v>
          </cell>
          <cell r="BD101">
            <v>0</v>
          </cell>
          <cell r="BE101">
            <v>1.5166392218045111E-2</v>
          </cell>
          <cell r="BF101">
            <v>0</v>
          </cell>
          <cell r="BI101">
            <v>0</v>
          </cell>
          <cell r="BJ101">
            <v>9.2153154746192886E-2</v>
          </cell>
          <cell r="BK101">
            <v>6.1125156515151512E-2</v>
          </cell>
          <cell r="BL101">
            <v>0.1684447034793895</v>
          </cell>
          <cell r="BM101">
            <v>-3.5781691729323303E-3</v>
          </cell>
          <cell r="BN101">
            <v>0</v>
          </cell>
          <cell r="BO101">
            <v>0</v>
          </cell>
          <cell r="BP101">
            <v>0</v>
          </cell>
          <cell r="BQ101">
            <v>0</v>
          </cell>
          <cell r="BR101">
            <v>-2.1741464467005072E-2</v>
          </cell>
          <cell r="BS101">
            <v>0</v>
          </cell>
          <cell r="BT101">
            <v>-2.5319633639937403E-2</v>
          </cell>
          <cell r="BU101">
            <v>108.70788202259371</v>
          </cell>
          <cell r="BV101">
            <v>-0.35406091370558374</v>
          </cell>
          <cell r="BW101">
            <v>108.35382110888813</v>
          </cell>
          <cell r="BX101">
            <v>116.89019572321904</v>
          </cell>
          <cell r="BY101">
            <v>-0.38071065989847713</v>
          </cell>
          <cell r="BZ101">
            <v>116.50948506332055</v>
          </cell>
          <cell r="CA101">
            <v>116.89019572321904</v>
          </cell>
          <cell r="CB101">
            <v>-0.44336730150248715</v>
          </cell>
          <cell r="CC101">
            <v>116.44682842171655</v>
          </cell>
          <cell r="CD101">
            <v>0.51463999999999988</v>
          </cell>
          <cell r="CE101">
            <v>200</v>
          </cell>
          <cell r="CF101">
            <v>1.802352682428497</v>
          </cell>
          <cell r="CG101">
            <v>0.21124999999999999</v>
          </cell>
          <cell r="CH101">
            <v>140</v>
          </cell>
          <cell r="CI101">
            <v>0.51788221458517425</v>
          </cell>
          <cell r="CJ101">
            <v>2.3202348970136715</v>
          </cell>
          <cell r="CK101">
            <v>0.5793276479234456</v>
          </cell>
          <cell r="CL101">
            <v>0.13316971232190192</v>
          </cell>
          <cell r="CM101">
            <v>2.903225806451613</v>
          </cell>
          <cell r="CN101">
            <v>3.6157231666969603</v>
          </cell>
          <cell r="CO101">
            <v>1.2037141129076038E-2</v>
          </cell>
          <cell r="CP101">
            <v>1.2795698924731185</v>
          </cell>
          <cell r="CQ101">
            <v>1.2916070336021945</v>
          </cell>
          <cell r="CR101">
            <v>1.21</v>
          </cell>
          <cell r="CS101">
            <v>9.81</v>
          </cell>
          <cell r="CT101">
            <v>47.86</v>
          </cell>
          <cell r="CU101">
            <v>0</v>
          </cell>
          <cell r="CV101">
            <v>182.55439351902936</v>
          </cell>
        </row>
        <row r="102">
          <cell r="K102" t="str">
            <v>Export2nd New Buyer00Wash33x33M</v>
          </cell>
          <cell r="L102">
            <v>0</v>
          </cell>
          <cell r="M102">
            <v>36.76</v>
          </cell>
          <cell r="N102">
            <v>0</v>
          </cell>
          <cell r="O102">
            <v>8.4499999999999993</v>
          </cell>
          <cell r="P102">
            <v>8.9339999999999993</v>
          </cell>
          <cell r="Q102">
            <v>7.2619999999999996</v>
          </cell>
          <cell r="R102">
            <v>0</v>
          </cell>
          <cell r="S102">
            <v>0</v>
          </cell>
          <cell r="T102">
            <v>61.405999999999992</v>
          </cell>
          <cell r="U102">
            <v>57.107579999999992</v>
          </cell>
          <cell r="V102">
            <v>2.5000000000000001E-3</v>
          </cell>
          <cell r="W102">
            <v>0</v>
          </cell>
          <cell r="X102">
            <v>-1.3999999999999999E-2</v>
          </cell>
          <cell r="Y102">
            <v>-2.5000000000000001E-2</v>
          </cell>
          <cell r="Z102">
            <v>7.0000000000000062E-2</v>
          </cell>
          <cell r="AA102">
            <v>1.4999999999999999E-2</v>
          </cell>
          <cell r="AB102">
            <v>0.01</v>
          </cell>
          <cell r="AC102">
            <v>0.1431267669172932</v>
          </cell>
          <cell r="AD102">
            <v>0</v>
          </cell>
          <cell r="AE102">
            <v>-0.51463999999999988</v>
          </cell>
          <cell r="AF102">
            <v>-0.21124999999999999</v>
          </cell>
          <cell r="AG102">
            <v>4.2984200000000028</v>
          </cell>
          <cell r="AH102">
            <v>0.86965857868020291</v>
          </cell>
          <cell r="AI102">
            <v>0.57684424242424237</v>
          </cell>
          <cell r="AJ102">
            <v>5.1621595880217406</v>
          </cell>
          <cell r="AK102">
            <v>62.269739588021736</v>
          </cell>
          <cell r="AL102" t="str">
            <v>1/13  Comb</v>
          </cell>
          <cell r="AM102">
            <v>0</v>
          </cell>
          <cell r="AN102" t="str">
            <v>2/30  KC</v>
          </cell>
          <cell r="AO102" t="str">
            <v xml:space="preserve">1/16OE  </v>
          </cell>
          <cell r="AP102" t="str">
            <v>2/20  Gas Mer</v>
          </cell>
          <cell r="AQ102">
            <v>0</v>
          </cell>
          <cell r="AR102">
            <v>0</v>
          </cell>
          <cell r="AS102">
            <v>96.5</v>
          </cell>
          <cell r="AT102">
            <v>0</v>
          </cell>
          <cell r="AU102">
            <v>118.5</v>
          </cell>
          <cell r="AV102">
            <v>77.75</v>
          </cell>
          <cell r="AW102">
            <v>174</v>
          </cell>
          <cell r="AX102">
            <v>0</v>
          </cell>
          <cell r="AY102">
            <v>0</v>
          </cell>
          <cell r="AZ102">
            <v>3.5473399999999997</v>
          </cell>
          <cell r="BA102">
            <v>1.001325</v>
          </cell>
          <cell r="BB102">
            <v>0.69461849999999992</v>
          </cell>
          <cell r="BC102">
            <v>1.2635879999999999</v>
          </cell>
          <cell r="BD102">
            <v>0</v>
          </cell>
          <cell r="BE102">
            <v>1.5166392218045111E-2</v>
          </cell>
          <cell r="BF102">
            <v>0</v>
          </cell>
          <cell r="BI102">
            <v>0</v>
          </cell>
          <cell r="BJ102">
            <v>9.2153154746192886E-2</v>
          </cell>
          <cell r="BK102">
            <v>6.1125156515151512E-2</v>
          </cell>
          <cell r="BL102">
            <v>0.1684447034793895</v>
          </cell>
          <cell r="BM102">
            <v>-3.5781691729323303E-3</v>
          </cell>
          <cell r="BN102">
            <v>0</v>
          </cell>
          <cell r="BO102">
            <v>0</v>
          </cell>
          <cell r="BP102">
            <v>0</v>
          </cell>
          <cell r="BQ102">
            <v>0</v>
          </cell>
          <cell r="BR102">
            <v>-2.1741464467005072E-2</v>
          </cell>
          <cell r="BS102">
            <v>0</v>
          </cell>
          <cell r="BT102">
            <v>-2.5319633639937403E-2</v>
          </cell>
          <cell r="BU102">
            <v>108.70788202259371</v>
          </cell>
          <cell r="BV102">
            <v>-0.35406091370558374</v>
          </cell>
          <cell r="BW102">
            <v>108.35382110888813</v>
          </cell>
          <cell r="BX102">
            <v>116.89019572321904</v>
          </cell>
          <cell r="BY102">
            <v>-0.38071065989847713</v>
          </cell>
          <cell r="BZ102">
            <v>116.50948506332055</v>
          </cell>
          <cell r="CA102">
            <v>116.89019572321904</v>
          </cell>
          <cell r="CB102">
            <v>-0.44336730150248715</v>
          </cell>
          <cell r="CC102">
            <v>116.44682842171655</v>
          </cell>
          <cell r="CD102">
            <v>0.51463999999999988</v>
          </cell>
          <cell r="CE102">
            <v>200</v>
          </cell>
          <cell r="CF102">
            <v>1.802352682428497</v>
          </cell>
          <cell r="CG102">
            <v>0.21124999999999999</v>
          </cell>
          <cell r="CH102">
            <v>140</v>
          </cell>
          <cell r="CI102">
            <v>0.51788221458517425</v>
          </cell>
          <cell r="CJ102">
            <v>2.3202348970136715</v>
          </cell>
          <cell r="CK102">
            <v>0.5793276479234456</v>
          </cell>
          <cell r="CL102">
            <v>0.13316971232190192</v>
          </cell>
          <cell r="CM102">
            <v>2.903225806451613</v>
          </cell>
          <cell r="CN102">
            <v>3.6157231666969603</v>
          </cell>
          <cell r="CO102">
            <v>1.2037141129076038E-2</v>
          </cell>
          <cell r="CP102">
            <v>1.2795698924731185</v>
          </cell>
          <cell r="CQ102">
            <v>1.2916070336021945</v>
          </cell>
          <cell r="CR102">
            <v>4.22</v>
          </cell>
          <cell r="CS102">
            <v>9.7200000000000006</v>
          </cell>
          <cell r="CT102">
            <v>47.86</v>
          </cell>
          <cell r="CU102">
            <v>0</v>
          </cell>
          <cell r="CV102">
            <v>185.47439351902938</v>
          </cell>
        </row>
        <row r="103">
          <cell r="K103" t="str">
            <v>Export2nd New Buyer00Wash33x33D</v>
          </cell>
          <cell r="L103">
            <v>0</v>
          </cell>
          <cell r="M103">
            <v>36.76</v>
          </cell>
          <cell r="N103">
            <v>0</v>
          </cell>
          <cell r="O103">
            <v>8.4499999999999993</v>
          </cell>
          <cell r="P103">
            <v>8.9339999999999993</v>
          </cell>
          <cell r="Q103">
            <v>7.2619999999999996</v>
          </cell>
          <cell r="R103">
            <v>0</v>
          </cell>
          <cell r="S103">
            <v>0</v>
          </cell>
          <cell r="T103">
            <v>61.405999999999992</v>
          </cell>
          <cell r="U103">
            <v>57.107579999999992</v>
          </cell>
          <cell r="V103">
            <v>2.5000000000000001E-3</v>
          </cell>
          <cell r="W103">
            <v>0</v>
          </cell>
          <cell r="X103">
            <v>-1.3999999999999999E-2</v>
          </cell>
          <cell r="Y103">
            <v>-2.5000000000000001E-2</v>
          </cell>
          <cell r="Z103">
            <v>7.0000000000000062E-2</v>
          </cell>
          <cell r="AA103">
            <v>1.4999999999999999E-2</v>
          </cell>
          <cell r="AB103">
            <v>0.01</v>
          </cell>
          <cell r="AC103">
            <v>0.1431267669172932</v>
          </cell>
          <cell r="AD103">
            <v>0</v>
          </cell>
          <cell r="AE103">
            <v>-0.51463999999999988</v>
          </cell>
          <cell r="AF103">
            <v>-0.21124999999999999</v>
          </cell>
          <cell r="AG103">
            <v>4.2984200000000028</v>
          </cell>
          <cell r="AH103">
            <v>0.86965857868020291</v>
          </cell>
          <cell r="AI103">
            <v>0.57684424242424237</v>
          </cell>
          <cell r="AJ103">
            <v>5.1621595880217406</v>
          </cell>
          <cell r="AK103">
            <v>62.269739588021736</v>
          </cell>
          <cell r="AL103" t="str">
            <v>1/13  Comb</v>
          </cell>
          <cell r="AM103">
            <v>0</v>
          </cell>
          <cell r="AN103" t="str">
            <v>2/30  KC</v>
          </cell>
          <cell r="AO103" t="str">
            <v xml:space="preserve">1/16OE  </v>
          </cell>
          <cell r="AP103" t="str">
            <v>2/20  Gas Mer</v>
          </cell>
          <cell r="AQ103">
            <v>0</v>
          </cell>
          <cell r="AR103">
            <v>0</v>
          </cell>
          <cell r="AS103">
            <v>96.5</v>
          </cell>
          <cell r="AT103">
            <v>0</v>
          </cell>
          <cell r="AU103">
            <v>118.5</v>
          </cell>
          <cell r="AV103">
            <v>77.75</v>
          </cell>
          <cell r="AW103">
            <v>174</v>
          </cell>
          <cell r="AX103">
            <v>0</v>
          </cell>
          <cell r="AY103">
            <v>0</v>
          </cell>
          <cell r="AZ103">
            <v>3.5473399999999997</v>
          </cell>
          <cell r="BA103">
            <v>1.001325</v>
          </cell>
          <cell r="BB103">
            <v>0.69461849999999992</v>
          </cell>
          <cell r="BC103">
            <v>1.2635879999999999</v>
          </cell>
          <cell r="BD103">
            <v>0</v>
          </cell>
          <cell r="BE103">
            <v>1.5166392218045111E-2</v>
          </cell>
          <cell r="BF103">
            <v>0</v>
          </cell>
          <cell r="BI103">
            <v>0</v>
          </cell>
          <cell r="BJ103">
            <v>9.2153154746192886E-2</v>
          </cell>
          <cell r="BK103">
            <v>6.1125156515151512E-2</v>
          </cell>
          <cell r="BL103">
            <v>0.1684447034793895</v>
          </cell>
          <cell r="BM103">
            <v>-3.5781691729323303E-3</v>
          </cell>
          <cell r="BN103">
            <v>0</v>
          </cell>
          <cell r="BO103">
            <v>0</v>
          </cell>
          <cell r="BP103">
            <v>0</v>
          </cell>
          <cell r="BQ103">
            <v>0</v>
          </cell>
          <cell r="BR103">
            <v>-2.1741464467005072E-2</v>
          </cell>
          <cell r="BS103">
            <v>0</v>
          </cell>
          <cell r="BT103">
            <v>-2.5319633639937403E-2</v>
          </cell>
          <cell r="BU103">
            <v>108.70788202259371</v>
          </cell>
          <cell r="BV103">
            <v>-0.35406091370558374</v>
          </cell>
          <cell r="BW103">
            <v>108.35382110888813</v>
          </cell>
          <cell r="BX103">
            <v>116.89019572321904</v>
          </cell>
          <cell r="BY103">
            <v>-0.38071065989847713</v>
          </cell>
          <cell r="BZ103">
            <v>116.50948506332055</v>
          </cell>
          <cell r="CA103">
            <v>116.89019572321904</v>
          </cell>
          <cell r="CB103">
            <v>-0.44336730150248715</v>
          </cell>
          <cell r="CC103">
            <v>116.44682842171655</v>
          </cell>
          <cell r="CD103">
            <v>0.51463999999999988</v>
          </cell>
          <cell r="CE103">
            <v>200</v>
          </cell>
          <cell r="CF103">
            <v>1.802352682428497</v>
          </cell>
          <cell r="CG103">
            <v>0.21124999999999999</v>
          </cell>
          <cell r="CH103">
            <v>140</v>
          </cell>
          <cell r="CI103">
            <v>0.51788221458517425</v>
          </cell>
          <cell r="CJ103">
            <v>2.3202348970136715</v>
          </cell>
          <cell r="CK103">
            <v>0.5793276479234456</v>
          </cell>
          <cell r="CL103">
            <v>0.13316971232190192</v>
          </cell>
          <cell r="CM103">
            <v>2.903225806451613</v>
          </cell>
          <cell r="CN103">
            <v>3.6157231666969603</v>
          </cell>
          <cell r="CO103">
            <v>1.2037141129076038E-2</v>
          </cell>
          <cell r="CP103">
            <v>1.2795698924731185</v>
          </cell>
          <cell r="CQ103">
            <v>1.2916070336021945</v>
          </cell>
          <cell r="CR103">
            <v>14.66</v>
          </cell>
          <cell r="CS103">
            <v>9.98</v>
          </cell>
          <cell r="CT103">
            <v>47.86</v>
          </cell>
          <cell r="CU103">
            <v>0</v>
          </cell>
          <cell r="CV103">
            <v>196.17439351902937</v>
          </cell>
        </row>
        <row r="104">
          <cell r="K104" t="str">
            <v>Export3rd New Buyer00Bath0x0L</v>
          </cell>
          <cell r="L104">
            <v>0</v>
          </cell>
          <cell r="M104">
            <v>415.87</v>
          </cell>
          <cell r="N104">
            <v>0</v>
          </cell>
          <cell r="O104">
            <v>71.28</v>
          </cell>
          <cell r="P104">
            <v>67.712000000000003</v>
          </cell>
          <cell r="Q104">
            <v>36.33</v>
          </cell>
          <cell r="R104">
            <v>0</v>
          </cell>
          <cell r="S104">
            <v>0</v>
          </cell>
          <cell r="T104">
            <v>591.19200000000001</v>
          </cell>
          <cell r="U104">
            <v>591.19200000000001</v>
          </cell>
          <cell r="V104">
            <v>0</v>
          </cell>
          <cell r="W104">
            <v>0</v>
          </cell>
          <cell r="X104">
            <v>-1.3999999999999999E-2</v>
          </cell>
          <cell r="Y104">
            <v>-2.5000000000000001E-2</v>
          </cell>
          <cell r="Z104">
            <v>0</v>
          </cell>
          <cell r="AA104">
            <v>0</v>
          </cell>
          <cell r="AB104">
            <v>0</v>
          </cell>
          <cell r="AC104">
            <v>0</v>
          </cell>
          <cell r="AD104">
            <v>0</v>
          </cell>
          <cell r="AE104">
            <v>-5.8221799999999995</v>
          </cell>
          <cell r="AF104">
            <v>-1.782</v>
          </cell>
          <cell r="AG104">
            <v>0</v>
          </cell>
          <cell r="AH104">
            <v>0</v>
          </cell>
          <cell r="AI104">
            <v>0</v>
          </cell>
          <cell r="AJ104">
            <v>-7.6041799999999995</v>
          </cell>
          <cell r="AK104">
            <v>583.58781999999997</v>
          </cell>
          <cell r="AL104" t="str">
            <v>1/13  Comb</v>
          </cell>
          <cell r="AM104">
            <v>0</v>
          </cell>
          <cell r="AN104" t="str">
            <v>2/30  KC</v>
          </cell>
          <cell r="AO104" t="str">
            <v xml:space="preserve">1/16OE  </v>
          </cell>
          <cell r="AP104" t="str">
            <v>2/20  Gas Mer</v>
          </cell>
          <cell r="AQ104">
            <v>0</v>
          </cell>
          <cell r="AR104">
            <v>0</v>
          </cell>
          <cell r="AS104">
            <v>96.5</v>
          </cell>
          <cell r="AT104">
            <v>0</v>
          </cell>
          <cell r="AU104">
            <v>118.5</v>
          </cell>
          <cell r="AV104">
            <v>77.75</v>
          </cell>
          <cell r="AW104">
            <v>174</v>
          </cell>
          <cell r="AX104">
            <v>0</v>
          </cell>
          <cell r="AY104">
            <v>0</v>
          </cell>
          <cell r="AZ104">
            <v>40.131455000000003</v>
          </cell>
          <cell r="BA104">
            <v>8.4466800000000006</v>
          </cell>
          <cell r="BB104">
            <v>5.264608</v>
          </cell>
          <cell r="BC104">
            <v>6.3214199999999998</v>
          </cell>
          <cell r="BD104">
            <v>0</v>
          </cell>
          <cell r="BE104">
            <v>0</v>
          </cell>
          <cell r="BF104">
            <v>0</v>
          </cell>
          <cell r="BI104">
            <v>0</v>
          </cell>
          <cell r="BJ104">
            <v>0</v>
          </cell>
          <cell r="BK104">
            <v>0</v>
          </cell>
          <cell r="BL104">
            <v>0</v>
          </cell>
          <cell r="BM104">
            <v>0</v>
          </cell>
          <cell r="BN104">
            <v>0</v>
          </cell>
          <cell r="BO104">
            <v>0</v>
          </cell>
          <cell r="BP104">
            <v>0</v>
          </cell>
          <cell r="BQ104">
            <v>0</v>
          </cell>
          <cell r="BR104">
            <v>0</v>
          </cell>
          <cell r="BS104">
            <v>0</v>
          </cell>
          <cell r="BT104">
            <v>0</v>
          </cell>
          <cell r="BU104">
            <v>101.7675526732432</v>
          </cell>
          <cell r="BV104">
            <v>0</v>
          </cell>
          <cell r="BW104">
            <v>101.7675526732432</v>
          </cell>
          <cell r="BX104">
            <v>101.7675526732432</v>
          </cell>
          <cell r="BY104">
            <v>0</v>
          </cell>
          <cell r="BZ104">
            <v>101.7675526732432</v>
          </cell>
          <cell r="CA104">
            <v>101.7675526732432</v>
          </cell>
          <cell r="CB104">
            <v>0</v>
          </cell>
          <cell r="CC104">
            <v>101.7675526732432</v>
          </cell>
          <cell r="CD104">
            <v>5.8221799999999995</v>
          </cell>
          <cell r="CE104">
            <v>200</v>
          </cell>
          <cell r="CF104">
            <v>1.9696409964952162</v>
          </cell>
          <cell r="CG104">
            <v>1.782</v>
          </cell>
          <cell r="CH104">
            <v>140</v>
          </cell>
          <cell r="CI104">
            <v>0.42199488491048598</v>
          </cell>
          <cell r="CJ104">
            <v>2.3916358814057022</v>
          </cell>
          <cell r="CK104">
            <v>0.63309889173060518</v>
          </cell>
          <cell r="CL104">
            <v>0.10851297040555352</v>
          </cell>
          <cell r="CM104">
            <v>2.6999999999999997</v>
          </cell>
          <cell r="CN104">
            <v>3.4416118621361584</v>
          </cell>
          <cell r="CO104">
            <v>1.315438808373591E-2</v>
          </cell>
          <cell r="CP104">
            <v>1.1900000000000002</v>
          </cell>
          <cell r="CQ104">
            <v>1.2031543880837361</v>
          </cell>
          <cell r="CR104">
            <v>1.21</v>
          </cell>
          <cell r="CS104">
            <v>9.81</v>
          </cell>
          <cell r="CT104">
            <v>0</v>
          </cell>
          <cell r="CU104">
            <v>0</v>
          </cell>
          <cell r="CV104">
            <v>119.82395480486879</v>
          </cell>
        </row>
        <row r="105">
          <cell r="K105" t="str">
            <v>Export3rd New Buyer00Bath0x0M</v>
          </cell>
          <cell r="L105">
            <v>0</v>
          </cell>
          <cell r="M105">
            <v>415.87</v>
          </cell>
          <cell r="N105">
            <v>0</v>
          </cell>
          <cell r="O105">
            <v>71.28</v>
          </cell>
          <cell r="P105">
            <v>67.712000000000003</v>
          </cell>
          <cell r="Q105">
            <v>36.33</v>
          </cell>
          <cell r="R105">
            <v>0</v>
          </cell>
          <cell r="S105">
            <v>0</v>
          </cell>
          <cell r="T105">
            <v>591.19200000000001</v>
          </cell>
          <cell r="U105">
            <v>591.19200000000001</v>
          </cell>
          <cell r="V105">
            <v>0</v>
          </cell>
          <cell r="W105">
            <v>0</v>
          </cell>
          <cell r="X105">
            <v>-1.3999999999999999E-2</v>
          </cell>
          <cell r="Y105">
            <v>-2.5000000000000001E-2</v>
          </cell>
          <cell r="Z105">
            <v>0</v>
          </cell>
          <cell r="AA105">
            <v>0</v>
          </cell>
          <cell r="AB105">
            <v>0</v>
          </cell>
          <cell r="AC105">
            <v>0</v>
          </cell>
          <cell r="AD105">
            <v>0</v>
          </cell>
          <cell r="AE105">
            <v>-5.8221799999999995</v>
          </cell>
          <cell r="AF105">
            <v>-1.782</v>
          </cell>
          <cell r="AG105">
            <v>0</v>
          </cell>
          <cell r="AH105">
            <v>0</v>
          </cell>
          <cell r="AI105">
            <v>0</v>
          </cell>
          <cell r="AJ105">
            <v>-7.6041799999999995</v>
          </cell>
          <cell r="AK105">
            <v>583.58781999999997</v>
          </cell>
          <cell r="AL105" t="str">
            <v>1/13  Comb</v>
          </cell>
          <cell r="AM105">
            <v>0</v>
          </cell>
          <cell r="AN105" t="str">
            <v>2/30  KC</v>
          </cell>
          <cell r="AO105" t="str">
            <v xml:space="preserve">1/16OE  </v>
          </cell>
          <cell r="AP105" t="str">
            <v>2/20  Gas Mer</v>
          </cell>
          <cell r="AQ105">
            <v>0</v>
          </cell>
          <cell r="AR105">
            <v>0</v>
          </cell>
          <cell r="AS105">
            <v>96.5</v>
          </cell>
          <cell r="AT105">
            <v>0</v>
          </cell>
          <cell r="AU105">
            <v>118.5</v>
          </cell>
          <cell r="AV105">
            <v>77.75</v>
          </cell>
          <cell r="AW105">
            <v>174</v>
          </cell>
          <cell r="AX105">
            <v>0</v>
          </cell>
          <cell r="AY105">
            <v>0</v>
          </cell>
          <cell r="AZ105">
            <v>40.131455000000003</v>
          </cell>
          <cell r="BA105">
            <v>8.4466800000000006</v>
          </cell>
          <cell r="BB105">
            <v>5.264608</v>
          </cell>
          <cell r="BC105">
            <v>6.3214199999999998</v>
          </cell>
          <cell r="BD105">
            <v>0</v>
          </cell>
          <cell r="BE105">
            <v>0</v>
          </cell>
          <cell r="BF105">
            <v>0</v>
          </cell>
          <cell r="BI105">
            <v>0</v>
          </cell>
          <cell r="BJ105">
            <v>0</v>
          </cell>
          <cell r="BK105">
            <v>0</v>
          </cell>
          <cell r="BL105">
            <v>0</v>
          </cell>
          <cell r="BM105">
            <v>0</v>
          </cell>
          <cell r="BN105">
            <v>0</v>
          </cell>
          <cell r="BO105">
            <v>0</v>
          </cell>
          <cell r="BP105">
            <v>0</v>
          </cell>
          <cell r="BQ105">
            <v>0</v>
          </cell>
          <cell r="BR105">
            <v>0</v>
          </cell>
          <cell r="BS105">
            <v>0</v>
          </cell>
          <cell r="BT105">
            <v>0</v>
          </cell>
          <cell r="BU105">
            <v>101.7675526732432</v>
          </cell>
          <cell r="BV105">
            <v>0</v>
          </cell>
          <cell r="BW105">
            <v>101.7675526732432</v>
          </cell>
          <cell r="BX105">
            <v>101.7675526732432</v>
          </cell>
          <cell r="BY105">
            <v>0</v>
          </cell>
          <cell r="BZ105">
            <v>101.7675526732432</v>
          </cell>
          <cell r="CA105">
            <v>101.7675526732432</v>
          </cell>
          <cell r="CB105">
            <v>0</v>
          </cell>
          <cell r="CC105">
            <v>101.7675526732432</v>
          </cell>
          <cell r="CD105">
            <v>5.8221799999999995</v>
          </cell>
          <cell r="CE105">
            <v>200</v>
          </cell>
          <cell r="CF105">
            <v>1.9696409964952162</v>
          </cell>
          <cell r="CG105">
            <v>1.782</v>
          </cell>
          <cell r="CH105">
            <v>140</v>
          </cell>
          <cell r="CI105">
            <v>0.42199488491048598</v>
          </cell>
          <cell r="CJ105">
            <v>2.3916358814057022</v>
          </cell>
          <cell r="CK105">
            <v>0.63309889173060518</v>
          </cell>
          <cell r="CL105">
            <v>0.10851297040555352</v>
          </cell>
          <cell r="CM105">
            <v>2.6999999999999997</v>
          </cell>
          <cell r="CN105">
            <v>3.4416118621361584</v>
          </cell>
          <cell r="CO105">
            <v>1.315438808373591E-2</v>
          </cell>
          <cell r="CP105">
            <v>1.1900000000000002</v>
          </cell>
          <cell r="CQ105">
            <v>1.2031543880837361</v>
          </cell>
          <cell r="CR105">
            <v>4.22</v>
          </cell>
          <cell r="CS105">
            <v>9.7200000000000006</v>
          </cell>
          <cell r="CT105">
            <v>0</v>
          </cell>
          <cell r="CU105">
            <v>0</v>
          </cell>
          <cell r="CV105">
            <v>122.74395480486879</v>
          </cell>
        </row>
        <row r="106">
          <cell r="K106" t="str">
            <v>Export3rd New Buyer00Bath0x0D</v>
          </cell>
          <cell r="L106">
            <v>0</v>
          </cell>
          <cell r="M106">
            <v>415.87</v>
          </cell>
          <cell r="N106">
            <v>0</v>
          </cell>
          <cell r="O106">
            <v>71.28</v>
          </cell>
          <cell r="P106">
            <v>67.712000000000003</v>
          </cell>
          <cell r="Q106">
            <v>36.33</v>
          </cell>
          <cell r="R106">
            <v>0</v>
          </cell>
          <cell r="S106">
            <v>0</v>
          </cell>
          <cell r="T106">
            <v>591.19200000000001</v>
          </cell>
          <cell r="U106">
            <v>591.19200000000001</v>
          </cell>
          <cell r="V106">
            <v>0</v>
          </cell>
          <cell r="W106">
            <v>0</v>
          </cell>
          <cell r="X106">
            <v>-1.3999999999999999E-2</v>
          </cell>
          <cell r="Y106">
            <v>-2.5000000000000001E-2</v>
          </cell>
          <cell r="Z106">
            <v>0</v>
          </cell>
          <cell r="AA106">
            <v>0</v>
          </cell>
          <cell r="AB106">
            <v>0</v>
          </cell>
          <cell r="AC106">
            <v>0</v>
          </cell>
          <cell r="AD106">
            <v>0</v>
          </cell>
          <cell r="AE106">
            <v>-5.8221799999999995</v>
          </cell>
          <cell r="AF106">
            <v>-1.782</v>
          </cell>
          <cell r="AG106">
            <v>0</v>
          </cell>
          <cell r="AH106">
            <v>0</v>
          </cell>
          <cell r="AI106">
            <v>0</v>
          </cell>
          <cell r="AJ106">
            <v>-7.6041799999999995</v>
          </cell>
          <cell r="AK106">
            <v>583.58781999999997</v>
          </cell>
          <cell r="AL106" t="str">
            <v>1/13  Comb</v>
          </cell>
          <cell r="AM106">
            <v>0</v>
          </cell>
          <cell r="AN106" t="str">
            <v>2/30  KC</v>
          </cell>
          <cell r="AO106" t="str">
            <v xml:space="preserve">1/16OE  </v>
          </cell>
          <cell r="AP106" t="str">
            <v>2/20  Gas Mer</v>
          </cell>
          <cell r="AQ106">
            <v>0</v>
          </cell>
          <cell r="AR106">
            <v>0</v>
          </cell>
          <cell r="AS106">
            <v>96.5</v>
          </cell>
          <cell r="AT106">
            <v>0</v>
          </cell>
          <cell r="AU106">
            <v>118.5</v>
          </cell>
          <cell r="AV106">
            <v>77.75</v>
          </cell>
          <cell r="AW106">
            <v>174</v>
          </cell>
          <cell r="AX106">
            <v>0</v>
          </cell>
          <cell r="AY106">
            <v>0</v>
          </cell>
          <cell r="AZ106">
            <v>40.131455000000003</v>
          </cell>
          <cell r="BA106">
            <v>8.4466800000000006</v>
          </cell>
          <cell r="BB106">
            <v>5.264608</v>
          </cell>
          <cell r="BC106">
            <v>6.3214199999999998</v>
          </cell>
          <cell r="BD106">
            <v>0</v>
          </cell>
          <cell r="BE106">
            <v>0</v>
          </cell>
          <cell r="BF106">
            <v>0</v>
          </cell>
          <cell r="BI106">
            <v>0</v>
          </cell>
          <cell r="BJ106">
            <v>0</v>
          </cell>
          <cell r="BK106">
            <v>0</v>
          </cell>
          <cell r="BL106">
            <v>0</v>
          </cell>
          <cell r="BM106">
            <v>0</v>
          </cell>
          <cell r="BN106">
            <v>0</v>
          </cell>
          <cell r="BO106">
            <v>0</v>
          </cell>
          <cell r="BP106">
            <v>0</v>
          </cell>
          <cell r="BQ106">
            <v>0</v>
          </cell>
          <cell r="BR106">
            <v>0</v>
          </cell>
          <cell r="BS106">
            <v>0</v>
          </cell>
          <cell r="BT106">
            <v>0</v>
          </cell>
          <cell r="BU106">
            <v>101.7675526732432</v>
          </cell>
          <cell r="BV106">
            <v>0</v>
          </cell>
          <cell r="BW106">
            <v>101.7675526732432</v>
          </cell>
          <cell r="BX106">
            <v>101.7675526732432</v>
          </cell>
          <cell r="BY106">
            <v>0</v>
          </cell>
          <cell r="BZ106">
            <v>101.7675526732432</v>
          </cell>
          <cell r="CA106">
            <v>101.7675526732432</v>
          </cell>
          <cell r="CB106">
            <v>0</v>
          </cell>
          <cell r="CC106">
            <v>101.7675526732432</v>
          </cell>
          <cell r="CD106">
            <v>5.8221799999999995</v>
          </cell>
          <cell r="CE106">
            <v>200</v>
          </cell>
          <cell r="CF106">
            <v>1.9696409964952162</v>
          </cell>
          <cell r="CG106">
            <v>1.782</v>
          </cell>
          <cell r="CH106">
            <v>140</v>
          </cell>
          <cell r="CI106">
            <v>0.42199488491048598</v>
          </cell>
          <cell r="CJ106">
            <v>2.3916358814057022</v>
          </cell>
          <cell r="CK106">
            <v>0.63309889173060518</v>
          </cell>
          <cell r="CL106">
            <v>0.10851297040555352</v>
          </cell>
          <cell r="CM106">
            <v>2.6999999999999997</v>
          </cell>
          <cell r="CN106">
            <v>3.4416118621361584</v>
          </cell>
          <cell r="CO106">
            <v>1.315438808373591E-2</v>
          </cell>
          <cell r="CP106">
            <v>1.1900000000000002</v>
          </cell>
          <cell r="CQ106">
            <v>1.2031543880837361</v>
          </cell>
          <cell r="CR106">
            <v>14.66</v>
          </cell>
          <cell r="CS106">
            <v>9.98</v>
          </cell>
          <cell r="CT106">
            <v>0</v>
          </cell>
          <cell r="CU106">
            <v>0</v>
          </cell>
          <cell r="CV106">
            <v>133.44395480486878</v>
          </cell>
        </row>
        <row r="107">
          <cell r="CN107">
            <v>0</v>
          </cell>
          <cell r="CQ107">
            <v>0</v>
          </cell>
          <cell r="CV107">
            <v>0</v>
          </cell>
        </row>
        <row r="108">
          <cell r="CN108">
            <v>0</v>
          </cell>
          <cell r="CQ108">
            <v>0</v>
          </cell>
          <cell r="CV108">
            <v>0</v>
          </cell>
        </row>
        <row r="109">
          <cell r="K109" t="str">
            <v>DomesticWIL-VapiField Crest0Bath76x147L</v>
          </cell>
          <cell r="M109">
            <v>584.72</v>
          </cell>
          <cell r="N109">
            <v>0</v>
          </cell>
          <cell r="O109">
            <v>94.18</v>
          </cell>
          <cell r="P109">
            <v>93.66</v>
          </cell>
          <cell r="Q109">
            <v>51.9</v>
          </cell>
          <cell r="R109">
            <v>0</v>
          </cell>
          <cell r="S109">
            <v>0</v>
          </cell>
          <cell r="T109">
            <v>824.46</v>
          </cell>
          <cell r="U109">
            <v>824.46</v>
          </cell>
          <cell r="AA109">
            <v>1.4999999999999999E-2</v>
          </cell>
          <cell r="AC109">
            <v>0</v>
          </cell>
          <cell r="AD109">
            <v>0</v>
          </cell>
          <cell r="AE109">
            <v>0</v>
          </cell>
          <cell r="AF109">
            <v>0</v>
          </cell>
          <cell r="AG109">
            <v>0</v>
          </cell>
          <cell r="AH109">
            <v>12.555228426395939</v>
          </cell>
          <cell r="AI109">
            <v>0</v>
          </cell>
          <cell r="AJ109">
            <v>12.555228426395939</v>
          </cell>
          <cell r="AK109">
            <v>837.01522842639599</v>
          </cell>
          <cell r="AL109" t="str">
            <v>2/20  Combpima</v>
          </cell>
          <cell r="AM109">
            <v>0</v>
          </cell>
          <cell r="AN109" t="str">
            <v>2/24  KC</v>
          </cell>
          <cell r="AO109" t="str">
            <v xml:space="preserve">1/16OE  </v>
          </cell>
          <cell r="AP109" t="str">
            <v>2/16  KC</v>
          </cell>
          <cell r="AQ109">
            <v>0</v>
          </cell>
          <cell r="AR109">
            <v>0</v>
          </cell>
          <cell r="AS109">
            <v>143.07</v>
          </cell>
          <cell r="AT109">
            <v>0</v>
          </cell>
          <cell r="AU109">
            <v>107.5</v>
          </cell>
          <cell r="AV109">
            <v>77.75</v>
          </cell>
          <cell r="AW109">
            <v>97.5</v>
          </cell>
          <cell r="AX109">
            <v>0</v>
          </cell>
          <cell r="AY109">
            <v>0</v>
          </cell>
          <cell r="AZ109">
            <v>83.655890400000004</v>
          </cell>
          <cell r="BA109">
            <v>10.12435</v>
          </cell>
          <cell r="BB109">
            <v>7.2820649999999993</v>
          </cell>
          <cell r="BC109">
            <v>5.0602499999999999</v>
          </cell>
          <cell r="BD109">
            <v>0</v>
          </cell>
          <cell r="BE109">
            <v>0</v>
          </cell>
          <cell r="BF109">
            <v>0</v>
          </cell>
          <cell r="BG109">
            <v>0</v>
          </cell>
          <cell r="BI109">
            <v>0</v>
          </cell>
          <cell r="BJ109">
            <v>1.6160795238578678</v>
          </cell>
          <cell r="BK109">
            <v>0</v>
          </cell>
          <cell r="BL109">
            <v>1.6160795238578678</v>
          </cell>
          <cell r="BM109">
            <v>0</v>
          </cell>
          <cell r="BN109">
            <v>0</v>
          </cell>
          <cell r="BO109">
            <v>0</v>
          </cell>
          <cell r="BP109">
            <v>0</v>
          </cell>
          <cell r="BQ109">
            <v>0</v>
          </cell>
          <cell r="BR109">
            <v>-0.31388071065989848</v>
          </cell>
          <cell r="BS109">
            <v>0</v>
          </cell>
          <cell r="BT109">
            <v>-0.31388071065989848</v>
          </cell>
          <cell r="BU109">
            <v>130.67781932884296</v>
          </cell>
          <cell r="BV109">
            <v>-0.38071065989847713</v>
          </cell>
          <cell r="BW109">
            <v>130.29710866894447</v>
          </cell>
          <cell r="BX109">
            <v>130.67781932884296</v>
          </cell>
          <cell r="BY109">
            <v>-0.38071065989847713</v>
          </cell>
          <cell r="BZ109">
            <v>130.29710866894447</v>
          </cell>
          <cell r="CA109">
            <v>130.67781932884296</v>
          </cell>
          <cell r="CB109">
            <v>-0.38071065989847713</v>
          </cell>
          <cell r="CC109">
            <v>130.29710866894447</v>
          </cell>
          <cell r="CD109">
            <v>0</v>
          </cell>
          <cell r="CE109">
            <v>200</v>
          </cell>
          <cell r="CF109">
            <v>0</v>
          </cell>
          <cell r="CG109">
            <v>0</v>
          </cell>
          <cell r="CH109">
            <v>140</v>
          </cell>
          <cell r="CI109">
            <v>0</v>
          </cell>
          <cell r="CJ109">
            <v>0</v>
          </cell>
          <cell r="CK109">
            <v>0.63829415617495078</v>
          </cell>
          <cell r="CL109">
            <v>0.10280911141838293</v>
          </cell>
          <cell r="CM109">
            <v>2.6999999999999997</v>
          </cell>
          <cell r="CN109">
            <v>3.4411032675933333</v>
          </cell>
          <cell r="CO109">
            <v>1.3262334133857313E-2</v>
          </cell>
          <cell r="CP109">
            <v>1.1900000000000002</v>
          </cell>
          <cell r="CQ109">
            <v>1.2032623341338575</v>
          </cell>
          <cell r="CT109">
            <v>0.5</v>
          </cell>
          <cell r="CV109">
            <v>135.44147427067165</v>
          </cell>
        </row>
        <row r="110">
          <cell r="K110" t="str">
            <v>DomesticWIL-VapiField Crest0Hand41x76M</v>
          </cell>
          <cell r="M110">
            <v>144.19</v>
          </cell>
          <cell r="N110">
            <v>0</v>
          </cell>
          <cell r="O110">
            <v>27.1</v>
          </cell>
          <cell r="P110">
            <v>30.62</v>
          </cell>
          <cell r="Q110">
            <v>20.71</v>
          </cell>
          <cell r="R110">
            <v>0</v>
          </cell>
          <cell r="S110">
            <v>0</v>
          </cell>
          <cell r="T110">
            <v>222.62</v>
          </cell>
          <cell r="U110">
            <v>222.62</v>
          </cell>
          <cell r="AA110">
            <v>1.4999999999999999E-2</v>
          </cell>
          <cell r="AC110">
            <v>0</v>
          </cell>
          <cell r="AD110">
            <v>0</v>
          </cell>
          <cell r="AE110">
            <v>0</v>
          </cell>
          <cell r="AF110">
            <v>0</v>
          </cell>
          <cell r="AG110">
            <v>0</v>
          </cell>
          <cell r="AH110">
            <v>3.3901522842639595</v>
          </cell>
          <cell r="AI110">
            <v>0</v>
          </cell>
          <cell r="AJ110">
            <v>3.3901522842639595</v>
          </cell>
          <cell r="AK110">
            <v>226.01015228426397</v>
          </cell>
          <cell r="AL110" t="str">
            <v>2/20  Combpima</v>
          </cell>
          <cell r="AM110">
            <v>0</v>
          </cell>
          <cell r="AN110" t="str">
            <v>2/24  KC</v>
          </cell>
          <cell r="AO110" t="str">
            <v xml:space="preserve">1/16OE  </v>
          </cell>
          <cell r="AP110" t="str">
            <v>2/16  KC</v>
          </cell>
          <cell r="AQ110">
            <v>0</v>
          </cell>
          <cell r="AR110">
            <v>0</v>
          </cell>
          <cell r="AS110">
            <v>143.07</v>
          </cell>
          <cell r="AT110">
            <v>0</v>
          </cell>
          <cell r="AU110">
            <v>107.5</v>
          </cell>
          <cell r="AV110">
            <v>77.75</v>
          </cell>
          <cell r="AW110">
            <v>97.5</v>
          </cell>
          <cell r="AX110">
            <v>0</v>
          </cell>
          <cell r="AY110">
            <v>0</v>
          </cell>
          <cell r="AZ110">
            <v>20.629263299999998</v>
          </cell>
          <cell r="BA110">
            <v>2.9132500000000001</v>
          </cell>
          <cell r="BB110">
            <v>2.3807049999999998</v>
          </cell>
          <cell r="BC110">
            <v>2.019225</v>
          </cell>
          <cell r="BD110">
            <v>0</v>
          </cell>
          <cell r="BE110">
            <v>0</v>
          </cell>
          <cell r="BF110">
            <v>0</v>
          </cell>
          <cell r="BG110">
            <v>0</v>
          </cell>
          <cell r="BI110">
            <v>0</v>
          </cell>
          <cell r="BJ110">
            <v>0.42551944111675127</v>
          </cell>
          <cell r="BK110">
            <v>0</v>
          </cell>
          <cell r="BL110">
            <v>0.42551944111675127</v>
          </cell>
          <cell r="BM110">
            <v>0</v>
          </cell>
          <cell r="BN110">
            <v>0</v>
          </cell>
          <cell r="BO110">
            <v>0</v>
          </cell>
          <cell r="BP110">
            <v>0</v>
          </cell>
          <cell r="BQ110">
            <v>0</v>
          </cell>
          <cell r="BR110">
            <v>-8.475380710659898E-2</v>
          </cell>
          <cell r="BS110">
            <v>0</v>
          </cell>
          <cell r="BT110">
            <v>-8.475380710659898E-2</v>
          </cell>
          <cell r="BU110">
            <v>127.42773668635679</v>
          </cell>
          <cell r="BV110">
            <v>-0.38071065989847713</v>
          </cell>
          <cell r="BW110">
            <v>127.04702602645831</v>
          </cell>
          <cell r="BX110">
            <v>127.42773668635679</v>
          </cell>
          <cell r="BY110">
            <v>-0.38071065989847713</v>
          </cell>
          <cell r="BZ110">
            <v>127.04702602645831</v>
          </cell>
          <cell r="CA110">
            <v>127.42773668635679</v>
          </cell>
          <cell r="CB110">
            <v>-0.38071065989847713</v>
          </cell>
          <cell r="CC110">
            <v>127.04702602645831</v>
          </cell>
          <cell r="CD110">
            <v>0</v>
          </cell>
          <cell r="CE110">
            <v>200</v>
          </cell>
          <cell r="CF110">
            <v>0</v>
          </cell>
          <cell r="CG110">
            <v>0</v>
          </cell>
          <cell r="CH110">
            <v>140</v>
          </cell>
          <cell r="CI110">
            <v>0</v>
          </cell>
          <cell r="CJ110">
            <v>0</v>
          </cell>
          <cell r="CK110">
            <v>0.58292606234839628</v>
          </cell>
          <cell r="CL110">
            <v>0.10955888958763813</v>
          </cell>
          <cell r="CM110">
            <v>2.6999999999999997</v>
          </cell>
          <cell r="CN110">
            <v>3.3924849519360341</v>
          </cell>
          <cell r="CO110">
            <v>1.2111908184350014E-2</v>
          </cell>
          <cell r="CP110">
            <v>1.1900000000000002</v>
          </cell>
          <cell r="CQ110">
            <v>1.2021119081843501</v>
          </cell>
          <cell r="CT110">
            <v>0.5</v>
          </cell>
          <cell r="CV110">
            <v>132.14162288657869</v>
          </cell>
        </row>
        <row r="111">
          <cell r="K111" t="str">
            <v>DomesticWIL-VapiField Crest0Wash33x33D</v>
          </cell>
          <cell r="M111">
            <v>47.66</v>
          </cell>
          <cell r="N111">
            <v>0</v>
          </cell>
          <cell r="O111">
            <v>11.09</v>
          </cell>
          <cell r="P111">
            <v>11.13</v>
          </cell>
          <cell r="Q111">
            <v>8.86</v>
          </cell>
          <cell r="R111">
            <v>0</v>
          </cell>
          <cell r="S111">
            <v>0</v>
          </cell>
          <cell r="T111">
            <v>78.739999999999995</v>
          </cell>
          <cell r="U111">
            <v>78.739999999999995</v>
          </cell>
          <cell r="AA111">
            <v>1.4999999999999999E-2</v>
          </cell>
          <cell r="AC111">
            <v>0</v>
          </cell>
          <cell r="AD111">
            <v>0</v>
          </cell>
          <cell r="AE111">
            <v>0</v>
          </cell>
          <cell r="AF111">
            <v>0</v>
          </cell>
          <cell r="AG111">
            <v>0</v>
          </cell>
          <cell r="AH111">
            <v>1.1990862944162435</v>
          </cell>
          <cell r="AI111">
            <v>0</v>
          </cell>
          <cell r="AJ111">
            <v>1.1990862944162435</v>
          </cell>
          <cell r="AK111">
            <v>79.939086294416242</v>
          </cell>
          <cell r="AL111" t="str">
            <v>2/20  Combpima</v>
          </cell>
          <cell r="AM111">
            <v>0</v>
          </cell>
          <cell r="AN111" t="str">
            <v>2/24  KC</v>
          </cell>
          <cell r="AO111" t="str">
            <v xml:space="preserve">1/16OE  </v>
          </cell>
          <cell r="AP111" t="str">
            <v>2/16  KC</v>
          </cell>
          <cell r="AQ111">
            <v>0</v>
          </cell>
          <cell r="AR111">
            <v>0</v>
          </cell>
          <cell r="AS111">
            <v>143.07</v>
          </cell>
          <cell r="AT111">
            <v>0</v>
          </cell>
          <cell r="AU111">
            <v>107.5</v>
          </cell>
          <cell r="AV111">
            <v>77.75</v>
          </cell>
          <cell r="AW111">
            <v>97.5</v>
          </cell>
          <cell r="AX111">
            <v>0</v>
          </cell>
          <cell r="AY111">
            <v>0</v>
          </cell>
          <cell r="AZ111">
            <v>6.818716199999999</v>
          </cell>
          <cell r="BA111">
            <v>1.192175</v>
          </cell>
          <cell r="BB111">
            <v>0.86535750000000011</v>
          </cell>
          <cell r="BC111">
            <v>0.8638499999999999</v>
          </cell>
          <cell r="BD111">
            <v>0</v>
          </cell>
          <cell r="BE111">
            <v>0</v>
          </cell>
          <cell r="BF111">
            <v>0</v>
          </cell>
          <cell r="BG111">
            <v>0</v>
          </cell>
          <cell r="BI111">
            <v>0</v>
          </cell>
          <cell r="BJ111">
            <v>0.14832637614213195</v>
          </cell>
          <cell r="BK111">
            <v>0</v>
          </cell>
          <cell r="BL111">
            <v>0.14832637614213195</v>
          </cell>
          <cell r="BM111">
            <v>0</v>
          </cell>
          <cell r="BN111">
            <v>0</v>
          </cell>
          <cell r="BO111">
            <v>0</v>
          </cell>
          <cell r="BP111">
            <v>0</v>
          </cell>
          <cell r="BQ111">
            <v>0</v>
          </cell>
          <cell r="BR111">
            <v>-2.9977157360406084E-2</v>
          </cell>
          <cell r="BS111">
            <v>0</v>
          </cell>
          <cell r="BT111">
            <v>-2.9977157360406084E-2</v>
          </cell>
          <cell r="BU111">
            <v>125.58324963350434</v>
          </cell>
          <cell r="BV111">
            <v>-0.38071065989847708</v>
          </cell>
          <cell r="BW111">
            <v>125.20253897360585</v>
          </cell>
          <cell r="BX111">
            <v>125.58324963350434</v>
          </cell>
          <cell r="BY111">
            <v>-0.38071065989847708</v>
          </cell>
          <cell r="BZ111">
            <v>125.20253897360585</v>
          </cell>
          <cell r="CA111">
            <v>125.58324963350434</v>
          </cell>
          <cell r="CB111">
            <v>-0.38071065989847708</v>
          </cell>
          <cell r="CC111">
            <v>125.20253897360585</v>
          </cell>
          <cell r="CD111">
            <v>0</v>
          </cell>
          <cell r="CE111">
            <v>200</v>
          </cell>
          <cell r="CF111">
            <v>0</v>
          </cell>
          <cell r="CG111">
            <v>0</v>
          </cell>
          <cell r="CH111">
            <v>140</v>
          </cell>
          <cell r="CI111">
            <v>0</v>
          </cell>
          <cell r="CJ111">
            <v>0</v>
          </cell>
          <cell r="CK111">
            <v>0.54475488950977891</v>
          </cell>
          <cell r="CL111">
            <v>0.12675895351790703</v>
          </cell>
          <cell r="CM111">
            <v>2.6999999999999997</v>
          </cell>
          <cell r="CN111">
            <v>3.3715138430276856</v>
          </cell>
          <cell r="CO111">
            <v>1.1318796037592076E-2</v>
          </cell>
          <cell r="CP111">
            <v>1.1900000000000002</v>
          </cell>
          <cell r="CQ111">
            <v>1.2013187960375922</v>
          </cell>
          <cell r="CT111">
            <v>0.5</v>
          </cell>
          <cell r="CV111">
            <v>130.27537161267114</v>
          </cell>
        </row>
        <row r="112">
          <cell r="K112" t="str">
            <v>DomesticZucchiBathrobe0Bathrobe285x100M</v>
          </cell>
          <cell r="M112">
            <v>801.34</v>
          </cell>
          <cell r="N112">
            <v>0</v>
          </cell>
          <cell r="O112">
            <v>264.73</v>
          </cell>
          <cell r="P112">
            <v>249.28</v>
          </cell>
          <cell r="Q112">
            <v>0</v>
          </cell>
          <cell r="R112">
            <v>0</v>
          </cell>
          <cell r="S112">
            <v>0</v>
          </cell>
          <cell r="T112">
            <v>1315.3500000000001</v>
          </cell>
          <cell r="U112">
            <v>1315.3500000000001</v>
          </cell>
          <cell r="AA112">
            <v>1.4999999999999999E-2</v>
          </cell>
          <cell r="AC112">
            <v>0</v>
          </cell>
          <cell r="AD112">
            <v>0</v>
          </cell>
          <cell r="AE112">
            <v>0</v>
          </cell>
          <cell r="AF112">
            <v>0</v>
          </cell>
          <cell r="AG112">
            <v>0</v>
          </cell>
          <cell r="AH112">
            <v>20.030710659898478</v>
          </cell>
          <cell r="AI112">
            <v>0</v>
          </cell>
          <cell r="AJ112">
            <v>20.030710659898478</v>
          </cell>
          <cell r="AK112">
            <v>1335.3807106598986</v>
          </cell>
          <cell r="AL112" t="str">
            <v>1/16  KC</v>
          </cell>
          <cell r="AM112">
            <v>0</v>
          </cell>
          <cell r="AN112" t="str">
            <v>2/20  KC</v>
          </cell>
          <cell r="AO112" t="str">
            <v xml:space="preserve">1/16OE  </v>
          </cell>
          <cell r="AP112">
            <v>0</v>
          </cell>
          <cell r="AQ112">
            <v>0</v>
          </cell>
          <cell r="AR112">
            <v>0</v>
          </cell>
          <cell r="AS112">
            <v>88.5</v>
          </cell>
          <cell r="AT112">
            <v>0</v>
          </cell>
          <cell r="AU112">
            <v>107.5</v>
          </cell>
          <cell r="AV112">
            <v>77.75</v>
          </cell>
          <cell r="AW112">
            <v>0</v>
          </cell>
          <cell r="AX112">
            <v>0</v>
          </cell>
          <cell r="AY112">
            <v>0</v>
          </cell>
          <cell r="AZ112">
            <v>70.918589999999995</v>
          </cell>
          <cell r="BA112">
            <v>28.458475000000004</v>
          </cell>
          <cell r="BB112">
            <v>19.381520000000002</v>
          </cell>
          <cell r="BC112">
            <v>0</v>
          </cell>
          <cell r="BD112">
            <v>0</v>
          </cell>
          <cell r="BE112">
            <v>0</v>
          </cell>
          <cell r="BF112">
            <v>0</v>
          </cell>
          <cell r="BG112">
            <v>0</v>
          </cell>
          <cell r="BI112">
            <v>0</v>
          </cell>
          <cell r="BJ112">
            <v>1.8085063705583757</v>
          </cell>
          <cell r="BK112">
            <v>0</v>
          </cell>
          <cell r="BL112">
            <v>1.8085063705583757</v>
          </cell>
          <cell r="BM112">
            <v>0</v>
          </cell>
          <cell r="BN112">
            <v>0</v>
          </cell>
          <cell r="BO112">
            <v>0</v>
          </cell>
          <cell r="BP112">
            <v>0</v>
          </cell>
          <cell r="BQ112">
            <v>0</v>
          </cell>
          <cell r="BR112">
            <v>-0.50076776649746191</v>
          </cell>
          <cell r="BS112">
            <v>0</v>
          </cell>
          <cell r="BT112">
            <v>-0.50076776649746191</v>
          </cell>
          <cell r="BU112">
            <v>91.661604417499802</v>
          </cell>
          <cell r="BV112">
            <v>-0.38071065989847708</v>
          </cell>
          <cell r="BW112">
            <v>91.280893757601319</v>
          </cell>
          <cell r="BX112">
            <v>91.661604417499802</v>
          </cell>
          <cell r="BY112">
            <v>-0.38071065989847708</v>
          </cell>
          <cell r="BZ112">
            <v>91.280893757601319</v>
          </cell>
          <cell r="CA112">
            <v>91.661604417499802</v>
          </cell>
          <cell r="CB112">
            <v>-0.38071065989847708</v>
          </cell>
          <cell r="CC112">
            <v>91.280893757601319</v>
          </cell>
          <cell r="CD112">
            <v>0</v>
          </cell>
          <cell r="CE112">
            <v>200</v>
          </cell>
          <cell r="CF112">
            <v>0</v>
          </cell>
          <cell r="CG112">
            <v>0</v>
          </cell>
          <cell r="CH112">
            <v>140</v>
          </cell>
          <cell r="CI112">
            <v>0</v>
          </cell>
          <cell r="CJ112">
            <v>0</v>
          </cell>
          <cell r="CK112">
            <v>0.54829969209716034</v>
          </cell>
          <cell r="CL112">
            <v>0.18113581936366746</v>
          </cell>
          <cell r="CM112">
            <v>2.6999999999999997</v>
          </cell>
          <cell r="CN112">
            <v>3.4294355114608273</v>
          </cell>
          <cell r="CO112">
            <v>1.1392449158018779E-2</v>
          </cell>
          <cell r="CP112">
            <v>1.1900000000000002</v>
          </cell>
          <cell r="CQ112">
            <v>1.201392449158019</v>
          </cell>
          <cell r="CR112">
            <v>4.72</v>
          </cell>
          <cell r="CS112">
            <v>10.220000000000001</v>
          </cell>
          <cell r="CT112">
            <v>0.5</v>
          </cell>
          <cell r="CU112">
            <v>0</v>
          </cell>
          <cell r="CV112">
            <v>111.35172171822016</v>
          </cell>
        </row>
        <row r="113">
          <cell r="K113" t="str">
            <v>DomesticWIL-VapiKohls Sonama0Bath76x147L</v>
          </cell>
          <cell r="M113">
            <v>584.72</v>
          </cell>
          <cell r="N113">
            <v>0</v>
          </cell>
          <cell r="O113">
            <v>94.18</v>
          </cell>
          <cell r="P113">
            <v>93.66</v>
          </cell>
          <cell r="Q113">
            <v>51.9</v>
          </cell>
          <cell r="R113">
            <v>0</v>
          </cell>
          <cell r="S113">
            <v>0</v>
          </cell>
          <cell r="T113">
            <v>824.46</v>
          </cell>
          <cell r="U113">
            <v>824.46</v>
          </cell>
          <cell r="AA113">
            <v>1.4999999999999999E-2</v>
          </cell>
          <cell r="AC113">
            <v>0</v>
          </cell>
          <cell r="AD113">
            <v>0</v>
          </cell>
          <cell r="AE113">
            <v>0</v>
          </cell>
          <cell r="AF113">
            <v>0</v>
          </cell>
          <cell r="AG113">
            <v>0</v>
          </cell>
          <cell r="AH113">
            <v>12.555228426395939</v>
          </cell>
          <cell r="AI113">
            <v>0</v>
          </cell>
          <cell r="AJ113">
            <v>12.555228426395939</v>
          </cell>
          <cell r="AK113">
            <v>837.01522842639599</v>
          </cell>
          <cell r="AL113" t="str">
            <v>2/20  Combpima</v>
          </cell>
          <cell r="AM113">
            <v>0</v>
          </cell>
          <cell r="AN113" t="str">
            <v>2/24  KC</v>
          </cell>
          <cell r="AO113" t="str">
            <v xml:space="preserve">1/16OE  </v>
          </cell>
          <cell r="AP113" t="str">
            <v>2/16  KC</v>
          </cell>
          <cell r="AQ113">
            <v>0</v>
          </cell>
          <cell r="AR113">
            <v>0</v>
          </cell>
          <cell r="AS113">
            <v>143.07</v>
          </cell>
          <cell r="AT113">
            <v>0</v>
          </cell>
          <cell r="AU113">
            <v>107.5</v>
          </cell>
          <cell r="AV113">
            <v>77.75</v>
          </cell>
          <cell r="AW113">
            <v>97.5</v>
          </cell>
          <cell r="AX113">
            <v>0</v>
          </cell>
          <cell r="AY113">
            <v>0</v>
          </cell>
          <cell r="AZ113">
            <v>83.655890400000004</v>
          </cell>
          <cell r="BA113">
            <v>10.12435</v>
          </cell>
          <cell r="BB113">
            <v>7.2820649999999993</v>
          </cell>
          <cell r="BC113">
            <v>5.0602499999999999</v>
          </cell>
          <cell r="BD113">
            <v>0</v>
          </cell>
          <cell r="BE113">
            <v>0</v>
          </cell>
          <cell r="BF113">
            <v>0</v>
          </cell>
          <cell r="BG113">
            <v>0</v>
          </cell>
          <cell r="BI113">
            <v>0</v>
          </cell>
          <cell r="BJ113">
            <v>1.6160795238578678</v>
          </cell>
          <cell r="BK113">
            <v>0</v>
          </cell>
          <cell r="BL113">
            <v>1.6160795238578678</v>
          </cell>
          <cell r="BM113">
            <v>0</v>
          </cell>
          <cell r="BN113">
            <v>0</v>
          </cell>
          <cell r="BO113">
            <v>0</v>
          </cell>
          <cell r="BP113">
            <v>0</v>
          </cell>
          <cell r="BQ113">
            <v>0</v>
          </cell>
          <cell r="BR113">
            <v>-0.31388071065989848</v>
          </cell>
          <cell r="BS113">
            <v>0</v>
          </cell>
          <cell r="BT113">
            <v>-0.31388071065989848</v>
          </cell>
          <cell r="BU113">
            <v>130.67781932884296</v>
          </cell>
          <cell r="BV113">
            <v>-0.38071065989847713</v>
          </cell>
          <cell r="BW113">
            <v>130.29710866894447</v>
          </cell>
          <cell r="BX113">
            <v>130.67781932884296</v>
          </cell>
          <cell r="BY113">
            <v>-0.38071065989847713</v>
          </cell>
          <cell r="BZ113">
            <v>130.29710866894447</v>
          </cell>
          <cell r="CA113">
            <v>130.67781932884296</v>
          </cell>
          <cell r="CB113">
            <v>-0.38071065989847713</v>
          </cell>
          <cell r="CC113">
            <v>130.29710866894447</v>
          </cell>
          <cell r="CD113">
            <v>0</v>
          </cell>
          <cell r="CE113">
            <v>200</v>
          </cell>
          <cell r="CF113">
            <v>0</v>
          </cell>
          <cell r="CG113">
            <v>0</v>
          </cell>
          <cell r="CH113">
            <v>140</v>
          </cell>
          <cell r="CI113">
            <v>0</v>
          </cell>
          <cell r="CJ113">
            <v>0</v>
          </cell>
          <cell r="CK113">
            <v>0.63829415617495078</v>
          </cell>
          <cell r="CL113">
            <v>0.10280911141838293</v>
          </cell>
          <cell r="CM113">
            <v>2.6999999999999997</v>
          </cell>
          <cell r="CN113">
            <v>3.4411032675933333</v>
          </cell>
          <cell r="CO113">
            <v>1.3262334133857313E-2</v>
          </cell>
          <cell r="CP113">
            <v>1.1900000000000002</v>
          </cell>
          <cell r="CQ113">
            <v>1.2032623341338575</v>
          </cell>
          <cell r="CT113">
            <v>0.5</v>
          </cell>
          <cell r="CV113">
            <v>135.44147427067165</v>
          </cell>
        </row>
        <row r="114">
          <cell r="K114" t="str">
            <v>DomesticWIL-VapiKohls Sonama0Hand41x76M</v>
          </cell>
          <cell r="M114">
            <v>144.19</v>
          </cell>
          <cell r="N114">
            <v>0</v>
          </cell>
          <cell r="O114">
            <v>27.1</v>
          </cell>
          <cell r="P114">
            <v>30.62</v>
          </cell>
          <cell r="Q114">
            <v>20.71</v>
          </cell>
          <cell r="R114">
            <v>0</v>
          </cell>
          <cell r="S114">
            <v>0</v>
          </cell>
          <cell r="T114">
            <v>222.62</v>
          </cell>
          <cell r="U114">
            <v>222.62</v>
          </cell>
          <cell r="AA114">
            <v>1.4999999999999999E-2</v>
          </cell>
          <cell r="AC114">
            <v>0</v>
          </cell>
          <cell r="AD114">
            <v>0</v>
          </cell>
          <cell r="AE114">
            <v>0</v>
          </cell>
          <cell r="AF114">
            <v>0</v>
          </cell>
          <cell r="AG114">
            <v>0</v>
          </cell>
          <cell r="AH114">
            <v>3.3901522842639595</v>
          </cell>
          <cell r="AI114">
            <v>0</v>
          </cell>
          <cell r="AJ114">
            <v>3.3901522842639595</v>
          </cell>
          <cell r="AK114">
            <v>226.01015228426397</v>
          </cell>
          <cell r="AL114" t="str">
            <v>2/20  Combpima</v>
          </cell>
          <cell r="AM114">
            <v>0</v>
          </cell>
          <cell r="AN114" t="str">
            <v>2/24  KC</v>
          </cell>
          <cell r="AO114" t="str">
            <v xml:space="preserve">1/16OE  </v>
          </cell>
          <cell r="AP114" t="str">
            <v>2/16  KC</v>
          </cell>
          <cell r="AQ114">
            <v>0</v>
          </cell>
          <cell r="AR114">
            <v>0</v>
          </cell>
          <cell r="AS114">
            <v>143.07</v>
          </cell>
          <cell r="AT114">
            <v>0</v>
          </cell>
          <cell r="AU114">
            <v>107.5</v>
          </cell>
          <cell r="AV114">
            <v>77.75</v>
          </cell>
          <cell r="AW114">
            <v>97.5</v>
          </cell>
          <cell r="AX114">
            <v>0</v>
          </cell>
          <cell r="AY114">
            <v>0</v>
          </cell>
          <cell r="AZ114">
            <v>20.629263299999998</v>
          </cell>
          <cell r="BA114">
            <v>2.9132500000000001</v>
          </cell>
          <cell r="BB114">
            <v>2.3807049999999998</v>
          </cell>
          <cell r="BC114">
            <v>2.019225</v>
          </cell>
          <cell r="BD114">
            <v>0</v>
          </cell>
          <cell r="BE114">
            <v>0</v>
          </cell>
          <cell r="BF114">
            <v>0</v>
          </cell>
          <cell r="BG114">
            <v>0</v>
          </cell>
          <cell r="BI114">
            <v>0</v>
          </cell>
          <cell r="BJ114">
            <v>0.42551944111675127</v>
          </cell>
          <cell r="BK114">
            <v>0</v>
          </cell>
          <cell r="BL114">
            <v>0.42551944111675127</v>
          </cell>
          <cell r="BM114">
            <v>0</v>
          </cell>
          <cell r="BN114">
            <v>0</v>
          </cell>
          <cell r="BO114">
            <v>0</v>
          </cell>
          <cell r="BP114">
            <v>0</v>
          </cell>
          <cell r="BQ114">
            <v>0</v>
          </cell>
          <cell r="BR114">
            <v>-8.475380710659898E-2</v>
          </cell>
          <cell r="BS114">
            <v>0</v>
          </cell>
          <cell r="BT114">
            <v>-8.475380710659898E-2</v>
          </cell>
          <cell r="BU114">
            <v>127.42773668635679</v>
          </cell>
          <cell r="BV114">
            <v>-0.38071065989847713</v>
          </cell>
          <cell r="BW114">
            <v>127.04702602645831</v>
          </cell>
          <cell r="BX114">
            <v>127.42773668635679</v>
          </cell>
          <cell r="BY114">
            <v>-0.38071065989847713</v>
          </cell>
          <cell r="BZ114">
            <v>127.04702602645831</v>
          </cell>
          <cell r="CA114">
            <v>127.42773668635679</v>
          </cell>
          <cell r="CB114">
            <v>-0.38071065989847713</v>
          </cell>
          <cell r="CC114">
            <v>127.04702602645831</v>
          </cell>
          <cell r="CD114">
            <v>0</v>
          </cell>
          <cell r="CE114">
            <v>200</v>
          </cell>
          <cell r="CF114">
            <v>0</v>
          </cell>
          <cell r="CG114">
            <v>0</v>
          </cell>
          <cell r="CH114">
            <v>140</v>
          </cell>
          <cell r="CI114">
            <v>0</v>
          </cell>
          <cell r="CJ114">
            <v>0</v>
          </cell>
          <cell r="CK114">
            <v>0.58292606234839628</v>
          </cell>
          <cell r="CL114">
            <v>0.10955888958763813</v>
          </cell>
          <cell r="CM114">
            <v>2.6999999999999997</v>
          </cell>
          <cell r="CN114">
            <v>3.3924849519360341</v>
          </cell>
          <cell r="CO114">
            <v>1.2111908184350014E-2</v>
          </cell>
          <cell r="CP114">
            <v>1.1900000000000002</v>
          </cell>
          <cell r="CQ114">
            <v>1.2021119081843501</v>
          </cell>
          <cell r="CT114">
            <v>0.5</v>
          </cell>
          <cell r="CV114">
            <v>132.14162288657869</v>
          </cell>
        </row>
        <row r="115">
          <cell r="K115" t="str">
            <v>DomesticWIL-VapiKohls Sonama0Wash33x33D</v>
          </cell>
          <cell r="M115">
            <v>47.66</v>
          </cell>
          <cell r="N115">
            <v>0</v>
          </cell>
          <cell r="O115">
            <v>11.09</v>
          </cell>
          <cell r="P115">
            <v>11.13</v>
          </cell>
          <cell r="Q115">
            <v>8.86</v>
          </cell>
          <cell r="R115">
            <v>0</v>
          </cell>
          <cell r="S115">
            <v>0</v>
          </cell>
          <cell r="T115">
            <v>78.739999999999995</v>
          </cell>
          <cell r="U115">
            <v>78.739999999999995</v>
          </cell>
          <cell r="AA115">
            <v>1.4999999999999999E-2</v>
          </cell>
          <cell r="AC115">
            <v>0</v>
          </cell>
          <cell r="AD115">
            <v>0</v>
          </cell>
          <cell r="AE115">
            <v>0</v>
          </cell>
          <cell r="AF115">
            <v>0</v>
          </cell>
          <cell r="AG115">
            <v>0</v>
          </cell>
          <cell r="AH115">
            <v>1.1990862944162435</v>
          </cell>
          <cell r="AI115">
            <v>0</v>
          </cell>
          <cell r="AJ115">
            <v>1.1990862944162435</v>
          </cell>
          <cell r="AK115">
            <v>79.939086294416242</v>
          </cell>
          <cell r="AL115" t="str">
            <v>2/20  Combpima</v>
          </cell>
          <cell r="AM115">
            <v>0</v>
          </cell>
          <cell r="AN115" t="str">
            <v>2/24  KC</v>
          </cell>
          <cell r="AO115" t="str">
            <v xml:space="preserve">1/16OE  </v>
          </cell>
          <cell r="AP115" t="str">
            <v>2/16  KC</v>
          </cell>
          <cell r="AQ115">
            <v>0</v>
          </cell>
          <cell r="AR115">
            <v>0</v>
          </cell>
          <cell r="AS115">
            <v>143.07</v>
          </cell>
          <cell r="AT115">
            <v>0</v>
          </cell>
          <cell r="AU115">
            <v>107.5</v>
          </cell>
          <cell r="AV115">
            <v>77.75</v>
          </cell>
          <cell r="AW115">
            <v>97.5</v>
          </cell>
          <cell r="AX115">
            <v>0</v>
          </cell>
          <cell r="AY115">
            <v>0</v>
          </cell>
          <cell r="AZ115">
            <v>6.818716199999999</v>
          </cell>
          <cell r="BA115">
            <v>1.192175</v>
          </cell>
          <cell r="BB115">
            <v>0.86535750000000011</v>
          </cell>
          <cell r="BC115">
            <v>0.8638499999999999</v>
          </cell>
          <cell r="BD115">
            <v>0</v>
          </cell>
          <cell r="BE115">
            <v>0</v>
          </cell>
          <cell r="BF115">
            <v>0</v>
          </cell>
          <cell r="BG115">
            <v>0</v>
          </cell>
          <cell r="BI115">
            <v>0</v>
          </cell>
          <cell r="BJ115">
            <v>0.14832637614213195</v>
          </cell>
          <cell r="BK115">
            <v>0</v>
          </cell>
          <cell r="BL115">
            <v>0.14832637614213195</v>
          </cell>
          <cell r="BM115">
            <v>0</v>
          </cell>
          <cell r="BN115">
            <v>0</v>
          </cell>
          <cell r="BO115">
            <v>0</v>
          </cell>
          <cell r="BP115">
            <v>0</v>
          </cell>
          <cell r="BQ115">
            <v>0</v>
          </cell>
          <cell r="BR115">
            <v>-2.9977157360406084E-2</v>
          </cell>
          <cell r="BS115">
            <v>0</v>
          </cell>
          <cell r="BT115">
            <v>-2.9977157360406084E-2</v>
          </cell>
          <cell r="BU115">
            <v>125.58324963350434</v>
          </cell>
          <cell r="BV115">
            <v>-0.38071065989847708</v>
          </cell>
          <cell r="BW115">
            <v>125.20253897360585</v>
          </cell>
          <cell r="BX115">
            <v>125.58324963350434</v>
          </cell>
          <cell r="BY115">
            <v>-0.38071065989847708</v>
          </cell>
          <cell r="BZ115">
            <v>125.20253897360585</v>
          </cell>
          <cell r="CA115">
            <v>125.58324963350434</v>
          </cell>
          <cell r="CB115">
            <v>-0.38071065989847708</v>
          </cell>
          <cell r="CC115">
            <v>125.20253897360585</v>
          </cell>
          <cell r="CD115">
            <v>0</v>
          </cell>
          <cell r="CE115">
            <v>200</v>
          </cell>
          <cell r="CF115">
            <v>0</v>
          </cell>
          <cell r="CG115">
            <v>0</v>
          </cell>
          <cell r="CH115">
            <v>140</v>
          </cell>
          <cell r="CI115">
            <v>0</v>
          </cell>
          <cell r="CJ115">
            <v>0</v>
          </cell>
          <cell r="CK115">
            <v>0.54475488950977891</v>
          </cell>
          <cell r="CL115">
            <v>0.12675895351790703</v>
          </cell>
          <cell r="CM115">
            <v>2.6999999999999997</v>
          </cell>
          <cell r="CN115">
            <v>3.3715138430276856</v>
          </cell>
          <cell r="CO115">
            <v>1.1318796037592076E-2</v>
          </cell>
          <cell r="CP115">
            <v>1.1900000000000002</v>
          </cell>
          <cell r="CQ115">
            <v>1.2013187960375922</v>
          </cell>
          <cell r="CT115">
            <v>0.5</v>
          </cell>
          <cell r="CV115">
            <v>130.27537161267114</v>
          </cell>
        </row>
        <row r="116">
          <cell r="K116" t="str">
            <v>DomesticWIL-VapiTarget Solid0Bath76x147M</v>
          </cell>
          <cell r="M116">
            <v>584.72</v>
          </cell>
          <cell r="N116">
            <v>0</v>
          </cell>
          <cell r="O116">
            <v>94.18</v>
          </cell>
          <cell r="P116">
            <v>93.66</v>
          </cell>
          <cell r="Q116">
            <v>51.9</v>
          </cell>
          <cell r="R116">
            <v>0</v>
          </cell>
          <cell r="S116">
            <v>0</v>
          </cell>
          <cell r="T116">
            <v>824.46</v>
          </cell>
          <cell r="U116">
            <v>824.46</v>
          </cell>
          <cell r="AA116">
            <v>1.4999999999999999E-2</v>
          </cell>
          <cell r="AC116">
            <v>0</v>
          </cell>
          <cell r="AD116">
            <v>0</v>
          </cell>
          <cell r="AE116">
            <v>0</v>
          </cell>
          <cell r="AF116">
            <v>0</v>
          </cell>
          <cell r="AG116">
            <v>0</v>
          </cell>
          <cell r="AH116">
            <v>12.555228426395939</v>
          </cell>
          <cell r="AI116">
            <v>0</v>
          </cell>
          <cell r="AJ116">
            <v>12.555228426395939</v>
          </cell>
          <cell r="AK116">
            <v>837.01522842639599</v>
          </cell>
          <cell r="AL116" t="str">
            <v>2/20  Combpima</v>
          </cell>
          <cell r="AM116">
            <v>0</v>
          </cell>
          <cell r="AN116" t="str">
            <v>2/24  KC</v>
          </cell>
          <cell r="AO116" t="str">
            <v xml:space="preserve">1/16OE  </v>
          </cell>
          <cell r="AP116" t="str">
            <v>2/16  KC</v>
          </cell>
          <cell r="AQ116">
            <v>0</v>
          </cell>
          <cell r="AR116">
            <v>0</v>
          </cell>
          <cell r="AS116">
            <v>143.07</v>
          </cell>
          <cell r="AT116">
            <v>0</v>
          </cell>
          <cell r="AU116">
            <v>107.5</v>
          </cell>
          <cell r="AV116">
            <v>77.75</v>
          </cell>
          <cell r="AW116">
            <v>97.5</v>
          </cell>
          <cell r="AX116">
            <v>0</v>
          </cell>
          <cell r="AY116">
            <v>0</v>
          </cell>
          <cell r="AZ116">
            <v>83.655890400000004</v>
          </cell>
          <cell r="BA116">
            <v>10.12435</v>
          </cell>
          <cell r="BB116">
            <v>7.2820649999999993</v>
          </cell>
          <cell r="BC116">
            <v>5.0602499999999999</v>
          </cell>
          <cell r="BD116">
            <v>0</v>
          </cell>
          <cell r="BE116">
            <v>0</v>
          </cell>
          <cell r="BF116">
            <v>0</v>
          </cell>
          <cell r="BG116">
            <v>0</v>
          </cell>
          <cell r="BI116">
            <v>0</v>
          </cell>
          <cell r="BJ116">
            <v>1.6160795238578678</v>
          </cell>
          <cell r="BK116">
            <v>0</v>
          </cell>
          <cell r="BL116">
            <v>1.6160795238578678</v>
          </cell>
          <cell r="BM116">
            <v>0</v>
          </cell>
          <cell r="BN116">
            <v>0</v>
          </cell>
          <cell r="BO116">
            <v>0</v>
          </cell>
          <cell r="BP116">
            <v>0</v>
          </cell>
          <cell r="BQ116">
            <v>0</v>
          </cell>
          <cell r="BR116">
            <v>-0.31388071065989848</v>
          </cell>
          <cell r="BS116">
            <v>0</v>
          </cell>
          <cell r="BT116">
            <v>-0.31388071065989848</v>
          </cell>
          <cell r="BU116">
            <v>130.67781932884296</v>
          </cell>
          <cell r="BV116">
            <v>-0.38071065989847713</v>
          </cell>
          <cell r="BW116">
            <v>130.29710866894447</v>
          </cell>
          <cell r="BX116">
            <v>130.67781932884296</v>
          </cell>
          <cell r="BY116">
            <v>-0.38071065989847713</v>
          </cell>
          <cell r="BZ116">
            <v>130.29710866894447</v>
          </cell>
          <cell r="CA116">
            <v>130.67781932884296</v>
          </cell>
          <cell r="CB116">
            <v>-0.38071065989847713</v>
          </cell>
          <cell r="CC116">
            <v>130.29710866894447</v>
          </cell>
          <cell r="CD116">
            <v>0</v>
          </cell>
          <cell r="CE116">
            <v>200</v>
          </cell>
          <cell r="CF116">
            <v>0</v>
          </cell>
          <cell r="CG116">
            <v>0</v>
          </cell>
          <cell r="CH116">
            <v>140</v>
          </cell>
          <cell r="CI116">
            <v>0</v>
          </cell>
          <cell r="CJ116">
            <v>0</v>
          </cell>
          <cell r="CK116">
            <v>0.63829415617495078</v>
          </cell>
          <cell r="CL116">
            <v>0.10280911141838293</v>
          </cell>
          <cell r="CM116">
            <v>2.6999999999999997</v>
          </cell>
          <cell r="CN116">
            <v>3.4411032675933333</v>
          </cell>
          <cell r="CO116">
            <v>1.3262334133857313E-2</v>
          </cell>
          <cell r="CP116">
            <v>1.1900000000000002</v>
          </cell>
          <cell r="CQ116">
            <v>1.2032623341338575</v>
          </cell>
          <cell r="CT116">
            <v>0.5</v>
          </cell>
          <cell r="CV116">
            <v>135.44147427067165</v>
          </cell>
        </row>
        <row r="118">
          <cell r="T118">
            <v>14148398.640691051</v>
          </cell>
          <cell r="U118">
            <v>13234983.981695769</v>
          </cell>
          <cell r="AC118">
            <v>28654.834540590906</v>
          </cell>
          <cell r="AD118">
            <v>0</v>
          </cell>
          <cell r="AE118">
            <v>-109628.34971701396</v>
          </cell>
          <cell r="AF118">
            <v>-41897.774640055657</v>
          </cell>
          <cell r="AG118">
            <v>913414.65899528563</v>
          </cell>
          <cell r="AH118">
            <v>201547.97941668695</v>
          </cell>
          <cell r="AI118">
            <v>115487.66648177545</v>
          </cell>
          <cell r="AJ118">
            <v>1107579.0150772694</v>
          </cell>
          <cell r="AK118">
            <v>14342562.996773031</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20">
          <cell r="AC120">
            <v>1.9978880027954576E-3</v>
          </cell>
          <cell r="AD120">
            <v>0</v>
          </cell>
          <cell r="AE120">
            <v>-7.6435675926038822E-3</v>
          </cell>
          <cell r="AF120">
            <v>-2.9212194953916076E-3</v>
          </cell>
          <cell r="AG120">
            <v>6.3685595050256852E-2</v>
          </cell>
          <cell r="AH120">
            <v>1.4052438149446074E-2</v>
          </cell>
          <cell r="AI120">
            <v>8.0520940718726008E-3</v>
          </cell>
          <cell r="AJ120">
            <v>7.7223228186375503E-2</v>
          </cell>
          <cell r="AK120">
            <v>1</v>
          </cell>
        </row>
        <row r="121">
          <cell r="AJ121">
            <v>0.9227767718136245</v>
          </cell>
        </row>
      </sheetData>
      <sheetData sheetId="3" refreshError="1">
        <row r="4">
          <cell r="K4" t="str">
            <v>Key -3</v>
          </cell>
          <cell r="L4" t="str">
            <v>Key -2</v>
          </cell>
          <cell r="M4" t="str">
            <v>Loom</v>
          </cell>
          <cell r="N4" t="str">
            <v>Speed</v>
          </cell>
          <cell r="O4" t="str">
            <v>Efficiency</v>
          </cell>
          <cell r="P4" t="str">
            <v>Picks/Towel</v>
          </cell>
          <cell r="Q4" t="str">
            <v>Picks /cm</v>
          </cell>
          <cell r="R4" t="str">
            <v>No of Split</v>
          </cell>
          <cell r="S4" t="str">
            <v>GSM</v>
          </cell>
          <cell r="T4" t="str">
            <v>Pile 1 -Count</v>
          </cell>
          <cell r="U4" t="str">
            <v>Pile1 -Wt</v>
          </cell>
          <cell r="V4" t="str">
            <v>Pile2 -Count</v>
          </cell>
          <cell r="W4" t="str">
            <v>Pile2 -Wt</v>
          </cell>
          <cell r="X4" t="str">
            <v>Ground Count</v>
          </cell>
          <cell r="Y4" t="str">
            <v>Ground Wt</v>
          </cell>
          <cell r="Z4" t="str">
            <v>Weft 1 Count</v>
          </cell>
          <cell r="AA4" t="str">
            <v>Weft 1 Wt</v>
          </cell>
          <cell r="AB4" t="str">
            <v>Weft 2 Count</v>
          </cell>
          <cell r="AC4" t="str">
            <v>Weft 2 Wt</v>
          </cell>
          <cell r="AD4" t="str">
            <v>Weft 3 Count</v>
          </cell>
          <cell r="AE4" t="str">
            <v>Weft 3 Wt</v>
          </cell>
          <cell r="AF4" t="str">
            <v>Weft 4 Count</v>
          </cell>
          <cell r="AG4" t="str">
            <v>Weft 4 Wt</v>
          </cell>
          <cell r="AH4" t="str">
            <v>Total Grey Wt</v>
          </cell>
          <cell r="AI4" t="str">
            <v>Total Fsd Wt</v>
          </cell>
          <cell r="AJ4" t="str">
            <v>Wt Loss</v>
          </cell>
          <cell r="AK4" t="str">
            <v>FRC</v>
          </cell>
          <cell r="AL4" t="str">
            <v>H.Waste</v>
          </cell>
          <cell r="AM4" t="str">
            <v>RemYarn/Oth Waste</v>
          </cell>
          <cell r="AN4" t="str">
            <v>GSM Variance</v>
          </cell>
          <cell r="AO4" t="str">
            <v>Pile-Sizing -Vicol</v>
          </cell>
          <cell r="AP4" t="str">
            <v>Pile-Sizing -Wax</v>
          </cell>
          <cell r="AQ4" t="str">
            <v>Ground -Sizing -Vicol</v>
          </cell>
          <cell r="AR4" t="str">
            <v>Ground -Sizing -Wax</v>
          </cell>
          <cell r="AS4" t="str">
            <v>Steam-Sizing-Pile</v>
          </cell>
          <cell r="AT4" t="str">
            <v>Steam-Sizing-Ground</v>
          </cell>
          <cell r="AU4" t="str">
            <v>Steam-Process</v>
          </cell>
          <cell r="AV4" t="str">
            <v>Water-Sizing</v>
          </cell>
          <cell r="AW4" t="str">
            <v>Water-Process</v>
          </cell>
          <cell r="AX4" t="str">
            <v>Dyes</v>
          </cell>
          <cell r="AY4" t="str">
            <v>Chemical</v>
          </cell>
          <cell r="AZ4" t="str">
            <v>Packing</v>
          </cell>
          <cell r="BA4" t="str">
            <v>Power</v>
          </cell>
          <cell r="BB4" t="str">
            <v>Salary</v>
          </cell>
          <cell r="BC4" t="str">
            <v>Wages</v>
          </cell>
          <cell r="BD4" t="str">
            <v>Labour Charges</v>
          </cell>
          <cell r="BE4" t="str">
            <v>Stores &amp; Spares</v>
          </cell>
          <cell r="BF4" t="str">
            <v>Contractor Wages</v>
          </cell>
          <cell r="BG4" t="str">
            <v>Repair &amp; Maintenance</v>
          </cell>
          <cell r="BH4" t="str">
            <v>Overhead</v>
          </cell>
          <cell r="BI4" t="str">
            <v>Exp Dvn  Exp</v>
          </cell>
          <cell r="BJ4" t="str">
            <v>Corporate Expenses</v>
          </cell>
          <cell r="BK4" t="str">
            <v>Insurance</v>
          </cell>
          <cell r="BL4" t="str">
            <v xml:space="preserve">Interest </v>
          </cell>
          <cell r="BM4" t="str">
            <v>Depreciation</v>
          </cell>
          <cell r="BN4" t="str">
            <v>Total</v>
          </cell>
        </row>
        <row r="5">
          <cell r="K5" t="str">
            <v>ExportTargetWaverlyUSABath76x142L</v>
          </cell>
          <cell r="L5">
            <v>0</v>
          </cell>
          <cell r="M5">
            <v>280</v>
          </cell>
          <cell r="N5">
            <v>520</v>
          </cell>
          <cell r="O5">
            <v>0.88</v>
          </cell>
          <cell r="P5">
            <v>3456</v>
          </cell>
          <cell r="Q5">
            <v>24.338028169014084</v>
          </cell>
          <cell r="R5">
            <v>3</v>
          </cell>
          <cell r="S5">
            <v>595</v>
          </cell>
          <cell r="T5" t="str">
            <v>1/13  Comb</v>
          </cell>
          <cell r="U5">
            <v>483.24</v>
          </cell>
          <cell r="X5" t="str">
            <v>2/30  KC</v>
          </cell>
          <cell r="Y5">
            <v>74.06</v>
          </cell>
          <cell r="Z5" t="str">
            <v xml:space="preserve">1/16OE  </v>
          </cell>
          <cell r="AA5">
            <v>89.668999999999997</v>
          </cell>
          <cell r="AB5" t="str">
            <v>2/20  KC</v>
          </cell>
          <cell r="AC5">
            <v>34.369999999999997</v>
          </cell>
          <cell r="AD5" t="str">
            <v>/450  Den</v>
          </cell>
          <cell r="AE5">
            <v>9.0609999999999999</v>
          </cell>
          <cell r="AH5">
            <v>690.4</v>
          </cell>
          <cell r="AI5">
            <v>642.07199999999989</v>
          </cell>
          <cell r="AJ5">
            <v>7.0000000000000007E-2</v>
          </cell>
          <cell r="AK5">
            <v>2.5000000000000001E-3</v>
          </cell>
          <cell r="AL5">
            <v>1.4999999999999999E-2</v>
          </cell>
          <cell r="AM5">
            <v>0</v>
          </cell>
          <cell r="AN5">
            <v>0.01</v>
          </cell>
          <cell r="AO5">
            <v>1.3999999999999999E-2</v>
          </cell>
          <cell r="AQ5">
            <v>2.5000000000000001E-2</v>
          </cell>
          <cell r="AS5">
            <v>3</v>
          </cell>
          <cell r="AT5">
            <v>3</v>
          </cell>
          <cell r="AU5">
            <v>9</v>
          </cell>
          <cell r="AV5">
            <v>1.1000000000000001</v>
          </cell>
          <cell r="AW5">
            <v>70</v>
          </cell>
          <cell r="AY5">
            <v>14.8</v>
          </cell>
          <cell r="AZ5">
            <v>7.61</v>
          </cell>
          <cell r="BA5">
            <v>2465.8214285714289</v>
          </cell>
          <cell r="BB5">
            <v>2183.2285714285713</v>
          </cell>
          <cell r="BC5">
            <v>2076.7714285714287</v>
          </cell>
          <cell r="BD5">
            <v>117.17142857142856</v>
          </cell>
          <cell r="BE5">
            <v>707.3485714285714</v>
          </cell>
          <cell r="BF5">
            <v>783.13714285714286</v>
          </cell>
          <cell r="BG5">
            <v>163.45714285714286</v>
          </cell>
          <cell r="BH5">
            <v>1177.0285714285715</v>
          </cell>
          <cell r="BI5">
            <v>1322.7008670040718</v>
          </cell>
          <cell r="BJ5">
            <v>1222.1905615673563</v>
          </cell>
          <cell r="BK5">
            <v>483.77142857142866</v>
          </cell>
          <cell r="BL5">
            <v>3116.8285714285716</v>
          </cell>
          <cell r="BM5">
            <v>5341.8</v>
          </cell>
          <cell r="BN5">
            <v>21161.255714285715</v>
          </cell>
          <cell r="BO5">
            <v>0</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row>
        <row r="6">
          <cell r="K6" t="str">
            <v>ExportTargetWaverlyUSABath76x142M</v>
          </cell>
          <cell r="M6">
            <v>280</v>
          </cell>
          <cell r="N6">
            <v>520</v>
          </cell>
          <cell r="O6">
            <v>0.88</v>
          </cell>
          <cell r="P6">
            <v>3456</v>
          </cell>
          <cell r="Q6">
            <v>24.338028169014084</v>
          </cell>
          <cell r="R6">
            <v>3</v>
          </cell>
          <cell r="S6">
            <v>595</v>
          </cell>
          <cell r="T6" t="str">
            <v>1/13  Comb</v>
          </cell>
          <cell r="U6">
            <v>483.24</v>
          </cell>
          <cell r="V6">
            <v>0</v>
          </cell>
          <cell r="W6">
            <v>0</v>
          </cell>
          <cell r="X6" t="str">
            <v>2/30  KC</v>
          </cell>
          <cell r="Y6">
            <v>74.06</v>
          </cell>
          <cell r="Z6" t="str">
            <v xml:space="preserve">1/16OE  </v>
          </cell>
          <cell r="AA6">
            <v>89.668999999999997</v>
          </cell>
          <cell r="AB6" t="str">
            <v>2/20  KC</v>
          </cell>
          <cell r="AC6">
            <v>34.369999999999997</v>
          </cell>
          <cell r="AD6" t="str">
            <v>/450  Den</v>
          </cell>
          <cell r="AE6">
            <v>9.0609999999999999</v>
          </cell>
          <cell r="AF6">
            <v>0</v>
          </cell>
          <cell r="AG6">
            <v>0</v>
          </cell>
          <cell r="AH6">
            <v>690.4</v>
          </cell>
          <cell r="AI6">
            <v>642.07199999999989</v>
          </cell>
          <cell r="AJ6">
            <v>7.0000000000000007E-2</v>
          </cell>
          <cell r="AK6">
            <v>2.5000000000000001E-3</v>
          </cell>
          <cell r="AL6">
            <v>1.4999999999999999E-2</v>
          </cell>
          <cell r="AM6">
            <v>0</v>
          </cell>
          <cell r="AN6">
            <v>0.01</v>
          </cell>
          <cell r="AO6">
            <v>1.3999999999999999E-2</v>
          </cell>
          <cell r="AP6">
            <v>0</v>
          </cell>
          <cell r="AQ6">
            <v>2.5000000000000001E-2</v>
          </cell>
          <cell r="AR6">
            <v>0</v>
          </cell>
          <cell r="AS6">
            <v>3</v>
          </cell>
          <cell r="AT6">
            <v>3</v>
          </cell>
          <cell r="AU6">
            <v>9</v>
          </cell>
          <cell r="AV6">
            <v>1.1000000000000001</v>
          </cell>
          <cell r="AW6">
            <v>70</v>
          </cell>
          <cell r="AX6">
            <v>0</v>
          </cell>
          <cell r="AY6">
            <v>14.8</v>
          </cell>
          <cell r="AZ6">
            <v>7.61</v>
          </cell>
          <cell r="BA6">
            <v>2465.8214285714289</v>
          </cell>
          <cell r="BB6">
            <v>2183.2285714285713</v>
          </cell>
          <cell r="BC6">
            <v>2076.7714285714287</v>
          </cell>
          <cell r="BD6">
            <v>117.17142857142856</v>
          </cell>
          <cell r="BE6">
            <v>707.3485714285714</v>
          </cell>
          <cell r="BF6">
            <v>783.13714285714286</v>
          </cell>
          <cell r="BG6">
            <v>163.45714285714286</v>
          </cell>
          <cell r="BH6">
            <v>1177.0285714285715</v>
          </cell>
          <cell r="BI6">
            <v>1322.7008670040718</v>
          </cell>
          <cell r="BJ6">
            <v>1222.1905615673563</v>
          </cell>
          <cell r="BK6">
            <v>483.77142857142866</v>
          </cell>
          <cell r="BL6">
            <v>3116.8285714285716</v>
          </cell>
          <cell r="BM6">
            <v>5341.8</v>
          </cell>
          <cell r="BN6">
            <v>21161.255714285715</v>
          </cell>
          <cell r="BO6">
            <v>0</v>
          </cell>
          <cell r="BP6">
            <v>0</v>
          </cell>
          <cell r="BQ6">
            <v>0</v>
          </cell>
          <cell r="BR6">
            <v>0</v>
          </cell>
          <cell r="BS6">
            <v>0</v>
          </cell>
          <cell r="BT6">
            <v>0</v>
          </cell>
          <cell r="BU6">
            <v>0</v>
          </cell>
          <cell r="BV6">
            <v>0</v>
          </cell>
          <cell r="BW6">
            <v>0</v>
          </cell>
        </row>
        <row r="7">
          <cell r="K7" t="str">
            <v>ExportTargetWaverlyUSABath76x142D</v>
          </cell>
          <cell r="M7">
            <v>280</v>
          </cell>
          <cell r="N7">
            <v>520</v>
          </cell>
          <cell r="O7">
            <v>0.88</v>
          </cell>
          <cell r="P7">
            <v>3456</v>
          </cell>
          <cell r="Q7">
            <v>24.338028169014084</v>
          </cell>
          <cell r="R7">
            <v>3</v>
          </cell>
          <cell r="S7">
            <v>595</v>
          </cell>
          <cell r="T7" t="str">
            <v>1/13  Comb</v>
          </cell>
          <cell r="U7">
            <v>483.24</v>
          </cell>
          <cell r="V7">
            <v>0</v>
          </cell>
          <cell r="W7">
            <v>0</v>
          </cell>
          <cell r="X7" t="str">
            <v>2/30  KC</v>
          </cell>
          <cell r="Y7">
            <v>74.06</v>
          </cell>
          <cell r="Z7" t="str">
            <v xml:space="preserve">1/16OE  </v>
          </cell>
          <cell r="AA7">
            <v>89.668999999999997</v>
          </cell>
          <cell r="AB7" t="str">
            <v>2/20  KC</v>
          </cell>
          <cell r="AC7">
            <v>34.369999999999997</v>
          </cell>
          <cell r="AD7" t="str">
            <v>/450  Den</v>
          </cell>
          <cell r="AE7">
            <v>9.0609999999999999</v>
          </cell>
          <cell r="AF7">
            <v>0</v>
          </cell>
          <cell r="AG7">
            <v>0</v>
          </cell>
          <cell r="AH7">
            <v>690.4</v>
          </cell>
          <cell r="AI7">
            <v>642.07199999999989</v>
          </cell>
          <cell r="AJ7">
            <v>7.0000000000000007E-2</v>
          </cell>
          <cell r="AK7">
            <v>2.5000000000000001E-3</v>
          </cell>
          <cell r="AL7">
            <v>1.4999999999999999E-2</v>
          </cell>
          <cell r="AM7">
            <v>0</v>
          </cell>
          <cell r="AN7">
            <v>0.01</v>
          </cell>
          <cell r="AO7">
            <v>1.3999999999999999E-2</v>
          </cell>
          <cell r="AP7">
            <v>0</v>
          </cell>
          <cell r="AQ7">
            <v>2.5000000000000001E-2</v>
          </cell>
          <cell r="AR7">
            <v>0</v>
          </cell>
          <cell r="AS7">
            <v>3</v>
          </cell>
          <cell r="AT7">
            <v>3</v>
          </cell>
          <cell r="AU7">
            <v>9</v>
          </cell>
          <cell r="AV7">
            <v>1.1000000000000001</v>
          </cell>
          <cell r="AW7">
            <v>70</v>
          </cell>
          <cell r="AX7">
            <v>0</v>
          </cell>
          <cell r="AY7">
            <v>14.8</v>
          </cell>
          <cell r="AZ7">
            <v>7.61</v>
          </cell>
          <cell r="BA7">
            <v>2465.8214285714289</v>
          </cell>
          <cell r="BB7">
            <v>2183.2285714285713</v>
          </cell>
          <cell r="BC7">
            <v>2076.7714285714287</v>
          </cell>
          <cell r="BD7">
            <v>117.17142857142856</v>
          </cell>
          <cell r="BE7">
            <v>707.3485714285714</v>
          </cell>
          <cell r="BF7">
            <v>783.13714285714286</v>
          </cell>
          <cell r="BG7">
            <v>163.45714285714286</v>
          </cell>
          <cell r="BH7">
            <v>1177.0285714285715</v>
          </cell>
          <cell r="BI7">
            <v>1322.7008670040718</v>
          </cell>
          <cell r="BJ7">
            <v>1222.1905615673563</v>
          </cell>
          <cell r="BK7">
            <v>483.77142857142866</v>
          </cell>
          <cell r="BL7">
            <v>3116.8285714285716</v>
          </cell>
          <cell r="BM7">
            <v>5341.8</v>
          </cell>
          <cell r="BN7">
            <v>21161.255714285715</v>
          </cell>
          <cell r="BO7">
            <v>0</v>
          </cell>
          <cell r="BP7">
            <v>0</v>
          </cell>
          <cell r="BQ7">
            <v>0</v>
          </cell>
          <cell r="BR7">
            <v>0</v>
          </cell>
          <cell r="BS7">
            <v>0</v>
          </cell>
          <cell r="BT7">
            <v>0</v>
          </cell>
          <cell r="BU7">
            <v>0</v>
          </cell>
          <cell r="BV7">
            <v>0</v>
          </cell>
          <cell r="BW7">
            <v>0</v>
          </cell>
        </row>
        <row r="8">
          <cell r="K8" t="str">
            <v>ExportTargetWaverlyUSAHand41x76L</v>
          </cell>
          <cell r="M8">
            <v>340</v>
          </cell>
          <cell r="N8">
            <v>450</v>
          </cell>
          <cell r="O8">
            <v>0.88</v>
          </cell>
          <cell r="P8">
            <v>2202</v>
          </cell>
          <cell r="Q8">
            <v>28.973684210526315</v>
          </cell>
          <cell r="R8">
            <v>6</v>
          </cell>
          <cell r="S8">
            <v>614</v>
          </cell>
          <cell r="T8" t="str">
            <v>1/13  Comb</v>
          </cell>
          <cell r="U8">
            <v>133.83000000000001</v>
          </cell>
          <cell r="X8" t="str">
            <v>2/30  KC</v>
          </cell>
          <cell r="Y8">
            <v>22.79</v>
          </cell>
          <cell r="Z8" t="str">
            <v xml:space="preserve">1/16OE  </v>
          </cell>
          <cell r="AA8">
            <v>29.478000000000002</v>
          </cell>
          <cell r="AB8" t="str">
            <v>2/20  KC</v>
          </cell>
          <cell r="AC8">
            <v>15.87</v>
          </cell>
          <cell r="AD8" t="str">
            <v>/450  Den</v>
          </cell>
          <cell r="AE8">
            <v>3.7370000000000001</v>
          </cell>
          <cell r="AH8">
            <v>205.70500000000001</v>
          </cell>
          <cell r="AI8">
            <v>191.30564999999999</v>
          </cell>
          <cell r="AJ8">
            <v>7.0000000000000007E-2</v>
          </cell>
          <cell r="AK8">
            <v>2.5000000000000001E-3</v>
          </cell>
          <cell r="AL8">
            <v>1.4999999999999999E-2</v>
          </cell>
          <cell r="AM8">
            <v>0</v>
          </cell>
          <cell r="AN8">
            <v>0.01</v>
          </cell>
          <cell r="AO8">
            <v>1.3999999999999999E-2</v>
          </cell>
          <cell r="AQ8">
            <v>2.5000000000000001E-2</v>
          </cell>
          <cell r="AS8">
            <v>3</v>
          </cell>
          <cell r="AT8">
            <v>3</v>
          </cell>
          <cell r="AU8">
            <v>9</v>
          </cell>
          <cell r="AV8">
            <v>1.1000000000000001</v>
          </cell>
          <cell r="AW8">
            <v>70</v>
          </cell>
        </row>
        <row r="9">
          <cell r="K9" t="str">
            <v>ExportTargetWaverlyUSAHand41x76M</v>
          </cell>
          <cell r="M9">
            <v>340</v>
          </cell>
          <cell r="N9">
            <v>450</v>
          </cell>
          <cell r="O9">
            <v>0.88</v>
          </cell>
          <cell r="P9">
            <v>2202</v>
          </cell>
          <cell r="Q9">
            <v>28.973684210526315</v>
          </cell>
          <cell r="R9">
            <v>6</v>
          </cell>
          <cell r="S9">
            <v>614</v>
          </cell>
          <cell r="T9" t="str">
            <v>1/13  Comb</v>
          </cell>
          <cell r="U9">
            <v>133.83000000000001</v>
          </cell>
          <cell r="V9">
            <v>0</v>
          </cell>
          <cell r="W9">
            <v>0</v>
          </cell>
          <cell r="X9" t="str">
            <v>2/30  KC</v>
          </cell>
          <cell r="Y9">
            <v>22.79</v>
          </cell>
          <cell r="Z9" t="str">
            <v xml:space="preserve">1/16OE  </v>
          </cell>
          <cell r="AA9">
            <v>29.478000000000002</v>
          </cell>
          <cell r="AB9" t="str">
            <v>2/20  KC</v>
          </cell>
          <cell r="AC9">
            <v>15.87</v>
          </cell>
          <cell r="AD9" t="str">
            <v>/450  Den</v>
          </cell>
          <cell r="AE9">
            <v>3.7370000000000001</v>
          </cell>
          <cell r="AF9">
            <v>0</v>
          </cell>
          <cell r="AG9">
            <v>0</v>
          </cell>
          <cell r="AH9">
            <v>205.70500000000001</v>
          </cell>
          <cell r="AI9">
            <v>191.30564999999999</v>
          </cell>
          <cell r="AJ9">
            <v>7.0000000000000007E-2</v>
          </cell>
          <cell r="AK9">
            <v>2.5000000000000001E-3</v>
          </cell>
          <cell r="AL9">
            <v>1.4999999999999999E-2</v>
          </cell>
          <cell r="AM9">
            <v>0</v>
          </cell>
          <cell r="AN9">
            <v>0.01</v>
          </cell>
          <cell r="AO9">
            <v>1.3999999999999999E-2</v>
          </cell>
          <cell r="AP9">
            <v>0</v>
          </cell>
          <cell r="AQ9">
            <v>2.5000000000000001E-2</v>
          </cell>
          <cell r="AR9">
            <v>0</v>
          </cell>
          <cell r="AS9">
            <v>3</v>
          </cell>
          <cell r="AT9">
            <v>3</v>
          </cell>
          <cell r="AU9">
            <v>9</v>
          </cell>
          <cell r="AV9">
            <v>1.1000000000000001</v>
          </cell>
          <cell r="AW9">
            <v>70</v>
          </cell>
        </row>
        <row r="10">
          <cell r="K10" t="str">
            <v>ExportTargetWaverlyUSAHand41x76D</v>
          </cell>
          <cell r="M10">
            <v>340</v>
          </cell>
          <cell r="N10">
            <v>450</v>
          </cell>
          <cell r="O10">
            <v>0.88</v>
          </cell>
          <cell r="P10">
            <v>2202</v>
          </cell>
          <cell r="Q10">
            <v>28.973684210526315</v>
          </cell>
          <cell r="R10">
            <v>6</v>
          </cell>
          <cell r="S10">
            <v>614</v>
          </cell>
          <cell r="T10" t="str">
            <v>1/13  Comb</v>
          </cell>
          <cell r="U10">
            <v>133.83000000000001</v>
          </cell>
          <cell r="V10">
            <v>0</v>
          </cell>
          <cell r="W10">
            <v>0</v>
          </cell>
          <cell r="X10" t="str">
            <v>2/30  KC</v>
          </cell>
          <cell r="Y10">
            <v>22.79</v>
          </cell>
          <cell r="Z10" t="str">
            <v xml:space="preserve">1/16OE  </v>
          </cell>
          <cell r="AA10">
            <v>29.478000000000002</v>
          </cell>
          <cell r="AB10" t="str">
            <v>2/20  KC</v>
          </cell>
          <cell r="AC10">
            <v>15.87</v>
          </cell>
          <cell r="AD10" t="str">
            <v>/450  Den</v>
          </cell>
          <cell r="AE10">
            <v>3.7370000000000001</v>
          </cell>
          <cell r="AF10">
            <v>0</v>
          </cell>
          <cell r="AG10">
            <v>0</v>
          </cell>
          <cell r="AH10">
            <v>205.70500000000001</v>
          </cell>
          <cell r="AI10">
            <v>191.30564999999999</v>
          </cell>
          <cell r="AJ10">
            <v>7.0000000000000007E-2</v>
          </cell>
          <cell r="AK10">
            <v>2.5000000000000001E-3</v>
          </cell>
          <cell r="AL10">
            <v>1.4999999999999999E-2</v>
          </cell>
          <cell r="AM10">
            <v>0</v>
          </cell>
          <cell r="AN10">
            <v>0.01</v>
          </cell>
          <cell r="AO10">
            <v>1.3999999999999999E-2</v>
          </cell>
          <cell r="AP10">
            <v>0</v>
          </cell>
          <cell r="AQ10">
            <v>2.5000000000000001E-2</v>
          </cell>
          <cell r="AR10">
            <v>0</v>
          </cell>
          <cell r="AS10">
            <v>3</v>
          </cell>
          <cell r="AT10">
            <v>3</v>
          </cell>
          <cell r="AU10">
            <v>9</v>
          </cell>
          <cell r="AV10">
            <v>1.1000000000000001</v>
          </cell>
          <cell r="AW10">
            <v>70</v>
          </cell>
        </row>
        <row r="11">
          <cell r="K11" t="str">
            <v>ExportTargetWaverlyUSAWash30x30L</v>
          </cell>
          <cell r="M11">
            <v>340</v>
          </cell>
          <cell r="N11">
            <v>450</v>
          </cell>
          <cell r="O11">
            <v>0.88</v>
          </cell>
          <cell r="P11">
            <v>984</v>
          </cell>
          <cell r="Q11">
            <v>32.799999999999997</v>
          </cell>
          <cell r="R11">
            <v>8</v>
          </cell>
          <cell r="S11">
            <v>644</v>
          </cell>
          <cell r="T11" t="str">
            <v>1/13  Comb</v>
          </cell>
          <cell r="U11">
            <v>36.840000000000003</v>
          </cell>
          <cell r="X11" t="str">
            <v>2/30  KC</v>
          </cell>
          <cell r="Y11">
            <v>7.97</v>
          </cell>
          <cell r="Z11" t="str">
            <v xml:space="preserve">1/16OE  </v>
          </cell>
          <cell r="AA11">
            <v>9.52</v>
          </cell>
          <cell r="AB11" t="str">
            <v>2/20  KC</v>
          </cell>
          <cell r="AC11">
            <v>7.02</v>
          </cell>
          <cell r="AD11" t="str">
            <v>/450  Den</v>
          </cell>
          <cell r="AE11">
            <v>1.052</v>
          </cell>
          <cell r="AH11">
            <v>62.401999999999994</v>
          </cell>
          <cell r="AI11">
            <v>58.03385999999999</v>
          </cell>
          <cell r="AJ11">
            <v>7.0000000000000007E-2</v>
          </cell>
          <cell r="AK11">
            <v>2.5000000000000001E-3</v>
          </cell>
          <cell r="AL11">
            <v>1.4999999999999999E-2</v>
          </cell>
          <cell r="AM11">
            <v>0</v>
          </cell>
          <cell r="AN11">
            <v>0.01</v>
          </cell>
          <cell r="AO11">
            <v>1.3999999999999999E-2</v>
          </cell>
          <cell r="AQ11">
            <v>2.5000000000000001E-2</v>
          </cell>
          <cell r="AS11">
            <v>3</v>
          </cell>
          <cell r="AT11">
            <v>3</v>
          </cell>
          <cell r="AU11">
            <v>9</v>
          </cell>
          <cell r="AV11">
            <v>1.1000000000000001</v>
          </cell>
          <cell r="AW11">
            <v>70</v>
          </cell>
        </row>
        <row r="12">
          <cell r="K12" t="str">
            <v>ExportTargetWaverlyUSAWash30x30M</v>
          </cell>
          <cell r="M12">
            <v>340</v>
          </cell>
          <cell r="N12">
            <v>450</v>
          </cell>
          <cell r="O12">
            <v>0.88</v>
          </cell>
          <cell r="P12">
            <v>984</v>
          </cell>
          <cell r="Q12">
            <v>32.799999999999997</v>
          </cell>
          <cell r="R12">
            <v>8</v>
          </cell>
          <cell r="S12">
            <v>644</v>
          </cell>
          <cell r="T12" t="str">
            <v>1/13  Comb</v>
          </cell>
          <cell r="U12">
            <v>36.840000000000003</v>
          </cell>
          <cell r="V12">
            <v>0</v>
          </cell>
          <cell r="W12">
            <v>0</v>
          </cell>
          <cell r="X12" t="str">
            <v>2/30  KC</v>
          </cell>
          <cell r="Y12">
            <v>7.97</v>
          </cell>
          <cell r="Z12" t="str">
            <v xml:space="preserve">1/16OE  </v>
          </cell>
          <cell r="AA12">
            <v>9.52</v>
          </cell>
          <cell r="AB12" t="str">
            <v>2/20  KC</v>
          </cell>
          <cell r="AC12">
            <v>7.02</v>
          </cell>
          <cell r="AD12" t="str">
            <v>/450  Den</v>
          </cell>
          <cell r="AE12">
            <v>1.052</v>
          </cell>
          <cell r="AF12">
            <v>0</v>
          </cell>
          <cell r="AG12">
            <v>0</v>
          </cell>
          <cell r="AH12">
            <v>62.401999999999994</v>
          </cell>
          <cell r="AI12">
            <v>58.03385999999999</v>
          </cell>
          <cell r="AJ12">
            <v>7.0000000000000007E-2</v>
          </cell>
          <cell r="AK12">
            <v>2.5000000000000001E-3</v>
          </cell>
          <cell r="AL12">
            <v>1.4999999999999999E-2</v>
          </cell>
          <cell r="AM12">
            <v>0</v>
          </cell>
          <cell r="AN12">
            <v>0.01</v>
          </cell>
          <cell r="AO12">
            <v>1.3999999999999999E-2</v>
          </cell>
          <cell r="AP12">
            <v>0</v>
          </cell>
          <cell r="AQ12">
            <v>2.5000000000000001E-2</v>
          </cell>
          <cell r="AR12">
            <v>0</v>
          </cell>
          <cell r="AS12">
            <v>3</v>
          </cell>
          <cell r="AT12">
            <v>3</v>
          </cell>
          <cell r="AU12">
            <v>9</v>
          </cell>
          <cell r="AV12">
            <v>1.1000000000000001</v>
          </cell>
          <cell r="AW12">
            <v>70</v>
          </cell>
        </row>
        <row r="13">
          <cell r="K13" t="str">
            <v>ExportTargetWaverlyUSAWash30x30D</v>
          </cell>
          <cell r="M13">
            <v>340</v>
          </cell>
          <cell r="N13">
            <v>450</v>
          </cell>
          <cell r="O13">
            <v>0.88</v>
          </cell>
          <cell r="P13">
            <v>984</v>
          </cell>
          <cell r="Q13">
            <v>32.799999999999997</v>
          </cell>
          <cell r="R13">
            <v>8</v>
          </cell>
          <cell r="S13">
            <v>644</v>
          </cell>
          <cell r="T13" t="str">
            <v>1/13  Comb</v>
          </cell>
          <cell r="U13">
            <v>36.840000000000003</v>
          </cell>
          <cell r="V13">
            <v>0</v>
          </cell>
          <cell r="W13">
            <v>0</v>
          </cell>
          <cell r="X13" t="str">
            <v>2/30  KC</v>
          </cell>
          <cell r="Y13">
            <v>7.97</v>
          </cell>
          <cell r="Z13" t="str">
            <v xml:space="preserve">1/16OE  </v>
          </cell>
          <cell r="AA13">
            <v>9.52</v>
          </cell>
          <cell r="AB13" t="str">
            <v>2/20  KC</v>
          </cell>
          <cell r="AC13">
            <v>7.02</v>
          </cell>
          <cell r="AD13" t="str">
            <v>/450  Den</v>
          </cell>
          <cell r="AE13">
            <v>1.052</v>
          </cell>
          <cell r="AF13">
            <v>0</v>
          </cell>
          <cell r="AG13">
            <v>0</v>
          </cell>
          <cell r="AH13">
            <v>62.401999999999994</v>
          </cell>
          <cell r="AI13">
            <v>58.03385999999999</v>
          </cell>
          <cell r="AJ13">
            <v>7.0000000000000007E-2</v>
          </cell>
          <cell r="AK13">
            <v>2.5000000000000001E-3</v>
          </cell>
          <cell r="AL13">
            <v>1.4999999999999999E-2</v>
          </cell>
          <cell r="AM13">
            <v>0</v>
          </cell>
          <cell r="AN13">
            <v>0.01</v>
          </cell>
          <cell r="AO13">
            <v>1.3999999999999999E-2</v>
          </cell>
          <cell r="AP13">
            <v>0</v>
          </cell>
          <cell r="AQ13">
            <v>2.5000000000000001E-2</v>
          </cell>
          <cell r="AR13">
            <v>0</v>
          </cell>
          <cell r="AS13">
            <v>3</v>
          </cell>
          <cell r="AT13">
            <v>3</v>
          </cell>
          <cell r="AU13">
            <v>9</v>
          </cell>
          <cell r="AV13">
            <v>1.1000000000000001</v>
          </cell>
          <cell r="AW13">
            <v>70</v>
          </cell>
        </row>
        <row r="14">
          <cell r="K14" t="str">
            <v>ExportWalmartHome TrendsUSABath76x132L</v>
          </cell>
          <cell r="M14">
            <v>280</v>
          </cell>
          <cell r="N14">
            <v>520</v>
          </cell>
          <cell r="O14">
            <v>0.88</v>
          </cell>
          <cell r="P14">
            <v>2619</v>
          </cell>
          <cell r="Q14">
            <v>19.84090909090909</v>
          </cell>
          <cell r="R14">
            <v>3</v>
          </cell>
          <cell r="S14">
            <v>584</v>
          </cell>
          <cell r="T14" t="str">
            <v>1/13  Tend KC</v>
          </cell>
          <cell r="U14">
            <v>446.08</v>
          </cell>
          <cell r="X14" t="str">
            <v>2/24  KC</v>
          </cell>
          <cell r="Y14">
            <v>87.53</v>
          </cell>
          <cell r="Z14" t="str">
            <v xml:space="preserve">1/14OE  </v>
          </cell>
          <cell r="AA14">
            <v>81.709999999999994</v>
          </cell>
          <cell r="AB14" t="str">
            <v>2/20  KC</v>
          </cell>
          <cell r="AC14">
            <v>28.48</v>
          </cell>
          <cell r="AH14">
            <v>643.80000000000007</v>
          </cell>
          <cell r="AI14">
            <v>585.85800000000006</v>
          </cell>
          <cell r="AJ14">
            <v>0.09</v>
          </cell>
          <cell r="AK14">
            <v>2.5000000000000001E-3</v>
          </cell>
          <cell r="AL14">
            <v>1.4999999999999999E-2</v>
          </cell>
          <cell r="AM14">
            <v>0</v>
          </cell>
          <cell r="AN14">
            <v>0.01</v>
          </cell>
          <cell r="AO14">
            <v>1.3999999999999999E-2</v>
          </cell>
          <cell r="AQ14">
            <v>2.5000000000000001E-2</v>
          </cell>
          <cell r="AS14">
            <v>3</v>
          </cell>
          <cell r="AT14">
            <v>3</v>
          </cell>
          <cell r="AU14">
            <v>9</v>
          </cell>
          <cell r="AV14">
            <v>1.1000000000000001</v>
          </cell>
          <cell r="AW14">
            <v>70</v>
          </cell>
        </row>
        <row r="15">
          <cell r="K15" t="str">
            <v>ExportWalmartHome TrendsUSABath76x132M</v>
          </cell>
          <cell r="M15">
            <v>280</v>
          </cell>
          <cell r="N15">
            <v>520</v>
          </cell>
          <cell r="O15">
            <v>0.88</v>
          </cell>
          <cell r="P15">
            <v>2619</v>
          </cell>
          <cell r="Q15">
            <v>19.84090909090909</v>
          </cell>
          <cell r="R15">
            <v>3</v>
          </cell>
          <cell r="S15">
            <v>584</v>
          </cell>
          <cell r="T15" t="str">
            <v>1/13  Tend KC</v>
          </cell>
          <cell r="U15">
            <v>446.08</v>
          </cell>
          <cell r="V15">
            <v>0</v>
          </cell>
          <cell r="W15">
            <v>0</v>
          </cell>
          <cell r="X15" t="str">
            <v>2/24  KC</v>
          </cell>
          <cell r="Y15">
            <v>87.53</v>
          </cell>
          <cell r="Z15" t="str">
            <v xml:space="preserve">1/14OE  </v>
          </cell>
          <cell r="AA15">
            <v>81.709999999999994</v>
          </cell>
          <cell r="AB15" t="str">
            <v>2/20  KC</v>
          </cell>
          <cell r="AC15">
            <v>28.48</v>
          </cell>
          <cell r="AD15">
            <v>0</v>
          </cell>
          <cell r="AE15">
            <v>0</v>
          </cell>
          <cell r="AF15">
            <v>0</v>
          </cell>
          <cell r="AG15">
            <v>0</v>
          </cell>
          <cell r="AH15">
            <v>643.80000000000007</v>
          </cell>
          <cell r="AI15">
            <v>585.85800000000006</v>
          </cell>
          <cell r="AJ15">
            <v>0.09</v>
          </cell>
          <cell r="AK15">
            <v>2.5000000000000001E-3</v>
          </cell>
          <cell r="AL15">
            <v>1.4999999999999999E-2</v>
          </cell>
          <cell r="AM15">
            <v>0</v>
          </cell>
          <cell r="AN15">
            <v>0.01</v>
          </cell>
          <cell r="AO15">
            <v>1.3999999999999999E-2</v>
          </cell>
          <cell r="AP15">
            <v>0</v>
          </cell>
          <cell r="AQ15">
            <v>2.5000000000000001E-2</v>
          </cell>
          <cell r="AR15">
            <v>0</v>
          </cell>
          <cell r="AS15">
            <v>3</v>
          </cell>
          <cell r="AT15">
            <v>3</v>
          </cell>
          <cell r="AU15">
            <v>9</v>
          </cell>
          <cell r="AV15">
            <v>1.1000000000000001</v>
          </cell>
          <cell r="AW15">
            <v>70</v>
          </cell>
        </row>
        <row r="16">
          <cell r="K16" t="str">
            <v>ExportWalmartHome TrendsUSABath76x132D</v>
          </cell>
          <cell r="M16">
            <v>280</v>
          </cell>
          <cell r="N16">
            <v>520</v>
          </cell>
          <cell r="O16">
            <v>0.88</v>
          </cell>
          <cell r="P16">
            <v>2619</v>
          </cell>
          <cell r="Q16">
            <v>19.84090909090909</v>
          </cell>
          <cell r="R16">
            <v>3</v>
          </cell>
          <cell r="S16">
            <v>584</v>
          </cell>
          <cell r="T16" t="str">
            <v>1/13  Tend KC</v>
          </cell>
          <cell r="U16">
            <v>446.08</v>
          </cell>
          <cell r="V16">
            <v>0</v>
          </cell>
          <cell r="W16">
            <v>0</v>
          </cell>
          <cell r="X16" t="str">
            <v>2/24  KC</v>
          </cell>
          <cell r="Y16">
            <v>87.53</v>
          </cell>
          <cell r="Z16" t="str">
            <v xml:space="preserve">1/14OE  </v>
          </cell>
          <cell r="AA16">
            <v>81.709999999999994</v>
          </cell>
          <cell r="AB16" t="str">
            <v>2/20  KC</v>
          </cell>
          <cell r="AC16">
            <v>28.48</v>
          </cell>
          <cell r="AD16">
            <v>0</v>
          </cell>
          <cell r="AE16">
            <v>0</v>
          </cell>
          <cell r="AF16">
            <v>0</v>
          </cell>
          <cell r="AG16">
            <v>0</v>
          </cell>
          <cell r="AH16">
            <v>643.80000000000007</v>
          </cell>
          <cell r="AI16">
            <v>585.85800000000006</v>
          </cell>
          <cell r="AJ16">
            <v>0.09</v>
          </cell>
          <cell r="AK16">
            <v>2.5000000000000001E-3</v>
          </cell>
          <cell r="AL16">
            <v>1.4999999999999999E-2</v>
          </cell>
          <cell r="AM16">
            <v>0</v>
          </cell>
          <cell r="AN16">
            <v>0.01</v>
          </cell>
          <cell r="AO16">
            <v>1.3999999999999999E-2</v>
          </cell>
          <cell r="AP16">
            <v>0</v>
          </cell>
          <cell r="AQ16">
            <v>2.5000000000000001E-2</v>
          </cell>
          <cell r="AR16">
            <v>0</v>
          </cell>
          <cell r="AS16">
            <v>3</v>
          </cell>
          <cell r="AT16">
            <v>3</v>
          </cell>
          <cell r="AU16">
            <v>9</v>
          </cell>
          <cell r="AV16">
            <v>1.1000000000000001</v>
          </cell>
          <cell r="AW16">
            <v>70</v>
          </cell>
        </row>
        <row r="17">
          <cell r="K17" t="str">
            <v>ExportWalmartHome TrendsUSAHand41x69L</v>
          </cell>
          <cell r="M17">
            <v>340</v>
          </cell>
          <cell r="N17">
            <v>450</v>
          </cell>
          <cell r="O17">
            <v>0.88</v>
          </cell>
          <cell r="P17">
            <v>1518</v>
          </cell>
          <cell r="Q17">
            <v>22</v>
          </cell>
          <cell r="R17">
            <v>6</v>
          </cell>
          <cell r="S17">
            <v>534</v>
          </cell>
          <cell r="T17" t="str">
            <v>1/13   KC</v>
          </cell>
          <cell r="U17">
            <v>102</v>
          </cell>
          <cell r="X17" t="str">
            <v>2/24  KC</v>
          </cell>
          <cell r="Y17">
            <v>26.85</v>
          </cell>
          <cell r="Z17" t="str">
            <v xml:space="preserve">1/14OE  </v>
          </cell>
          <cell r="AA17">
            <v>23.364000000000001</v>
          </cell>
          <cell r="AB17" t="str">
            <v>2/20  KC</v>
          </cell>
          <cell r="AC17">
            <v>13.78</v>
          </cell>
          <cell r="AH17">
            <v>165.994</v>
          </cell>
          <cell r="AI17">
            <v>151.05454</v>
          </cell>
          <cell r="AJ17">
            <v>0.09</v>
          </cell>
          <cell r="AK17">
            <v>2.5000000000000001E-3</v>
          </cell>
          <cell r="AL17">
            <v>1.4999999999999999E-2</v>
          </cell>
          <cell r="AM17">
            <v>0</v>
          </cell>
          <cell r="AN17">
            <v>0.01</v>
          </cell>
          <cell r="AO17">
            <v>1.3999999999999999E-2</v>
          </cell>
          <cell r="AQ17">
            <v>2.5000000000000001E-2</v>
          </cell>
          <cell r="AS17">
            <v>3</v>
          </cell>
          <cell r="AT17">
            <v>3</v>
          </cell>
          <cell r="AU17">
            <v>9</v>
          </cell>
          <cell r="AV17">
            <v>1.1000000000000001</v>
          </cell>
          <cell r="AW17">
            <v>70</v>
          </cell>
        </row>
        <row r="18">
          <cell r="K18" t="str">
            <v>ExportWalmartHome TrendsUSAHand41x69M</v>
          </cell>
          <cell r="M18">
            <v>340</v>
          </cell>
          <cell r="N18">
            <v>450</v>
          </cell>
          <cell r="O18">
            <v>0.88</v>
          </cell>
          <cell r="P18">
            <v>1518</v>
          </cell>
          <cell r="Q18">
            <v>22</v>
          </cell>
          <cell r="R18">
            <v>6</v>
          </cell>
          <cell r="S18">
            <v>534</v>
          </cell>
          <cell r="T18" t="str">
            <v>1/13   KC</v>
          </cell>
          <cell r="U18">
            <v>102</v>
          </cell>
          <cell r="V18">
            <v>0</v>
          </cell>
          <cell r="W18">
            <v>0</v>
          </cell>
          <cell r="X18" t="str">
            <v>2/24  KC</v>
          </cell>
          <cell r="Y18">
            <v>26.85</v>
          </cell>
          <cell r="Z18" t="str">
            <v xml:space="preserve">1/14OE  </v>
          </cell>
          <cell r="AA18">
            <v>23.364000000000001</v>
          </cell>
          <cell r="AB18" t="str">
            <v>2/20  KC</v>
          </cell>
          <cell r="AC18">
            <v>13.78</v>
          </cell>
          <cell r="AD18">
            <v>0</v>
          </cell>
          <cell r="AE18">
            <v>0</v>
          </cell>
          <cell r="AF18">
            <v>0</v>
          </cell>
          <cell r="AG18">
            <v>0</v>
          </cell>
          <cell r="AH18">
            <v>165.994</v>
          </cell>
          <cell r="AI18">
            <v>151.05454</v>
          </cell>
          <cell r="AJ18">
            <v>0.09</v>
          </cell>
          <cell r="AK18">
            <v>2.5000000000000001E-3</v>
          </cell>
          <cell r="AL18">
            <v>1.4999999999999999E-2</v>
          </cell>
          <cell r="AM18">
            <v>0</v>
          </cell>
          <cell r="AN18">
            <v>0.01</v>
          </cell>
          <cell r="AO18">
            <v>1.3999999999999999E-2</v>
          </cell>
          <cell r="AP18">
            <v>0</v>
          </cell>
          <cell r="AQ18">
            <v>2.5000000000000001E-2</v>
          </cell>
          <cell r="AR18">
            <v>0</v>
          </cell>
          <cell r="AS18">
            <v>3</v>
          </cell>
          <cell r="AT18">
            <v>3</v>
          </cell>
          <cell r="AU18">
            <v>9</v>
          </cell>
          <cell r="AV18">
            <v>1.1000000000000001</v>
          </cell>
          <cell r="AW18">
            <v>70</v>
          </cell>
        </row>
        <row r="19">
          <cell r="K19" t="str">
            <v>ExportWalmartHome TrendsUSAHand41x69D</v>
          </cell>
          <cell r="M19">
            <v>340</v>
          </cell>
          <cell r="N19">
            <v>450</v>
          </cell>
          <cell r="O19">
            <v>0.88</v>
          </cell>
          <cell r="P19">
            <v>1518</v>
          </cell>
          <cell r="Q19">
            <v>22</v>
          </cell>
          <cell r="R19">
            <v>6</v>
          </cell>
          <cell r="S19">
            <v>534</v>
          </cell>
          <cell r="T19" t="str">
            <v>1/13   KC</v>
          </cell>
          <cell r="U19">
            <v>102</v>
          </cell>
          <cell r="V19">
            <v>0</v>
          </cell>
          <cell r="W19">
            <v>0</v>
          </cell>
          <cell r="X19" t="str">
            <v>2/24  KC</v>
          </cell>
          <cell r="Y19">
            <v>26.85</v>
          </cell>
          <cell r="Z19" t="str">
            <v xml:space="preserve">1/14OE  </v>
          </cell>
          <cell r="AA19">
            <v>23.364000000000001</v>
          </cell>
          <cell r="AB19" t="str">
            <v>2/20  KC</v>
          </cell>
          <cell r="AC19">
            <v>13.78</v>
          </cell>
          <cell r="AD19">
            <v>0</v>
          </cell>
          <cell r="AE19">
            <v>0</v>
          </cell>
          <cell r="AF19">
            <v>0</v>
          </cell>
          <cell r="AG19">
            <v>0</v>
          </cell>
          <cell r="AH19">
            <v>165.994</v>
          </cell>
          <cell r="AI19">
            <v>151.05454</v>
          </cell>
          <cell r="AJ19">
            <v>0.09</v>
          </cell>
          <cell r="AK19">
            <v>2.5000000000000001E-3</v>
          </cell>
          <cell r="AL19">
            <v>1.4999999999999999E-2</v>
          </cell>
          <cell r="AM19">
            <v>0</v>
          </cell>
          <cell r="AN19">
            <v>0.01</v>
          </cell>
          <cell r="AO19">
            <v>1.3999999999999999E-2</v>
          </cell>
          <cell r="AP19">
            <v>0</v>
          </cell>
          <cell r="AQ19">
            <v>2.5000000000000001E-2</v>
          </cell>
          <cell r="AR19">
            <v>0</v>
          </cell>
          <cell r="AS19">
            <v>3</v>
          </cell>
          <cell r="AT19">
            <v>3</v>
          </cell>
          <cell r="AU19">
            <v>9</v>
          </cell>
          <cell r="AV19">
            <v>1.1000000000000001</v>
          </cell>
          <cell r="AW19">
            <v>70</v>
          </cell>
        </row>
        <row r="20">
          <cell r="K20" t="str">
            <v>ExportWalmartHome TrendsUSAWash33x33L</v>
          </cell>
          <cell r="M20">
            <v>340</v>
          </cell>
          <cell r="N20">
            <v>450</v>
          </cell>
          <cell r="O20">
            <v>0.88</v>
          </cell>
          <cell r="P20">
            <v>636</v>
          </cell>
          <cell r="Q20">
            <v>19.272727272727273</v>
          </cell>
          <cell r="R20">
            <v>8</v>
          </cell>
          <cell r="S20">
            <v>521</v>
          </cell>
          <cell r="T20" t="str">
            <v>1/13   KC</v>
          </cell>
          <cell r="U20">
            <v>41.32</v>
          </cell>
          <cell r="X20" t="str">
            <v>2/24  KC</v>
          </cell>
          <cell r="Y20">
            <v>9.2200000000000006</v>
          </cell>
          <cell r="Z20" t="str">
            <v xml:space="preserve">1/14OE  </v>
          </cell>
          <cell r="AA20">
            <v>8.09</v>
          </cell>
          <cell r="AB20" t="str">
            <v>2/20  KC</v>
          </cell>
          <cell r="AC20">
            <v>4.0659999999999998</v>
          </cell>
          <cell r="AH20">
            <v>62.695999999999998</v>
          </cell>
          <cell r="AI20">
            <v>56.739879999999999</v>
          </cell>
          <cell r="AJ20">
            <v>9.5000000000000001E-2</v>
          </cell>
          <cell r="AK20">
            <v>2.5000000000000001E-3</v>
          </cell>
          <cell r="AL20">
            <v>1.4999999999999999E-2</v>
          </cell>
          <cell r="AM20">
            <v>0</v>
          </cell>
          <cell r="AN20">
            <v>0.01</v>
          </cell>
          <cell r="AO20">
            <v>1.3999999999999999E-2</v>
          </cell>
          <cell r="AQ20">
            <v>2.5000000000000001E-2</v>
          </cell>
          <cell r="AS20">
            <v>3</v>
          </cell>
          <cell r="AT20">
            <v>3</v>
          </cell>
          <cell r="AU20">
            <v>9</v>
          </cell>
          <cell r="AV20">
            <v>1.1000000000000001</v>
          </cell>
          <cell r="AW20">
            <v>70</v>
          </cell>
        </row>
        <row r="21">
          <cell r="K21" t="str">
            <v>ExportWalmartHome TrendsUSAWash33x33M</v>
          </cell>
          <cell r="M21">
            <v>340</v>
          </cell>
          <cell r="N21">
            <v>450</v>
          </cell>
          <cell r="O21">
            <v>0.88</v>
          </cell>
          <cell r="P21">
            <v>636</v>
          </cell>
          <cell r="Q21">
            <v>19.272727272727273</v>
          </cell>
          <cell r="R21">
            <v>8</v>
          </cell>
          <cell r="S21">
            <v>521</v>
          </cell>
          <cell r="T21" t="str">
            <v>1/13   KC</v>
          </cell>
          <cell r="U21">
            <v>41.32</v>
          </cell>
          <cell r="V21">
            <v>0</v>
          </cell>
          <cell r="W21">
            <v>0</v>
          </cell>
          <cell r="X21" t="str">
            <v>2/24  KC</v>
          </cell>
          <cell r="Y21">
            <v>9.2200000000000006</v>
          </cell>
          <cell r="Z21" t="str">
            <v xml:space="preserve">1/14OE  </v>
          </cell>
          <cell r="AA21">
            <v>8.09</v>
          </cell>
          <cell r="AB21" t="str">
            <v>2/20  KC</v>
          </cell>
          <cell r="AC21">
            <v>4.0659999999999998</v>
          </cell>
          <cell r="AD21">
            <v>0</v>
          </cell>
          <cell r="AE21">
            <v>0</v>
          </cell>
          <cell r="AF21">
            <v>0</v>
          </cell>
          <cell r="AG21">
            <v>0</v>
          </cell>
          <cell r="AH21">
            <v>62.695999999999998</v>
          </cell>
          <cell r="AI21">
            <v>56.739879999999999</v>
          </cell>
          <cell r="AJ21">
            <v>9.5000000000000001E-2</v>
          </cell>
          <cell r="AK21">
            <v>2.5000000000000001E-3</v>
          </cell>
          <cell r="AL21">
            <v>1.4999999999999999E-2</v>
          </cell>
          <cell r="AM21">
            <v>0</v>
          </cell>
          <cell r="AN21">
            <v>0.01</v>
          </cell>
          <cell r="AO21">
            <v>1.3999999999999999E-2</v>
          </cell>
          <cell r="AP21">
            <v>0</v>
          </cell>
          <cell r="AQ21">
            <v>2.5000000000000001E-2</v>
          </cell>
          <cell r="AR21">
            <v>0</v>
          </cell>
          <cell r="AS21">
            <v>3</v>
          </cell>
          <cell r="AT21">
            <v>3</v>
          </cell>
          <cell r="AU21">
            <v>9</v>
          </cell>
          <cell r="AV21">
            <v>1.1000000000000001</v>
          </cell>
          <cell r="AW21">
            <v>70</v>
          </cell>
        </row>
        <row r="22">
          <cell r="K22" t="str">
            <v>ExportWalmartHome TrendsUSAWash33x33D</v>
          </cell>
          <cell r="M22">
            <v>340</v>
          </cell>
          <cell r="N22">
            <v>450</v>
          </cell>
          <cell r="O22">
            <v>0.88</v>
          </cell>
          <cell r="P22">
            <v>636</v>
          </cell>
          <cell r="Q22">
            <v>19.272727272727273</v>
          </cell>
          <cell r="R22">
            <v>8</v>
          </cell>
          <cell r="S22">
            <v>521</v>
          </cell>
          <cell r="T22" t="str">
            <v>1/13   KC</v>
          </cell>
          <cell r="U22">
            <v>41.32</v>
          </cell>
          <cell r="V22">
            <v>0</v>
          </cell>
          <cell r="W22">
            <v>0</v>
          </cell>
          <cell r="X22" t="str">
            <v>2/24  KC</v>
          </cell>
          <cell r="Y22">
            <v>9.2200000000000006</v>
          </cell>
          <cell r="Z22" t="str">
            <v xml:space="preserve">1/14OE  </v>
          </cell>
          <cell r="AA22">
            <v>8.09</v>
          </cell>
          <cell r="AB22" t="str">
            <v>2/20  KC</v>
          </cell>
          <cell r="AC22">
            <v>4.0659999999999998</v>
          </cell>
          <cell r="AD22">
            <v>0</v>
          </cell>
          <cell r="AE22">
            <v>0</v>
          </cell>
          <cell r="AF22">
            <v>0</v>
          </cell>
          <cell r="AG22">
            <v>0</v>
          </cell>
          <cell r="AH22">
            <v>62.695999999999998</v>
          </cell>
          <cell r="AI22">
            <v>56.739879999999999</v>
          </cell>
          <cell r="AJ22">
            <v>9.5000000000000001E-2</v>
          </cell>
          <cell r="AK22">
            <v>2.5000000000000001E-3</v>
          </cell>
          <cell r="AL22">
            <v>1.4999999999999999E-2</v>
          </cell>
          <cell r="AM22">
            <v>0</v>
          </cell>
          <cell r="AN22">
            <v>0.01</v>
          </cell>
          <cell r="AO22">
            <v>1.3999999999999999E-2</v>
          </cell>
          <cell r="AP22">
            <v>0</v>
          </cell>
          <cell r="AQ22">
            <v>2.5000000000000001E-2</v>
          </cell>
          <cell r="AR22">
            <v>0</v>
          </cell>
          <cell r="AS22">
            <v>3</v>
          </cell>
          <cell r="AT22">
            <v>3</v>
          </cell>
          <cell r="AU22">
            <v>9</v>
          </cell>
          <cell r="AV22">
            <v>1.1000000000000001</v>
          </cell>
          <cell r="AW22">
            <v>70</v>
          </cell>
        </row>
        <row r="23">
          <cell r="K23" t="str">
            <v>ExportMill WorkingCannon LandmarkUSABath76x137L</v>
          </cell>
          <cell r="M23">
            <v>280</v>
          </cell>
          <cell r="N23">
            <v>520</v>
          </cell>
          <cell r="O23">
            <v>0.88</v>
          </cell>
          <cell r="P23">
            <v>2718</v>
          </cell>
          <cell r="Q23">
            <v>19.839416058394161</v>
          </cell>
          <cell r="R23">
            <v>3</v>
          </cell>
          <cell r="S23">
            <v>582</v>
          </cell>
          <cell r="T23" t="str">
            <v>1/13  Comb</v>
          </cell>
          <cell r="U23">
            <v>186.39</v>
          </cell>
          <cell r="V23" t="str">
            <v>2/20  Comb</v>
          </cell>
          <cell r="W23">
            <v>242.31</v>
          </cell>
          <cell r="X23" t="str">
            <v>2/24  KC</v>
          </cell>
          <cell r="Y23">
            <v>89.85</v>
          </cell>
          <cell r="Z23" t="str">
            <v xml:space="preserve">1/11OE  </v>
          </cell>
          <cell r="AA23">
            <v>99.68</v>
          </cell>
          <cell r="AB23" t="str">
            <v>2/20  KC</v>
          </cell>
          <cell r="AC23">
            <v>38.619999999999997</v>
          </cell>
          <cell r="AH23">
            <v>656.85</v>
          </cell>
          <cell r="AI23">
            <v>607.58625000000006</v>
          </cell>
          <cell r="AJ23">
            <v>7.4999999999999997E-2</v>
          </cell>
          <cell r="AK23">
            <v>2.5000000000000001E-3</v>
          </cell>
          <cell r="AL23">
            <v>1.4999999999999999E-2</v>
          </cell>
          <cell r="AM23">
            <v>0</v>
          </cell>
          <cell r="AN23">
            <v>0.01</v>
          </cell>
          <cell r="AO23">
            <v>1.3999999999999999E-2</v>
          </cell>
          <cell r="AQ23">
            <v>2.5000000000000001E-2</v>
          </cell>
          <cell r="AS23">
            <v>3</v>
          </cell>
          <cell r="AT23">
            <v>3</v>
          </cell>
          <cell r="AU23">
            <v>9</v>
          </cell>
          <cell r="AV23">
            <v>1.1000000000000001</v>
          </cell>
          <cell r="AW23">
            <v>70</v>
          </cell>
        </row>
        <row r="24">
          <cell r="K24" t="str">
            <v>ExportMill WorkingCannon LandmarkUSABath76x137M</v>
          </cell>
          <cell r="M24">
            <v>280</v>
          </cell>
          <cell r="N24">
            <v>520</v>
          </cell>
          <cell r="O24">
            <v>0.88</v>
          </cell>
          <cell r="P24">
            <v>2718</v>
          </cell>
          <cell r="Q24">
            <v>19.839416058394161</v>
          </cell>
          <cell r="R24">
            <v>3</v>
          </cell>
          <cell r="S24">
            <v>582</v>
          </cell>
          <cell r="T24" t="str">
            <v>1/13  Comb</v>
          </cell>
          <cell r="U24">
            <v>186.39</v>
          </cell>
          <cell r="V24" t="str">
            <v>2/20  Comb</v>
          </cell>
          <cell r="W24">
            <v>242.31</v>
          </cell>
          <cell r="X24" t="str">
            <v>2/24  KC</v>
          </cell>
          <cell r="Y24">
            <v>89.85</v>
          </cell>
          <cell r="Z24" t="str">
            <v xml:space="preserve">1/11OE  </v>
          </cell>
          <cell r="AA24">
            <v>99.68</v>
          </cell>
          <cell r="AB24" t="str">
            <v>2/20  KC</v>
          </cell>
          <cell r="AC24">
            <v>38.619999999999997</v>
          </cell>
          <cell r="AD24">
            <v>0</v>
          </cell>
          <cell r="AE24">
            <v>0</v>
          </cell>
          <cell r="AF24">
            <v>0</v>
          </cell>
          <cell r="AG24">
            <v>0</v>
          </cell>
          <cell r="AH24">
            <v>656.85</v>
          </cell>
          <cell r="AI24">
            <v>607.58625000000006</v>
          </cell>
          <cell r="AJ24">
            <v>7.4999999999999997E-2</v>
          </cell>
          <cell r="AK24">
            <v>2.5000000000000001E-3</v>
          </cell>
          <cell r="AL24">
            <v>1.4999999999999999E-2</v>
          </cell>
          <cell r="AM24">
            <v>0</v>
          </cell>
          <cell r="AN24">
            <v>0.01</v>
          </cell>
          <cell r="AO24">
            <v>1.3999999999999999E-2</v>
          </cell>
          <cell r="AP24">
            <v>0</v>
          </cell>
          <cell r="AQ24">
            <v>2.5000000000000001E-2</v>
          </cell>
          <cell r="AR24">
            <v>0</v>
          </cell>
          <cell r="AS24">
            <v>3</v>
          </cell>
          <cell r="AT24">
            <v>3</v>
          </cell>
          <cell r="AU24">
            <v>9</v>
          </cell>
          <cell r="AV24">
            <v>1.1000000000000001</v>
          </cell>
          <cell r="AW24">
            <v>70</v>
          </cell>
        </row>
        <row r="25">
          <cell r="K25" t="str">
            <v>ExportMill WorkingCannon LandmarkUSABath76x137D</v>
          </cell>
          <cell r="M25">
            <v>280</v>
          </cell>
          <cell r="N25">
            <v>520</v>
          </cell>
          <cell r="O25">
            <v>0.88</v>
          </cell>
          <cell r="P25">
            <v>2718</v>
          </cell>
          <cell r="Q25">
            <v>19.839416058394161</v>
          </cell>
          <cell r="R25">
            <v>3</v>
          </cell>
          <cell r="S25">
            <v>582</v>
          </cell>
          <cell r="T25" t="str">
            <v>1/13  Comb</v>
          </cell>
          <cell r="U25">
            <v>186.39</v>
          </cell>
          <cell r="V25" t="str">
            <v>2/20  Comb</v>
          </cell>
          <cell r="W25">
            <v>242.31</v>
          </cell>
          <cell r="X25" t="str">
            <v>2/24  KC</v>
          </cell>
          <cell r="Y25">
            <v>89.85</v>
          </cell>
          <cell r="Z25" t="str">
            <v xml:space="preserve">1/11OE  </v>
          </cell>
          <cell r="AA25">
            <v>99.68</v>
          </cell>
          <cell r="AB25" t="str">
            <v>2/20  KC</v>
          </cell>
          <cell r="AC25">
            <v>38.619999999999997</v>
          </cell>
          <cell r="AD25">
            <v>0</v>
          </cell>
          <cell r="AE25">
            <v>0</v>
          </cell>
          <cell r="AF25">
            <v>0</v>
          </cell>
          <cell r="AG25">
            <v>0</v>
          </cell>
          <cell r="AH25">
            <v>656.85</v>
          </cell>
          <cell r="AI25">
            <v>607.58625000000006</v>
          </cell>
          <cell r="AJ25">
            <v>7.4999999999999997E-2</v>
          </cell>
          <cell r="AK25">
            <v>2.5000000000000001E-3</v>
          </cell>
          <cell r="AL25">
            <v>1.4999999999999999E-2</v>
          </cell>
          <cell r="AM25">
            <v>0</v>
          </cell>
          <cell r="AN25">
            <v>0.01</v>
          </cell>
          <cell r="AO25">
            <v>1.3999999999999999E-2</v>
          </cell>
          <cell r="AP25">
            <v>0</v>
          </cell>
          <cell r="AQ25">
            <v>2.5000000000000001E-2</v>
          </cell>
          <cell r="AR25">
            <v>0</v>
          </cell>
          <cell r="AS25">
            <v>3</v>
          </cell>
          <cell r="AT25">
            <v>3</v>
          </cell>
          <cell r="AU25">
            <v>9</v>
          </cell>
          <cell r="AV25">
            <v>1.1000000000000001</v>
          </cell>
          <cell r="AW25">
            <v>70</v>
          </cell>
        </row>
        <row r="26">
          <cell r="K26" t="str">
            <v>ExportMill WorkingCannon LandmarkUSAHand41x76L</v>
          </cell>
          <cell r="M26">
            <v>340</v>
          </cell>
          <cell r="N26">
            <v>450</v>
          </cell>
          <cell r="O26">
            <v>0.88</v>
          </cell>
          <cell r="P26">
            <v>1635</v>
          </cell>
          <cell r="Q26">
            <v>21.513157894736842</v>
          </cell>
          <cell r="R26">
            <v>6</v>
          </cell>
          <cell r="S26">
            <v>516</v>
          </cell>
          <cell r="T26" t="str">
            <v>1/13  Comb</v>
          </cell>
          <cell r="U26">
            <v>45.716999999999999</v>
          </cell>
          <cell r="V26" t="str">
            <v>2/20  Comb</v>
          </cell>
          <cell r="W26">
            <v>59.432000000000002</v>
          </cell>
          <cell r="X26" t="str">
            <v>2/24  KC</v>
          </cell>
          <cell r="Y26">
            <v>28.38</v>
          </cell>
          <cell r="Z26" t="str">
            <v xml:space="preserve">1/14OE  </v>
          </cell>
          <cell r="AA26">
            <v>23.428999999999998</v>
          </cell>
          <cell r="AB26" t="str">
            <v>2/20  KC</v>
          </cell>
          <cell r="AC26">
            <v>17.27</v>
          </cell>
          <cell r="AH26">
            <v>174.22800000000001</v>
          </cell>
          <cell r="AI26">
            <v>161.16090000000003</v>
          </cell>
          <cell r="AJ26">
            <v>7.4999999999999997E-2</v>
          </cell>
          <cell r="AK26">
            <v>2.5000000000000001E-3</v>
          </cell>
          <cell r="AL26">
            <v>1.4999999999999999E-2</v>
          </cell>
          <cell r="AM26">
            <v>0</v>
          </cell>
          <cell r="AN26">
            <v>0.01</v>
          </cell>
          <cell r="AO26">
            <v>1.3999999999999999E-2</v>
          </cell>
          <cell r="AQ26">
            <v>2.5000000000000001E-2</v>
          </cell>
          <cell r="AS26">
            <v>3</v>
          </cell>
          <cell r="AT26">
            <v>3</v>
          </cell>
          <cell r="AU26">
            <v>9</v>
          </cell>
          <cell r="AV26">
            <v>1.1000000000000001</v>
          </cell>
          <cell r="AW26">
            <v>70</v>
          </cell>
        </row>
        <row r="27">
          <cell r="K27" t="str">
            <v>ExportMill WorkingCannon LandmarkUSAHand41x76M</v>
          </cell>
          <cell r="M27">
            <v>340</v>
          </cell>
          <cell r="N27">
            <v>450</v>
          </cell>
          <cell r="O27">
            <v>0.88</v>
          </cell>
          <cell r="P27">
            <v>1635</v>
          </cell>
          <cell r="Q27">
            <v>21.513157894736842</v>
          </cell>
          <cell r="R27">
            <v>6</v>
          </cell>
          <cell r="S27">
            <v>516</v>
          </cell>
          <cell r="T27" t="str">
            <v>1/13  Comb</v>
          </cell>
          <cell r="U27">
            <v>45.716999999999999</v>
          </cell>
          <cell r="V27" t="str">
            <v>2/20  Comb</v>
          </cell>
          <cell r="W27">
            <v>59.432000000000002</v>
          </cell>
          <cell r="X27" t="str">
            <v>2/24  KC</v>
          </cell>
          <cell r="Y27">
            <v>28.38</v>
          </cell>
          <cell r="Z27" t="str">
            <v xml:space="preserve">1/14OE  </v>
          </cell>
          <cell r="AA27">
            <v>23.428999999999998</v>
          </cell>
          <cell r="AB27" t="str">
            <v>2/20  KC</v>
          </cell>
          <cell r="AC27">
            <v>17.27</v>
          </cell>
          <cell r="AD27">
            <v>0</v>
          </cell>
          <cell r="AE27">
            <v>0</v>
          </cell>
          <cell r="AF27">
            <v>0</v>
          </cell>
          <cell r="AG27">
            <v>0</v>
          </cell>
          <cell r="AH27">
            <v>174.22800000000001</v>
          </cell>
          <cell r="AI27">
            <v>161.16090000000003</v>
          </cell>
          <cell r="AJ27">
            <v>7.4999999999999997E-2</v>
          </cell>
          <cell r="AK27">
            <v>2.5000000000000001E-3</v>
          </cell>
          <cell r="AL27">
            <v>1.4999999999999999E-2</v>
          </cell>
          <cell r="AM27">
            <v>0</v>
          </cell>
          <cell r="AN27">
            <v>0.01</v>
          </cell>
          <cell r="AO27">
            <v>1.3999999999999999E-2</v>
          </cell>
          <cell r="AP27">
            <v>0</v>
          </cell>
          <cell r="AQ27">
            <v>2.5000000000000001E-2</v>
          </cell>
          <cell r="AR27">
            <v>0</v>
          </cell>
          <cell r="AS27">
            <v>3</v>
          </cell>
          <cell r="AT27">
            <v>3</v>
          </cell>
          <cell r="AU27">
            <v>9</v>
          </cell>
          <cell r="AV27">
            <v>1.1000000000000001</v>
          </cell>
          <cell r="AW27">
            <v>70</v>
          </cell>
        </row>
        <row r="28">
          <cell r="K28" t="str">
            <v>ExportMill WorkingCannon LandmarkUSAHand41x76D</v>
          </cell>
          <cell r="M28">
            <v>340</v>
          </cell>
          <cell r="N28">
            <v>450</v>
          </cell>
          <cell r="O28">
            <v>0.88</v>
          </cell>
          <cell r="P28">
            <v>1635</v>
          </cell>
          <cell r="Q28">
            <v>21.513157894736842</v>
          </cell>
          <cell r="R28">
            <v>6</v>
          </cell>
          <cell r="S28">
            <v>516</v>
          </cell>
          <cell r="T28" t="str">
            <v>1/13  Comb</v>
          </cell>
          <cell r="U28">
            <v>45.716999999999999</v>
          </cell>
          <cell r="V28" t="str">
            <v>2/20  Comb</v>
          </cell>
          <cell r="W28">
            <v>59.432000000000002</v>
          </cell>
          <cell r="X28" t="str">
            <v>2/24  KC</v>
          </cell>
          <cell r="Y28">
            <v>28.38</v>
          </cell>
          <cell r="Z28" t="str">
            <v xml:space="preserve">1/14OE  </v>
          </cell>
          <cell r="AA28">
            <v>23.428999999999998</v>
          </cell>
          <cell r="AB28" t="str">
            <v>2/20  KC</v>
          </cell>
          <cell r="AC28">
            <v>17.27</v>
          </cell>
          <cell r="AD28">
            <v>0</v>
          </cell>
          <cell r="AE28">
            <v>0</v>
          </cell>
          <cell r="AF28">
            <v>0</v>
          </cell>
          <cell r="AG28">
            <v>0</v>
          </cell>
          <cell r="AH28">
            <v>174.22800000000001</v>
          </cell>
          <cell r="AI28">
            <v>161.16090000000003</v>
          </cell>
          <cell r="AJ28">
            <v>7.4999999999999997E-2</v>
          </cell>
          <cell r="AK28">
            <v>2.5000000000000001E-3</v>
          </cell>
          <cell r="AL28">
            <v>1.4999999999999999E-2</v>
          </cell>
          <cell r="AM28">
            <v>0</v>
          </cell>
          <cell r="AN28">
            <v>0.01</v>
          </cell>
          <cell r="AO28">
            <v>1.3999999999999999E-2</v>
          </cell>
          <cell r="AP28">
            <v>0</v>
          </cell>
          <cell r="AQ28">
            <v>2.5000000000000001E-2</v>
          </cell>
          <cell r="AR28">
            <v>0</v>
          </cell>
          <cell r="AS28">
            <v>3</v>
          </cell>
          <cell r="AT28">
            <v>3</v>
          </cell>
          <cell r="AU28">
            <v>9</v>
          </cell>
          <cell r="AV28">
            <v>1.1000000000000001</v>
          </cell>
          <cell r="AW28">
            <v>70</v>
          </cell>
        </row>
        <row r="29">
          <cell r="K29" t="str">
            <v>ExportMill WorkingCannon LandmarkUSAWash33x33L</v>
          </cell>
          <cell r="M29">
            <v>340</v>
          </cell>
          <cell r="N29">
            <v>450</v>
          </cell>
          <cell r="O29">
            <v>0.88</v>
          </cell>
          <cell r="P29">
            <v>873</v>
          </cell>
          <cell r="Q29">
            <v>26.454545454545453</v>
          </cell>
          <cell r="R29">
            <v>7</v>
          </cell>
          <cell r="S29">
            <v>607</v>
          </cell>
          <cell r="T29" t="str">
            <v>1/13  Comb</v>
          </cell>
          <cell r="U29">
            <v>16.986000000000001</v>
          </cell>
          <cell r="V29" t="str">
            <v>2/20  Comb</v>
          </cell>
          <cell r="W29">
            <v>22.082000000000001</v>
          </cell>
          <cell r="X29" t="str">
            <v>2/24  KC</v>
          </cell>
          <cell r="Y29">
            <v>11.56</v>
          </cell>
          <cell r="Z29" t="str">
            <v xml:space="preserve">1/11.5OE VIS+COT  </v>
          </cell>
          <cell r="AA29">
            <v>12.162000000000001</v>
          </cell>
          <cell r="AB29" t="str">
            <v>2/20  KC</v>
          </cell>
          <cell r="AC29">
            <v>8.8680000000000003</v>
          </cell>
          <cell r="AH29">
            <v>71.658000000000001</v>
          </cell>
          <cell r="AI29">
            <v>66.283650000000009</v>
          </cell>
          <cell r="AJ29">
            <v>7.4999999999999997E-2</v>
          </cell>
          <cell r="AK29">
            <v>2.5000000000000001E-3</v>
          </cell>
          <cell r="AL29">
            <v>1.4999999999999999E-2</v>
          </cell>
          <cell r="AM29">
            <v>0</v>
          </cell>
          <cell r="AN29">
            <v>0.01</v>
          </cell>
          <cell r="AO29">
            <v>1.3999999999999999E-2</v>
          </cell>
          <cell r="AQ29">
            <v>2.5000000000000001E-2</v>
          </cell>
          <cell r="AS29">
            <v>3</v>
          </cell>
          <cell r="AT29">
            <v>3</v>
          </cell>
          <cell r="AU29">
            <v>9</v>
          </cell>
          <cell r="AV29">
            <v>1.1000000000000001</v>
          </cell>
          <cell r="AW29">
            <v>70</v>
          </cell>
        </row>
        <row r="30">
          <cell r="K30" t="str">
            <v>ExportMill WorkingCannon LandmarkUSAWash33x33M</v>
          </cell>
          <cell r="M30">
            <v>340</v>
          </cell>
          <cell r="N30">
            <v>450</v>
          </cell>
          <cell r="O30">
            <v>0.88</v>
          </cell>
          <cell r="P30">
            <v>873</v>
          </cell>
          <cell r="Q30">
            <v>26.454545454545453</v>
          </cell>
          <cell r="R30">
            <v>7</v>
          </cell>
          <cell r="S30">
            <v>607</v>
          </cell>
          <cell r="T30" t="str">
            <v>1/13  Comb</v>
          </cell>
          <cell r="U30">
            <v>16.986000000000001</v>
          </cell>
          <cell r="V30" t="str">
            <v>2/20  Comb</v>
          </cell>
          <cell r="W30">
            <v>22.082000000000001</v>
          </cell>
          <cell r="X30" t="str">
            <v>2/24  KC</v>
          </cell>
          <cell r="Y30">
            <v>11.56</v>
          </cell>
          <cell r="Z30" t="str">
            <v xml:space="preserve">1/11.5OE VIS+COT  </v>
          </cell>
          <cell r="AA30">
            <v>12.162000000000001</v>
          </cell>
          <cell r="AB30" t="str">
            <v>2/20  KC</v>
          </cell>
          <cell r="AC30">
            <v>8.8680000000000003</v>
          </cell>
          <cell r="AD30">
            <v>0</v>
          </cell>
          <cell r="AE30">
            <v>0</v>
          </cell>
          <cell r="AF30">
            <v>0</v>
          </cell>
          <cell r="AG30">
            <v>0</v>
          </cell>
          <cell r="AH30">
            <v>71.658000000000001</v>
          </cell>
          <cell r="AI30">
            <v>66.283650000000009</v>
          </cell>
          <cell r="AJ30">
            <v>7.4999999999999997E-2</v>
          </cell>
          <cell r="AK30">
            <v>2.5000000000000001E-3</v>
          </cell>
          <cell r="AL30">
            <v>1.4999999999999999E-2</v>
          </cell>
          <cell r="AM30">
            <v>0</v>
          </cell>
          <cell r="AN30">
            <v>0.01</v>
          </cell>
          <cell r="AO30">
            <v>1.3999999999999999E-2</v>
          </cell>
          <cell r="AP30">
            <v>0</v>
          </cell>
          <cell r="AQ30">
            <v>2.5000000000000001E-2</v>
          </cell>
          <cell r="AR30">
            <v>0</v>
          </cell>
          <cell r="AS30">
            <v>3</v>
          </cell>
          <cell r="AT30">
            <v>3</v>
          </cell>
          <cell r="AU30">
            <v>9</v>
          </cell>
          <cell r="AV30">
            <v>1.1000000000000001</v>
          </cell>
          <cell r="AW30">
            <v>70</v>
          </cell>
        </row>
        <row r="31">
          <cell r="K31" t="str">
            <v>ExportMill WorkingCannon LandmarkUSAWash33x33D</v>
          </cell>
          <cell r="M31">
            <v>340</v>
          </cell>
          <cell r="N31">
            <v>450</v>
          </cell>
          <cell r="O31">
            <v>0.88</v>
          </cell>
          <cell r="P31">
            <v>873</v>
          </cell>
          <cell r="Q31">
            <v>26.454545454545453</v>
          </cell>
          <cell r="R31">
            <v>7</v>
          </cell>
          <cell r="S31">
            <v>607</v>
          </cell>
          <cell r="T31" t="str">
            <v>1/13  Comb</v>
          </cell>
          <cell r="U31">
            <v>16.986000000000001</v>
          </cell>
          <cell r="V31" t="str">
            <v>2/20  Comb</v>
          </cell>
          <cell r="W31">
            <v>22.082000000000001</v>
          </cell>
          <cell r="X31" t="str">
            <v>2/24  KC</v>
          </cell>
          <cell r="Y31">
            <v>11.56</v>
          </cell>
          <cell r="Z31" t="str">
            <v xml:space="preserve">1/11.5OE VIS+COT  </v>
          </cell>
          <cell r="AA31">
            <v>12.162000000000001</v>
          </cell>
          <cell r="AB31" t="str">
            <v>2/20  KC</v>
          </cell>
          <cell r="AC31">
            <v>8.8680000000000003</v>
          </cell>
          <cell r="AD31">
            <v>0</v>
          </cell>
          <cell r="AE31">
            <v>0</v>
          </cell>
          <cell r="AF31">
            <v>0</v>
          </cell>
          <cell r="AG31">
            <v>0</v>
          </cell>
          <cell r="AH31">
            <v>71.658000000000001</v>
          </cell>
          <cell r="AI31">
            <v>66.283650000000009</v>
          </cell>
          <cell r="AJ31">
            <v>7.4999999999999997E-2</v>
          </cell>
          <cell r="AK31">
            <v>2.5000000000000001E-3</v>
          </cell>
          <cell r="AL31">
            <v>1.4999999999999999E-2</v>
          </cell>
          <cell r="AM31">
            <v>0</v>
          </cell>
          <cell r="AN31">
            <v>0.01</v>
          </cell>
          <cell r="AO31">
            <v>1.3999999999999999E-2</v>
          </cell>
          <cell r="AP31">
            <v>0</v>
          </cell>
          <cell r="AQ31">
            <v>2.5000000000000001E-2</v>
          </cell>
          <cell r="AR31">
            <v>0</v>
          </cell>
          <cell r="AS31">
            <v>3</v>
          </cell>
          <cell r="AT31">
            <v>3</v>
          </cell>
          <cell r="AU31">
            <v>9</v>
          </cell>
          <cell r="AV31">
            <v>1.1000000000000001</v>
          </cell>
          <cell r="AW31">
            <v>70</v>
          </cell>
        </row>
        <row r="32">
          <cell r="K32" t="str">
            <v>ExportMill WorkingCannon MilestoneUSABath76x137L</v>
          </cell>
          <cell r="M32">
            <v>280</v>
          </cell>
          <cell r="N32">
            <v>520</v>
          </cell>
          <cell r="O32">
            <v>0.88</v>
          </cell>
          <cell r="P32">
            <v>2652</v>
          </cell>
          <cell r="Q32">
            <v>19.357664233576642</v>
          </cell>
          <cell r="R32">
            <v>3</v>
          </cell>
          <cell r="S32">
            <v>528</v>
          </cell>
          <cell r="T32" t="str">
            <v>1/13  Comb</v>
          </cell>
          <cell r="U32">
            <v>415.87</v>
          </cell>
          <cell r="X32" t="str">
            <v>2/30  KC</v>
          </cell>
          <cell r="Y32">
            <v>71.28</v>
          </cell>
          <cell r="Z32" t="str">
            <v xml:space="preserve">1/16OE  </v>
          </cell>
          <cell r="AA32">
            <v>67.712000000000003</v>
          </cell>
          <cell r="AB32" t="str">
            <v>2/20  Gas Mer</v>
          </cell>
          <cell r="AC32">
            <v>36.33</v>
          </cell>
          <cell r="AH32">
            <v>591.19200000000001</v>
          </cell>
          <cell r="AI32">
            <v>549.80855999999994</v>
          </cell>
          <cell r="AJ32">
            <v>7.0000000000000007E-2</v>
          </cell>
          <cell r="AK32">
            <v>2.5000000000000001E-3</v>
          </cell>
          <cell r="AL32">
            <v>1.4999999999999999E-2</v>
          </cell>
          <cell r="AM32">
            <v>0</v>
          </cell>
          <cell r="AN32">
            <v>0.01</v>
          </cell>
          <cell r="AO32">
            <v>1.3999999999999999E-2</v>
          </cell>
          <cell r="AQ32">
            <v>2.5000000000000001E-2</v>
          </cell>
          <cell r="AS32">
            <v>3</v>
          </cell>
          <cell r="AT32">
            <v>3</v>
          </cell>
          <cell r="AU32">
            <v>9</v>
          </cell>
          <cell r="AV32">
            <v>1.1000000000000001</v>
          </cell>
          <cell r="AW32">
            <v>70</v>
          </cell>
        </row>
        <row r="33">
          <cell r="K33" t="str">
            <v>ExportMill WorkingCannon MilestoneUSABath76x137M</v>
          </cell>
          <cell r="M33">
            <v>280</v>
          </cell>
          <cell r="N33">
            <v>520</v>
          </cell>
          <cell r="O33">
            <v>0.88</v>
          </cell>
          <cell r="P33">
            <v>2652</v>
          </cell>
          <cell r="Q33">
            <v>19.357664233576642</v>
          </cell>
          <cell r="R33">
            <v>3</v>
          </cell>
          <cell r="S33">
            <v>528</v>
          </cell>
          <cell r="T33" t="str">
            <v>1/13  Comb</v>
          </cell>
          <cell r="U33">
            <v>415.87</v>
          </cell>
          <cell r="V33">
            <v>0</v>
          </cell>
          <cell r="W33">
            <v>0</v>
          </cell>
          <cell r="X33" t="str">
            <v>2/30  KC</v>
          </cell>
          <cell r="Y33">
            <v>71.28</v>
          </cell>
          <cell r="Z33" t="str">
            <v xml:space="preserve">1/16OE  </v>
          </cell>
          <cell r="AA33">
            <v>67.712000000000003</v>
          </cell>
          <cell r="AB33" t="str">
            <v>2/20  Gas Mer</v>
          </cell>
          <cell r="AC33">
            <v>36.33</v>
          </cell>
          <cell r="AD33">
            <v>0</v>
          </cell>
          <cell r="AE33">
            <v>0</v>
          </cell>
          <cell r="AF33">
            <v>0</v>
          </cell>
          <cell r="AG33">
            <v>0</v>
          </cell>
          <cell r="AH33">
            <v>591.19200000000001</v>
          </cell>
          <cell r="AI33">
            <v>549.80855999999994</v>
          </cell>
          <cell r="AJ33">
            <v>7.0000000000000007E-2</v>
          </cell>
          <cell r="AK33">
            <v>2.5000000000000001E-3</v>
          </cell>
          <cell r="AL33">
            <v>1.4999999999999999E-2</v>
          </cell>
          <cell r="AM33">
            <v>0</v>
          </cell>
          <cell r="AN33">
            <v>0.01</v>
          </cell>
          <cell r="AO33">
            <v>1.3999999999999999E-2</v>
          </cell>
          <cell r="AP33">
            <v>0</v>
          </cell>
          <cell r="AQ33">
            <v>2.5000000000000001E-2</v>
          </cell>
          <cell r="AR33">
            <v>0</v>
          </cell>
          <cell r="AS33">
            <v>3</v>
          </cell>
          <cell r="AT33">
            <v>3</v>
          </cell>
          <cell r="AU33">
            <v>9</v>
          </cell>
          <cell r="AV33">
            <v>1.1000000000000001</v>
          </cell>
          <cell r="AW33">
            <v>70</v>
          </cell>
        </row>
        <row r="34">
          <cell r="K34" t="str">
            <v>ExportMill WorkingCannon MilestoneUSABath76x137D</v>
          </cell>
          <cell r="M34">
            <v>280</v>
          </cell>
          <cell r="N34">
            <v>520</v>
          </cell>
          <cell r="O34">
            <v>0.88</v>
          </cell>
          <cell r="P34">
            <v>2652</v>
          </cell>
          <cell r="Q34">
            <v>19.357664233576642</v>
          </cell>
          <cell r="R34">
            <v>3</v>
          </cell>
          <cell r="S34">
            <v>528</v>
          </cell>
          <cell r="T34" t="str">
            <v>1/13  Comb</v>
          </cell>
          <cell r="U34">
            <v>415.87</v>
          </cell>
          <cell r="V34">
            <v>0</v>
          </cell>
          <cell r="W34">
            <v>0</v>
          </cell>
          <cell r="X34" t="str">
            <v>2/30  KC</v>
          </cell>
          <cell r="Y34">
            <v>71.28</v>
          </cell>
          <cell r="Z34" t="str">
            <v xml:space="preserve">1/16OE  </v>
          </cell>
          <cell r="AA34">
            <v>67.712000000000003</v>
          </cell>
          <cell r="AB34" t="str">
            <v>2/20  Gas Mer</v>
          </cell>
          <cell r="AC34">
            <v>36.33</v>
          </cell>
          <cell r="AD34">
            <v>0</v>
          </cell>
          <cell r="AE34">
            <v>0</v>
          </cell>
          <cell r="AF34">
            <v>0</v>
          </cell>
          <cell r="AG34">
            <v>0</v>
          </cell>
          <cell r="AH34">
            <v>591.19200000000001</v>
          </cell>
          <cell r="AI34">
            <v>549.80855999999994</v>
          </cell>
          <cell r="AJ34">
            <v>7.0000000000000007E-2</v>
          </cell>
          <cell r="AK34">
            <v>2.5000000000000001E-3</v>
          </cell>
          <cell r="AL34">
            <v>1.4999999999999999E-2</v>
          </cell>
          <cell r="AM34">
            <v>0</v>
          </cell>
          <cell r="AN34">
            <v>0.01</v>
          </cell>
          <cell r="AO34">
            <v>1.3999999999999999E-2</v>
          </cell>
          <cell r="AP34">
            <v>0</v>
          </cell>
          <cell r="AQ34">
            <v>2.5000000000000001E-2</v>
          </cell>
          <cell r="AR34">
            <v>0</v>
          </cell>
          <cell r="AS34">
            <v>3</v>
          </cell>
          <cell r="AT34">
            <v>3</v>
          </cell>
          <cell r="AU34">
            <v>9</v>
          </cell>
          <cell r="AV34">
            <v>1.1000000000000001</v>
          </cell>
          <cell r="AW34">
            <v>70</v>
          </cell>
        </row>
        <row r="35">
          <cell r="K35" t="str">
            <v>ExportMill WorkingCannon MilestoneUSAHand41x76L</v>
          </cell>
          <cell r="M35">
            <v>340</v>
          </cell>
          <cell r="N35">
            <v>450</v>
          </cell>
          <cell r="O35">
            <v>0.88</v>
          </cell>
          <cell r="P35">
            <v>1557</v>
          </cell>
          <cell r="Q35">
            <v>20.486842105263158</v>
          </cell>
          <cell r="R35">
            <v>6</v>
          </cell>
          <cell r="S35">
            <v>522</v>
          </cell>
          <cell r="T35" t="str">
            <v>1/13  Comb</v>
          </cell>
          <cell r="U35">
            <v>107.55</v>
          </cell>
          <cell r="X35" t="str">
            <v>2/30  KC</v>
          </cell>
          <cell r="Y35">
            <v>21.15</v>
          </cell>
          <cell r="Z35" t="str">
            <v xml:space="preserve">1/16OE  </v>
          </cell>
          <cell r="AA35">
            <v>21.649000000000001</v>
          </cell>
          <cell r="AB35" t="str">
            <v>2/20  Gas Mer</v>
          </cell>
          <cell r="AC35">
            <v>13.05</v>
          </cell>
          <cell r="AH35">
            <v>163.399</v>
          </cell>
          <cell r="AI35">
            <v>151.96106999999998</v>
          </cell>
          <cell r="AJ35">
            <v>7.0000000000000007E-2</v>
          </cell>
          <cell r="AK35">
            <v>2.5000000000000001E-3</v>
          </cell>
          <cell r="AL35">
            <v>1.4999999999999999E-2</v>
          </cell>
          <cell r="AM35">
            <v>0</v>
          </cell>
          <cell r="AN35">
            <v>0.01</v>
          </cell>
          <cell r="AO35">
            <v>1.3999999999999999E-2</v>
          </cell>
          <cell r="AQ35">
            <v>2.5000000000000001E-2</v>
          </cell>
          <cell r="AS35">
            <v>3</v>
          </cell>
          <cell r="AT35">
            <v>3</v>
          </cell>
          <cell r="AU35">
            <v>9</v>
          </cell>
          <cell r="AV35">
            <v>1.1000000000000001</v>
          </cell>
          <cell r="AW35">
            <v>70</v>
          </cell>
        </row>
        <row r="36">
          <cell r="K36" t="str">
            <v>ExportMill WorkingCannon MilestoneUSAHand41x76M</v>
          </cell>
          <cell r="M36">
            <v>340</v>
          </cell>
          <cell r="N36">
            <v>450</v>
          </cell>
          <cell r="O36">
            <v>0.88</v>
          </cell>
          <cell r="P36">
            <v>1557</v>
          </cell>
          <cell r="Q36">
            <v>20.486842105263158</v>
          </cell>
          <cell r="R36">
            <v>6</v>
          </cell>
          <cell r="S36">
            <v>522</v>
          </cell>
          <cell r="T36" t="str">
            <v>1/13  Comb</v>
          </cell>
          <cell r="U36">
            <v>107.55</v>
          </cell>
          <cell r="V36">
            <v>0</v>
          </cell>
          <cell r="W36">
            <v>0</v>
          </cell>
          <cell r="X36" t="str">
            <v>2/30  KC</v>
          </cell>
          <cell r="Y36">
            <v>21.15</v>
          </cell>
          <cell r="Z36" t="str">
            <v xml:space="preserve">1/16OE  </v>
          </cell>
          <cell r="AA36">
            <v>21.649000000000001</v>
          </cell>
          <cell r="AB36" t="str">
            <v>2/20  Gas Mer</v>
          </cell>
          <cell r="AC36">
            <v>13.05</v>
          </cell>
          <cell r="AD36">
            <v>0</v>
          </cell>
          <cell r="AE36">
            <v>0</v>
          </cell>
          <cell r="AF36">
            <v>0</v>
          </cell>
          <cell r="AG36">
            <v>0</v>
          </cell>
          <cell r="AH36">
            <v>163.399</v>
          </cell>
          <cell r="AI36">
            <v>151.96106999999998</v>
          </cell>
          <cell r="AJ36">
            <v>7.0000000000000007E-2</v>
          </cell>
          <cell r="AK36">
            <v>2.5000000000000001E-3</v>
          </cell>
          <cell r="AL36">
            <v>1.4999999999999999E-2</v>
          </cell>
          <cell r="AM36">
            <v>0</v>
          </cell>
          <cell r="AN36">
            <v>0.01</v>
          </cell>
          <cell r="AO36">
            <v>1.3999999999999999E-2</v>
          </cell>
          <cell r="AP36">
            <v>0</v>
          </cell>
          <cell r="AQ36">
            <v>2.5000000000000001E-2</v>
          </cell>
          <cell r="AR36">
            <v>0</v>
          </cell>
          <cell r="AS36">
            <v>3</v>
          </cell>
          <cell r="AT36">
            <v>3</v>
          </cell>
          <cell r="AU36">
            <v>9</v>
          </cell>
          <cell r="AV36">
            <v>1.1000000000000001</v>
          </cell>
          <cell r="AW36">
            <v>70</v>
          </cell>
        </row>
        <row r="37">
          <cell r="K37" t="str">
            <v>ExportMill WorkingCannon MilestoneUSAHand41x76D</v>
          </cell>
          <cell r="M37">
            <v>340</v>
          </cell>
          <cell r="N37">
            <v>450</v>
          </cell>
          <cell r="O37">
            <v>0.88</v>
          </cell>
          <cell r="P37">
            <v>1557</v>
          </cell>
          <cell r="Q37">
            <v>20.486842105263158</v>
          </cell>
          <cell r="R37">
            <v>6</v>
          </cell>
          <cell r="S37">
            <v>522</v>
          </cell>
          <cell r="T37" t="str">
            <v>1/13  Comb</v>
          </cell>
          <cell r="U37">
            <v>107.55</v>
          </cell>
          <cell r="V37">
            <v>0</v>
          </cell>
          <cell r="W37">
            <v>0</v>
          </cell>
          <cell r="X37" t="str">
            <v>2/30  KC</v>
          </cell>
          <cell r="Y37">
            <v>21.15</v>
          </cell>
          <cell r="Z37" t="str">
            <v xml:space="preserve">1/16OE  </v>
          </cell>
          <cell r="AA37">
            <v>21.649000000000001</v>
          </cell>
          <cell r="AB37" t="str">
            <v>2/20  Gas Mer</v>
          </cell>
          <cell r="AC37">
            <v>13.05</v>
          </cell>
          <cell r="AD37">
            <v>0</v>
          </cell>
          <cell r="AE37">
            <v>0</v>
          </cell>
          <cell r="AF37">
            <v>0</v>
          </cell>
          <cell r="AG37">
            <v>0</v>
          </cell>
          <cell r="AH37">
            <v>163.399</v>
          </cell>
          <cell r="AI37">
            <v>151.96106999999998</v>
          </cell>
          <cell r="AJ37">
            <v>7.0000000000000007E-2</v>
          </cell>
          <cell r="AK37">
            <v>2.5000000000000001E-3</v>
          </cell>
          <cell r="AL37">
            <v>1.4999999999999999E-2</v>
          </cell>
          <cell r="AM37">
            <v>0</v>
          </cell>
          <cell r="AN37">
            <v>0.01</v>
          </cell>
          <cell r="AO37">
            <v>1.3999999999999999E-2</v>
          </cell>
          <cell r="AP37">
            <v>0</v>
          </cell>
          <cell r="AQ37">
            <v>2.5000000000000001E-2</v>
          </cell>
          <cell r="AR37">
            <v>0</v>
          </cell>
          <cell r="AS37">
            <v>3</v>
          </cell>
          <cell r="AT37">
            <v>3</v>
          </cell>
          <cell r="AU37">
            <v>9</v>
          </cell>
          <cell r="AV37">
            <v>1.1000000000000001</v>
          </cell>
          <cell r="AW37">
            <v>70</v>
          </cell>
        </row>
        <row r="38">
          <cell r="K38" t="str">
            <v>ExportMill WorkingCannon MilestoneUSAWash33x33L</v>
          </cell>
          <cell r="M38">
            <v>340</v>
          </cell>
          <cell r="N38">
            <v>450</v>
          </cell>
          <cell r="O38">
            <v>0.88</v>
          </cell>
          <cell r="P38">
            <v>846</v>
          </cell>
          <cell r="Q38">
            <v>25.636363636363637</v>
          </cell>
          <cell r="R38">
            <v>7</v>
          </cell>
          <cell r="S38">
            <v>524</v>
          </cell>
          <cell r="T38" t="str">
            <v>1/13  Comb</v>
          </cell>
          <cell r="U38">
            <v>36.76</v>
          </cell>
          <cell r="X38" t="str">
            <v>2/30  KC</v>
          </cell>
          <cell r="Y38">
            <v>8.4499999999999993</v>
          </cell>
          <cell r="Z38" t="str">
            <v xml:space="preserve">1/16OE  </v>
          </cell>
          <cell r="AA38">
            <v>8.9339999999999993</v>
          </cell>
          <cell r="AB38" t="str">
            <v>2/20  Gas Mer</v>
          </cell>
          <cell r="AC38">
            <v>7.2619999999999996</v>
          </cell>
          <cell r="AH38">
            <v>61.405999999999992</v>
          </cell>
          <cell r="AI38">
            <v>57.107579999999992</v>
          </cell>
          <cell r="AJ38">
            <v>7.0000000000000007E-2</v>
          </cell>
          <cell r="AK38">
            <v>2.5000000000000001E-3</v>
          </cell>
          <cell r="AL38">
            <v>1.4999999999999999E-2</v>
          </cell>
          <cell r="AM38">
            <v>0</v>
          </cell>
          <cell r="AN38">
            <v>0.01</v>
          </cell>
          <cell r="AO38">
            <v>1.3999999999999999E-2</v>
          </cell>
          <cell r="AQ38">
            <v>2.5000000000000001E-2</v>
          </cell>
          <cell r="AS38">
            <v>3</v>
          </cell>
          <cell r="AT38">
            <v>3</v>
          </cell>
          <cell r="AU38">
            <v>9</v>
          </cell>
          <cell r="AV38">
            <v>1.1000000000000001</v>
          </cell>
          <cell r="AW38">
            <v>70</v>
          </cell>
        </row>
        <row r="39">
          <cell r="K39" t="str">
            <v>ExportMill WorkingCannon MilestoneUSAWash33x33M</v>
          </cell>
          <cell r="M39">
            <v>340</v>
          </cell>
          <cell r="N39">
            <v>450</v>
          </cell>
          <cell r="O39">
            <v>0.88</v>
          </cell>
          <cell r="P39">
            <v>846</v>
          </cell>
          <cell r="Q39">
            <v>25.636363636363637</v>
          </cell>
          <cell r="R39">
            <v>7</v>
          </cell>
          <cell r="S39">
            <v>524</v>
          </cell>
          <cell r="T39" t="str">
            <v>1/13  Comb</v>
          </cell>
          <cell r="U39">
            <v>36.76</v>
          </cell>
          <cell r="V39">
            <v>0</v>
          </cell>
          <cell r="W39">
            <v>0</v>
          </cell>
          <cell r="X39" t="str">
            <v>2/30  KC</v>
          </cell>
          <cell r="Y39">
            <v>8.4499999999999993</v>
          </cell>
          <cell r="Z39" t="str">
            <v xml:space="preserve">1/16OE  </v>
          </cell>
          <cell r="AA39">
            <v>8.9339999999999993</v>
          </cell>
          <cell r="AB39" t="str">
            <v>2/20  Gas Mer</v>
          </cell>
          <cell r="AC39">
            <v>7.2619999999999996</v>
          </cell>
          <cell r="AD39">
            <v>0</v>
          </cell>
          <cell r="AE39">
            <v>0</v>
          </cell>
          <cell r="AF39">
            <v>0</v>
          </cell>
          <cell r="AG39">
            <v>0</v>
          </cell>
          <cell r="AH39">
            <v>61.405999999999992</v>
          </cell>
          <cell r="AI39">
            <v>57.107579999999992</v>
          </cell>
          <cell r="AJ39">
            <v>7.0000000000000007E-2</v>
          </cell>
          <cell r="AK39">
            <v>2.5000000000000001E-3</v>
          </cell>
          <cell r="AL39">
            <v>1.4999999999999999E-2</v>
          </cell>
          <cell r="AM39">
            <v>0</v>
          </cell>
          <cell r="AN39">
            <v>0.01</v>
          </cell>
          <cell r="AO39">
            <v>1.3999999999999999E-2</v>
          </cell>
          <cell r="AP39">
            <v>0</v>
          </cell>
          <cell r="AQ39">
            <v>2.5000000000000001E-2</v>
          </cell>
          <cell r="AR39">
            <v>0</v>
          </cell>
          <cell r="AS39">
            <v>3</v>
          </cell>
          <cell r="AT39">
            <v>3</v>
          </cell>
          <cell r="AU39">
            <v>9</v>
          </cell>
          <cell r="AV39">
            <v>1.1000000000000001</v>
          </cell>
          <cell r="AW39">
            <v>70</v>
          </cell>
        </row>
        <row r="40">
          <cell r="K40" t="str">
            <v>ExportMill WorkingCannon MilestoneUSAWash33x33D</v>
          </cell>
          <cell r="M40">
            <v>340</v>
          </cell>
          <cell r="N40">
            <v>450</v>
          </cell>
          <cell r="O40">
            <v>0.88</v>
          </cell>
          <cell r="P40">
            <v>846</v>
          </cell>
          <cell r="Q40">
            <v>25.636363636363637</v>
          </cell>
          <cell r="R40">
            <v>7</v>
          </cell>
          <cell r="S40">
            <v>524</v>
          </cell>
          <cell r="T40" t="str">
            <v>1/13  Comb</v>
          </cell>
          <cell r="U40">
            <v>36.76</v>
          </cell>
          <cell r="V40">
            <v>0</v>
          </cell>
          <cell r="W40">
            <v>0</v>
          </cell>
          <cell r="X40" t="str">
            <v>2/30  KC</v>
          </cell>
          <cell r="Y40">
            <v>8.4499999999999993</v>
          </cell>
          <cell r="Z40" t="str">
            <v xml:space="preserve">1/16OE  </v>
          </cell>
          <cell r="AA40">
            <v>8.9339999999999993</v>
          </cell>
          <cell r="AB40" t="str">
            <v>2/20  Gas Mer</v>
          </cell>
          <cell r="AC40">
            <v>7.2619999999999996</v>
          </cell>
          <cell r="AD40">
            <v>0</v>
          </cell>
          <cell r="AE40">
            <v>0</v>
          </cell>
          <cell r="AF40">
            <v>0</v>
          </cell>
          <cell r="AG40">
            <v>0</v>
          </cell>
          <cell r="AH40">
            <v>61.405999999999992</v>
          </cell>
          <cell r="AI40">
            <v>57.107579999999992</v>
          </cell>
          <cell r="AJ40">
            <v>7.0000000000000007E-2</v>
          </cell>
          <cell r="AK40">
            <v>2.5000000000000001E-3</v>
          </cell>
          <cell r="AL40">
            <v>1.4999999999999999E-2</v>
          </cell>
          <cell r="AM40">
            <v>0</v>
          </cell>
          <cell r="AN40">
            <v>0.01</v>
          </cell>
          <cell r="AO40">
            <v>1.3999999999999999E-2</v>
          </cell>
          <cell r="AP40">
            <v>0</v>
          </cell>
          <cell r="AQ40">
            <v>2.5000000000000001E-2</v>
          </cell>
          <cell r="AR40">
            <v>0</v>
          </cell>
          <cell r="AS40">
            <v>3</v>
          </cell>
          <cell r="AT40">
            <v>3</v>
          </cell>
          <cell r="AU40">
            <v>9</v>
          </cell>
          <cell r="AV40">
            <v>1.1000000000000001</v>
          </cell>
          <cell r="AW40">
            <v>70</v>
          </cell>
        </row>
        <row r="41">
          <cell r="K41" t="str">
            <v>ExportWelspun USAEsplamaUSABath76x137L</v>
          </cell>
          <cell r="M41">
            <v>280</v>
          </cell>
          <cell r="N41">
            <v>520</v>
          </cell>
          <cell r="O41">
            <v>0.88</v>
          </cell>
          <cell r="P41">
            <v>2958</v>
          </cell>
          <cell r="Q41">
            <v>21.591240875912408</v>
          </cell>
          <cell r="R41">
            <v>3</v>
          </cell>
          <cell r="S41">
            <v>726</v>
          </cell>
          <cell r="T41" t="str">
            <v>2/20  Comb</v>
          </cell>
          <cell r="U41">
            <v>621.65</v>
          </cell>
          <cell r="X41" t="str">
            <v>2/30  KC</v>
          </cell>
          <cell r="Y41">
            <v>70.790000000000006</v>
          </cell>
          <cell r="Z41" t="str">
            <v xml:space="preserve">1/16OE  </v>
          </cell>
          <cell r="AA41">
            <v>82.85</v>
          </cell>
          <cell r="AB41" t="str">
            <v>2/20  Gas Mer</v>
          </cell>
          <cell r="AC41">
            <v>28.8</v>
          </cell>
          <cell r="AH41">
            <v>804.08999999999992</v>
          </cell>
          <cell r="AI41">
            <v>755.8445999999999</v>
          </cell>
          <cell r="AJ41">
            <v>0.06</v>
          </cell>
          <cell r="AK41">
            <v>2.5000000000000001E-3</v>
          </cell>
          <cell r="AL41">
            <v>1.4999999999999999E-2</v>
          </cell>
          <cell r="AM41">
            <v>0</v>
          </cell>
          <cell r="AN41">
            <v>0.01</v>
          </cell>
          <cell r="AO41">
            <v>0</v>
          </cell>
          <cell r="AQ41">
            <v>2.5000000000000001E-2</v>
          </cell>
          <cell r="AS41">
            <v>3</v>
          </cell>
          <cell r="AT41">
            <v>3</v>
          </cell>
          <cell r="AU41">
            <v>9</v>
          </cell>
          <cell r="AV41">
            <v>1.1000000000000001</v>
          </cell>
          <cell r="AW41">
            <v>70</v>
          </cell>
        </row>
        <row r="42">
          <cell r="K42" t="str">
            <v>ExportWelspun USAEsplamaUSABath76x137M</v>
          </cell>
          <cell r="M42">
            <v>280</v>
          </cell>
          <cell r="N42">
            <v>520</v>
          </cell>
          <cell r="O42">
            <v>0.88</v>
          </cell>
          <cell r="P42">
            <v>2958</v>
          </cell>
          <cell r="Q42">
            <v>21.591240875912408</v>
          </cell>
          <cell r="R42">
            <v>3</v>
          </cell>
          <cell r="S42">
            <v>726</v>
          </cell>
          <cell r="T42" t="str">
            <v>2/20  Comb</v>
          </cell>
          <cell r="U42">
            <v>621.65</v>
          </cell>
          <cell r="V42">
            <v>0</v>
          </cell>
          <cell r="W42">
            <v>0</v>
          </cell>
          <cell r="X42" t="str">
            <v>2/30  KC</v>
          </cell>
          <cell r="Y42">
            <v>70.790000000000006</v>
          </cell>
          <cell r="Z42" t="str">
            <v xml:space="preserve">1/16OE  </v>
          </cell>
          <cell r="AA42">
            <v>82.85</v>
          </cell>
          <cell r="AB42" t="str">
            <v>2/20  Gas Mer</v>
          </cell>
          <cell r="AC42">
            <v>28.8</v>
          </cell>
          <cell r="AD42">
            <v>0</v>
          </cell>
          <cell r="AE42">
            <v>0</v>
          </cell>
          <cell r="AF42">
            <v>0</v>
          </cell>
          <cell r="AG42">
            <v>0</v>
          </cell>
          <cell r="AH42">
            <v>804.08999999999992</v>
          </cell>
          <cell r="AI42">
            <v>755.8445999999999</v>
          </cell>
          <cell r="AJ42">
            <v>0.06</v>
          </cell>
          <cell r="AK42">
            <v>2.5000000000000001E-3</v>
          </cell>
          <cell r="AL42">
            <v>1.4999999999999999E-2</v>
          </cell>
          <cell r="AM42">
            <v>0</v>
          </cell>
          <cell r="AN42">
            <v>0.01</v>
          </cell>
          <cell r="AO42">
            <v>0</v>
          </cell>
          <cell r="AP42">
            <v>0</v>
          </cell>
          <cell r="AQ42">
            <v>2.5000000000000001E-2</v>
          </cell>
          <cell r="AR42">
            <v>0</v>
          </cell>
          <cell r="AS42">
            <v>3</v>
          </cell>
          <cell r="AT42">
            <v>3</v>
          </cell>
          <cell r="AU42">
            <v>9</v>
          </cell>
          <cell r="AV42">
            <v>1.1000000000000001</v>
          </cell>
          <cell r="AW42">
            <v>70</v>
          </cell>
        </row>
        <row r="43">
          <cell r="K43" t="str">
            <v>ExportWelspun USAEsplamaUSABath76x137D</v>
          </cell>
          <cell r="M43">
            <v>280</v>
          </cell>
          <cell r="N43">
            <v>520</v>
          </cell>
          <cell r="O43">
            <v>0.88</v>
          </cell>
          <cell r="P43">
            <v>2958</v>
          </cell>
          <cell r="Q43">
            <v>21.591240875912408</v>
          </cell>
          <cell r="R43">
            <v>3</v>
          </cell>
          <cell r="S43">
            <v>726</v>
          </cell>
          <cell r="T43" t="str">
            <v>2/20  Comb</v>
          </cell>
          <cell r="U43">
            <v>621.65</v>
          </cell>
          <cell r="V43">
            <v>0</v>
          </cell>
          <cell r="W43">
            <v>0</v>
          </cell>
          <cell r="X43" t="str">
            <v>2/30  KC</v>
          </cell>
          <cell r="Y43">
            <v>70.790000000000006</v>
          </cell>
          <cell r="Z43" t="str">
            <v xml:space="preserve">1/16OE  </v>
          </cell>
          <cell r="AA43">
            <v>82.85</v>
          </cell>
          <cell r="AB43" t="str">
            <v>2/20  Gas Mer</v>
          </cell>
          <cell r="AC43">
            <v>28.8</v>
          </cell>
          <cell r="AD43">
            <v>0</v>
          </cell>
          <cell r="AE43">
            <v>0</v>
          </cell>
          <cell r="AF43">
            <v>0</v>
          </cell>
          <cell r="AG43">
            <v>0</v>
          </cell>
          <cell r="AH43">
            <v>804.08999999999992</v>
          </cell>
          <cell r="AI43">
            <v>755.8445999999999</v>
          </cell>
          <cell r="AJ43">
            <v>0.06</v>
          </cell>
          <cell r="AK43">
            <v>2.5000000000000001E-3</v>
          </cell>
          <cell r="AL43">
            <v>1.4999999999999999E-2</v>
          </cell>
          <cell r="AM43">
            <v>0</v>
          </cell>
          <cell r="AN43">
            <v>0.01</v>
          </cell>
          <cell r="AO43">
            <v>0</v>
          </cell>
          <cell r="AP43">
            <v>0</v>
          </cell>
          <cell r="AQ43">
            <v>2.5000000000000001E-2</v>
          </cell>
          <cell r="AR43">
            <v>0</v>
          </cell>
          <cell r="AS43">
            <v>3</v>
          </cell>
          <cell r="AT43">
            <v>3</v>
          </cell>
          <cell r="AU43">
            <v>9</v>
          </cell>
          <cell r="AV43">
            <v>1.1000000000000001</v>
          </cell>
          <cell r="AW43">
            <v>70</v>
          </cell>
        </row>
        <row r="44">
          <cell r="K44" t="str">
            <v>ExportWelspun USAEsplamaUSAHand41x71L</v>
          </cell>
          <cell r="M44">
            <v>340</v>
          </cell>
          <cell r="N44">
            <v>450</v>
          </cell>
          <cell r="O44">
            <v>0.88</v>
          </cell>
          <cell r="P44">
            <v>1740</v>
          </cell>
          <cell r="Q44">
            <v>24.507042253521128</v>
          </cell>
          <cell r="R44">
            <v>6</v>
          </cell>
          <cell r="S44">
            <v>722</v>
          </cell>
          <cell r="T44" t="str">
            <v>2/20  Comb</v>
          </cell>
          <cell r="U44">
            <v>161.93</v>
          </cell>
          <cell r="X44" t="str">
            <v>2/30  KC</v>
          </cell>
          <cell r="Y44">
            <v>21.1</v>
          </cell>
          <cell r="Z44" t="str">
            <v xml:space="preserve">1/16OE  </v>
          </cell>
          <cell r="AA44">
            <v>25.036999999999999</v>
          </cell>
          <cell r="AB44" t="str">
            <v>2/20  Gas Mer</v>
          </cell>
          <cell r="AC44">
            <v>13.23</v>
          </cell>
          <cell r="AH44">
            <v>221.297</v>
          </cell>
          <cell r="AI44">
            <v>210.23214999999999</v>
          </cell>
          <cell r="AJ44">
            <v>0.05</v>
          </cell>
          <cell r="AK44">
            <v>2.5000000000000001E-3</v>
          </cell>
          <cell r="AL44">
            <v>1.4999999999999999E-2</v>
          </cell>
          <cell r="AM44">
            <v>0</v>
          </cell>
          <cell r="AN44">
            <v>0.01</v>
          </cell>
          <cell r="AO44">
            <v>0</v>
          </cell>
          <cell r="AQ44">
            <v>2.5000000000000001E-2</v>
          </cell>
          <cell r="AS44">
            <v>3</v>
          </cell>
          <cell r="AT44">
            <v>3</v>
          </cell>
          <cell r="AU44">
            <v>9</v>
          </cell>
          <cell r="AV44">
            <v>1.1000000000000001</v>
          </cell>
          <cell r="AW44">
            <v>70</v>
          </cell>
        </row>
        <row r="45">
          <cell r="K45" t="str">
            <v>ExportWelspun USAEsplamaUSAHand41x71M</v>
          </cell>
          <cell r="M45">
            <v>340</v>
          </cell>
          <cell r="N45">
            <v>450</v>
          </cell>
          <cell r="O45">
            <v>0.88</v>
          </cell>
          <cell r="P45">
            <v>1740</v>
          </cell>
          <cell r="Q45">
            <v>24.507042253521128</v>
          </cell>
          <cell r="R45">
            <v>6</v>
          </cell>
          <cell r="S45">
            <v>722</v>
          </cell>
          <cell r="T45" t="str">
            <v>2/20  Comb</v>
          </cell>
          <cell r="U45">
            <v>161.93</v>
          </cell>
          <cell r="V45">
            <v>0</v>
          </cell>
          <cell r="W45">
            <v>0</v>
          </cell>
          <cell r="X45" t="str">
            <v>2/30  KC</v>
          </cell>
          <cell r="Y45">
            <v>21.1</v>
          </cell>
          <cell r="Z45" t="str">
            <v xml:space="preserve">1/16OE  </v>
          </cell>
          <cell r="AA45">
            <v>25.036999999999999</v>
          </cell>
          <cell r="AB45" t="str">
            <v>2/20  Gas Mer</v>
          </cell>
          <cell r="AC45">
            <v>13.23</v>
          </cell>
          <cell r="AD45">
            <v>0</v>
          </cell>
          <cell r="AE45">
            <v>0</v>
          </cell>
          <cell r="AF45">
            <v>0</v>
          </cell>
          <cell r="AG45">
            <v>0</v>
          </cell>
          <cell r="AH45">
            <v>221.297</v>
          </cell>
          <cell r="AI45">
            <v>210.23214999999999</v>
          </cell>
          <cell r="AJ45">
            <v>0.05</v>
          </cell>
          <cell r="AK45">
            <v>2.5000000000000001E-3</v>
          </cell>
          <cell r="AL45">
            <v>1.4999999999999999E-2</v>
          </cell>
          <cell r="AM45">
            <v>0</v>
          </cell>
          <cell r="AN45">
            <v>0.01</v>
          </cell>
          <cell r="AO45">
            <v>0</v>
          </cell>
          <cell r="AP45">
            <v>0</v>
          </cell>
          <cell r="AQ45">
            <v>2.5000000000000001E-2</v>
          </cell>
          <cell r="AR45">
            <v>0</v>
          </cell>
          <cell r="AS45">
            <v>3</v>
          </cell>
          <cell r="AT45">
            <v>3</v>
          </cell>
          <cell r="AU45">
            <v>9</v>
          </cell>
          <cell r="AV45">
            <v>1.1000000000000001</v>
          </cell>
          <cell r="AW45">
            <v>70</v>
          </cell>
        </row>
        <row r="46">
          <cell r="K46" t="str">
            <v>ExportWelspun USAEsplamaUSAHand41x71D</v>
          </cell>
          <cell r="M46">
            <v>340</v>
          </cell>
          <cell r="N46">
            <v>450</v>
          </cell>
          <cell r="O46">
            <v>0.88</v>
          </cell>
          <cell r="P46">
            <v>1740</v>
          </cell>
          <cell r="Q46">
            <v>24.507042253521128</v>
          </cell>
          <cell r="R46">
            <v>6</v>
          </cell>
          <cell r="S46">
            <v>722</v>
          </cell>
          <cell r="T46" t="str">
            <v>2/20  Comb</v>
          </cell>
          <cell r="U46">
            <v>161.93</v>
          </cell>
          <cell r="V46">
            <v>0</v>
          </cell>
          <cell r="W46">
            <v>0</v>
          </cell>
          <cell r="X46" t="str">
            <v>2/30  KC</v>
          </cell>
          <cell r="Y46">
            <v>21.1</v>
          </cell>
          <cell r="Z46" t="str">
            <v xml:space="preserve">1/16OE  </v>
          </cell>
          <cell r="AA46">
            <v>25.036999999999999</v>
          </cell>
          <cell r="AB46" t="str">
            <v>2/20  Gas Mer</v>
          </cell>
          <cell r="AC46">
            <v>13.23</v>
          </cell>
          <cell r="AD46">
            <v>0</v>
          </cell>
          <cell r="AE46">
            <v>0</v>
          </cell>
          <cell r="AF46">
            <v>0</v>
          </cell>
          <cell r="AG46">
            <v>0</v>
          </cell>
          <cell r="AH46">
            <v>221.297</v>
          </cell>
          <cell r="AI46">
            <v>210.23214999999999</v>
          </cell>
          <cell r="AJ46">
            <v>0.05</v>
          </cell>
          <cell r="AK46">
            <v>2.5000000000000001E-3</v>
          </cell>
          <cell r="AL46">
            <v>1.4999999999999999E-2</v>
          </cell>
          <cell r="AM46">
            <v>0</v>
          </cell>
          <cell r="AN46">
            <v>0.01</v>
          </cell>
          <cell r="AO46">
            <v>0</v>
          </cell>
          <cell r="AP46">
            <v>0</v>
          </cell>
          <cell r="AQ46">
            <v>2.5000000000000001E-2</v>
          </cell>
          <cell r="AR46">
            <v>0</v>
          </cell>
          <cell r="AS46">
            <v>3</v>
          </cell>
          <cell r="AT46">
            <v>3</v>
          </cell>
          <cell r="AU46">
            <v>9</v>
          </cell>
          <cell r="AV46">
            <v>1.1000000000000001</v>
          </cell>
          <cell r="AW46">
            <v>70</v>
          </cell>
        </row>
        <row r="47">
          <cell r="K47" t="str">
            <v>ExportWelspun USAEsplamaUSAWash33x33L</v>
          </cell>
          <cell r="M47">
            <v>340</v>
          </cell>
          <cell r="N47">
            <v>450</v>
          </cell>
          <cell r="O47">
            <v>0.88</v>
          </cell>
          <cell r="P47">
            <v>948</v>
          </cell>
          <cell r="Q47">
            <v>28.727272727272727</v>
          </cell>
          <cell r="R47">
            <v>7</v>
          </cell>
          <cell r="S47">
            <v>698</v>
          </cell>
          <cell r="T47" t="str">
            <v>2/20  Comb</v>
          </cell>
          <cell r="U47">
            <v>52.43</v>
          </cell>
          <cell r="X47" t="str">
            <v>2/30  KC</v>
          </cell>
          <cell r="Y47">
            <v>8.92</v>
          </cell>
          <cell r="Z47" t="str">
            <v xml:space="preserve">1/16OE  </v>
          </cell>
          <cell r="AA47">
            <v>9.1739999999999995</v>
          </cell>
          <cell r="AB47" t="str">
            <v>2/20  Gas Mer</v>
          </cell>
          <cell r="AC47">
            <v>9.4789999999999992</v>
          </cell>
          <cell r="AH47">
            <v>80.003</v>
          </cell>
          <cell r="AI47">
            <v>76.002849999999995</v>
          </cell>
          <cell r="AJ47">
            <v>0.05</v>
          </cell>
          <cell r="AK47">
            <v>2.5000000000000001E-3</v>
          </cell>
          <cell r="AL47">
            <v>1.4999999999999999E-2</v>
          </cell>
          <cell r="AM47">
            <v>0</v>
          </cell>
          <cell r="AN47">
            <v>0.01</v>
          </cell>
          <cell r="AO47">
            <v>0</v>
          </cell>
          <cell r="AQ47">
            <v>2.5000000000000001E-2</v>
          </cell>
          <cell r="AS47">
            <v>3</v>
          </cell>
          <cell r="AT47">
            <v>3</v>
          </cell>
          <cell r="AU47">
            <v>9</v>
          </cell>
          <cell r="AV47">
            <v>1.1000000000000001</v>
          </cell>
          <cell r="AW47">
            <v>70</v>
          </cell>
        </row>
        <row r="48">
          <cell r="K48" t="str">
            <v>ExportWelspun USAEsplamaUSAWash33x33M</v>
          </cell>
          <cell r="M48">
            <v>340</v>
          </cell>
          <cell r="N48">
            <v>450</v>
          </cell>
          <cell r="O48">
            <v>0.88</v>
          </cell>
          <cell r="P48">
            <v>948</v>
          </cell>
          <cell r="Q48">
            <v>28.727272727272727</v>
          </cell>
          <cell r="R48">
            <v>7</v>
          </cell>
          <cell r="S48">
            <v>698</v>
          </cell>
          <cell r="T48" t="str">
            <v>2/20  Comb</v>
          </cell>
          <cell r="U48">
            <v>52.43</v>
          </cell>
          <cell r="V48">
            <v>0</v>
          </cell>
          <cell r="W48">
            <v>0</v>
          </cell>
          <cell r="X48" t="str">
            <v>2/30  KC</v>
          </cell>
          <cell r="Y48">
            <v>8.92</v>
          </cell>
          <cell r="Z48" t="str">
            <v xml:space="preserve">1/16OE  </v>
          </cell>
          <cell r="AA48">
            <v>9.1739999999999995</v>
          </cell>
          <cell r="AB48" t="str">
            <v>2/20  Gas Mer</v>
          </cell>
          <cell r="AC48">
            <v>9.4789999999999992</v>
          </cell>
          <cell r="AD48">
            <v>0</v>
          </cell>
          <cell r="AE48">
            <v>0</v>
          </cell>
          <cell r="AF48">
            <v>0</v>
          </cell>
          <cell r="AG48">
            <v>0</v>
          </cell>
          <cell r="AH48">
            <v>80.003</v>
          </cell>
          <cell r="AI48">
            <v>76.002849999999995</v>
          </cell>
          <cell r="AJ48">
            <v>0.05</v>
          </cell>
          <cell r="AK48">
            <v>2.5000000000000001E-3</v>
          </cell>
          <cell r="AL48">
            <v>1.4999999999999999E-2</v>
          </cell>
          <cell r="AM48">
            <v>0</v>
          </cell>
          <cell r="AN48">
            <v>0.01</v>
          </cell>
          <cell r="AO48">
            <v>0</v>
          </cell>
          <cell r="AP48">
            <v>0</v>
          </cell>
          <cell r="AQ48">
            <v>2.5000000000000001E-2</v>
          </cell>
          <cell r="AR48">
            <v>0</v>
          </cell>
          <cell r="AS48">
            <v>3</v>
          </cell>
          <cell r="AT48">
            <v>3</v>
          </cell>
          <cell r="AU48">
            <v>9</v>
          </cell>
          <cell r="AV48">
            <v>1.1000000000000001</v>
          </cell>
          <cell r="AW48">
            <v>70</v>
          </cell>
        </row>
        <row r="49">
          <cell r="K49" t="str">
            <v>ExportWelspun USAEsplamaUSAWash33x33D</v>
          </cell>
          <cell r="M49">
            <v>340</v>
          </cell>
          <cell r="N49">
            <v>450</v>
          </cell>
          <cell r="O49">
            <v>0.88</v>
          </cell>
          <cell r="P49">
            <v>948</v>
          </cell>
          <cell r="Q49">
            <v>28.727272727272727</v>
          </cell>
          <cell r="R49">
            <v>7</v>
          </cell>
          <cell r="S49">
            <v>698</v>
          </cell>
          <cell r="T49" t="str">
            <v>2/20  Comb</v>
          </cell>
          <cell r="U49">
            <v>52.43</v>
          </cell>
          <cell r="V49">
            <v>0</v>
          </cell>
          <cell r="W49">
            <v>0</v>
          </cell>
          <cell r="X49" t="str">
            <v>2/30  KC</v>
          </cell>
          <cell r="Y49">
            <v>8.92</v>
          </cell>
          <cell r="Z49" t="str">
            <v xml:space="preserve">1/16OE  </v>
          </cell>
          <cell r="AA49">
            <v>9.1739999999999995</v>
          </cell>
          <cell r="AB49" t="str">
            <v>2/20  Gas Mer</v>
          </cell>
          <cell r="AC49">
            <v>9.4789999999999992</v>
          </cell>
          <cell r="AD49">
            <v>0</v>
          </cell>
          <cell r="AE49">
            <v>0</v>
          </cell>
          <cell r="AF49">
            <v>0</v>
          </cell>
          <cell r="AG49">
            <v>0</v>
          </cell>
          <cell r="AH49">
            <v>80.003</v>
          </cell>
          <cell r="AI49">
            <v>76.002849999999995</v>
          </cell>
          <cell r="AJ49">
            <v>0.05</v>
          </cell>
          <cell r="AK49">
            <v>2.5000000000000001E-3</v>
          </cell>
          <cell r="AL49">
            <v>1.4999999999999999E-2</v>
          </cell>
          <cell r="AM49">
            <v>0</v>
          </cell>
          <cell r="AN49">
            <v>0.01</v>
          </cell>
          <cell r="AO49">
            <v>0</v>
          </cell>
          <cell r="AP49">
            <v>0</v>
          </cell>
          <cell r="AQ49">
            <v>2.5000000000000001E-2</v>
          </cell>
          <cell r="AR49">
            <v>0</v>
          </cell>
          <cell r="AS49">
            <v>3</v>
          </cell>
          <cell r="AT49">
            <v>3</v>
          </cell>
          <cell r="AU49">
            <v>9</v>
          </cell>
          <cell r="AV49">
            <v>1.1000000000000001</v>
          </cell>
          <cell r="AW49">
            <v>70</v>
          </cell>
        </row>
        <row r="50">
          <cell r="K50" t="str">
            <v>ExportLNTManorUSABath76x147L</v>
          </cell>
          <cell r="M50">
            <v>280</v>
          </cell>
          <cell r="N50">
            <v>520</v>
          </cell>
          <cell r="O50">
            <v>0.88</v>
          </cell>
          <cell r="P50">
            <v>2952</v>
          </cell>
          <cell r="Q50">
            <v>20.081632653061224</v>
          </cell>
          <cell r="R50">
            <v>3</v>
          </cell>
          <cell r="S50">
            <v>643</v>
          </cell>
          <cell r="T50" t="str">
            <v>1/13  Egy Comb</v>
          </cell>
          <cell r="U50">
            <v>501.9</v>
          </cell>
          <cell r="X50" t="str">
            <v>2/16  Egy Comb</v>
          </cell>
          <cell r="Y50">
            <v>142.19999999999999</v>
          </cell>
          <cell r="Z50" t="str">
            <v xml:space="preserve">1/14OE  </v>
          </cell>
          <cell r="AA50">
            <v>92.114000000000004</v>
          </cell>
          <cell r="AB50" t="str">
            <v>2/20  Gas Mer</v>
          </cell>
          <cell r="AC50">
            <v>32.08</v>
          </cell>
          <cell r="AH50">
            <v>768.29399999999998</v>
          </cell>
          <cell r="AI50">
            <v>718.35489000000007</v>
          </cell>
          <cell r="AJ50">
            <v>6.5000000000000002E-2</v>
          </cell>
          <cell r="AK50">
            <v>2.5000000000000001E-3</v>
          </cell>
          <cell r="AL50">
            <v>1.4999999999999999E-2</v>
          </cell>
          <cell r="AM50">
            <v>0</v>
          </cell>
          <cell r="AN50">
            <v>0.01</v>
          </cell>
          <cell r="AO50">
            <v>1.3999999999999999E-2</v>
          </cell>
          <cell r="AQ50">
            <v>2.5000000000000001E-2</v>
          </cell>
          <cell r="AS50">
            <v>3</v>
          </cell>
          <cell r="AT50">
            <v>3</v>
          </cell>
          <cell r="AU50">
            <v>9</v>
          </cell>
          <cell r="AV50">
            <v>1.1000000000000001</v>
          </cell>
          <cell r="AW50">
            <v>70</v>
          </cell>
        </row>
        <row r="51">
          <cell r="K51" t="str">
            <v>ExportLNTManorUSABath76x147M</v>
          </cell>
          <cell r="M51">
            <v>280</v>
          </cell>
          <cell r="N51">
            <v>520</v>
          </cell>
          <cell r="O51">
            <v>0.88</v>
          </cell>
          <cell r="P51">
            <v>2952</v>
          </cell>
          <cell r="Q51">
            <v>20.081632653061224</v>
          </cell>
          <cell r="R51">
            <v>3</v>
          </cell>
          <cell r="S51">
            <v>643</v>
          </cell>
          <cell r="T51" t="str">
            <v>1/13  Egy Comb</v>
          </cell>
          <cell r="U51">
            <v>501.9</v>
          </cell>
          <cell r="V51">
            <v>0</v>
          </cell>
          <cell r="W51">
            <v>0</v>
          </cell>
          <cell r="X51" t="str">
            <v>2/16  Egy Comb</v>
          </cell>
          <cell r="Y51">
            <v>142.19999999999999</v>
          </cell>
          <cell r="Z51" t="str">
            <v xml:space="preserve">1/14OE  </v>
          </cell>
          <cell r="AA51">
            <v>92.114000000000004</v>
          </cell>
          <cell r="AB51" t="str">
            <v>2/20  Gas Mer</v>
          </cell>
          <cell r="AC51">
            <v>32.08</v>
          </cell>
          <cell r="AD51">
            <v>0</v>
          </cell>
          <cell r="AE51">
            <v>0</v>
          </cell>
          <cell r="AF51">
            <v>0</v>
          </cell>
          <cell r="AG51">
            <v>0</v>
          </cell>
          <cell r="AH51">
            <v>768.29399999999998</v>
          </cell>
          <cell r="AI51">
            <v>718.35489000000007</v>
          </cell>
          <cell r="AJ51">
            <v>6.5000000000000002E-2</v>
          </cell>
          <cell r="AK51">
            <v>2.5000000000000001E-3</v>
          </cell>
          <cell r="AL51">
            <v>1.4999999999999999E-2</v>
          </cell>
          <cell r="AM51">
            <v>0</v>
          </cell>
          <cell r="AN51">
            <v>0.01</v>
          </cell>
          <cell r="AO51">
            <v>1.3999999999999999E-2</v>
          </cell>
          <cell r="AP51">
            <v>0</v>
          </cell>
          <cell r="AQ51">
            <v>2.5000000000000001E-2</v>
          </cell>
          <cell r="AR51">
            <v>0</v>
          </cell>
          <cell r="AS51">
            <v>3</v>
          </cell>
          <cell r="AT51">
            <v>3</v>
          </cell>
          <cell r="AU51">
            <v>9</v>
          </cell>
          <cell r="AV51">
            <v>1.1000000000000001</v>
          </cell>
          <cell r="AW51">
            <v>70</v>
          </cell>
        </row>
        <row r="52">
          <cell r="K52" t="str">
            <v>ExportLNTManorUSABath76x147D</v>
          </cell>
          <cell r="M52">
            <v>280</v>
          </cell>
          <cell r="N52">
            <v>520</v>
          </cell>
          <cell r="O52">
            <v>0.88</v>
          </cell>
          <cell r="P52">
            <v>2952</v>
          </cell>
          <cell r="Q52">
            <v>20.081632653061224</v>
          </cell>
          <cell r="R52">
            <v>3</v>
          </cell>
          <cell r="S52">
            <v>643</v>
          </cell>
          <cell r="T52" t="str">
            <v>1/13  Egy Comb</v>
          </cell>
          <cell r="U52">
            <v>501.9</v>
          </cell>
          <cell r="V52">
            <v>0</v>
          </cell>
          <cell r="W52">
            <v>0</v>
          </cell>
          <cell r="X52" t="str">
            <v>2/16  Egy Comb</v>
          </cell>
          <cell r="Y52">
            <v>142.19999999999999</v>
          </cell>
          <cell r="Z52" t="str">
            <v xml:space="preserve">1/14OE  </v>
          </cell>
          <cell r="AA52">
            <v>92.114000000000004</v>
          </cell>
          <cell r="AB52" t="str">
            <v>2/20  Gas Mer</v>
          </cell>
          <cell r="AC52">
            <v>32.08</v>
          </cell>
          <cell r="AD52">
            <v>0</v>
          </cell>
          <cell r="AE52">
            <v>0</v>
          </cell>
          <cell r="AF52">
            <v>0</v>
          </cell>
          <cell r="AG52">
            <v>0</v>
          </cell>
          <cell r="AH52">
            <v>768.29399999999998</v>
          </cell>
          <cell r="AI52">
            <v>718.35489000000007</v>
          </cell>
          <cell r="AJ52">
            <v>6.5000000000000002E-2</v>
          </cell>
          <cell r="AK52">
            <v>2.5000000000000001E-3</v>
          </cell>
          <cell r="AL52">
            <v>1.4999999999999999E-2</v>
          </cell>
          <cell r="AM52">
            <v>0</v>
          </cell>
          <cell r="AN52">
            <v>0.01</v>
          </cell>
          <cell r="AO52">
            <v>1.3999999999999999E-2</v>
          </cell>
          <cell r="AP52">
            <v>0</v>
          </cell>
          <cell r="AQ52">
            <v>2.5000000000000001E-2</v>
          </cell>
          <cell r="AR52">
            <v>0</v>
          </cell>
          <cell r="AS52">
            <v>3</v>
          </cell>
          <cell r="AT52">
            <v>3</v>
          </cell>
          <cell r="AU52">
            <v>9</v>
          </cell>
          <cell r="AV52">
            <v>1.1000000000000001</v>
          </cell>
          <cell r="AW52">
            <v>70</v>
          </cell>
        </row>
        <row r="53">
          <cell r="K53" t="str">
            <v>ExportLNTManorUSAHand51x76L</v>
          </cell>
          <cell r="M53">
            <v>340</v>
          </cell>
          <cell r="N53">
            <v>450</v>
          </cell>
          <cell r="O53">
            <v>0.88</v>
          </cell>
          <cell r="P53">
            <v>1764</v>
          </cell>
          <cell r="Q53">
            <v>23.210526315789473</v>
          </cell>
          <cell r="R53">
            <v>5</v>
          </cell>
          <cell r="S53">
            <v>634</v>
          </cell>
          <cell r="T53" t="str">
            <v>1/13  Egy Comb</v>
          </cell>
          <cell r="U53">
            <v>160.51</v>
          </cell>
          <cell r="X53" t="str">
            <v>2/16  Egy Comb</v>
          </cell>
          <cell r="Y53">
            <v>50.42</v>
          </cell>
          <cell r="Z53" t="str">
            <v xml:space="preserve">1/14OE  </v>
          </cell>
          <cell r="AA53">
            <v>36.08</v>
          </cell>
          <cell r="AB53" t="str">
            <v>2/20  Gas Mer</v>
          </cell>
          <cell r="AC53">
            <v>15.79</v>
          </cell>
          <cell r="AH53">
            <v>262.8</v>
          </cell>
          <cell r="AI53">
            <v>245.71800000000002</v>
          </cell>
          <cell r="AJ53">
            <v>6.5000000000000002E-2</v>
          </cell>
          <cell r="AK53">
            <v>2.5000000000000001E-3</v>
          </cell>
          <cell r="AL53">
            <v>1.4999999999999999E-2</v>
          </cell>
          <cell r="AM53">
            <v>0</v>
          </cell>
          <cell r="AN53">
            <v>0.01</v>
          </cell>
          <cell r="AO53">
            <v>1.3999999999999999E-2</v>
          </cell>
          <cell r="AQ53">
            <v>2.5000000000000001E-2</v>
          </cell>
          <cell r="AS53">
            <v>3</v>
          </cell>
          <cell r="AT53">
            <v>3</v>
          </cell>
          <cell r="AU53">
            <v>9</v>
          </cell>
          <cell r="AV53">
            <v>1.1000000000000001</v>
          </cell>
          <cell r="AW53">
            <v>70</v>
          </cell>
        </row>
        <row r="54">
          <cell r="K54" t="str">
            <v>ExportLNTManorUSAHand51x76M</v>
          </cell>
          <cell r="M54">
            <v>340</v>
          </cell>
          <cell r="N54">
            <v>450</v>
          </cell>
          <cell r="O54">
            <v>0.88</v>
          </cell>
          <cell r="P54">
            <v>1764</v>
          </cell>
          <cell r="Q54">
            <v>23.210526315789473</v>
          </cell>
          <cell r="R54">
            <v>5</v>
          </cell>
          <cell r="S54">
            <v>634</v>
          </cell>
          <cell r="T54" t="str">
            <v>1/13  Egy Comb</v>
          </cell>
          <cell r="U54">
            <v>160.51</v>
          </cell>
          <cell r="V54">
            <v>0</v>
          </cell>
          <cell r="W54">
            <v>0</v>
          </cell>
          <cell r="X54" t="str">
            <v>2/16  Egy Comb</v>
          </cell>
          <cell r="Y54">
            <v>50.42</v>
          </cell>
          <cell r="Z54" t="str">
            <v xml:space="preserve">1/14OE  </v>
          </cell>
          <cell r="AA54">
            <v>36.08</v>
          </cell>
          <cell r="AB54" t="str">
            <v>2/20  Gas Mer</v>
          </cell>
          <cell r="AC54">
            <v>15.79</v>
          </cell>
          <cell r="AD54">
            <v>0</v>
          </cell>
          <cell r="AE54">
            <v>0</v>
          </cell>
          <cell r="AF54">
            <v>0</v>
          </cell>
          <cell r="AG54">
            <v>0</v>
          </cell>
          <cell r="AH54">
            <v>262.8</v>
          </cell>
          <cell r="AI54">
            <v>245.71800000000002</v>
          </cell>
          <cell r="AJ54">
            <v>6.5000000000000002E-2</v>
          </cell>
          <cell r="AK54">
            <v>2.5000000000000001E-3</v>
          </cell>
          <cell r="AL54">
            <v>1.4999999999999999E-2</v>
          </cell>
          <cell r="AM54">
            <v>0</v>
          </cell>
          <cell r="AN54">
            <v>0.01</v>
          </cell>
          <cell r="AO54">
            <v>1.3999999999999999E-2</v>
          </cell>
          <cell r="AP54">
            <v>0</v>
          </cell>
          <cell r="AQ54">
            <v>2.5000000000000001E-2</v>
          </cell>
          <cell r="AR54">
            <v>0</v>
          </cell>
          <cell r="AS54">
            <v>3</v>
          </cell>
          <cell r="AT54">
            <v>3</v>
          </cell>
          <cell r="AU54">
            <v>9</v>
          </cell>
          <cell r="AV54">
            <v>1.1000000000000001</v>
          </cell>
          <cell r="AW54">
            <v>70</v>
          </cell>
        </row>
        <row r="55">
          <cell r="K55" t="str">
            <v>ExportLNTManorUSAHand51x76D</v>
          </cell>
          <cell r="M55">
            <v>340</v>
          </cell>
          <cell r="N55">
            <v>450</v>
          </cell>
          <cell r="O55">
            <v>0.88</v>
          </cell>
          <cell r="P55">
            <v>1764</v>
          </cell>
          <cell r="Q55">
            <v>23.210526315789473</v>
          </cell>
          <cell r="R55">
            <v>5</v>
          </cell>
          <cell r="S55">
            <v>634</v>
          </cell>
          <cell r="T55" t="str">
            <v>1/13  Egy Comb</v>
          </cell>
          <cell r="U55">
            <v>160.51</v>
          </cell>
          <cell r="V55">
            <v>0</v>
          </cell>
          <cell r="W55">
            <v>0</v>
          </cell>
          <cell r="X55" t="str">
            <v>2/16  Egy Comb</v>
          </cell>
          <cell r="Y55">
            <v>50.42</v>
          </cell>
          <cell r="Z55" t="str">
            <v xml:space="preserve">1/14OE  </v>
          </cell>
          <cell r="AA55">
            <v>36.08</v>
          </cell>
          <cell r="AB55" t="str">
            <v>2/20  Gas Mer</v>
          </cell>
          <cell r="AC55">
            <v>15.79</v>
          </cell>
          <cell r="AD55">
            <v>0</v>
          </cell>
          <cell r="AE55">
            <v>0</v>
          </cell>
          <cell r="AF55">
            <v>0</v>
          </cell>
          <cell r="AG55">
            <v>0</v>
          </cell>
          <cell r="AH55">
            <v>262.8</v>
          </cell>
          <cell r="AI55">
            <v>245.71800000000002</v>
          </cell>
          <cell r="AJ55">
            <v>6.5000000000000002E-2</v>
          </cell>
          <cell r="AK55">
            <v>2.5000000000000001E-3</v>
          </cell>
          <cell r="AL55">
            <v>1.4999999999999999E-2</v>
          </cell>
          <cell r="AM55">
            <v>0</v>
          </cell>
          <cell r="AN55">
            <v>0.01</v>
          </cell>
          <cell r="AO55">
            <v>1.3999999999999999E-2</v>
          </cell>
          <cell r="AP55">
            <v>0</v>
          </cell>
          <cell r="AQ55">
            <v>2.5000000000000001E-2</v>
          </cell>
          <cell r="AR55">
            <v>0</v>
          </cell>
          <cell r="AS55">
            <v>3</v>
          </cell>
          <cell r="AT55">
            <v>3</v>
          </cell>
          <cell r="AU55">
            <v>9</v>
          </cell>
          <cell r="AV55">
            <v>1.1000000000000001</v>
          </cell>
          <cell r="AW55">
            <v>70</v>
          </cell>
        </row>
        <row r="56">
          <cell r="K56" t="str">
            <v>ExportLNTManorUSAWash33x33L</v>
          </cell>
          <cell r="M56">
            <v>340</v>
          </cell>
          <cell r="N56">
            <v>450</v>
          </cell>
          <cell r="O56">
            <v>0.88</v>
          </cell>
          <cell r="P56">
            <v>690</v>
          </cell>
          <cell r="Q56">
            <v>20.90909090909091</v>
          </cell>
          <cell r="R56">
            <v>7</v>
          </cell>
          <cell r="S56">
            <v>555</v>
          </cell>
          <cell r="T56" t="str">
            <v>1/13  Egy Comb</v>
          </cell>
          <cell r="U56">
            <v>39.29</v>
          </cell>
          <cell r="X56" t="str">
            <v>2/16  Egy Comb</v>
          </cell>
          <cell r="Y56">
            <v>15.6</v>
          </cell>
          <cell r="Z56" t="str">
            <v xml:space="preserve">1/14OE  </v>
          </cell>
          <cell r="AA56">
            <v>10.439</v>
          </cell>
          <cell r="AB56" t="str">
            <v>2/20  Gas Mer</v>
          </cell>
          <cell r="AC56">
            <v>3.2650000000000001</v>
          </cell>
          <cell r="AH56">
            <v>68.594000000000008</v>
          </cell>
          <cell r="AI56">
            <v>60.36272000000001</v>
          </cell>
          <cell r="AJ56">
            <v>0.12</v>
          </cell>
          <cell r="AK56">
            <v>2.5000000000000001E-3</v>
          </cell>
          <cell r="AL56">
            <v>1.4999999999999999E-2</v>
          </cell>
          <cell r="AM56">
            <v>0</v>
          </cell>
          <cell r="AN56">
            <v>0.01</v>
          </cell>
          <cell r="AO56">
            <v>1.3999999999999999E-2</v>
          </cell>
          <cell r="AQ56">
            <v>2.5000000000000001E-2</v>
          </cell>
          <cell r="AS56">
            <v>3</v>
          </cell>
          <cell r="AT56">
            <v>3</v>
          </cell>
          <cell r="AU56">
            <v>9</v>
          </cell>
          <cell r="AV56">
            <v>1.1000000000000001</v>
          </cell>
          <cell r="AW56">
            <v>70</v>
          </cell>
        </row>
        <row r="57">
          <cell r="K57" t="str">
            <v>ExportLNTManorUSAWash33x33M</v>
          </cell>
          <cell r="M57">
            <v>340</v>
          </cell>
          <cell r="N57">
            <v>450</v>
          </cell>
          <cell r="O57">
            <v>0.88</v>
          </cell>
          <cell r="P57">
            <v>690</v>
          </cell>
          <cell r="Q57">
            <v>20.90909090909091</v>
          </cell>
          <cell r="R57">
            <v>7</v>
          </cell>
          <cell r="S57">
            <v>555</v>
          </cell>
          <cell r="T57" t="str">
            <v>1/13  Egy Comb</v>
          </cell>
          <cell r="U57">
            <v>39.29</v>
          </cell>
          <cell r="V57">
            <v>0</v>
          </cell>
          <cell r="W57">
            <v>0</v>
          </cell>
          <cell r="X57" t="str">
            <v>2/16  Egy Comb</v>
          </cell>
          <cell r="Y57">
            <v>15.6</v>
          </cell>
          <cell r="Z57" t="str">
            <v xml:space="preserve">1/14OE  </v>
          </cell>
          <cell r="AA57">
            <v>10.439</v>
          </cell>
          <cell r="AB57" t="str">
            <v>2/20  Gas Mer</v>
          </cell>
          <cell r="AC57">
            <v>3.2650000000000001</v>
          </cell>
          <cell r="AD57">
            <v>0</v>
          </cell>
          <cell r="AE57">
            <v>0</v>
          </cell>
          <cell r="AF57">
            <v>0</v>
          </cell>
          <cell r="AG57">
            <v>0</v>
          </cell>
          <cell r="AH57">
            <v>68.594000000000008</v>
          </cell>
          <cell r="AI57">
            <v>60.36272000000001</v>
          </cell>
          <cell r="AJ57">
            <v>0.12</v>
          </cell>
          <cell r="AK57">
            <v>2.5000000000000001E-3</v>
          </cell>
          <cell r="AL57">
            <v>1.4999999999999999E-2</v>
          </cell>
          <cell r="AM57">
            <v>0</v>
          </cell>
          <cell r="AN57">
            <v>0.01</v>
          </cell>
          <cell r="AO57">
            <v>1.3999999999999999E-2</v>
          </cell>
          <cell r="AP57">
            <v>0</v>
          </cell>
          <cell r="AQ57">
            <v>2.5000000000000001E-2</v>
          </cell>
          <cell r="AR57">
            <v>0</v>
          </cell>
          <cell r="AS57">
            <v>3</v>
          </cell>
          <cell r="AT57">
            <v>3</v>
          </cell>
          <cell r="AU57">
            <v>9</v>
          </cell>
          <cell r="AV57">
            <v>1.1000000000000001</v>
          </cell>
          <cell r="AW57">
            <v>70</v>
          </cell>
        </row>
        <row r="58">
          <cell r="K58" t="str">
            <v>ExportLNTManorUSAWash33x33D</v>
          </cell>
          <cell r="M58">
            <v>340</v>
          </cell>
          <cell r="N58">
            <v>450</v>
          </cell>
          <cell r="O58">
            <v>0.88</v>
          </cell>
          <cell r="P58">
            <v>690</v>
          </cell>
          <cell r="Q58">
            <v>20.90909090909091</v>
          </cell>
          <cell r="R58">
            <v>7</v>
          </cell>
          <cell r="S58">
            <v>555</v>
          </cell>
          <cell r="T58" t="str">
            <v>1/13  Egy Comb</v>
          </cell>
          <cell r="U58">
            <v>39.29</v>
          </cell>
          <cell r="V58">
            <v>0</v>
          </cell>
          <cell r="W58">
            <v>0</v>
          </cell>
          <cell r="X58" t="str">
            <v>2/16  Egy Comb</v>
          </cell>
          <cell r="Y58">
            <v>15.6</v>
          </cell>
          <cell r="Z58" t="str">
            <v xml:space="preserve">1/14OE  </v>
          </cell>
          <cell r="AA58">
            <v>10.439</v>
          </cell>
          <cell r="AB58" t="str">
            <v>2/20  Gas Mer</v>
          </cell>
          <cell r="AC58">
            <v>3.2650000000000001</v>
          </cell>
          <cell r="AD58">
            <v>0</v>
          </cell>
          <cell r="AE58">
            <v>0</v>
          </cell>
          <cell r="AF58">
            <v>0</v>
          </cell>
          <cell r="AG58">
            <v>0</v>
          </cell>
          <cell r="AH58">
            <v>68.594000000000008</v>
          </cell>
          <cell r="AI58">
            <v>60.36272000000001</v>
          </cell>
          <cell r="AJ58">
            <v>0.12</v>
          </cell>
          <cell r="AK58">
            <v>2.5000000000000001E-3</v>
          </cell>
          <cell r="AL58">
            <v>1.4999999999999999E-2</v>
          </cell>
          <cell r="AM58">
            <v>0</v>
          </cell>
          <cell r="AN58">
            <v>0.01</v>
          </cell>
          <cell r="AO58">
            <v>1.3999999999999999E-2</v>
          </cell>
          <cell r="AP58">
            <v>0</v>
          </cell>
          <cell r="AQ58">
            <v>2.5000000000000001E-2</v>
          </cell>
          <cell r="AR58">
            <v>0</v>
          </cell>
          <cell r="AS58">
            <v>3</v>
          </cell>
          <cell r="AT58">
            <v>3</v>
          </cell>
          <cell r="AU58">
            <v>9</v>
          </cell>
          <cell r="AV58">
            <v>1.1000000000000001</v>
          </cell>
          <cell r="AW58">
            <v>70</v>
          </cell>
        </row>
        <row r="59">
          <cell r="K59" t="str">
            <v>ExportLNTNewUSABath76x147L</v>
          </cell>
          <cell r="M59">
            <v>280</v>
          </cell>
          <cell r="N59">
            <v>520</v>
          </cell>
          <cell r="O59">
            <v>0.88</v>
          </cell>
          <cell r="P59">
            <v>2952</v>
          </cell>
          <cell r="Q59">
            <v>20.081632653061224</v>
          </cell>
          <cell r="R59">
            <v>3</v>
          </cell>
          <cell r="S59">
            <v>643</v>
          </cell>
          <cell r="T59" t="str">
            <v>1/13  Egy Comb</v>
          </cell>
          <cell r="U59">
            <v>501.9</v>
          </cell>
          <cell r="X59" t="str">
            <v>2/16  Egy Comb</v>
          </cell>
          <cell r="Y59">
            <v>142.19999999999999</v>
          </cell>
          <cell r="Z59" t="str">
            <v xml:space="preserve">1/14OE  </v>
          </cell>
          <cell r="AA59">
            <v>92.114000000000004</v>
          </cell>
          <cell r="AB59" t="str">
            <v>2/20  Gas Mer</v>
          </cell>
          <cell r="AC59">
            <v>32.08</v>
          </cell>
          <cell r="AH59">
            <v>768.29399999999998</v>
          </cell>
          <cell r="AI59">
            <v>718.35489000000007</v>
          </cell>
          <cell r="AJ59">
            <v>6.5000000000000002E-2</v>
          </cell>
          <cell r="AK59">
            <v>2.5000000000000001E-3</v>
          </cell>
          <cell r="AL59">
            <v>1.4999999999999999E-2</v>
          </cell>
          <cell r="AM59">
            <v>0</v>
          </cell>
          <cell r="AN59">
            <v>0.01</v>
          </cell>
          <cell r="AO59">
            <v>1.3999999999999999E-2</v>
          </cell>
          <cell r="AQ59">
            <v>2.5000000000000001E-2</v>
          </cell>
          <cell r="AS59">
            <v>3</v>
          </cell>
          <cell r="AT59">
            <v>3</v>
          </cell>
          <cell r="AU59">
            <v>9</v>
          </cell>
          <cell r="AV59">
            <v>1.1000000000000001</v>
          </cell>
          <cell r="AW59">
            <v>70</v>
          </cell>
        </row>
        <row r="60">
          <cell r="K60" t="str">
            <v>ExportLNTNewUSABath76x147M</v>
          </cell>
          <cell r="M60">
            <v>280</v>
          </cell>
          <cell r="N60">
            <v>520</v>
          </cell>
          <cell r="O60">
            <v>0.88</v>
          </cell>
          <cell r="P60">
            <v>2952</v>
          </cell>
          <cell r="Q60">
            <v>20.081632653061224</v>
          </cell>
          <cell r="R60">
            <v>3</v>
          </cell>
          <cell r="S60">
            <v>643</v>
          </cell>
          <cell r="T60" t="str">
            <v>1/13  Egy Comb</v>
          </cell>
          <cell r="U60">
            <v>501.9</v>
          </cell>
          <cell r="V60">
            <v>0</v>
          </cell>
          <cell r="W60">
            <v>0</v>
          </cell>
          <cell r="X60" t="str">
            <v>2/16  Egy Comb</v>
          </cell>
          <cell r="Y60">
            <v>142.19999999999999</v>
          </cell>
          <cell r="Z60" t="str">
            <v xml:space="preserve">1/14OE  </v>
          </cell>
          <cell r="AA60">
            <v>92.114000000000004</v>
          </cell>
          <cell r="AB60" t="str">
            <v>2/20  Gas Mer</v>
          </cell>
          <cell r="AC60">
            <v>32.08</v>
          </cell>
          <cell r="AD60">
            <v>0</v>
          </cell>
          <cell r="AE60">
            <v>0</v>
          </cell>
          <cell r="AF60">
            <v>0</v>
          </cell>
          <cell r="AG60">
            <v>0</v>
          </cell>
          <cell r="AH60">
            <v>768.29399999999998</v>
          </cell>
          <cell r="AI60">
            <v>718.35489000000007</v>
          </cell>
          <cell r="AJ60">
            <v>6.5000000000000002E-2</v>
          </cell>
          <cell r="AK60">
            <v>2.5000000000000001E-3</v>
          </cell>
          <cell r="AL60">
            <v>1.4999999999999999E-2</v>
          </cell>
          <cell r="AM60">
            <v>0</v>
          </cell>
          <cell r="AN60">
            <v>0.01</v>
          </cell>
          <cell r="AO60">
            <v>1.3999999999999999E-2</v>
          </cell>
          <cell r="AP60">
            <v>0</v>
          </cell>
          <cell r="AQ60">
            <v>2.5000000000000001E-2</v>
          </cell>
          <cell r="AR60">
            <v>0</v>
          </cell>
          <cell r="AS60">
            <v>3</v>
          </cell>
          <cell r="AT60">
            <v>3</v>
          </cell>
          <cell r="AU60">
            <v>9</v>
          </cell>
          <cell r="AV60">
            <v>1.1000000000000001</v>
          </cell>
          <cell r="AW60">
            <v>70</v>
          </cell>
        </row>
        <row r="61">
          <cell r="K61" t="str">
            <v>ExportLNTNewUSABath76x147D</v>
          </cell>
          <cell r="M61">
            <v>280</v>
          </cell>
          <cell r="N61">
            <v>520</v>
          </cell>
          <cell r="O61">
            <v>0.88</v>
          </cell>
          <cell r="P61">
            <v>2952</v>
          </cell>
          <cell r="Q61">
            <v>20.081632653061224</v>
          </cell>
          <cell r="R61">
            <v>3</v>
          </cell>
          <cell r="S61">
            <v>643</v>
          </cell>
          <cell r="T61" t="str">
            <v>1/13  Egy Comb</v>
          </cell>
          <cell r="U61">
            <v>501.9</v>
          </cell>
          <cell r="V61">
            <v>0</v>
          </cell>
          <cell r="W61">
            <v>0</v>
          </cell>
          <cell r="X61" t="str">
            <v>2/16  Egy Comb</v>
          </cell>
          <cell r="Y61">
            <v>142.19999999999999</v>
          </cell>
          <cell r="Z61" t="str">
            <v xml:space="preserve">1/14OE  </v>
          </cell>
          <cell r="AA61">
            <v>92.114000000000004</v>
          </cell>
          <cell r="AB61" t="str">
            <v>2/20  Gas Mer</v>
          </cell>
          <cell r="AC61">
            <v>32.08</v>
          </cell>
          <cell r="AD61">
            <v>0</v>
          </cell>
          <cell r="AE61">
            <v>0</v>
          </cell>
          <cell r="AF61">
            <v>0</v>
          </cell>
          <cell r="AG61">
            <v>0</v>
          </cell>
          <cell r="AH61">
            <v>768.29399999999998</v>
          </cell>
          <cell r="AI61">
            <v>718.35489000000007</v>
          </cell>
          <cell r="AJ61">
            <v>6.5000000000000002E-2</v>
          </cell>
          <cell r="AK61">
            <v>2.5000000000000001E-3</v>
          </cell>
          <cell r="AL61">
            <v>1.4999999999999999E-2</v>
          </cell>
          <cell r="AM61">
            <v>0</v>
          </cell>
          <cell r="AN61">
            <v>0.01</v>
          </cell>
          <cell r="AO61">
            <v>1.3999999999999999E-2</v>
          </cell>
          <cell r="AP61">
            <v>0</v>
          </cell>
          <cell r="AQ61">
            <v>2.5000000000000001E-2</v>
          </cell>
          <cell r="AR61">
            <v>0</v>
          </cell>
          <cell r="AS61">
            <v>3</v>
          </cell>
          <cell r="AT61">
            <v>3</v>
          </cell>
          <cell r="AU61">
            <v>9</v>
          </cell>
          <cell r="AV61">
            <v>1.1000000000000001</v>
          </cell>
          <cell r="AW61">
            <v>70</v>
          </cell>
        </row>
        <row r="62">
          <cell r="K62" t="str">
            <v>ExportLNTNewUSAHand51x76L</v>
          </cell>
          <cell r="M62">
            <v>340</v>
          </cell>
          <cell r="N62">
            <v>450</v>
          </cell>
          <cell r="O62">
            <v>0.88</v>
          </cell>
          <cell r="P62">
            <v>1764</v>
          </cell>
          <cell r="Q62">
            <v>23.210526315789473</v>
          </cell>
          <cell r="R62">
            <v>5</v>
          </cell>
          <cell r="S62">
            <v>634</v>
          </cell>
          <cell r="T62" t="str">
            <v>1/13  Egy Comb</v>
          </cell>
          <cell r="U62">
            <v>160.51</v>
          </cell>
          <cell r="X62" t="str">
            <v>2/16  Egy Comb</v>
          </cell>
          <cell r="Y62">
            <v>50.42</v>
          </cell>
          <cell r="Z62" t="str">
            <v xml:space="preserve">1/14OE  </v>
          </cell>
          <cell r="AA62">
            <v>36.08</v>
          </cell>
          <cell r="AB62" t="str">
            <v>2/20  Gas Mer</v>
          </cell>
          <cell r="AC62">
            <v>15.79</v>
          </cell>
          <cell r="AH62">
            <v>262.8</v>
          </cell>
          <cell r="AI62">
            <v>245.71800000000002</v>
          </cell>
          <cell r="AJ62">
            <v>6.5000000000000002E-2</v>
          </cell>
          <cell r="AK62">
            <v>2.5000000000000001E-3</v>
          </cell>
          <cell r="AL62">
            <v>1.4999999999999999E-2</v>
          </cell>
          <cell r="AM62">
            <v>0</v>
          </cell>
          <cell r="AN62">
            <v>0.01</v>
          </cell>
          <cell r="AO62">
            <v>1.3999999999999999E-2</v>
          </cell>
          <cell r="AQ62">
            <v>2.5000000000000001E-2</v>
          </cell>
          <cell r="AS62">
            <v>3</v>
          </cell>
          <cell r="AT62">
            <v>3</v>
          </cell>
          <cell r="AU62">
            <v>9</v>
          </cell>
          <cell r="AV62">
            <v>1.1000000000000001</v>
          </cell>
          <cell r="AW62">
            <v>70</v>
          </cell>
        </row>
        <row r="63">
          <cell r="K63" t="str">
            <v>ExportLNTNewUSAHand51x76M</v>
          </cell>
          <cell r="M63">
            <v>340</v>
          </cell>
          <cell r="N63">
            <v>450</v>
          </cell>
          <cell r="O63">
            <v>0.88</v>
          </cell>
          <cell r="P63">
            <v>1764</v>
          </cell>
          <cell r="Q63">
            <v>23.210526315789473</v>
          </cell>
          <cell r="R63">
            <v>5</v>
          </cell>
          <cell r="S63">
            <v>634</v>
          </cell>
          <cell r="T63" t="str">
            <v>1/13  Egy Comb</v>
          </cell>
          <cell r="U63">
            <v>160.51</v>
          </cell>
          <cell r="V63">
            <v>0</v>
          </cell>
          <cell r="W63">
            <v>0</v>
          </cell>
          <cell r="X63" t="str">
            <v>2/16  Egy Comb</v>
          </cell>
          <cell r="Y63">
            <v>50.42</v>
          </cell>
          <cell r="Z63" t="str">
            <v xml:space="preserve">1/14OE  </v>
          </cell>
          <cell r="AA63">
            <v>36.08</v>
          </cell>
          <cell r="AB63" t="str">
            <v>2/20  Gas Mer</v>
          </cell>
          <cell r="AC63">
            <v>15.79</v>
          </cell>
          <cell r="AD63">
            <v>0</v>
          </cell>
          <cell r="AE63">
            <v>0</v>
          </cell>
          <cell r="AF63">
            <v>0</v>
          </cell>
          <cell r="AG63">
            <v>0</v>
          </cell>
          <cell r="AH63">
            <v>262.8</v>
          </cell>
          <cell r="AI63">
            <v>245.71800000000002</v>
          </cell>
          <cell r="AJ63">
            <v>6.5000000000000002E-2</v>
          </cell>
          <cell r="AK63">
            <v>2.5000000000000001E-3</v>
          </cell>
          <cell r="AL63">
            <v>1.4999999999999999E-2</v>
          </cell>
          <cell r="AM63">
            <v>0</v>
          </cell>
          <cell r="AN63">
            <v>0.01</v>
          </cell>
          <cell r="AO63">
            <v>1.3999999999999999E-2</v>
          </cell>
          <cell r="AP63">
            <v>0</v>
          </cell>
          <cell r="AQ63">
            <v>2.5000000000000001E-2</v>
          </cell>
          <cell r="AR63">
            <v>0</v>
          </cell>
          <cell r="AS63">
            <v>3</v>
          </cell>
          <cell r="AT63">
            <v>3</v>
          </cell>
          <cell r="AU63">
            <v>9</v>
          </cell>
          <cell r="AV63">
            <v>1.1000000000000001</v>
          </cell>
          <cell r="AW63">
            <v>70</v>
          </cell>
        </row>
        <row r="64">
          <cell r="K64" t="str">
            <v>ExportLNTNewUSAHand51x76D</v>
          </cell>
          <cell r="M64">
            <v>340</v>
          </cell>
          <cell r="N64">
            <v>450</v>
          </cell>
          <cell r="O64">
            <v>0.88</v>
          </cell>
          <cell r="P64">
            <v>1764</v>
          </cell>
          <cell r="Q64">
            <v>23.210526315789473</v>
          </cell>
          <cell r="R64">
            <v>5</v>
          </cell>
          <cell r="S64">
            <v>634</v>
          </cell>
          <cell r="T64" t="str">
            <v>1/13  Egy Comb</v>
          </cell>
          <cell r="U64">
            <v>160.51</v>
          </cell>
          <cell r="V64">
            <v>0</v>
          </cell>
          <cell r="W64">
            <v>0</v>
          </cell>
          <cell r="X64" t="str">
            <v>2/16  Egy Comb</v>
          </cell>
          <cell r="Y64">
            <v>50.42</v>
          </cell>
          <cell r="Z64" t="str">
            <v xml:space="preserve">1/14OE  </v>
          </cell>
          <cell r="AA64">
            <v>36.08</v>
          </cell>
          <cell r="AB64" t="str">
            <v>2/20  Gas Mer</v>
          </cell>
          <cell r="AC64">
            <v>15.79</v>
          </cell>
          <cell r="AD64">
            <v>0</v>
          </cell>
          <cell r="AE64">
            <v>0</v>
          </cell>
          <cell r="AF64">
            <v>0</v>
          </cell>
          <cell r="AG64">
            <v>0</v>
          </cell>
          <cell r="AH64">
            <v>262.8</v>
          </cell>
          <cell r="AI64">
            <v>245.71800000000002</v>
          </cell>
          <cell r="AJ64">
            <v>6.5000000000000002E-2</v>
          </cell>
          <cell r="AK64">
            <v>2.5000000000000001E-3</v>
          </cell>
          <cell r="AL64">
            <v>1.4999999999999999E-2</v>
          </cell>
          <cell r="AM64">
            <v>0</v>
          </cell>
          <cell r="AN64">
            <v>0.01</v>
          </cell>
          <cell r="AO64">
            <v>1.3999999999999999E-2</v>
          </cell>
          <cell r="AP64">
            <v>0</v>
          </cell>
          <cell r="AQ64">
            <v>2.5000000000000001E-2</v>
          </cell>
          <cell r="AR64">
            <v>0</v>
          </cell>
          <cell r="AS64">
            <v>3</v>
          </cell>
          <cell r="AT64">
            <v>3</v>
          </cell>
          <cell r="AU64">
            <v>9</v>
          </cell>
          <cell r="AV64">
            <v>1.1000000000000001</v>
          </cell>
          <cell r="AW64">
            <v>70</v>
          </cell>
        </row>
        <row r="65">
          <cell r="K65" t="str">
            <v>ExportLNTNewUSAWash33x33L</v>
          </cell>
          <cell r="M65">
            <v>340</v>
          </cell>
          <cell r="N65">
            <v>450</v>
          </cell>
          <cell r="O65">
            <v>0.88</v>
          </cell>
          <cell r="P65">
            <v>690</v>
          </cell>
          <cell r="Q65">
            <v>20.90909090909091</v>
          </cell>
          <cell r="R65">
            <v>7</v>
          </cell>
          <cell r="S65">
            <v>555</v>
          </cell>
          <cell r="T65" t="str">
            <v>1/13  Egy Comb</v>
          </cell>
          <cell r="U65">
            <v>39.29</v>
          </cell>
          <cell r="X65" t="str">
            <v>2/16  Egy Comb</v>
          </cell>
          <cell r="Y65">
            <v>15.6</v>
          </cell>
          <cell r="Z65" t="str">
            <v xml:space="preserve">1/14OE  </v>
          </cell>
          <cell r="AA65">
            <v>10.439</v>
          </cell>
          <cell r="AB65" t="str">
            <v>2/20  Gas Mer</v>
          </cell>
          <cell r="AC65">
            <v>3.2650000000000001</v>
          </cell>
          <cell r="AH65">
            <v>68.594000000000008</v>
          </cell>
          <cell r="AI65">
            <v>60.36272000000001</v>
          </cell>
          <cell r="AJ65">
            <v>0.12</v>
          </cell>
          <cell r="AK65">
            <v>2.5000000000000001E-3</v>
          </cell>
          <cell r="AL65">
            <v>1.4999999999999999E-2</v>
          </cell>
          <cell r="AM65">
            <v>0</v>
          </cell>
          <cell r="AN65">
            <v>0.01</v>
          </cell>
          <cell r="AO65">
            <v>1.3999999999999999E-2</v>
          </cell>
          <cell r="AQ65">
            <v>2.5000000000000001E-2</v>
          </cell>
          <cell r="AS65">
            <v>3</v>
          </cell>
          <cell r="AT65">
            <v>3</v>
          </cell>
          <cell r="AU65">
            <v>9</v>
          </cell>
          <cell r="AV65">
            <v>1.1000000000000001</v>
          </cell>
          <cell r="AW65">
            <v>70</v>
          </cell>
        </row>
        <row r="66">
          <cell r="K66" t="str">
            <v>ExportLNTNewUSAWash33x33M</v>
          </cell>
          <cell r="M66">
            <v>340</v>
          </cell>
          <cell r="N66">
            <v>450</v>
          </cell>
          <cell r="O66">
            <v>0.88</v>
          </cell>
          <cell r="P66">
            <v>690</v>
          </cell>
          <cell r="Q66">
            <v>20.90909090909091</v>
          </cell>
          <cell r="R66">
            <v>7</v>
          </cell>
          <cell r="S66">
            <v>555</v>
          </cell>
          <cell r="T66" t="str">
            <v>1/13  Egy Comb</v>
          </cell>
          <cell r="U66">
            <v>39.29</v>
          </cell>
          <cell r="V66">
            <v>0</v>
          </cell>
          <cell r="W66">
            <v>0</v>
          </cell>
          <cell r="X66" t="str">
            <v>2/16  Egy Comb</v>
          </cell>
          <cell r="Y66">
            <v>15.6</v>
          </cell>
          <cell r="Z66" t="str">
            <v xml:space="preserve">1/14OE  </v>
          </cell>
          <cell r="AA66">
            <v>10.439</v>
          </cell>
          <cell r="AB66" t="str">
            <v>2/20  Gas Mer</v>
          </cell>
          <cell r="AC66">
            <v>3.2650000000000001</v>
          </cell>
          <cell r="AD66">
            <v>0</v>
          </cell>
          <cell r="AE66">
            <v>0</v>
          </cell>
          <cell r="AF66">
            <v>0</v>
          </cell>
          <cell r="AG66">
            <v>0</v>
          </cell>
          <cell r="AH66">
            <v>68.594000000000008</v>
          </cell>
          <cell r="AI66">
            <v>60.36272000000001</v>
          </cell>
          <cell r="AJ66">
            <v>0.12</v>
          </cell>
          <cell r="AK66">
            <v>2.5000000000000001E-3</v>
          </cell>
          <cell r="AL66">
            <v>1.4999999999999999E-2</v>
          </cell>
          <cell r="AM66">
            <v>0</v>
          </cell>
          <cell r="AN66">
            <v>0.01</v>
          </cell>
          <cell r="AO66">
            <v>1.3999999999999999E-2</v>
          </cell>
          <cell r="AP66">
            <v>0</v>
          </cell>
          <cell r="AQ66">
            <v>2.5000000000000001E-2</v>
          </cell>
          <cell r="AR66">
            <v>0</v>
          </cell>
          <cell r="AS66">
            <v>3</v>
          </cell>
          <cell r="AT66">
            <v>3</v>
          </cell>
          <cell r="AU66">
            <v>9</v>
          </cell>
          <cell r="AV66">
            <v>1.1000000000000001</v>
          </cell>
          <cell r="AW66">
            <v>70</v>
          </cell>
        </row>
        <row r="67">
          <cell r="K67" t="str">
            <v>ExportLNTNewUSAWash33x33D</v>
          </cell>
          <cell r="M67">
            <v>340</v>
          </cell>
          <cell r="N67">
            <v>450</v>
          </cell>
          <cell r="O67">
            <v>0.88</v>
          </cell>
          <cell r="P67">
            <v>690</v>
          </cell>
          <cell r="Q67">
            <v>20.90909090909091</v>
          </cell>
          <cell r="R67">
            <v>7</v>
          </cell>
          <cell r="S67">
            <v>555</v>
          </cell>
          <cell r="T67" t="str">
            <v>1/13  Egy Comb</v>
          </cell>
          <cell r="U67">
            <v>39.29</v>
          </cell>
          <cell r="V67">
            <v>0</v>
          </cell>
          <cell r="W67">
            <v>0</v>
          </cell>
          <cell r="X67" t="str">
            <v>2/16  Egy Comb</v>
          </cell>
          <cell r="Y67">
            <v>15.6</v>
          </cell>
          <cell r="Z67" t="str">
            <v xml:space="preserve">1/14OE  </v>
          </cell>
          <cell r="AA67">
            <v>10.439</v>
          </cell>
          <cell r="AB67" t="str">
            <v>2/20  Gas Mer</v>
          </cell>
          <cell r="AC67">
            <v>3.2650000000000001</v>
          </cell>
          <cell r="AD67">
            <v>0</v>
          </cell>
          <cell r="AE67">
            <v>0</v>
          </cell>
          <cell r="AF67">
            <v>0</v>
          </cell>
          <cell r="AG67">
            <v>0</v>
          </cell>
          <cell r="AH67">
            <v>68.594000000000008</v>
          </cell>
          <cell r="AI67">
            <v>60.36272000000001</v>
          </cell>
          <cell r="AJ67">
            <v>0.12</v>
          </cell>
          <cell r="AK67">
            <v>2.5000000000000001E-3</v>
          </cell>
          <cell r="AL67">
            <v>1.4999999999999999E-2</v>
          </cell>
          <cell r="AM67">
            <v>0</v>
          </cell>
          <cell r="AN67">
            <v>0.01</v>
          </cell>
          <cell r="AO67">
            <v>1.3999999999999999E-2</v>
          </cell>
          <cell r="AP67">
            <v>0</v>
          </cell>
          <cell r="AQ67">
            <v>2.5000000000000001E-2</v>
          </cell>
          <cell r="AR67">
            <v>0</v>
          </cell>
          <cell r="AS67">
            <v>3</v>
          </cell>
          <cell r="AT67">
            <v>3</v>
          </cell>
          <cell r="AU67">
            <v>9</v>
          </cell>
          <cell r="AV67">
            <v>1.1000000000000001</v>
          </cell>
          <cell r="AW67">
            <v>70</v>
          </cell>
        </row>
        <row r="68">
          <cell r="K68" t="str">
            <v>ExportKohlsBig One StripeUSABath76x137L</v>
          </cell>
          <cell r="M68">
            <v>280</v>
          </cell>
          <cell r="N68">
            <v>520</v>
          </cell>
          <cell r="O68">
            <v>0.88</v>
          </cell>
          <cell r="P68">
            <v>2700</v>
          </cell>
          <cell r="Q68">
            <v>19.708029197080293</v>
          </cell>
          <cell r="R68">
            <v>3</v>
          </cell>
          <cell r="S68">
            <v>526</v>
          </cell>
          <cell r="T68" t="str">
            <v>2/24  DyedPattern</v>
          </cell>
          <cell r="U68">
            <v>371.42</v>
          </cell>
          <cell r="X68" t="str">
            <v>2/24  DyedPattern</v>
          </cell>
          <cell r="Y68">
            <v>90.53</v>
          </cell>
          <cell r="Z68" t="str">
            <v>1/16  CombDyed</v>
          </cell>
          <cell r="AA68">
            <v>74.27</v>
          </cell>
          <cell r="AB68" t="str">
            <v>2/24  KC</v>
          </cell>
          <cell r="AC68">
            <v>22.72</v>
          </cell>
          <cell r="AH68">
            <v>558.94000000000005</v>
          </cell>
          <cell r="AI68">
            <v>547.76120000000003</v>
          </cell>
          <cell r="AJ68">
            <v>0.02</v>
          </cell>
          <cell r="AK68">
            <v>2.5000000000000001E-3</v>
          </cell>
          <cell r="AL68">
            <v>1.4999999999999999E-2</v>
          </cell>
          <cell r="AM68">
            <v>0</v>
          </cell>
          <cell r="AN68">
            <v>0.01</v>
          </cell>
          <cell r="AO68">
            <v>0</v>
          </cell>
          <cell r="AQ68">
            <v>2.5000000000000001E-2</v>
          </cell>
          <cell r="AS68">
            <v>3</v>
          </cell>
          <cell r="AT68">
            <v>3</v>
          </cell>
          <cell r="AU68">
            <v>9</v>
          </cell>
          <cell r="AV68">
            <v>1.1000000000000001</v>
          </cell>
          <cell r="AW68">
            <v>70</v>
          </cell>
        </row>
        <row r="69">
          <cell r="K69" t="str">
            <v>ExportKohlsBig One StripeUSABath76x137M</v>
          </cell>
          <cell r="M69">
            <v>280</v>
          </cell>
          <cell r="N69">
            <v>520</v>
          </cell>
          <cell r="O69">
            <v>0.88</v>
          </cell>
          <cell r="P69">
            <v>2700</v>
          </cell>
          <cell r="Q69">
            <v>19.708029197080293</v>
          </cell>
          <cell r="R69">
            <v>3</v>
          </cell>
          <cell r="S69">
            <v>526</v>
          </cell>
          <cell r="T69" t="str">
            <v>2/24  DyedPattern</v>
          </cell>
          <cell r="U69">
            <v>371.42</v>
          </cell>
          <cell r="V69">
            <v>0</v>
          </cell>
          <cell r="W69">
            <v>0</v>
          </cell>
          <cell r="X69" t="str">
            <v>2/24  DyedPattern</v>
          </cell>
          <cell r="Y69">
            <v>90.53</v>
          </cell>
          <cell r="Z69" t="str">
            <v>1/16  CombDyed</v>
          </cell>
          <cell r="AA69">
            <v>74.27</v>
          </cell>
          <cell r="AB69" t="str">
            <v>2/24  KC</v>
          </cell>
          <cell r="AC69">
            <v>22.72</v>
          </cell>
          <cell r="AD69">
            <v>0</v>
          </cell>
          <cell r="AE69">
            <v>0</v>
          </cell>
          <cell r="AF69">
            <v>0</v>
          </cell>
          <cell r="AG69">
            <v>0</v>
          </cell>
          <cell r="AH69">
            <v>558.94000000000005</v>
          </cell>
          <cell r="AI69">
            <v>547.76120000000003</v>
          </cell>
          <cell r="AJ69">
            <v>0.02</v>
          </cell>
          <cell r="AK69">
            <v>2.5000000000000001E-3</v>
          </cell>
          <cell r="AL69">
            <v>1.4999999999999999E-2</v>
          </cell>
          <cell r="AM69">
            <v>0</v>
          </cell>
          <cell r="AN69">
            <v>0.01</v>
          </cell>
          <cell r="AO69">
            <v>0</v>
          </cell>
          <cell r="AP69">
            <v>0</v>
          </cell>
          <cell r="AQ69">
            <v>2.5000000000000001E-2</v>
          </cell>
          <cell r="AR69">
            <v>0</v>
          </cell>
          <cell r="AS69">
            <v>3</v>
          </cell>
          <cell r="AT69">
            <v>3</v>
          </cell>
          <cell r="AU69">
            <v>9</v>
          </cell>
          <cell r="AV69">
            <v>1.1000000000000001</v>
          </cell>
          <cell r="AW69">
            <v>70</v>
          </cell>
        </row>
        <row r="70">
          <cell r="K70" t="str">
            <v>ExportKohlsBig One StripeUSABath76x137D</v>
          </cell>
          <cell r="M70">
            <v>280</v>
          </cell>
          <cell r="N70">
            <v>520</v>
          </cell>
          <cell r="O70">
            <v>0.88</v>
          </cell>
          <cell r="P70">
            <v>2700</v>
          </cell>
          <cell r="Q70">
            <v>19.708029197080293</v>
          </cell>
          <cell r="R70">
            <v>3</v>
          </cell>
          <cell r="S70">
            <v>526</v>
          </cell>
          <cell r="T70" t="str">
            <v>2/24  DyedPattern</v>
          </cell>
          <cell r="U70">
            <v>371.42</v>
          </cell>
          <cell r="V70">
            <v>0</v>
          </cell>
          <cell r="W70">
            <v>0</v>
          </cell>
          <cell r="X70" t="str">
            <v>2/24  DyedPattern</v>
          </cell>
          <cell r="Y70">
            <v>90.53</v>
          </cell>
          <cell r="Z70" t="str">
            <v>1/16  CombDyed</v>
          </cell>
          <cell r="AA70">
            <v>74.27</v>
          </cell>
          <cell r="AB70" t="str">
            <v>2/24  KC</v>
          </cell>
          <cell r="AC70">
            <v>22.72</v>
          </cell>
          <cell r="AD70">
            <v>0</v>
          </cell>
          <cell r="AE70">
            <v>0</v>
          </cell>
          <cell r="AF70">
            <v>0</v>
          </cell>
          <cell r="AG70">
            <v>0</v>
          </cell>
          <cell r="AH70">
            <v>558.94000000000005</v>
          </cell>
          <cell r="AI70">
            <v>547.76120000000003</v>
          </cell>
          <cell r="AJ70">
            <v>0.02</v>
          </cell>
          <cell r="AK70">
            <v>2.5000000000000001E-3</v>
          </cell>
          <cell r="AL70">
            <v>1.4999999999999999E-2</v>
          </cell>
          <cell r="AM70">
            <v>0</v>
          </cell>
          <cell r="AN70">
            <v>0.01</v>
          </cell>
          <cell r="AO70">
            <v>0</v>
          </cell>
          <cell r="AP70">
            <v>0</v>
          </cell>
          <cell r="AQ70">
            <v>2.5000000000000001E-2</v>
          </cell>
          <cell r="AR70">
            <v>0</v>
          </cell>
          <cell r="AS70">
            <v>3</v>
          </cell>
          <cell r="AT70">
            <v>3</v>
          </cell>
          <cell r="AU70">
            <v>9</v>
          </cell>
          <cell r="AV70">
            <v>1.1000000000000001</v>
          </cell>
          <cell r="AW70">
            <v>70</v>
          </cell>
        </row>
        <row r="71">
          <cell r="K71" t="str">
            <v>ExportKohlsBig One StripeUSAHand41x71L</v>
          </cell>
          <cell r="M71">
            <v>340</v>
          </cell>
          <cell r="N71">
            <v>450</v>
          </cell>
          <cell r="O71">
            <v>0.88</v>
          </cell>
          <cell r="P71">
            <v>1374</v>
          </cell>
          <cell r="Q71">
            <v>19.35211267605634</v>
          </cell>
          <cell r="R71">
            <v>6</v>
          </cell>
          <cell r="S71">
            <v>487</v>
          </cell>
          <cell r="T71" t="str">
            <v>2/24  DyedPattern</v>
          </cell>
          <cell r="U71">
            <v>90.83</v>
          </cell>
          <cell r="X71" t="str">
            <v>2/24  DyedPattern</v>
          </cell>
          <cell r="Y71">
            <v>26.33</v>
          </cell>
          <cell r="Z71" t="str">
            <v>1/16  CombDyed</v>
          </cell>
          <cell r="AA71">
            <v>20.6</v>
          </cell>
          <cell r="AB71" t="str">
            <v>2/24  KC</v>
          </cell>
          <cell r="AC71">
            <v>6.9</v>
          </cell>
          <cell r="AH71">
            <v>144.66</v>
          </cell>
          <cell r="AI71">
            <v>141.76679999999999</v>
          </cell>
          <cell r="AJ71">
            <v>0.02</v>
          </cell>
          <cell r="AK71">
            <v>2.5000000000000001E-3</v>
          </cell>
          <cell r="AL71">
            <v>1.4999999999999999E-2</v>
          </cell>
          <cell r="AM71">
            <v>0</v>
          </cell>
          <cell r="AN71">
            <v>0.01</v>
          </cell>
          <cell r="AO71">
            <v>0</v>
          </cell>
          <cell r="AQ71">
            <v>2.5000000000000001E-2</v>
          </cell>
          <cell r="AS71">
            <v>3</v>
          </cell>
          <cell r="AT71">
            <v>3</v>
          </cell>
          <cell r="AU71">
            <v>9</v>
          </cell>
          <cell r="AV71">
            <v>1.1000000000000001</v>
          </cell>
          <cell r="AW71">
            <v>70</v>
          </cell>
        </row>
        <row r="72">
          <cell r="K72" t="str">
            <v>ExportKohlsBig One StripeUSAHand41x71M</v>
          </cell>
          <cell r="M72">
            <v>340</v>
          </cell>
          <cell r="N72">
            <v>450</v>
          </cell>
          <cell r="O72">
            <v>0.88</v>
          </cell>
          <cell r="P72">
            <v>1374</v>
          </cell>
          <cell r="Q72">
            <v>19.35211267605634</v>
          </cell>
          <cell r="R72">
            <v>6</v>
          </cell>
          <cell r="S72">
            <v>487</v>
          </cell>
          <cell r="T72" t="str">
            <v>2/24  DyedPattern</v>
          </cell>
          <cell r="U72">
            <v>90.83</v>
          </cell>
          <cell r="V72">
            <v>0</v>
          </cell>
          <cell r="W72">
            <v>0</v>
          </cell>
          <cell r="X72" t="str">
            <v>2/24  DyedPattern</v>
          </cell>
          <cell r="Y72">
            <v>26.33</v>
          </cell>
          <cell r="Z72" t="str">
            <v>1/16  CombDyed</v>
          </cell>
          <cell r="AA72">
            <v>20.6</v>
          </cell>
          <cell r="AB72" t="str">
            <v>2/24  KC</v>
          </cell>
          <cell r="AC72">
            <v>6.9</v>
          </cell>
          <cell r="AD72">
            <v>0</v>
          </cell>
          <cell r="AE72">
            <v>0</v>
          </cell>
          <cell r="AF72">
            <v>0</v>
          </cell>
          <cell r="AG72">
            <v>0</v>
          </cell>
          <cell r="AH72">
            <v>144.66</v>
          </cell>
          <cell r="AI72">
            <v>141.76679999999999</v>
          </cell>
          <cell r="AJ72">
            <v>0.02</v>
          </cell>
          <cell r="AK72">
            <v>2.5000000000000001E-3</v>
          </cell>
          <cell r="AL72">
            <v>1.4999999999999999E-2</v>
          </cell>
          <cell r="AM72">
            <v>0</v>
          </cell>
          <cell r="AN72">
            <v>0.01</v>
          </cell>
          <cell r="AO72">
            <v>0</v>
          </cell>
          <cell r="AP72">
            <v>0</v>
          </cell>
          <cell r="AQ72">
            <v>2.5000000000000001E-2</v>
          </cell>
          <cell r="AR72">
            <v>0</v>
          </cell>
          <cell r="AS72">
            <v>3</v>
          </cell>
          <cell r="AT72">
            <v>3</v>
          </cell>
          <cell r="AU72">
            <v>9</v>
          </cell>
          <cell r="AV72">
            <v>1.1000000000000001</v>
          </cell>
          <cell r="AW72">
            <v>70</v>
          </cell>
        </row>
        <row r="73">
          <cell r="K73" t="str">
            <v>ExportKohlsBig One StripeUSAHand41x71D</v>
          </cell>
          <cell r="M73">
            <v>340</v>
          </cell>
          <cell r="N73">
            <v>450</v>
          </cell>
          <cell r="O73">
            <v>0.88</v>
          </cell>
          <cell r="P73">
            <v>1374</v>
          </cell>
          <cell r="Q73">
            <v>19.35211267605634</v>
          </cell>
          <cell r="R73">
            <v>6</v>
          </cell>
          <cell r="S73">
            <v>487</v>
          </cell>
          <cell r="T73" t="str">
            <v>2/24  DyedPattern</v>
          </cell>
          <cell r="U73">
            <v>90.83</v>
          </cell>
          <cell r="V73">
            <v>0</v>
          </cell>
          <cell r="W73">
            <v>0</v>
          </cell>
          <cell r="X73" t="str">
            <v>2/24  DyedPattern</v>
          </cell>
          <cell r="Y73">
            <v>26.33</v>
          </cell>
          <cell r="Z73" t="str">
            <v>1/16  CombDyed</v>
          </cell>
          <cell r="AA73">
            <v>20.6</v>
          </cell>
          <cell r="AB73" t="str">
            <v>2/24  KC</v>
          </cell>
          <cell r="AC73">
            <v>6.9</v>
          </cell>
          <cell r="AD73">
            <v>0</v>
          </cell>
          <cell r="AE73">
            <v>0</v>
          </cell>
          <cell r="AF73">
            <v>0</v>
          </cell>
          <cell r="AG73">
            <v>0</v>
          </cell>
          <cell r="AH73">
            <v>144.66</v>
          </cell>
          <cell r="AI73">
            <v>141.76679999999999</v>
          </cell>
          <cell r="AJ73">
            <v>0.02</v>
          </cell>
          <cell r="AK73">
            <v>2.5000000000000001E-3</v>
          </cell>
          <cell r="AL73">
            <v>1.4999999999999999E-2</v>
          </cell>
          <cell r="AM73">
            <v>0</v>
          </cell>
          <cell r="AN73">
            <v>0.01</v>
          </cell>
          <cell r="AO73">
            <v>0</v>
          </cell>
          <cell r="AP73">
            <v>0</v>
          </cell>
          <cell r="AQ73">
            <v>2.5000000000000001E-2</v>
          </cell>
          <cell r="AR73">
            <v>0</v>
          </cell>
          <cell r="AS73">
            <v>3</v>
          </cell>
          <cell r="AT73">
            <v>3</v>
          </cell>
          <cell r="AU73">
            <v>9</v>
          </cell>
          <cell r="AV73">
            <v>1.1000000000000001</v>
          </cell>
          <cell r="AW73">
            <v>70</v>
          </cell>
        </row>
        <row r="74">
          <cell r="K74" t="str">
            <v>ExportKohlsBig One StripeUSAWash30x30L</v>
          </cell>
          <cell r="M74">
            <v>340</v>
          </cell>
          <cell r="N74">
            <v>450</v>
          </cell>
          <cell r="O74">
            <v>0.88</v>
          </cell>
          <cell r="P74">
            <v>750</v>
          </cell>
          <cell r="Q74">
            <v>25</v>
          </cell>
          <cell r="R74">
            <v>9</v>
          </cell>
          <cell r="S74">
            <v>526</v>
          </cell>
          <cell r="T74" t="str">
            <v>2/24  DyedPattern</v>
          </cell>
          <cell r="U74">
            <v>28</v>
          </cell>
          <cell r="X74" t="str">
            <v>2/24  DyedPattern</v>
          </cell>
          <cell r="Y74">
            <v>9</v>
          </cell>
          <cell r="Z74" t="str">
            <v>1/16  CombDyed</v>
          </cell>
          <cell r="AA74">
            <v>6.45</v>
          </cell>
          <cell r="AB74" t="str">
            <v>2/24  KC</v>
          </cell>
          <cell r="AC74">
            <v>5</v>
          </cell>
          <cell r="AH74">
            <v>48.45</v>
          </cell>
          <cell r="AI74">
            <v>47.481000000000002</v>
          </cell>
          <cell r="AJ74">
            <v>0.02</v>
          </cell>
          <cell r="AK74">
            <v>2.5000000000000001E-3</v>
          </cell>
          <cell r="AL74">
            <v>1.4999999999999999E-2</v>
          </cell>
          <cell r="AM74">
            <v>0</v>
          </cell>
          <cell r="AN74">
            <v>0.01</v>
          </cell>
          <cell r="AO74">
            <v>0</v>
          </cell>
          <cell r="AQ74">
            <v>2.5000000000000001E-2</v>
          </cell>
          <cell r="AS74">
            <v>3</v>
          </cell>
          <cell r="AT74">
            <v>3</v>
          </cell>
          <cell r="AU74">
            <v>9</v>
          </cell>
          <cell r="AV74">
            <v>1.1000000000000001</v>
          </cell>
          <cell r="AW74">
            <v>70</v>
          </cell>
        </row>
        <row r="75">
          <cell r="K75" t="str">
            <v>ExportKohlsBig One StripeUSAWash30x30M</v>
          </cell>
          <cell r="M75">
            <v>340</v>
          </cell>
          <cell r="N75">
            <v>450</v>
          </cell>
          <cell r="O75">
            <v>0.88</v>
          </cell>
          <cell r="P75">
            <v>750</v>
          </cell>
          <cell r="Q75">
            <v>25</v>
          </cell>
          <cell r="R75">
            <v>9</v>
          </cell>
          <cell r="S75">
            <v>526</v>
          </cell>
          <cell r="T75" t="str">
            <v>2/24  DyedPattern</v>
          </cell>
          <cell r="U75">
            <v>28</v>
          </cell>
          <cell r="V75">
            <v>0</v>
          </cell>
          <cell r="W75">
            <v>0</v>
          </cell>
          <cell r="X75" t="str">
            <v>2/24  DyedPattern</v>
          </cell>
          <cell r="Y75">
            <v>9</v>
          </cell>
          <cell r="Z75" t="str">
            <v>1/16  CombDyed</v>
          </cell>
          <cell r="AA75">
            <v>6.45</v>
          </cell>
          <cell r="AB75" t="str">
            <v>2/24  KC</v>
          </cell>
          <cell r="AC75">
            <v>5</v>
          </cell>
          <cell r="AD75">
            <v>0</v>
          </cell>
          <cell r="AE75">
            <v>0</v>
          </cell>
          <cell r="AF75">
            <v>0</v>
          </cell>
          <cell r="AG75">
            <v>0</v>
          </cell>
          <cell r="AH75">
            <v>48.45</v>
          </cell>
          <cell r="AI75">
            <v>47.481000000000002</v>
          </cell>
          <cell r="AJ75">
            <v>0.02</v>
          </cell>
          <cell r="AK75">
            <v>2.5000000000000001E-3</v>
          </cell>
          <cell r="AL75">
            <v>1.4999999999999999E-2</v>
          </cell>
          <cell r="AM75">
            <v>0</v>
          </cell>
          <cell r="AN75">
            <v>0.01</v>
          </cell>
          <cell r="AO75">
            <v>0</v>
          </cell>
          <cell r="AP75">
            <v>0</v>
          </cell>
          <cell r="AQ75">
            <v>2.5000000000000001E-2</v>
          </cell>
          <cell r="AR75">
            <v>0</v>
          </cell>
          <cell r="AS75">
            <v>3</v>
          </cell>
          <cell r="AT75">
            <v>3</v>
          </cell>
          <cell r="AU75">
            <v>9</v>
          </cell>
          <cell r="AV75">
            <v>1.1000000000000001</v>
          </cell>
          <cell r="AW75">
            <v>70</v>
          </cell>
        </row>
        <row r="76">
          <cell r="K76" t="str">
            <v>ExportKohlsBig One StripeUSAWash30x30D</v>
          </cell>
          <cell r="M76">
            <v>340</v>
          </cell>
          <cell r="N76">
            <v>450</v>
          </cell>
          <cell r="O76">
            <v>0.88</v>
          </cell>
          <cell r="P76">
            <v>750</v>
          </cell>
          <cell r="Q76">
            <v>25</v>
          </cell>
          <cell r="R76">
            <v>9</v>
          </cell>
          <cell r="S76">
            <v>526</v>
          </cell>
          <cell r="T76" t="str">
            <v>2/24  DyedPattern</v>
          </cell>
          <cell r="U76">
            <v>28</v>
          </cell>
          <cell r="V76">
            <v>0</v>
          </cell>
          <cell r="W76">
            <v>0</v>
          </cell>
          <cell r="X76" t="str">
            <v>2/24  DyedPattern</v>
          </cell>
          <cell r="Y76">
            <v>9</v>
          </cell>
          <cell r="Z76" t="str">
            <v>1/16  CombDyed</v>
          </cell>
          <cell r="AA76">
            <v>6.45</v>
          </cell>
          <cell r="AB76" t="str">
            <v>2/24  KC</v>
          </cell>
          <cell r="AC76">
            <v>5</v>
          </cell>
          <cell r="AD76">
            <v>0</v>
          </cell>
          <cell r="AE76">
            <v>0</v>
          </cell>
          <cell r="AF76">
            <v>0</v>
          </cell>
          <cell r="AG76">
            <v>0</v>
          </cell>
          <cell r="AH76">
            <v>48.45</v>
          </cell>
          <cell r="AI76">
            <v>47.481000000000002</v>
          </cell>
          <cell r="AJ76">
            <v>0.02</v>
          </cell>
          <cell r="AK76">
            <v>2.5000000000000001E-3</v>
          </cell>
          <cell r="AL76">
            <v>1.4999999999999999E-2</v>
          </cell>
          <cell r="AM76">
            <v>0</v>
          </cell>
          <cell r="AN76">
            <v>0.01</v>
          </cell>
          <cell r="AO76">
            <v>0</v>
          </cell>
          <cell r="AP76">
            <v>0</v>
          </cell>
          <cell r="AQ76">
            <v>2.5000000000000001E-2</v>
          </cell>
          <cell r="AR76">
            <v>0</v>
          </cell>
          <cell r="AS76">
            <v>3</v>
          </cell>
          <cell r="AT76">
            <v>3</v>
          </cell>
          <cell r="AU76">
            <v>9</v>
          </cell>
          <cell r="AV76">
            <v>1.1000000000000001</v>
          </cell>
          <cell r="AW76">
            <v>70</v>
          </cell>
        </row>
        <row r="77">
          <cell r="K77" t="str">
            <v>ExportKohlsBig One SolidUSABath76x137L</v>
          </cell>
          <cell r="M77">
            <v>280</v>
          </cell>
          <cell r="N77">
            <v>520</v>
          </cell>
          <cell r="O77">
            <v>0.88</v>
          </cell>
          <cell r="P77">
            <v>2700</v>
          </cell>
          <cell r="Q77">
            <v>19.708029197080293</v>
          </cell>
          <cell r="R77">
            <v>3</v>
          </cell>
          <cell r="S77">
            <v>526</v>
          </cell>
          <cell r="T77" t="str">
            <v>1/13   KC</v>
          </cell>
          <cell r="U77">
            <v>392.87</v>
          </cell>
          <cell r="X77" t="str">
            <v>2/24  KC</v>
          </cell>
          <cell r="Y77">
            <v>88.95</v>
          </cell>
          <cell r="Z77" t="str">
            <v xml:space="preserve">1/16OE  </v>
          </cell>
          <cell r="AA77">
            <v>74.804000000000002</v>
          </cell>
          <cell r="AB77" t="str">
            <v>2/24  KC</v>
          </cell>
          <cell r="AC77">
            <v>32.276000000000003</v>
          </cell>
          <cell r="AH77">
            <v>588.9</v>
          </cell>
          <cell r="AI77">
            <v>547.67699999999991</v>
          </cell>
          <cell r="AJ77">
            <v>7.0000000000000007E-2</v>
          </cell>
          <cell r="AK77">
            <v>2.5000000000000001E-3</v>
          </cell>
          <cell r="AL77">
            <v>1.4999999999999999E-2</v>
          </cell>
          <cell r="AM77">
            <v>0</v>
          </cell>
          <cell r="AN77">
            <v>0.01</v>
          </cell>
          <cell r="AO77">
            <v>1.3999999999999999E-2</v>
          </cell>
          <cell r="AQ77">
            <v>2.5000000000000001E-2</v>
          </cell>
          <cell r="AS77">
            <v>3</v>
          </cell>
          <cell r="AT77">
            <v>3</v>
          </cell>
          <cell r="AU77">
            <v>9</v>
          </cell>
          <cell r="AV77">
            <v>1.1000000000000001</v>
          </cell>
          <cell r="AW77">
            <v>70</v>
          </cell>
        </row>
        <row r="78">
          <cell r="K78" t="str">
            <v>ExportKohlsBig One SolidUSABath76x137M</v>
          </cell>
          <cell r="M78">
            <v>280</v>
          </cell>
          <cell r="N78">
            <v>520</v>
          </cell>
          <cell r="O78">
            <v>0.88</v>
          </cell>
          <cell r="P78">
            <v>2700</v>
          </cell>
          <cell r="Q78">
            <v>19.708029197080293</v>
          </cell>
          <cell r="R78">
            <v>3</v>
          </cell>
          <cell r="S78">
            <v>526</v>
          </cell>
          <cell r="T78" t="str">
            <v>1/13   KC</v>
          </cell>
          <cell r="U78">
            <v>392.87</v>
          </cell>
          <cell r="V78">
            <v>0</v>
          </cell>
          <cell r="W78">
            <v>0</v>
          </cell>
          <cell r="X78" t="str">
            <v>2/24  KC</v>
          </cell>
          <cell r="Y78">
            <v>88.95</v>
          </cell>
          <cell r="Z78" t="str">
            <v xml:space="preserve">1/16OE  </v>
          </cell>
          <cell r="AA78">
            <v>74.804000000000002</v>
          </cell>
          <cell r="AB78" t="str">
            <v>2/24  KC</v>
          </cell>
          <cell r="AC78">
            <v>32.276000000000003</v>
          </cell>
          <cell r="AD78">
            <v>0</v>
          </cell>
          <cell r="AE78">
            <v>0</v>
          </cell>
          <cell r="AF78">
            <v>0</v>
          </cell>
          <cell r="AG78">
            <v>0</v>
          </cell>
          <cell r="AH78">
            <v>588.9</v>
          </cell>
          <cell r="AI78">
            <v>547.67699999999991</v>
          </cell>
          <cell r="AJ78">
            <v>7.0000000000000007E-2</v>
          </cell>
          <cell r="AK78">
            <v>2.5000000000000001E-3</v>
          </cell>
          <cell r="AL78">
            <v>1.4999999999999999E-2</v>
          </cell>
          <cell r="AM78">
            <v>0</v>
          </cell>
          <cell r="AN78">
            <v>0.01</v>
          </cell>
          <cell r="AO78">
            <v>1.3999999999999999E-2</v>
          </cell>
          <cell r="AP78">
            <v>0</v>
          </cell>
          <cell r="AQ78">
            <v>2.5000000000000001E-2</v>
          </cell>
          <cell r="AR78">
            <v>0</v>
          </cell>
          <cell r="AS78">
            <v>3</v>
          </cell>
          <cell r="AT78">
            <v>3</v>
          </cell>
          <cell r="AU78">
            <v>9</v>
          </cell>
          <cell r="AV78">
            <v>1.1000000000000001</v>
          </cell>
          <cell r="AW78">
            <v>70</v>
          </cell>
        </row>
        <row r="79">
          <cell r="K79" t="str">
            <v>ExportKohlsBig One SolidUSABath76x137D</v>
          </cell>
          <cell r="M79">
            <v>280</v>
          </cell>
          <cell r="N79">
            <v>520</v>
          </cell>
          <cell r="O79">
            <v>0.88</v>
          </cell>
          <cell r="P79">
            <v>2700</v>
          </cell>
          <cell r="Q79">
            <v>19.708029197080293</v>
          </cell>
          <cell r="R79">
            <v>3</v>
          </cell>
          <cell r="S79">
            <v>526</v>
          </cell>
          <cell r="T79" t="str">
            <v>1/13   KC</v>
          </cell>
          <cell r="U79">
            <v>392.87</v>
          </cell>
          <cell r="V79">
            <v>0</v>
          </cell>
          <cell r="W79">
            <v>0</v>
          </cell>
          <cell r="X79" t="str">
            <v>2/24  KC</v>
          </cell>
          <cell r="Y79">
            <v>88.95</v>
          </cell>
          <cell r="Z79" t="str">
            <v xml:space="preserve">1/16OE  </v>
          </cell>
          <cell r="AA79">
            <v>74.804000000000002</v>
          </cell>
          <cell r="AB79" t="str">
            <v>2/24  KC</v>
          </cell>
          <cell r="AC79">
            <v>32.276000000000003</v>
          </cell>
          <cell r="AD79">
            <v>0</v>
          </cell>
          <cell r="AE79">
            <v>0</v>
          </cell>
          <cell r="AF79">
            <v>0</v>
          </cell>
          <cell r="AG79">
            <v>0</v>
          </cell>
          <cell r="AH79">
            <v>588.9</v>
          </cell>
          <cell r="AI79">
            <v>547.67699999999991</v>
          </cell>
          <cell r="AJ79">
            <v>7.0000000000000007E-2</v>
          </cell>
          <cell r="AK79">
            <v>2.5000000000000001E-3</v>
          </cell>
          <cell r="AL79">
            <v>1.4999999999999999E-2</v>
          </cell>
          <cell r="AM79">
            <v>0</v>
          </cell>
          <cell r="AN79">
            <v>0.01</v>
          </cell>
          <cell r="AO79">
            <v>1.3999999999999999E-2</v>
          </cell>
          <cell r="AP79">
            <v>0</v>
          </cell>
          <cell r="AQ79">
            <v>2.5000000000000001E-2</v>
          </cell>
          <cell r="AR79">
            <v>0</v>
          </cell>
          <cell r="AS79">
            <v>3</v>
          </cell>
          <cell r="AT79">
            <v>3</v>
          </cell>
          <cell r="AU79">
            <v>9</v>
          </cell>
          <cell r="AV79">
            <v>1.1000000000000001</v>
          </cell>
          <cell r="AW79">
            <v>70</v>
          </cell>
        </row>
        <row r="80">
          <cell r="K80" t="str">
            <v>ExportKohlsBig One SolidUSAHand41x71L</v>
          </cell>
          <cell r="M80">
            <v>340</v>
          </cell>
          <cell r="N80">
            <v>450</v>
          </cell>
          <cell r="O80">
            <v>0.88</v>
          </cell>
          <cell r="P80">
            <v>1374</v>
          </cell>
          <cell r="Q80">
            <v>19.35211267605634</v>
          </cell>
          <cell r="R80">
            <v>6</v>
          </cell>
          <cell r="S80">
            <v>487</v>
          </cell>
          <cell r="T80" t="str">
            <v>1/13   KC</v>
          </cell>
          <cell r="U80">
            <v>89.11</v>
          </cell>
          <cell r="X80" t="str">
            <v>2/24  KC</v>
          </cell>
          <cell r="Y80">
            <v>26.58</v>
          </cell>
          <cell r="Z80" t="str">
            <v xml:space="preserve">1/16OE  </v>
          </cell>
          <cell r="AA80">
            <v>20.52</v>
          </cell>
          <cell r="AB80" t="str">
            <v>2/24  KC</v>
          </cell>
          <cell r="AC80">
            <v>16.59</v>
          </cell>
          <cell r="AH80">
            <v>152.80000000000001</v>
          </cell>
          <cell r="AI80">
            <v>142.10400000000001</v>
          </cell>
          <cell r="AJ80">
            <v>7.0000000000000007E-2</v>
          </cell>
          <cell r="AK80">
            <v>2.5000000000000001E-3</v>
          </cell>
          <cell r="AL80">
            <v>1.4999999999999999E-2</v>
          </cell>
          <cell r="AM80">
            <v>0</v>
          </cell>
          <cell r="AN80">
            <v>0.01</v>
          </cell>
          <cell r="AO80">
            <v>1.3999999999999999E-2</v>
          </cell>
          <cell r="AQ80">
            <v>2.5000000000000001E-2</v>
          </cell>
          <cell r="AS80">
            <v>3</v>
          </cell>
          <cell r="AT80">
            <v>3</v>
          </cell>
          <cell r="AU80">
            <v>9</v>
          </cell>
          <cell r="AV80">
            <v>1.1000000000000001</v>
          </cell>
          <cell r="AW80">
            <v>70</v>
          </cell>
        </row>
        <row r="81">
          <cell r="K81" t="str">
            <v>ExportKohlsBig One SolidUSAHand41x71M</v>
          </cell>
          <cell r="M81">
            <v>340</v>
          </cell>
          <cell r="N81">
            <v>450</v>
          </cell>
          <cell r="O81">
            <v>0.88</v>
          </cell>
          <cell r="P81">
            <v>1374</v>
          </cell>
          <cell r="Q81">
            <v>19.35211267605634</v>
          </cell>
          <cell r="R81">
            <v>6</v>
          </cell>
          <cell r="S81">
            <v>487</v>
          </cell>
          <cell r="T81" t="str">
            <v>1/13   KC</v>
          </cell>
          <cell r="U81">
            <v>89.11</v>
          </cell>
          <cell r="V81">
            <v>0</v>
          </cell>
          <cell r="W81">
            <v>0</v>
          </cell>
          <cell r="X81" t="str">
            <v>2/24  KC</v>
          </cell>
          <cell r="Y81">
            <v>26.58</v>
          </cell>
          <cell r="Z81" t="str">
            <v xml:space="preserve">1/16OE  </v>
          </cell>
          <cell r="AA81">
            <v>20.52</v>
          </cell>
          <cell r="AB81" t="str">
            <v>2/24  KC</v>
          </cell>
          <cell r="AC81">
            <v>16.59</v>
          </cell>
          <cell r="AD81">
            <v>0</v>
          </cell>
          <cell r="AE81">
            <v>0</v>
          </cell>
          <cell r="AF81">
            <v>0</v>
          </cell>
          <cell r="AG81">
            <v>0</v>
          </cell>
          <cell r="AH81">
            <v>152.80000000000001</v>
          </cell>
          <cell r="AI81">
            <v>142.10400000000001</v>
          </cell>
          <cell r="AJ81">
            <v>7.0000000000000007E-2</v>
          </cell>
          <cell r="AK81">
            <v>2.5000000000000001E-3</v>
          </cell>
          <cell r="AL81">
            <v>1.4999999999999999E-2</v>
          </cell>
          <cell r="AM81">
            <v>0</v>
          </cell>
          <cell r="AN81">
            <v>0.01</v>
          </cell>
          <cell r="AO81">
            <v>1.3999999999999999E-2</v>
          </cell>
          <cell r="AP81">
            <v>0</v>
          </cell>
          <cell r="AQ81">
            <v>2.5000000000000001E-2</v>
          </cell>
          <cell r="AR81">
            <v>0</v>
          </cell>
          <cell r="AS81">
            <v>3</v>
          </cell>
          <cell r="AT81">
            <v>3</v>
          </cell>
          <cell r="AU81">
            <v>9</v>
          </cell>
          <cell r="AV81">
            <v>1.1000000000000001</v>
          </cell>
          <cell r="AW81">
            <v>70</v>
          </cell>
        </row>
        <row r="82">
          <cell r="K82" t="str">
            <v>ExportKohlsBig One SolidUSAHand41x71D</v>
          </cell>
          <cell r="M82">
            <v>340</v>
          </cell>
          <cell r="N82">
            <v>450</v>
          </cell>
          <cell r="O82">
            <v>0.88</v>
          </cell>
          <cell r="P82">
            <v>1374</v>
          </cell>
          <cell r="Q82">
            <v>19.35211267605634</v>
          </cell>
          <cell r="R82">
            <v>6</v>
          </cell>
          <cell r="S82">
            <v>487</v>
          </cell>
          <cell r="T82" t="str">
            <v>1/13   KC</v>
          </cell>
          <cell r="U82">
            <v>89.11</v>
          </cell>
          <cell r="V82">
            <v>0</v>
          </cell>
          <cell r="W82">
            <v>0</v>
          </cell>
          <cell r="X82" t="str">
            <v>2/24  KC</v>
          </cell>
          <cell r="Y82">
            <v>26.58</v>
          </cell>
          <cell r="Z82" t="str">
            <v xml:space="preserve">1/16OE  </v>
          </cell>
          <cell r="AA82">
            <v>20.52</v>
          </cell>
          <cell r="AB82" t="str">
            <v>2/24  KC</v>
          </cell>
          <cell r="AC82">
            <v>16.59</v>
          </cell>
          <cell r="AD82">
            <v>0</v>
          </cell>
          <cell r="AE82">
            <v>0</v>
          </cell>
          <cell r="AF82">
            <v>0</v>
          </cell>
          <cell r="AG82">
            <v>0</v>
          </cell>
          <cell r="AH82">
            <v>152.80000000000001</v>
          </cell>
          <cell r="AI82">
            <v>142.10400000000001</v>
          </cell>
          <cell r="AJ82">
            <v>7.0000000000000007E-2</v>
          </cell>
          <cell r="AK82">
            <v>2.5000000000000001E-3</v>
          </cell>
          <cell r="AL82">
            <v>1.4999999999999999E-2</v>
          </cell>
          <cell r="AM82">
            <v>0</v>
          </cell>
          <cell r="AN82">
            <v>0.01</v>
          </cell>
          <cell r="AO82">
            <v>1.3999999999999999E-2</v>
          </cell>
          <cell r="AP82">
            <v>0</v>
          </cell>
          <cell r="AQ82">
            <v>2.5000000000000001E-2</v>
          </cell>
          <cell r="AR82">
            <v>0</v>
          </cell>
          <cell r="AS82">
            <v>3</v>
          </cell>
          <cell r="AT82">
            <v>3</v>
          </cell>
          <cell r="AU82">
            <v>9</v>
          </cell>
          <cell r="AV82">
            <v>1.1000000000000001</v>
          </cell>
          <cell r="AW82">
            <v>70</v>
          </cell>
        </row>
        <row r="83">
          <cell r="K83" t="str">
            <v>ExportKohlsBig One SolidUSAWash30x30L</v>
          </cell>
          <cell r="M83">
            <v>340</v>
          </cell>
          <cell r="N83">
            <v>450</v>
          </cell>
          <cell r="O83">
            <v>0.88</v>
          </cell>
          <cell r="P83">
            <v>750</v>
          </cell>
          <cell r="Q83">
            <v>25</v>
          </cell>
          <cell r="R83">
            <v>7</v>
          </cell>
          <cell r="S83">
            <v>526</v>
          </cell>
          <cell r="T83" t="str">
            <v>1/13   KC</v>
          </cell>
          <cell r="U83">
            <v>37.11</v>
          </cell>
          <cell r="X83" t="str">
            <v>2/24  KC</v>
          </cell>
          <cell r="Y83">
            <v>10.72</v>
          </cell>
          <cell r="Z83" t="str">
            <v xml:space="preserve">1/16OE  </v>
          </cell>
          <cell r="AA83">
            <v>7.774</v>
          </cell>
          <cell r="AB83" t="str">
            <v>2/24  KC</v>
          </cell>
          <cell r="AC83">
            <v>4.5999999999999996</v>
          </cell>
          <cell r="AH83">
            <v>60.204000000000001</v>
          </cell>
          <cell r="AI83">
            <v>52.979520000000001</v>
          </cell>
          <cell r="AJ83">
            <v>0.12</v>
          </cell>
          <cell r="AK83">
            <v>2.5000000000000001E-3</v>
          </cell>
          <cell r="AL83">
            <v>1.4999999999999999E-2</v>
          </cell>
          <cell r="AM83">
            <v>0</v>
          </cell>
          <cell r="AN83">
            <v>0.01</v>
          </cell>
          <cell r="AO83">
            <v>1.3999999999999999E-2</v>
          </cell>
          <cell r="AQ83">
            <v>2.5000000000000001E-2</v>
          </cell>
          <cell r="AS83">
            <v>3</v>
          </cell>
          <cell r="AT83">
            <v>3</v>
          </cell>
          <cell r="AU83">
            <v>9</v>
          </cell>
          <cell r="AV83">
            <v>1.1000000000000001</v>
          </cell>
          <cell r="AW83">
            <v>70</v>
          </cell>
        </row>
        <row r="84">
          <cell r="K84" t="str">
            <v>ExportKohlsBig One SolidUSAWash30x30M</v>
          </cell>
          <cell r="M84">
            <v>340</v>
          </cell>
          <cell r="N84">
            <v>450</v>
          </cell>
          <cell r="O84">
            <v>0.88</v>
          </cell>
          <cell r="P84">
            <v>750</v>
          </cell>
          <cell r="Q84">
            <v>25</v>
          </cell>
          <cell r="R84">
            <v>7</v>
          </cell>
          <cell r="S84">
            <v>526</v>
          </cell>
          <cell r="T84" t="str">
            <v>1/13   KC</v>
          </cell>
          <cell r="U84">
            <v>37.11</v>
          </cell>
          <cell r="V84">
            <v>0</v>
          </cell>
          <cell r="W84">
            <v>0</v>
          </cell>
          <cell r="X84" t="str">
            <v>2/24  KC</v>
          </cell>
          <cell r="Y84">
            <v>10.72</v>
          </cell>
          <cell r="Z84" t="str">
            <v xml:space="preserve">1/16OE  </v>
          </cell>
          <cell r="AA84">
            <v>7.774</v>
          </cell>
          <cell r="AB84" t="str">
            <v>2/24  KC</v>
          </cell>
          <cell r="AC84">
            <v>4.5999999999999996</v>
          </cell>
          <cell r="AD84">
            <v>0</v>
          </cell>
          <cell r="AE84">
            <v>0</v>
          </cell>
          <cell r="AF84">
            <v>0</v>
          </cell>
          <cell r="AG84">
            <v>0</v>
          </cell>
          <cell r="AH84">
            <v>60.204000000000001</v>
          </cell>
          <cell r="AI84">
            <v>52.979520000000001</v>
          </cell>
          <cell r="AJ84">
            <v>0.12</v>
          </cell>
          <cell r="AK84">
            <v>2.5000000000000001E-3</v>
          </cell>
          <cell r="AL84">
            <v>1.4999999999999999E-2</v>
          </cell>
          <cell r="AM84">
            <v>0</v>
          </cell>
          <cell r="AN84">
            <v>0.01</v>
          </cell>
          <cell r="AO84">
            <v>1.3999999999999999E-2</v>
          </cell>
          <cell r="AP84">
            <v>0</v>
          </cell>
          <cell r="AQ84">
            <v>2.5000000000000001E-2</v>
          </cell>
          <cell r="AR84">
            <v>0</v>
          </cell>
          <cell r="AS84">
            <v>3</v>
          </cell>
          <cell r="AT84">
            <v>3</v>
          </cell>
          <cell r="AU84">
            <v>9</v>
          </cell>
          <cell r="AV84">
            <v>1.1000000000000001</v>
          </cell>
          <cell r="AW84">
            <v>70</v>
          </cell>
        </row>
        <row r="85">
          <cell r="K85" t="str">
            <v>ExportKohlsBig One SolidUSAWash30x30D</v>
          </cell>
          <cell r="M85">
            <v>340</v>
          </cell>
          <cell r="N85">
            <v>450</v>
          </cell>
          <cell r="O85">
            <v>0.88</v>
          </cell>
          <cell r="P85">
            <v>750</v>
          </cell>
          <cell r="Q85">
            <v>25</v>
          </cell>
          <cell r="R85">
            <v>7</v>
          </cell>
          <cell r="S85">
            <v>526</v>
          </cell>
          <cell r="T85" t="str">
            <v>1/13   KC</v>
          </cell>
          <cell r="U85">
            <v>37.11</v>
          </cell>
          <cell r="V85">
            <v>0</v>
          </cell>
          <cell r="W85">
            <v>0</v>
          </cell>
          <cell r="X85" t="str">
            <v>2/24  KC</v>
          </cell>
          <cell r="Y85">
            <v>10.72</v>
          </cell>
          <cell r="Z85" t="str">
            <v xml:space="preserve">1/16OE  </v>
          </cell>
          <cell r="AA85">
            <v>7.774</v>
          </cell>
          <cell r="AB85" t="str">
            <v>2/24  KC</v>
          </cell>
          <cell r="AC85">
            <v>4.5999999999999996</v>
          </cell>
          <cell r="AD85">
            <v>0</v>
          </cell>
          <cell r="AE85">
            <v>0</v>
          </cell>
          <cell r="AF85">
            <v>0</v>
          </cell>
          <cell r="AG85">
            <v>0</v>
          </cell>
          <cell r="AH85">
            <v>60.204000000000001</v>
          </cell>
          <cell r="AI85">
            <v>52.979520000000001</v>
          </cell>
          <cell r="AJ85">
            <v>0.12</v>
          </cell>
          <cell r="AK85">
            <v>2.5000000000000001E-3</v>
          </cell>
          <cell r="AL85">
            <v>1.4999999999999999E-2</v>
          </cell>
          <cell r="AM85">
            <v>0</v>
          </cell>
          <cell r="AN85">
            <v>0.01</v>
          </cell>
          <cell r="AO85">
            <v>1.3999999999999999E-2</v>
          </cell>
          <cell r="AP85">
            <v>0</v>
          </cell>
          <cell r="AQ85">
            <v>2.5000000000000001E-2</v>
          </cell>
          <cell r="AR85">
            <v>0</v>
          </cell>
          <cell r="AS85">
            <v>3</v>
          </cell>
          <cell r="AT85">
            <v>3</v>
          </cell>
          <cell r="AU85">
            <v>9</v>
          </cell>
          <cell r="AV85">
            <v>1.1000000000000001</v>
          </cell>
          <cell r="AW85">
            <v>70</v>
          </cell>
        </row>
        <row r="86">
          <cell r="K86" t="str">
            <v>ExportIst New Buyer00Bath76x137L</v>
          </cell>
          <cell r="M86">
            <v>280</v>
          </cell>
          <cell r="N86">
            <v>520</v>
          </cell>
          <cell r="O86">
            <v>0.88</v>
          </cell>
          <cell r="P86">
            <v>2652</v>
          </cell>
          <cell r="Q86">
            <v>19.357664233576642</v>
          </cell>
          <cell r="R86">
            <v>3</v>
          </cell>
          <cell r="S86">
            <v>528</v>
          </cell>
          <cell r="T86" t="str">
            <v>1/13  Comb</v>
          </cell>
          <cell r="U86">
            <v>415.87</v>
          </cell>
          <cell r="X86" t="str">
            <v>2/30  KC</v>
          </cell>
          <cell r="Y86">
            <v>71.28</v>
          </cell>
          <cell r="Z86" t="str">
            <v xml:space="preserve">1/16OE  </v>
          </cell>
          <cell r="AA86">
            <v>67.712000000000003</v>
          </cell>
          <cell r="AB86" t="str">
            <v>2/20  Gas Mer</v>
          </cell>
          <cell r="AC86">
            <v>36.33</v>
          </cell>
          <cell r="AH86">
            <v>591.19200000000001</v>
          </cell>
          <cell r="AI86">
            <v>549.80855999999994</v>
          </cell>
          <cell r="AJ86">
            <v>7.0000000000000007E-2</v>
          </cell>
          <cell r="AK86">
            <v>2.5000000000000001E-3</v>
          </cell>
          <cell r="AL86">
            <v>1.4999999999999999E-2</v>
          </cell>
          <cell r="AM86">
            <v>0</v>
          </cell>
          <cell r="AN86">
            <v>0.01</v>
          </cell>
          <cell r="AO86">
            <v>1.3999999999999999E-2</v>
          </cell>
          <cell r="AQ86">
            <v>2.5000000000000001E-2</v>
          </cell>
          <cell r="AS86">
            <v>3</v>
          </cell>
          <cell r="AT86">
            <v>3</v>
          </cell>
          <cell r="AU86">
            <v>9</v>
          </cell>
          <cell r="AV86">
            <v>1.1000000000000001</v>
          </cell>
          <cell r="AW86">
            <v>70</v>
          </cell>
        </row>
        <row r="87">
          <cell r="K87" t="str">
            <v>ExportIst New Buyer00Bath76x137M</v>
          </cell>
          <cell r="M87">
            <v>280</v>
          </cell>
          <cell r="N87">
            <v>520</v>
          </cell>
          <cell r="O87">
            <v>0.88</v>
          </cell>
          <cell r="P87">
            <v>2652</v>
          </cell>
          <cell r="Q87">
            <v>19.357664233576642</v>
          </cell>
          <cell r="R87">
            <v>3</v>
          </cell>
          <cell r="S87">
            <v>528</v>
          </cell>
          <cell r="T87" t="str">
            <v>1/13  Comb</v>
          </cell>
          <cell r="U87">
            <v>415.87</v>
          </cell>
          <cell r="V87">
            <v>0</v>
          </cell>
          <cell r="W87">
            <v>0</v>
          </cell>
          <cell r="X87" t="str">
            <v>2/30  KC</v>
          </cell>
          <cell r="Y87">
            <v>71.28</v>
          </cell>
          <cell r="Z87" t="str">
            <v xml:space="preserve">1/16OE  </v>
          </cell>
          <cell r="AA87">
            <v>67.712000000000003</v>
          </cell>
          <cell r="AB87" t="str">
            <v>2/20  Gas Mer</v>
          </cell>
          <cell r="AC87">
            <v>36.33</v>
          </cell>
          <cell r="AD87">
            <v>0</v>
          </cell>
          <cell r="AE87">
            <v>0</v>
          </cell>
          <cell r="AF87">
            <v>0</v>
          </cell>
          <cell r="AG87">
            <v>0</v>
          </cell>
          <cell r="AH87">
            <v>591.19200000000001</v>
          </cell>
          <cell r="AI87">
            <v>549.80855999999994</v>
          </cell>
          <cell r="AJ87">
            <v>7.0000000000000007E-2</v>
          </cell>
          <cell r="AK87">
            <v>2.5000000000000001E-3</v>
          </cell>
          <cell r="AL87">
            <v>1.4999999999999999E-2</v>
          </cell>
          <cell r="AM87">
            <v>0</v>
          </cell>
          <cell r="AN87">
            <v>0.01</v>
          </cell>
          <cell r="AO87">
            <v>1.3999999999999999E-2</v>
          </cell>
          <cell r="AP87">
            <v>0</v>
          </cell>
          <cell r="AQ87">
            <v>2.5000000000000001E-2</v>
          </cell>
          <cell r="AR87">
            <v>0</v>
          </cell>
          <cell r="AS87">
            <v>3</v>
          </cell>
          <cell r="AT87">
            <v>3</v>
          </cell>
          <cell r="AU87">
            <v>9</v>
          </cell>
          <cell r="AV87">
            <v>1.1000000000000001</v>
          </cell>
          <cell r="AW87">
            <v>70</v>
          </cell>
        </row>
        <row r="88">
          <cell r="K88" t="str">
            <v>ExportIst New Buyer00Bath76x137D</v>
          </cell>
          <cell r="M88">
            <v>280</v>
          </cell>
          <cell r="N88">
            <v>520</v>
          </cell>
          <cell r="O88">
            <v>0.88</v>
          </cell>
          <cell r="P88">
            <v>2652</v>
          </cell>
          <cell r="Q88">
            <v>19.357664233576642</v>
          </cell>
          <cell r="R88">
            <v>3</v>
          </cell>
          <cell r="S88">
            <v>528</v>
          </cell>
          <cell r="T88" t="str">
            <v>1/13  Comb</v>
          </cell>
          <cell r="U88">
            <v>415.87</v>
          </cell>
          <cell r="V88">
            <v>0</v>
          </cell>
          <cell r="W88">
            <v>0</v>
          </cell>
          <cell r="X88" t="str">
            <v>2/30  KC</v>
          </cell>
          <cell r="Y88">
            <v>71.28</v>
          </cell>
          <cell r="Z88" t="str">
            <v xml:space="preserve">1/16OE  </v>
          </cell>
          <cell r="AA88">
            <v>67.712000000000003</v>
          </cell>
          <cell r="AB88" t="str">
            <v>2/20  Gas Mer</v>
          </cell>
          <cell r="AC88">
            <v>36.33</v>
          </cell>
          <cell r="AD88">
            <v>0</v>
          </cell>
          <cell r="AE88">
            <v>0</v>
          </cell>
          <cell r="AF88">
            <v>0</v>
          </cell>
          <cell r="AG88">
            <v>0</v>
          </cell>
          <cell r="AH88">
            <v>591.19200000000001</v>
          </cell>
          <cell r="AI88">
            <v>549.80855999999994</v>
          </cell>
          <cell r="AJ88">
            <v>7.0000000000000007E-2</v>
          </cell>
          <cell r="AK88">
            <v>2.5000000000000001E-3</v>
          </cell>
          <cell r="AL88">
            <v>1.4999999999999999E-2</v>
          </cell>
          <cell r="AM88">
            <v>0</v>
          </cell>
          <cell r="AN88">
            <v>0.01</v>
          </cell>
          <cell r="AO88">
            <v>1.3999999999999999E-2</v>
          </cell>
          <cell r="AP88">
            <v>0</v>
          </cell>
          <cell r="AQ88">
            <v>2.5000000000000001E-2</v>
          </cell>
          <cell r="AR88">
            <v>0</v>
          </cell>
          <cell r="AS88">
            <v>3</v>
          </cell>
          <cell r="AT88">
            <v>3</v>
          </cell>
          <cell r="AU88">
            <v>9</v>
          </cell>
          <cell r="AV88">
            <v>1.1000000000000001</v>
          </cell>
          <cell r="AW88">
            <v>70</v>
          </cell>
        </row>
        <row r="89">
          <cell r="K89" t="str">
            <v>ExportIst New Buyer00Hand41x76L</v>
          </cell>
          <cell r="M89">
            <v>340</v>
          </cell>
          <cell r="N89">
            <v>450</v>
          </cell>
          <cell r="O89">
            <v>0.88</v>
          </cell>
          <cell r="P89">
            <v>1557</v>
          </cell>
          <cell r="Q89">
            <v>20.486842105263158</v>
          </cell>
          <cell r="R89">
            <v>6</v>
          </cell>
          <cell r="S89">
            <v>522</v>
          </cell>
          <cell r="T89" t="str">
            <v>1/13  Comb</v>
          </cell>
          <cell r="U89">
            <v>107.55</v>
          </cell>
          <cell r="X89" t="str">
            <v>2/30  KC</v>
          </cell>
          <cell r="Y89">
            <v>21.15</v>
          </cell>
          <cell r="Z89" t="str">
            <v xml:space="preserve">1/16OE  </v>
          </cell>
          <cell r="AA89">
            <v>21.649000000000001</v>
          </cell>
          <cell r="AB89" t="str">
            <v>2/20  Gas Mer</v>
          </cell>
          <cell r="AC89">
            <v>13.05</v>
          </cell>
          <cell r="AH89">
            <v>163.399</v>
          </cell>
          <cell r="AI89">
            <v>151.96106999999998</v>
          </cell>
          <cell r="AJ89">
            <v>7.0000000000000007E-2</v>
          </cell>
          <cell r="AK89">
            <v>2.5000000000000001E-3</v>
          </cell>
          <cell r="AL89">
            <v>1.4999999999999999E-2</v>
          </cell>
          <cell r="AM89">
            <v>0</v>
          </cell>
          <cell r="AN89">
            <v>0.01</v>
          </cell>
          <cell r="AO89">
            <v>1.3999999999999999E-2</v>
          </cell>
          <cell r="AQ89">
            <v>2.5000000000000001E-2</v>
          </cell>
          <cell r="AS89">
            <v>3</v>
          </cell>
          <cell r="AT89">
            <v>3</v>
          </cell>
          <cell r="AU89">
            <v>9</v>
          </cell>
          <cell r="AV89">
            <v>1.1000000000000001</v>
          </cell>
          <cell r="AW89">
            <v>70</v>
          </cell>
        </row>
        <row r="90">
          <cell r="K90" t="str">
            <v>ExportIst New Buyer00Hand41x76M</v>
          </cell>
          <cell r="M90">
            <v>340</v>
          </cell>
          <cell r="N90">
            <v>450</v>
          </cell>
          <cell r="O90">
            <v>0.88</v>
          </cell>
          <cell r="P90">
            <v>1557</v>
          </cell>
          <cell r="Q90">
            <v>20.486842105263158</v>
          </cell>
          <cell r="R90">
            <v>6</v>
          </cell>
          <cell r="S90">
            <v>522</v>
          </cell>
          <cell r="T90" t="str">
            <v>1/13  Comb</v>
          </cell>
          <cell r="U90">
            <v>107.55</v>
          </cell>
          <cell r="V90">
            <v>0</v>
          </cell>
          <cell r="W90">
            <v>0</v>
          </cell>
          <cell r="X90" t="str">
            <v>2/30  KC</v>
          </cell>
          <cell r="Y90">
            <v>21.15</v>
          </cell>
          <cell r="Z90" t="str">
            <v xml:space="preserve">1/16OE  </v>
          </cell>
          <cell r="AA90">
            <v>21.649000000000001</v>
          </cell>
          <cell r="AB90" t="str">
            <v>2/20  Gas Mer</v>
          </cell>
          <cell r="AC90">
            <v>13.05</v>
          </cell>
          <cell r="AD90">
            <v>0</v>
          </cell>
          <cell r="AE90">
            <v>0</v>
          </cell>
          <cell r="AF90">
            <v>0</v>
          </cell>
          <cell r="AG90">
            <v>0</v>
          </cell>
          <cell r="AH90">
            <v>163.399</v>
          </cell>
          <cell r="AI90">
            <v>151.96106999999998</v>
          </cell>
          <cell r="AJ90">
            <v>7.0000000000000007E-2</v>
          </cell>
          <cell r="AK90">
            <v>2.5000000000000001E-3</v>
          </cell>
          <cell r="AL90">
            <v>1.4999999999999999E-2</v>
          </cell>
          <cell r="AM90">
            <v>0</v>
          </cell>
          <cell r="AN90">
            <v>0.01</v>
          </cell>
          <cell r="AO90">
            <v>1.3999999999999999E-2</v>
          </cell>
          <cell r="AP90">
            <v>0</v>
          </cell>
          <cell r="AQ90">
            <v>2.5000000000000001E-2</v>
          </cell>
          <cell r="AR90">
            <v>0</v>
          </cell>
          <cell r="AS90">
            <v>3</v>
          </cell>
          <cell r="AT90">
            <v>3</v>
          </cell>
          <cell r="AU90">
            <v>9</v>
          </cell>
          <cell r="AV90">
            <v>1.1000000000000001</v>
          </cell>
          <cell r="AW90">
            <v>70</v>
          </cell>
        </row>
        <row r="91">
          <cell r="K91" t="str">
            <v>ExportIst New Buyer00Hand41x76D</v>
          </cell>
          <cell r="M91">
            <v>340</v>
          </cell>
          <cell r="N91">
            <v>450</v>
          </cell>
          <cell r="O91">
            <v>0.88</v>
          </cell>
          <cell r="P91">
            <v>1557</v>
          </cell>
          <cell r="Q91">
            <v>20.486842105263158</v>
          </cell>
          <cell r="R91">
            <v>6</v>
          </cell>
          <cell r="S91">
            <v>522</v>
          </cell>
          <cell r="T91" t="str">
            <v>1/13  Comb</v>
          </cell>
          <cell r="U91">
            <v>107.55</v>
          </cell>
          <cell r="V91">
            <v>0</v>
          </cell>
          <cell r="W91">
            <v>0</v>
          </cell>
          <cell r="X91" t="str">
            <v>2/30  KC</v>
          </cell>
          <cell r="Y91">
            <v>21.15</v>
          </cell>
          <cell r="Z91" t="str">
            <v xml:space="preserve">1/16OE  </v>
          </cell>
          <cell r="AA91">
            <v>21.649000000000001</v>
          </cell>
          <cell r="AB91" t="str">
            <v>2/20  Gas Mer</v>
          </cell>
          <cell r="AC91">
            <v>13.05</v>
          </cell>
          <cell r="AD91">
            <v>0</v>
          </cell>
          <cell r="AE91">
            <v>0</v>
          </cell>
          <cell r="AF91">
            <v>0</v>
          </cell>
          <cell r="AG91">
            <v>0</v>
          </cell>
          <cell r="AH91">
            <v>163.399</v>
          </cell>
          <cell r="AI91">
            <v>151.96106999999998</v>
          </cell>
          <cell r="AJ91">
            <v>7.0000000000000007E-2</v>
          </cell>
          <cell r="AK91">
            <v>2.5000000000000001E-3</v>
          </cell>
          <cell r="AL91">
            <v>1.4999999999999999E-2</v>
          </cell>
          <cell r="AM91">
            <v>0</v>
          </cell>
          <cell r="AN91">
            <v>0.01</v>
          </cell>
          <cell r="AO91">
            <v>1.3999999999999999E-2</v>
          </cell>
          <cell r="AP91">
            <v>0</v>
          </cell>
          <cell r="AQ91">
            <v>2.5000000000000001E-2</v>
          </cell>
          <cell r="AR91">
            <v>0</v>
          </cell>
          <cell r="AS91">
            <v>3</v>
          </cell>
          <cell r="AT91">
            <v>3</v>
          </cell>
          <cell r="AU91">
            <v>9</v>
          </cell>
          <cell r="AV91">
            <v>1.1000000000000001</v>
          </cell>
          <cell r="AW91">
            <v>70</v>
          </cell>
        </row>
        <row r="92">
          <cell r="K92" t="str">
            <v>ExportIst New Buyer00Wash33x33L</v>
          </cell>
          <cell r="M92">
            <v>340</v>
          </cell>
          <cell r="N92">
            <v>450</v>
          </cell>
          <cell r="O92">
            <v>0.88</v>
          </cell>
          <cell r="P92">
            <v>846</v>
          </cell>
          <cell r="Q92">
            <v>25.636363636363637</v>
          </cell>
          <cell r="R92">
            <v>7</v>
          </cell>
          <cell r="S92">
            <v>524</v>
          </cell>
          <cell r="T92" t="str">
            <v>1/13  Comb</v>
          </cell>
          <cell r="U92">
            <v>36.76</v>
          </cell>
          <cell r="X92" t="str">
            <v>2/30  KC</v>
          </cell>
          <cell r="Y92">
            <v>8.4499999999999993</v>
          </cell>
          <cell r="Z92" t="str">
            <v xml:space="preserve">1/16OE  </v>
          </cell>
          <cell r="AA92">
            <v>8.9339999999999993</v>
          </cell>
          <cell r="AB92" t="str">
            <v>2/20  Gas Mer</v>
          </cell>
          <cell r="AC92">
            <v>7.2619999999999996</v>
          </cell>
          <cell r="AH92">
            <v>61.405999999999992</v>
          </cell>
          <cell r="AI92">
            <v>57.107579999999992</v>
          </cell>
          <cell r="AJ92">
            <v>7.0000000000000007E-2</v>
          </cell>
          <cell r="AK92">
            <v>2.5000000000000001E-3</v>
          </cell>
          <cell r="AL92">
            <v>1.4999999999999999E-2</v>
          </cell>
          <cell r="AM92">
            <v>0</v>
          </cell>
          <cell r="AN92">
            <v>0.01</v>
          </cell>
          <cell r="AO92">
            <v>1.3999999999999999E-2</v>
          </cell>
          <cell r="AQ92">
            <v>2.5000000000000001E-2</v>
          </cell>
          <cell r="AS92">
            <v>3</v>
          </cell>
          <cell r="AT92">
            <v>3</v>
          </cell>
          <cell r="AU92">
            <v>9</v>
          </cell>
          <cell r="AV92">
            <v>1.1000000000000001</v>
          </cell>
          <cell r="AW92">
            <v>70</v>
          </cell>
        </row>
        <row r="93">
          <cell r="K93" t="str">
            <v>ExportIst New Buyer00Wash33x33M</v>
          </cell>
          <cell r="M93">
            <v>340</v>
          </cell>
          <cell r="N93">
            <v>450</v>
          </cell>
          <cell r="O93">
            <v>0.88</v>
          </cell>
          <cell r="P93">
            <v>846</v>
          </cell>
          <cell r="Q93">
            <v>25.636363636363637</v>
          </cell>
          <cell r="R93">
            <v>7</v>
          </cell>
          <cell r="S93">
            <v>524</v>
          </cell>
          <cell r="T93" t="str">
            <v>1/13  Comb</v>
          </cell>
          <cell r="U93">
            <v>36.76</v>
          </cell>
          <cell r="V93">
            <v>0</v>
          </cell>
          <cell r="W93">
            <v>0</v>
          </cell>
          <cell r="X93" t="str">
            <v>2/30  KC</v>
          </cell>
          <cell r="Y93">
            <v>8.4499999999999993</v>
          </cell>
          <cell r="Z93" t="str">
            <v xml:space="preserve">1/16OE  </v>
          </cell>
          <cell r="AA93">
            <v>8.9339999999999993</v>
          </cell>
          <cell r="AB93" t="str">
            <v>2/20  Gas Mer</v>
          </cell>
          <cell r="AC93">
            <v>7.2619999999999996</v>
          </cell>
          <cell r="AD93">
            <v>0</v>
          </cell>
          <cell r="AE93">
            <v>0</v>
          </cell>
          <cell r="AF93">
            <v>0</v>
          </cell>
          <cell r="AG93">
            <v>0</v>
          </cell>
          <cell r="AH93">
            <v>61.405999999999992</v>
          </cell>
          <cell r="AI93">
            <v>57.107579999999992</v>
          </cell>
          <cell r="AJ93">
            <v>7.0000000000000007E-2</v>
          </cell>
          <cell r="AK93">
            <v>2.5000000000000001E-3</v>
          </cell>
          <cell r="AL93">
            <v>1.4999999999999999E-2</v>
          </cell>
          <cell r="AM93">
            <v>0</v>
          </cell>
          <cell r="AN93">
            <v>0.01</v>
          </cell>
          <cell r="AO93">
            <v>1.3999999999999999E-2</v>
          </cell>
          <cell r="AP93">
            <v>0</v>
          </cell>
          <cell r="AQ93">
            <v>2.5000000000000001E-2</v>
          </cell>
          <cell r="AR93">
            <v>0</v>
          </cell>
          <cell r="AS93">
            <v>3</v>
          </cell>
          <cell r="AT93">
            <v>3</v>
          </cell>
          <cell r="AU93">
            <v>9</v>
          </cell>
          <cell r="AV93">
            <v>1.1000000000000001</v>
          </cell>
          <cell r="AW93">
            <v>70</v>
          </cell>
        </row>
        <row r="94">
          <cell r="K94" t="str">
            <v>ExportIst New Buyer00Wash33x33D</v>
          </cell>
          <cell r="M94">
            <v>340</v>
          </cell>
          <cell r="N94">
            <v>450</v>
          </cell>
          <cell r="O94">
            <v>0.88</v>
          </cell>
          <cell r="P94">
            <v>846</v>
          </cell>
          <cell r="Q94">
            <v>25.636363636363637</v>
          </cell>
          <cell r="R94">
            <v>7</v>
          </cell>
          <cell r="S94">
            <v>524</v>
          </cell>
          <cell r="T94" t="str">
            <v>1/13  Comb</v>
          </cell>
          <cell r="U94">
            <v>36.76</v>
          </cell>
          <cell r="V94">
            <v>0</v>
          </cell>
          <cell r="W94">
            <v>0</v>
          </cell>
          <cell r="X94" t="str">
            <v>2/30  KC</v>
          </cell>
          <cell r="Y94">
            <v>8.4499999999999993</v>
          </cell>
          <cell r="Z94" t="str">
            <v xml:space="preserve">1/16OE  </v>
          </cell>
          <cell r="AA94">
            <v>8.9339999999999993</v>
          </cell>
          <cell r="AB94" t="str">
            <v>2/20  Gas Mer</v>
          </cell>
          <cell r="AC94">
            <v>7.2619999999999996</v>
          </cell>
          <cell r="AD94">
            <v>0</v>
          </cell>
          <cell r="AE94">
            <v>0</v>
          </cell>
          <cell r="AF94">
            <v>0</v>
          </cell>
          <cell r="AG94">
            <v>0</v>
          </cell>
          <cell r="AH94">
            <v>61.405999999999992</v>
          </cell>
          <cell r="AI94">
            <v>57.107579999999992</v>
          </cell>
          <cell r="AJ94">
            <v>7.0000000000000007E-2</v>
          </cell>
          <cell r="AK94">
            <v>2.5000000000000001E-3</v>
          </cell>
          <cell r="AL94">
            <v>1.4999999999999999E-2</v>
          </cell>
          <cell r="AM94">
            <v>0</v>
          </cell>
          <cell r="AN94">
            <v>0.01</v>
          </cell>
          <cell r="AO94">
            <v>1.3999999999999999E-2</v>
          </cell>
          <cell r="AP94">
            <v>0</v>
          </cell>
          <cell r="AQ94">
            <v>2.5000000000000001E-2</v>
          </cell>
          <cell r="AR94">
            <v>0</v>
          </cell>
          <cell r="AS94">
            <v>3</v>
          </cell>
          <cell r="AT94">
            <v>3</v>
          </cell>
          <cell r="AU94">
            <v>9</v>
          </cell>
          <cell r="AV94">
            <v>1.1000000000000001</v>
          </cell>
          <cell r="AW94">
            <v>70</v>
          </cell>
        </row>
        <row r="95">
          <cell r="K95" t="str">
            <v>Export2nd New Buyer00Bath76x137L</v>
          </cell>
          <cell r="M95">
            <v>280</v>
          </cell>
          <cell r="N95">
            <v>520</v>
          </cell>
          <cell r="O95">
            <v>0.88</v>
          </cell>
          <cell r="P95">
            <v>2652</v>
          </cell>
          <cell r="Q95">
            <v>19.357664233576642</v>
          </cell>
          <cell r="R95">
            <v>3</v>
          </cell>
          <cell r="S95">
            <v>528</v>
          </cell>
          <cell r="T95" t="str">
            <v>1/13  Comb</v>
          </cell>
          <cell r="U95">
            <v>415.87</v>
          </cell>
          <cell r="X95" t="str">
            <v>2/30  KC</v>
          </cell>
          <cell r="Y95">
            <v>71.28</v>
          </cell>
          <cell r="Z95" t="str">
            <v xml:space="preserve">1/16OE  </v>
          </cell>
          <cell r="AA95">
            <v>67.712000000000003</v>
          </cell>
          <cell r="AB95" t="str">
            <v>2/20  Gas Mer</v>
          </cell>
          <cell r="AC95">
            <v>36.33</v>
          </cell>
          <cell r="AH95">
            <v>591.19200000000001</v>
          </cell>
          <cell r="AI95">
            <v>549.80855999999994</v>
          </cell>
          <cell r="AJ95">
            <v>7.0000000000000007E-2</v>
          </cell>
          <cell r="AK95">
            <v>2.5000000000000001E-3</v>
          </cell>
          <cell r="AL95">
            <v>1.4999999999999999E-2</v>
          </cell>
          <cell r="AM95">
            <v>0</v>
          </cell>
          <cell r="AN95">
            <v>0.01</v>
          </cell>
          <cell r="AO95">
            <v>1.3999999999999999E-2</v>
          </cell>
          <cell r="AQ95">
            <v>2.5000000000000001E-2</v>
          </cell>
          <cell r="AS95">
            <v>3</v>
          </cell>
          <cell r="AT95">
            <v>3</v>
          </cell>
          <cell r="AU95">
            <v>9</v>
          </cell>
          <cell r="AV95">
            <v>1.1000000000000001</v>
          </cell>
          <cell r="AW95">
            <v>70</v>
          </cell>
        </row>
        <row r="96">
          <cell r="K96" t="str">
            <v>Export2nd New Buyer00Bath76x137M</v>
          </cell>
          <cell r="M96">
            <v>280</v>
          </cell>
          <cell r="N96">
            <v>520</v>
          </cell>
          <cell r="O96">
            <v>0.88</v>
          </cell>
          <cell r="P96">
            <v>2652</v>
          </cell>
          <cell r="Q96">
            <v>19.357664233576642</v>
          </cell>
          <cell r="R96">
            <v>3</v>
          </cell>
          <cell r="S96">
            <v>528</v>
          </cell>
          <cell r="T96" t="str">
            <v>1/13  Comb</v>
          </cell>
          <cell r="U96">
            <v>415.87</v>
          </cell>
          <cell r="V96">
            <v>0</v>
          </cell>
          <cell r="W96">
            <v>0</v>
          </cell>
          <cell r="X96" t="str">
            <v>2/30  KC</v>
          </cell>
          <cell r="Y96">
            <v>71.28</v>
          </cell>
          <cell r="Z96" t="str">
            <v xml:space="preserve">1/16OE  </v>
          </cell>
          <cell r="AA96">
            <v>67.712000000000003</v>
          </cell>
          <cell r="AB96" t="str">
            <v>2/20  Gas Mer</v>
          </cell>
          <cell r="AC96">
            <v>36.33</v>
          </cell>
          <cell r="AD96">
            <v>0</v>
          </cell>
          <cell r="AE96">
            <v>0</v>
          </cell>
          <cell r="AF96">
            <v>0</v>
          </cell>
          <cell r="AG96">
            <v>0</v>
          </cell>
          <cell r="AH96">
            <v>591.19200000000001</v>
          </cell>
          <cell r="AI96">
            <v>549.80855999999994</v>
          </cell>
          <cell r="AJ96">
            <v>7.0000000000000007E-2</v>
          </cell>
          <cell r="AK96">
            <v>2.5000000000000001E-3</v>
          </cell>
          <cell r="AL96">
            <v>1.4999999999999999E-2</v>
          </cell>
          <cell r="AM96">
            <v>0</v>
          </cell>
          <cell r="AN96">
            <v>0.01</v>
          </cell>
          <cell r="AO96">
            <v>1.3999999999999999E-2</v>
          </cell>
          <cell r="AP96">
            <v>0</v>
          </cell>
          <cell r="AQ96">
            <v>2.5000000000000001E-2</v>
          </cell>
          <cell r="AR96">
            <v>0</v>
          </cell>
          <cell r="AS96">
            <v>3</v>
          </cell>
          <cell r="AT96">
            <v>3</v>
          </cell>
          <cell r="AU96">
            <v>9</v>
          </cell>
          <cell r="AV96">
            <v>1.1000000000000001</v>
          </cell>
          <cell r="AW96">
            <v>70</v>
          </cell>
        </row>
        <row r="97">
          <cell r="K97" t="str">
            <v>Export2nd New Buyer00Bath76x137D</v>
          </cell>
          <cell r="M97">
            <v>280</v>
          </cell>
          <cell r="N97">
            <v>520</v>
          </cell>
          <cell r="O97">
            <v>0.88</v>
          </cell>
          <cell r="P97">
            <v>2652</v>
          </cell>
          <cell r="Q97">
            <v>19.357664233576642</v>
          </cell>
          <cell r="R97">
            <v>3</v>
          </cell>
          <cell r="S97">
            <v>528</v>
          </cell>
          <cell r="T97" t="str">
            <v>1/13  Comb</v>
          </cell>
          <cell r="U97">
            <v>415.87</v>
          </cell>
          <cell r="V97">
            <v>0</v>
          </cell>
          <cell r="W97">
            <v>0</v>
          </cell>
          <cell r="X97" t="str">
            <v>2/30  KC</v>
          </cell>
          <cell r="Y97">
            <v>71.28</v>
          </cell>
          <cell r="Z97" t="str">
            <v xml:space="preserve">1/16OE  </v>
          </cell>
          <cell r="AA97">
            <v>67.712000000000003</v>
          </cell>
          <cell r="AB97" t="str">
            <v>2/20  Gas Mer</v>
          </cell>
          <cell r="AC97">
            <v>36.33</v>
          </cell>
          <cell r="AD97">
            <v>0</v>
          </cell>
          <cell r="AE97">
            <v>0</v>
          </cell>
          <cell r="AF97">
            <v>0</v>
          </cell>
          <cell r="AG97">
            <v>0</v>
          </cell>
          <cell r="AH97">
            <v>591.19200000000001</v>
          </cell>
          <cell r="AI97">
            <v>549.80855999999994</v>
          </cell>
          <cell r="AJ97">
            <v>7.0000000000000007E-2</v>
          </cell>
          <cell r="AK97">
            <v>2.5000000000000001E-3</v>
          </cell>
          <cell r="AL97">
            <v>1.4999999999999999E-2</v>
          </cell>
          <cell r="AM97">
            <v>0</v>
          </cell>
          <cell r="AN97">
            <v>0.01</v>
          </cell>
          <cell r="AO97">
            <v>1.3999999999999999E-2</v>
          </cell>
          <cell r="AP97">
            <v>0</v>
          </cell>
          <cell r="AQ97">
            <v>2.5000000000000001E-2</v>
          </cell>
          <cell r="AR97">
            <v>0</v>
          </cell>
          <cell r="AS97">
            <v>3</v>
          </cell>
          <cell r="AT97">
            <v>3</v>
          </cell>
          <cell r="AU97">
            <v>9</v>
          </cell>
          <cell r="AV97">
            <v>1.1000000000000001</v>
          </cell>
          <cell r="AW97">
            <v>70</v>
          </cell>
        </row>
        <row r="98">
          <cell r="K98" t="str">
            <v>Export2nd New Buyer00Hand41x76L</v>
          </cell>
          <cell r="M98">
            <v>340</v>
          </cell>
          <cell r="N98">
            <v>450</v>
          </cell>
          <cell r="O98">
            <v>0.88</v>
          </cell>
          <cell r="P98">
            <v>1557</v>
          </cell>
          <cell r="Q98">
            <v>20.486842105263158</v>
          </cell>
          <cell r="R98">
            <v>6</v>
          </cell>
          <cell r="S98">
            <v>522</v>
          </cell>
          <cell r="T98" t="str">
            <v>1/13  Comb</v>
          </cell>
          <cell r="U98">
            <v>107.55</v>
          </cell>
          <cell r="X98" t="str">
            <v>2/30  KC</v>
          </cell>
          <cell r="Y98">
            <v>21.15</v>
          </cell>
          <cell r="Z98" t="str">
            <v xml:space="preserve">1/16OE  </v>
          </cell>
          <cell r="AA98">
            <v>21.649000000000001</v>
          </cell>
          <cell r="AB98" t="str">
            <v>2/20  Gas Mer</v>
          </cell>
          <cell r="AC98">
            <v>13.05</v>
          </cell>
          <cell r="AH98">
            <v>163.399</v>
          </cell>
          <cell r="AI98">
            <v>151.96106999999998</v>
          </cell>
          <cell r="AJ98">
            <v>7.0000000000000007E-2</v>
          </cell>
          <cell r="AK98">
            <v>2.5000000000000001E-3</v>
          </cell>
          <cell r="AL98">
            <v>1.4999999999999999E-2</v>
          </cell>
          <cell r="AM98">
            <v>0</v>
          </cell>
          <cell r="AN98">
            <v>0.01</v>
          </cell>
          <cell r="AO98">
            <v>1.3999999999999999E-2</v>
          </cell>
          <cell r="AQ98">
            <v>2.5000000000000001E-2</v>
          </cell>
          <cell r="AS98">
            <v>3</v>
          </cell>
          <cell r="AT98">
            <v>3</v>
          </cell>
          <cell r="AU98">
            <v>9</v>
          </cell>
          <cell r="AV98">
            <v>1.1000000000000001</v>
          </cell>
          <cell r="AW98">
            <v>70</v>
          </cell>
        </row>
        <row r="99">
          <cell r="K99" t="str">
            <v>Export2nd New Buyer00Hand41x76M</v>
          </cell>
          <cell r="M99">
            <v>340</v>
          </cell>
          <cell r="N99">
            <v>450</v>
          </cell>
          <cell r="O99">
            <v>0.88</v>
          </cell>
          <cell r="P99">
            <v>1557</v>
          </cell>
          <cell r="Q99">
            <v>20.486842105263158</v>
          </cell>
          <cell r="R99">
            <v>6</v>
          </cell>
          <cell r="S99">
            <v>522</v>
          </cell>
          <cell r="T99" t="str">
            <v>1/13  Comb</v>
          </cell>
          <cell r="U99">
            <v>107.55</v>
          </cell>
          <cell r="V99">
            <v>0</v>
          </cell>
          <cell r="W99">
            <v>0</v>
          </cell>
          <cell r="X99" t="str">
            <v>2/30  KC</v>
          </cell>
          <cell r="Y99">
            <v>21.15</v>
          </cell>
          <cell r="Z99" t="str">
            <v xml:space="preserve">1/16OE  </v>
          </cell>
          <cell r="AA99">
            <v>21.649000000000001</v>
          </cell>
          <cell r="AB99" t="str">
            <v>2/20  Gas Mer</v>
          </cell>
          <cell r="AC99">
            <v>13.05</v>
          </cell>
          <cell r="AD99">
            <v>0</v>
          </cell>
          <cell r="AE99">
            <v>0</v>
          </cell>
          <cell r="AF99">
            <v>0</v>
          </cell>
          <cell r="AG99">
            <v>0</v>
          </cell>
          <cell r="AH99">
            <v>163.399</v>
          </cell>
          <cell r="AI99">
            <v>151.96106999999998</v>
          </cell>
          <cell r="AJ99">
            <v>7.0000000000000007E-2</v>
          </cell>
          <cell r="AK99">
            <v>2.5000000000000001E-3</v>
          </cell>
          <cell r="AL99">
            <v>1.4999999999999999E-2</v>
          </cell>
          <cell r="AM99">
            <v>0</v>
          </cell>
          <cell r="AN99">
            <v>0.01</v>
          </cell>
          <cell r="AO99">
            <v>1.3999999999999999E-2</v>
          </cell>
          <cell r="AP99">
            <v>0</v>
          </cell>
          <cell r="AQ99">
            <v>2.5000000000000001E-2</v>
          </cell>
          <cell r="AR99">
            <v>0</v>
          </cell>
          <cell r="AS99">
            <v>3</v>
          </cell>
          <cell r="AT99">
            <v>3</v>
          </cell>
          <cell r="AU99">
            <v>9</v>
          </cell>
          <cell r="AV99">
            <v>1.1000000000000001</v>
          </cell>
          <cell r="AW99">
            <v>70</v>
          </cell>
        </row>
        <row r="100">
          <cell r="K100" t="str">
            <v>Export2nd New Buyer00Hand41x76D</v>
          </cell>
          <cell r="M100">
            <v>340</v>
          </cell>
          <cell r="N100">
            <v>450</v>
          </cell>
          <cell r="O100">
            <v>0.88</v>
          </cell>
          <cell r="P100">
            <v>1557</v>
          </cell>
          <cell r="Q100">
            <v>20.486842105263158</v>
          </cell>
          <cell r="R100">
            <v>6</v>
          </cell>
          <cell r="S100">
            <v>522</v>
          </cell>
          <cell r="T100" t="str">
            <v>1/13  Comb</v>
          </cell>
          <cell r="U100">
            <v>107.55</v>
          </cell>
          <cell r="V100">
            <v>0</v>
          </cell>
          <cell r="W100">
            <v>0</v>
          </cell>
          <cell r="X100" t="str">
            <v>2/30  KC</v>
          </cell>
          <cell r="Y100">
            <v>21.15</v>
          </cell>
          <cell r="Z100" t="str">
            <v xml:space="preserve">1/16OE  </v>
          </cell>
          <cell r="AA100">
            <v>21.649000000000001</v>
          </cell>
          <cell r="AB100" t="str">
            <v>2/20  Gas Mer</v>
          </cell>
          <cell r="AC100">
            <v>13.05</v>
          </cell>
          <cell r="AD100">
            <v>0</v>
          </cell>
          <cell r="AE100">
            <v>0</v>
          </cell>
          <cell r="AF100">
            <v>0</v>
          </cell>
          <cell r="AG100">
            <v>0</v>
          </cell>
          <cell r="AH100">
            <v>163.399</v>
          </cell>
          <cell r="AI100">
            <v>151.96106999999998</v>
          </cell>
          <cell r="AJ100">
            <v>7.0000000000000007E-2</v>
          </cell>
          <cell r="AK100">
            <v>2.5000000000000001E-3</v>
          </cell>
          <cell r="AL100">
            <v>1.4999999999999999E-2</v>
          </cell>
          <cell r="AM100">
            <v>0</v>
          </cell>
          <cell r="AN100">
            <v>0.01</v>
          </cell>
          <cell r="AO100">
            <v>1.3999999999999999E-2</v>
          </cell>
          <cell r="AP100">
            <v>0</v>
          </cell>
          <cell r="AQ100">
            <v>2.5000000000000001E-2</v>
          </cell>
          <cell r="AR100">
            <v>0</v>
          </cell>
          <cell r="AS100">
            <v>3</v>
          </cell>
          <cell r="AT100">
            <v>3</v>
          </cell>
          <cell r="AU100">
            <v>9</v>
          </cell>
          <cell r="AV100">
            <v>1.1000000000000001</v>
          </cell>
          <cell r="AW100">
            <v>70</v>
          </cell>
        </row>
        <row r="101">
          <cell r="K101" t="str">
            <v>Export2nd New Buyer00Wash33x33L</v>
          </cell>
          <cell r="M101">
            <v>340</v>
          </cell>
          <cell r="N101">
            <v>450</v>
          </cell>
          <cell r="O101">
            <v>0.88</v>
          </cell>
          <cell r="P101">
            <v>846</v>
          </cell>
          <cell r="Q101">
            <v>25.636363636363637</v>
          </cell>
          <cell r="R101">
            <v>7</v>
          </cell>
          <cell r="S101">
            <v>524</v>
          </cell>
          <cell r="T101" t="str">
            <v>1/13  Comb</v>
          </cell>
          <cell r="U101">
            <v>36.76</v>
          </cell>
          <cell r="X101" t="str">
            <v>2/30  KC</v>
          </cell>
          <cell r="Y101">
            <v>8.4499999999999993</v>
          </cell>
          <cell r="Z101" t="str">
            <v xml:space="preserve">1/16OE  </v>
          </cell>
          <cell r="AA101">
            <v>8.9339999999999993</v>
          </cell>
          <cell r="AB101" t="str">
            <v>2/20  Gas Mer</v>
          </cell>
          <cell r="AC101">
            <v>7.2619999999999996</v>
          </cell>
          <cell r="AH101">
            <v>61.405999999999992</v>
          </cell>
          <cell r="AI101">
            <v>57.107579999999992</v>
          </cell>
          <cell r="AJ101">
            <v>7.0000000000000007E-2</v>
          </cell>
          <cell r="AK101">
            <v>2.5000000000000001E-3</v>
          </cell>
          <cell r="AL101">
            <v>1.4999999999999999E-2</v>
          </cell>
          <cell r="AM101">
            <v>0</v>
          </cell>
          <cell r="AN101">
            <v>0.01</v>
          </cell>
          <cell r="AO101">
            <v>1.3999999999999999E-2</v>
          </cell>
          <cell r="AQ101">
            <v>2.5000000000000001E-2</v>
          </cell>
          <cell r="AS101">
            <v>3</v>
          </cell>
          <cell r="AT101">
            <v>3</v>
          </cell>
          <cell r="AU101">
            <v>9</v>
          </cell>
          <cell r="AV101">
            <v>1.1000000000000001</v>
          </cell>
          <cell r="AW101">
            <v>70</v>
          </cell>
        </row>
        <row r="102">
          <cell r="K102" t="str">
            <v>Export2nd New Buyer00Wash33x33M</v>
          </cell>
          <cell r="M102">
            <v>340</v>
          </cell>
          <cell r="N102">
            <v>450</v>
          </cell>
          <cell r="O102">
            <v>0.88</v>
          </cell>
          <cell r="P102">
            <v>846</v>
          </cell>
          <cell r="Q102">
            <v>25.636363636363637</v>
          </cell>
          <cell r="R102">
            <v>7</v>
          </cell>
          <cell r="S102">
            <v>524</v>
          </cell>
          <cell r="T102" t="str">
            <v>1/13  Comb</v>
          </cell>
          <cell r="U102">
            <v>36.76</v>
          </cell>
          <cell r="V102">
            <v>0</v>
          </cell>
          <cell r="W102">
            <v>0</v>
          </cell>
          <cell r="X102" t="str">
            <v>2/30  KC</v>
          </cell>
          <cell r="Y102">
            <v>8.4499999999999993</v>
          </cell>
          <cell r="Z102" t="str">
            <v xml:space="preserve">1/16OE  </v>
          </cell>
          <cell r="AA102">
            <v>8.9339999999999993</v>
          </cell>
          <cell r="AB102" t="str">
            <v>2/20  Gas Mer</v>
          </cell>
          <cell r="AC102">
            <v>7.2619999999999996</v>
          </cell>
          <cell r="AD102">
            <v>0</v>
          </cell>
          <cell r="AE102">
            <v>0</v>
          </cell>
          <cell r="AF102">
            <v>0</v>
          </cell>
          <cell r="AG102">
            <v>0</v>
          </cell>
          <cell r="AH102">
            <v>61.405999999999992</v>
          </cell>
          <cell r="AI102">
            <v>57.107579999999992</v>
          </cell>
          <cell r="AJ102">
            <v>7.0000000000000007E-2</v>
          </cell>
          <cell r="AK102">
            <v>2.5000000000000001E-3</v>
          </cell>
          <cell r="AL102">
            <v>1.4999999999999999E-2</v>
          </cell>
          <cell r="AM102">
            <v>0</v>
          </cell>
          <cell r="AN102">
            <v>0.01</v>
          </cell>
          <cell r="AO102">
            <v>1.3999999999999999E-2</v>
          </cell>
          <cell r="AP102">
            <v>0</v>
          </cell>
          <cell r="AQ102">
            <v>2.5000000000000001E-2</v>
          </cell>
          <cell r="AR102">
            <v>0</v>
          </cell>
          <cell r="AS102">
            <v>3</v>
          </cell>
          <cell r="AT102">
            <v>3</v>
          </cell>
          <cell r="AU102">
            <v>9</v>
          </cell>
          <cell r="AV102">
            <v>1.1000000000000001</v>
          </cell>
          <cell r="AW102">
            <v>70</v>
          </cell>
        </row>
        <row r="103">
          <cell r="K103" t="str">
            <v>Export2nd New Buyer00Wash33x33D</v>
          </cell>
          <cell r="M103">
            <v>340</v>
          </cell>
          <cell r="N103">
            <v>450</v>
          </cell>
          <cell r="O103">
            <v>0.88</v>
          </cell>
          <cell r="P103">
            <v>846</v>
          </cell>
          <cell r="Q103">
            <v>25.636363636363637</v>
          </cell>
          <cell r="R103">
            <v>7</v>
          </cell>
          <cell r="S103">
            <v>524</v>
          </cell>
          <cell r="T103" t="str">
            <v>1/13  Comb</v>
          </cell>
          <cell r="U103">
            <v>36.76</v>
          </cell>
          <cell r="V103">
            <v>0</v>
          </cell>
          <cell r="W103">
            <v>0</v>
          </cell>
          <cell r="X103" t="str">
            <v>2/30  KC</v>
          </cell>
          <cell r="Y103">
            <v>8.4499999999999993</v>
          </cell>
          <cell r="Z103" t="str">
            <v xml:space="preserve">1/16OE  </v>
          </cell>
          <cell r="AA103">
            <v>8.9339999999999993</v>
          </cell>
          <cell r="AB103" t="str">
            <v>2/20  Gas Mer</v>
          </cell>
          <cell r="AC103">
            <v>7.2619999999999996</v>
          </cell>
          <cell r="AD103">
            <v>0</v>
          </cell>
          <cell r="AE103">
            <v>0</v>
          </cell>
          <cell r="AF103">
            <v>0</v>
          </cell>
          <cell r="AG103">
            <v>0</v>
          </cell>
          <cell r="AH103">
            <v>61.405999999999992</v>
          </cell>
          <cell r="AI103">
            <v>57.107579999999992</v>
          </cell>
          <cell r="AJ103">
            <v>7.0000000000000007E-2</v>
          </cell>
          <cell r="AK103">
            <v>2.5000000000000001E-3</v>
          </cell>
          <cell r="AL103">
            <v>1.4999999999999999E-2</v>
          </cell>
          <cell r="AM103">
            <v>0</v>
          </cell>
          <cell r="AN103">
            <v>0.01</v>
          </cell>
          <cell r="AO103">
            <v>1.3999999999999999E-2</v>
          </cell>
          <cell r="AP103">
            <v>0</v>
          </cell>
          <cell r="AQ103">
            <v>2.5000000000000001E-2</v>
          </cell>
          <cell r="AR103">
            <v>0</v>
          </cell>
          <cell r="AS103">
            <v>3</v>
          </cell>
          <cell r="AT103">
            <v>3</v>
          </cell>
          <cell r="AU103">
            <v>9</v>
          </cell>
          <cell r="AV103">
            <v>1.1000000000000001</v>
          </cell>
          <cell r="AW103">
            <v>70</v>
          </cell>
        </row>
        <row r="104">
          <cell r="K104" t="str">
            <v>Export3rd New Buyer00Bath0x0L</v>
          </cell>
          <cell r="M104">
            <v>280</v>
          </cell>
          <cell r="N104">
            <v>520</v>
          </cell>
          <cell r="O104">
            <v>0.88</v>
          </cell>
          <cell r="P104">
            <v>2652</v>
          </cell>
          <cell r="Q104">
            <v>0</v>
          </cell>
          <cell r="R104">
            <v>3</v>
          </cell>
          <cell r="S104">
            <v>528</v>
          </cell>
          <cell r="T104" t="str">
            <v>1/13  Comb</v>
          </cell>
          <cell r="U104">
            <v>415.87</v>
          </cell>
          <cell r="X104" t="str">
            <v>2/30  KC</v>
          </cell>
          <cell r="Y104">
            <v>71.28</v>
          </cell>
          <cell r="Z104" t="str">
            <v xml:space="preserve">1/16OE  </v>
          </cell>
          <cell r="AA104">
            <v>67.712000000000003</v>
          </cell>
          <cell r="AB104" t="str">
            <v>2/20  Gas Mer</v>
          </cell>
          <cell r="AC104">
            <v>36.33</v>
          </cell>
          <cell r="AH104">
            <v>591.19200000000001</v>
          </cell>
          <cell r="AI104">
            <v>591.19200000000001</v>
          </cell>
          <cell r="AO104">
            <v>1.3999999999999999E-2</v>
          </cell>
          <cell r="AQ104">
            <v>2.5000000000000001E-2</v>
          </cell>
          <cell r="AS104">
            <v>3</v>
          </cell>
          <cell r="AT104">
            <v>3</v>
          </cell>
          <cell r="AU104">
            <v>9</v>
          </cell>
          <cell r="AV104">
            <v>1.1000000000000001</v>
          </cell>
          <cell r="AW104">
            <v>70</v>
          </cell>
        </row>
        <row r="105">
          <cell r="K105" t="str">
            <v>Export3rd New Buyer00Bath0x0M</v>
          </cell>
          <cell r="M105">
            <v>280</v>
          </cell>
          <cell r="N105">
            <v>520</v>
          </cell>
          <cell r="O105">
            <v>0.88</v>
          </cell>
          <cell r="P105">
            <v>2652</v>
          </cell>
          <cell r="Q105">
            <v>0</v>
          </cell>
          <cell r="R105">
            <v>3</v>
          </cell>
          <cell r="S105">
            <v>528</v>
          </cell>
          <cell r="T105" t="str">
            <v>1/13  Comb</v>
          </cell>
          <cell r="U105">
            <v>415.87</v>
          </cell>
          <cell r="V105">
            <v>0</v>
          </cell>
          <cell r="W105">
            <v>0</v>
          </cell>
          <cell r="X105" t="str">
            <v>2/30  KC</v>
          </cell>
          <cell r="Y105">
            <v>71.28</v>
          </cell>
          <cell r="Z105" t="str">
            <v xml:space="preserve">1/16OE  </v>
          </cell>
          <cell r="AA105">
            <v>67.712000000000003</v>
          </cell>
          <cell r="AB105" t="str">
            <v>2/20  Gas Mer</v>
          </cell>
          <cell r="AC105">
            <v>36.33</v>
          </cell>
          <cell r="AD105">
            <v>0</v>
          </cell>
          <cell r="AE105">
            <v>0</v>
          </cell>
          <cell r="AF105">
            <v>0</v>
          </cell>
          <cell r="AG105">
            <v>0</v>
          </cell>
          <cell r="AH105">
            <v>591.19200000000001</v>
          </cell>
          <cell r="AI105">
            <v>591.19200000000001</v>
          </cell>
          <cell r="AJ105">
            <v>0</v>
          </cell>
          <cell r="AK105">
            <v>0</v>
          </cell>
          <cell r="AL105">
            <v>0</v>
          </cell>
          <cell r="AM105">
            <v>0</v>
          </cell>
          <cell r="AN105">
            <v>0</v>
          </cell>
          <cell r="AO105">
            <v>1.3999999999999999E-2</v>
          </cell>
          <cell r="AP105">
            <v>0</v>
          </cell>
          <cell r="AQ105">
            <v>2.5000000000000001E-2</v>
          </cell>
          <cell r="AR105">
            <v>0</v>
          </cell>
          <cell r="AS105">
            <v>3</v>
          </cell>
          <cell r="AT105">
            <v>3</v>
          </cell>
          <cell r="AU105">
            <v>9</v>
          </cell>
          <cell r="AV105">
            <v>1.1000000000000001</v>
          </cell>
          <cell r="AW105">
            <v>70</v>
          </cell>
        </row>
        <row r="106">
          <cell r="K106" t="str">
            <v>Export3rd New Buyer00Bath0x0D</v>
          </cell>
          <cell r="M106">
            <v>280</v>
          </cell>
          <cell r="N106">
            <v>520</v>
          </cell>
          <cell r="O106">
            <v>0.88</v>
          </cell>
          <cell r="P106">
            <v>2652</v>
          </cell>
          <cell r="Q106">
            <v>0</v>
          </cell>
          <cell r="R106">
            <v>3</v>
          </cell>
          <cell r="S106">
            <v>528</v>
          </cell>
          <cell r="T106" t="str">
            <v>1/13  Comb</v>
          </cell>
          <cell r="U106">
            <v>415.87</v>
          </cell>
          <cell r="V106">
            <v>0</v>
          </cell>
          <cell r="W106">
            <v>0</v>
          </cell>
          <cell r="X106" t="str">
            <v>2/30  KC</v>
          </cell>
          <cell r="Y106">
            <v>71.28</v>
          </cell>
          <cell r="Z106" t="str">
            <v xml:space="preserve">1/16OE  </v>
          </cell>
          <cell r="AA106">
            <v>67.712000000000003</v>
          </cell>
          <cell r="AB106" t="str">
            <v>2/20  Gas Mer</v>
          </cell>
          <cell r="AC106">
            <v>36.33</v>
          </cell>
          <cell r="AD106">
            <v>0</v>
          </cell>
          <cell r="AE106">
            <v>0</v>
          </cell>
          <cell r="AF106">
            <v>0</v>
          </cell>
          <cell r="AG106">
            <v>0</v>
          </cell>
          <cell r="AH106">
            <v>591.19200000000001</v>
          </cell>
          <cell r="AI106">
            <v>591.19200000000001</v>
          </cell>
          <cell r="AJ106">
            <v>0</v>
          </cell>
          <cell r="AK106">
            <v>0</v>
          </cell>
          <cell r="AL106">
            <v>0</v>
          </cell>
          <cell r="AM106">
            <v>0</v>
          </cell>
          <cell r="AN106">
            <v>0</v>
          </cell>
          <cell r="AO106">
            <v>1.3999999999999999E-2</v>
          </cell>
          <cell r="AP106">
            <v>0</v>
          </cell>
          <cell r="AQ106">
            <v>2.5000000000000001E-2</v>
          </cell>
          <cell r="AR106">
            <v>0</v>
          </cell>
          <cell r="AS106">
            <v>3</v>
          </cell>
          <cell r="AT106">
            <v>3</v>
          </cell>
          <cell r="AU106">
            <v>9</v>
          </cell>
          <cell r="AV106">
            <v>1.1000000000000001</v>
          </cell>
          <cell r="AW106">
            <v>70</v>
          </cell>
        </row>
        <row r="107">
          <cell r="K107" t="str">
            <v>DomesticWIL-VapiField Crest0Bath76x147L</v>
          </cell>
          <cell r="M107">
            <v>280</v>
          </cell>
          <cell r="N107">
            <v>520</v>
          </cell>
          <cell r="O107">
            <v>0.88</v>
          </cell>
          <cell r="P107">
            <v>3540</v>
          </cell>
          <cell r="Q107">
            <v>24.081632653061224</v>
          </cell>
          <cell r="R107">
            <v>3</v>
          </cell>
          <cell r="S107">
            <v>690</v>
          </cell>
          <cell r="T107" t="str">
            <v>2/20  Combpima</v>
          </cell>
          <cell r="U107">
            <v>584.72</v>
          </cell>
          <cell r="X107" t="str">
            <v>2/24  KC</v>
          </cell>
          <cell r="Y107">
            <v>94.18</v>
          </cell>
          <cell r="Z107" t="str">
            <v xml:space="preserve">1/16OE  </v>
          </cell>
          <cell r="AA107">
            <v>93.66</v>
          </cell>
          <cell r="AB107" t="str">
            <v>2/16  KC</v>
          </cell>
          <cell r="AC107">
            <v>51.9</v>
          </cell>
          <cell r="AH107">
            <v>824.46</v>
          </cell>
          <cell r="AI107">
            <v>824.46</v>
          </cell>
          <cell r="AJ107">
            <v>0</v>
          </cell>
          <cell r="AL107">
            <v>1.4999999999999999E-2</v>
          </cell>
          <cell r="AO107">
            <v>1.3999999999999999E-2</v>
          </cell>
          <cell r="AQ107">
            <v>2.5000000000000001E-2</v>
          </cell>
          <cell r="AS107">
            <v>3</v>
          </cell>
          <cell r="AT107">
            <v>3</v>
          </cell>
          <cell r="AV107">
            <v>1.1000000000000001</v>
          </cell>
        </row>
        <row r="108">
          <cell r="K108" t="str">
            <v>DomesticWIL-VapiField Crest0Hand41x76M</v>
          </cell>
          <cell r="M108">
            <v>340</v>
          </cell>
          <cell r="N108">
            <v>450</v>
          </cell>
          <cell r="O108">
            <v>0.88</v>
          </cell>
          <cell r="P108">
            <v>2184</v>
          </cell>
          <cell r="Q108">
            <v>28.736842105263158</v>
          </cell>
          <cell r="R108">
            <v>6</v>
          </cell>
          <cell r="S108">
            <v>668</v>
          </cell>
          <cell r="T108" t="str">
            <v>2/20  Combpima</v>
          </cell>
          <cell r="U108">
            <v>144.19</v>
          </cell>
          <cell r="X108" t="str">
            <v>2/24  KC</v>
          </cell>
          <cell r="Y108">
            <v>27.1</v>
          </cell>
          <cell r="Z108" t="str">
            <v xml:space="preserve">1/16OE  </v>
          </cell>
          <cell r="AA108">
            <v>30.62</v>
          </cell>
          <cell r="AB108" t="str">
            <v>2/16  KC</v>
          </cell>
          <cell r="AC108">
            <v>20.71</v>
          </cell>
          <cell r="AH108">
            <v>222.62</v>
          </cell>
          <cell r="AI108">
            <v>222.62</v>
          </cell>
          <cell r="AJ108">
            <v>0</v>
          </cell>
          <cell r="AL108">
            <v>1.4999999999999999E-2</v>
          </cell>
          <cell r="AO108">
            <v>1.3999999999999999E-2</v>
          </cell>
          <cell r="AQ108">
            <v>2.5000000000000001E-2</v>
          </cell>
          <cell r="AS108">
            <v>3</v>
          </cell>
          <cell r="AT108">
            <v>3</v>
          </cell>
          <cell r="AV108">
            <v>1.1000000000000001</v>
          </cell>
        </row>
        <row r="109">
          <cell r="K109" t="str">
            <v>DomesticWIL-VapiField Crest0Wash33x33D</v>
          </cell>
          <cell r="M109">
            <v>340</v>
          </cell>
          <cell r="N109">
            <v>450</v>
          </cell>
          <cell r="O109">
            <v>0.88</v>
          </cell>
          <cell r="P109">
            <v>984</v>
          </cell>
          <cell r="Q109">
            <v>29.818181818181817</v>
          </cell>
          <cell r="R109">
            <v>7</v>
          </cell>
          <cell r="S109">
            <v>676</v>
          </cell>
          <cell r="T109" t="str">
            <v>2/20  Combpima</v>
          </cell>
          <cell r="U109">
            <v>47.66</v>
          </cell>
          <cell r="X109" t="str">
            <v>2/24  KC</v>
          </cell>
          <cell r="Y109">
            <v>11.09</v>
          </cell>
          <cell r="Z109" t="str">
            <v xml:space="preserve">1/16OE  </v>
          </cell>
          <cell r="AA109">
            <v>11.13</v>
          </cell>
          <cell r="AB109" t="str">
            <v>2/16  KC</v>
          </cell>
          <cell r="AC109">
            <v>8.86</v>
          </cell>
          <cell r="AH109">
            <v>78.739999999999995</v>
          </cell>
          <cell r="AI109">
            <v>78.739999999999995</v>
          </cell>
          <cell r="AJ109">
            <v>0</v>
          </cell>
          <cell r="AL109">
            <v>1.4999999999999999E-2</v>
          </cell>
          <cell r="AO109">
            <v>1.3999999999999999E-2</v>
          </cell>
          <cell r="AQ109">
            <v>2.5000000000000001E-2</v>
          </cell>
          <cell r="AS109">
            <v>3</v>
          </cell>
          <cell r="AT109">
            <v>3</v>
          </cell>
          <cell r="AV109">
            <v>1.1000000000000001</v>
          </cell>
        </row>
        <row r="110">
          <cell r="K110" t="str">
            <v>DomesticZucchiBathrobe0Bathrobe285x100M</v>
          </cell>
          <cell r="M110">
            <v>340</v>
          </cell>
          <cell r="N110">
            <v>450</v>
          </cell>
          <cell r="O110">
            <v>0.88</v>
          </cell>
          <cell r="P110">
            <v>2010</v>
          </cell>
          <cell r="Q110">
            <v>20.100000000000001</v>
          </cell>
          <cell r="R110">
            <v>1</v>
          </cell>
          <cell r="S110">
            <v>420</v>
          </cell>
          <cell r="T110" t="str">
            <v>1/16  KC</v>
          </cell>
          <cell r="U110">
            <v>801.34</v>
          </cell>
          <cell r="X110" t="str">
            <v>2/20  KC</v>
          </cell>
          <cell r="Y110">
            <v>264.73</v>
          </cell>
          <cell r="Z110" t="str">
            <v xml:space="preserve">1/16OE  </v>
          </cell>
          <cell r="AA110">
            <v>249.28</v>
          </cell>
          <cell r="AH110">
            <v>1315.3500000000001</v>
          </cell>
          <cell r="AI110">
            <v>1315.3500000000001</v>
          </cell>
          <cell r="AJ110">
            <v>0</v>
          </cell>
          <cell r="AL110">
            <v>1.4999999999999999E-2</v>
          </cell>
          <cell r="AO110">
            <v>1.3999999999999999E-2</v>
          </cell>
          <cell r="AQ110">
            <v>2.5000000000000001E-2</v>
          </cell>
          <cell r="AS110">
            <v>3</v>
          </cell>
          <cell r="AT110">
            <v>3</v>
          </cell>
          <cell r="AV110">
            <v>1.1000000000000001</v>
          </cell>
        </row>
        <row r="111">
          <cell r="K111" t="str">
            <v>DomesticWIL-VapiKohls Sonama0Bath76x147L</v>
          </cell>
          <cell r="M111">
            <v>280</v>
          </cell>
          <cell r="N111">
            <v>520</v>
          </cell>
          <cell r="O111">
            <v>0.88</v>
          </cell>
          <cell r="P111">
            <v>3540</v>
          </cell>
          <cell r="Q111">
            <v>24.081632653061224</v>
          </cell>
          <cell r="R111">
            <v>3</v>
          </cell>
          <cell r="S111">
            <v>690</v>
          </cell>
          <cell r="T111" t="str">
            <v>2/20  Combpima</v>
          </cell>
          <cell r="U111">
            <v>584.72</v>
          </cell>
          <cell r="X111" t="str">
            <v>2/24  KC</v>
          </cell>
          <cell r="Y111">
            <v>94.18</v>
          </cell>
          <cell r="Z111" t="str">
            <v xml:space="preserve">1/16OE  </v>
          </cell>
          <cell r="AA111">
            <v>93.66</v>
          </cell>
          <cell r="AB111" t="str">
            <v>2/16  KC</v>
          </cell>
          <cell r="AC111">
            <v>51.9</v>
          </cell>
          <cell r="AH111">
            <v>824.46</v>
          </cell>
          <cell r="AI111">
            <v>824.46</v>
          </cell>
          <cell r="AJ111">
            <v>0</v>
          </cell>
          <cell r="AL111">
            <v>1.4999999999999999E-2</v>
          </cell>
          <cell r="AO111">
            <v>1.3999999999999999E-2</v>
          </cell>
          <cell r="AQ111">
            <v>2.5000000000000001E-2</v>
          </cell>
          <cell r="AS111">
            <v>3</v>
          </cell>
          <cell r="AT111">
            <v>3</v>
          </cell>
          <cell r="AV111">
            <v>1.1000000000000001</v>
          </cell>
        </row>
        <row r="112">
          <cell r="K112" t="str">
            <v>DomesticWIL-VapiKohls Sonama0Hand41x76M</v>
          </cell>
          <cell r="M112">
            <v>340</v>
          </cell>
          <cell r="N112">
            <v>450</v>
          </cell>
          <cell r="O112">
            <v>0.88</v>
          </cell>
          <cell r="P112">
            <v>2184</v>
          </cell>
          <cell r="Q112">
            <v>28.736842105263158</v>
          </cell>
          <cell r="R112">
            <v>6</v>
          </cell>
          <cell r="S112">
            <v>668</v>
          </cell>
          <cell r="T112" t="str">
            <v>2/20  Combpima</v>
          </cell>
          <cell r="U112">
            <v>144.19</v>
          </cell>
          <cell r="X112" t="str">
            <v>2/24  KC</v>
          </cell>
          <cell r="Y112">
            <v>27.1</v>
          </cell>
          <cell r="Z112" t="str">
            <v xml:space="preserve">1/16OE  </v>
          </cell>
          <cell r="AA112">
            <v>30.62</v>
          </cell>
          <cell r="AB112" t="str">
            <v>2/16  KC</v>
          </cell>
          <cell r="AC112">
            <v>20.71</v>
          </cell>
          <cell r="AH112">
            <v>222.62</v>
          </cell>
          <cell r="AI112">
            <v>222.62</v>
          </cell>
          <cell r="AJ112">
            <v>0</v>
          </cell>
          <cell r="AL112">
            <v>1.4999999999999999E-2</v>
          </cell>
          <cell r="AO112">
            <v>1.3999999999999999E-2</v>
          </cell>
          <cell r="AQ112">
            <v>2.5000000000000001E-2</v>
          </cell>
          <cell r="AS112">
            <v>3</v>
          </cell>
          <cell r="AT112">
            <v>3</v>
          </cell>
          <cell r="AV112">
            <v>1.1000000000000001</v>
          </cell>
        </row>
        <row r="113">
          <cell r="K113" t="str">
            <v>DomesticWIL-VapiKohls Sonama0Wash33x33D</v>
          </cell>
          <cell r="M113">
            <v>340</v>
          </cell>
          <cell r="N113">
            <v>450</v>
          </cell>
          <cell r="O113">
            <v>0.88</v>
          </cell>
          <cell r="P113">
            <v>984</v>
          </cell>
          <cell r="Q113">
            <v>29.818181818181817</v>
          </cell>
          <cell r="R113">
            <v>7</v>
          </cell>
          <cell r="S113">
            <v>676</v>
          </cell>
          <cell r="T113" t="str">
            <v>2/20  Combpima</v>
          </cell>
          <cell r="U113">
            <v>47.66</v>
          </cell>
          <cell r="X113" t="str">
            <v>2/24  KC</v>
          </cell>
          <cell r="Y113">
            <v>11.09</v>
          </cell>
          <cell r="Z113" t="str">
            <v xml:space="preserve">1/16OE  </v>
          </cell>
          <cell r="AA113">
            <v>11.13</v>
          </cell>
          <cell r="AB113" t="str">
            <v>2/16  KC</v>
          </cell>
          <cell r="AC113">
            <v>8.86</v>
          </cell>
          <cell r="AH113">
            <v>78.739999999999995</v>
          </cell>
          <cell r="AI113">
            <v>78.739999999999995</v>
          </cell>
          <cell r="AJ113">
            <v>0</v>
          </cell>
          <cell r="AL113">
            <v>1.4999999999999999E-2</v>
          </cell>
          <cell r="AO113">
            <v>1.3999999999999999E-2</v>
          </cell>
          <cell r="AQ113">
            <v>2.5000000000000001E-2</v>
          </cell>
          <cell r="AS113">
            <v>3</v>
          </cell>
          <cell r="AT113">
            <v>3</v>
          </cell>
          <cell r="AV113">
            <v>1.1000000000000001</v>
          </cell>
        </row>
        <row r="114">
          <cell r="K114" t="str">
            <v>DomesticWIL-VapiTarget Solid0Bath76x147M</v>
          </cell>
          <cell r="M114">
            <v>280</v>
          </cell>
          <cell r="N114">
            <v>520</v>
          </cell>
          <cell r="O114">
            <v>0.88</v>
          </cell>
          <cell r="P114">
            <v>3540</v>
          </cell>
          <cell r="Q114">
            <v>24.081632653061224</v>
          </cell>
          <cell r="R114">
            <v>3</v>
          </cell>
          <cell r="S114">
            <v>690</v>
          </cell>
          <cell r="T114" t="str">
            <v>2/20  Combpima</v>
          </cell>
          <cell r="U114">
            <v>584.72</v>
          </cell>
          <cell r="X114" t="str">
            <v>2/24  KC</v>
          </cell>
          <cell r="Y114">
            <v>94.18</v>
          </cell>
          <cell r="Z114" t="str">
            <v xml:space="preserve">1/16OE  </v>
          </cell>
          <cell r="AA114">
            <v>93.66</v>
          </cell>
          <cell r="AB114" t="str">
            <v>2/16  KC</v>
          </cell>
          <cell r="AC114">
            <v>51.9</v>
          </cell>
          <cell r="AH114">
            <v>824.46</v>
          </cell>
          <cell r="AI114">
            <v>824.46</v>
          </cell>
          <cell r="AJ114">
            <v>0</v>
          </cell>
          <cell r="AL114">
            <v>1.4999999999999999E-2</v>
          </cell>
          <cell r="AO114">
            <v>1.3999999999999999E-2</v>
          </cell>
          <cell r="AQ114">
            <v>2.5000000000000001E-2</v>
          </cell>
          <cell r="AS114">
            <v>3</v>
          </cell>
          <cell r="AT114">
            <v>3</v>
          </cell>
          <cell r="AV114">
            <v>1.1000000000000001</v>
          </cell>
        </row>
      </sheetData>
      <sheetData sheetId="4" refreshError="1">
        <row r="3">
          <cell r="G3" t="str">
            <v>Final Code</v>
          </cell>
          <cell r="H3" t="str">
            <v>Taken</v>
          </cell>
          <cell r="I3" t="str">
            <v>Cur</v>
          </cell>
          <cell r="J3" t="str">
            <v>Rate 1</v>
          </cell>
          <cell r="K3" t="str">
            <v>Rate 2</v>
          </cell>
          <cell r="L3" t="str">
            <v>Rate 3</v>
          </cell>
          <cell r="M3" t="str">
            <v>Rate 4</v>
          </cell>
        </row>
        <row r="4">
          <cell r="G4" t="str">
            <v>1/13   KC</v>
          </cell>
          <cell r="H4">
            <v>84.5</v>
          </cell>
          <cell r="I4">
            <v>80.02</v>
          </cell>
          <cell r="J4">
            <v>84</v>
          </cell>
          <cell r="K4">
            <v>85</v>
          </cell>
          <cell r="L4">
            <v>85</v>
          </cell>
          <cell r="M4">
            <v>84</v>
          </cell>
        </row>
        <row r="5">
          <cell r="G5" t="str">
            <v>2/24  KC</v>
          </cell>
          <cell r="H5">
            <v>107.5</v>
          </cell>
          <cell r="I5">
            <v>106.97</v>
          </cell>
          <cell r="J5">
            <v>107</v>
          </cell>
          <cell r="K5">
            <v>108</v>
          </cell>
          <cell r="L5">
            <v>108</v>
          </cell>
          <cell r="M5">
            <v>107</v>
          </cell>
        </row>
        <row r="6">
          <cell r="G6" t="str">
            <v xml:space="preserve">1/14OE  </v>
          </cell>
          <cell r="H6">
            <v>75.75</v>
          </cell>
          <cell r="I6">
            <v>71.62</v>
          </cell>
          <cell r="J6">
            <v>76</v>
          </cell>
          <cell r="K6">
            <v>75</v>
          </cell>
          <cell r="L6">
            <v>76</v>
          </cell>
          <cell r="M6">
            <v>76</v>
          </cell>
        </row>
        <row r="7">
          <cell r="G7" t="str">
            <v>2/20  KC</v>
          </cell>
          <cell r="H7">
            <v>107.5</v>
          </cell>
          <cell r="I7">
            <v>100</v>
          </cell>
          <cell r="J7">
            <v>107</v>
          </cell>
          <cell r="K7">
            <v>108</v>
          </cell>
          <cell r="L7">
            <v>108</v>
          </cell>
          <cell r="M7">
            <v>107</v>
          </cell>
        </row>
        <row r="8">
          <cell r="G8" t="str">
            <v>2/20  Comb</v>
          </cell>
          <cell r="H8">
            <v>116.5</v>
          </cell>
          <cell r="I8">
            <v>102.04</v>
          </cell>
          <cell r="J8">
            <v>116</v>
          </cell>
          <cell r="K8">
            <v>117</v>
          </cell>
          <cell r="L8">
            <v>117</v>
          </cell>
          <cell r="M8">
            <v>116</v>
          </cell>
        </row>
        <row r="9">
          <cell r="G9" t="str">
            <v>1/13  Comb</v>
          </cell>
          <cell r="H9">
            <v>96.5</v>
          </cell>
          <cell r="I9">
            <v>97.05</v>
          </cell>
          <cell r="J9">
            <v>96</v>
          </cell>
          <cell r="K9">
            <v>97</v>
          </cell>
          <cell r="L9">
            <v>97</v>
          </cell>
          <cell r="M9">
            <v>96</v>
          </cell>
        </row>
        <row r="10">
          <cell r="G10" t="str">
            <v>1/13  Tend KC</v>
          </cell>
          <cell r="H10">
            <v>87.5</v>
          </cell>
          <cell r="I10">
            <v>83.86</v>
          </cell>
          <cell r="J10">
            <v>87</v>
          </cell>
          <cell r="K10">
            <v>88</v>
          </cell>
          <cell r="L10">
            <v>88</v>
          </cell>
          <cell r="M10">
            <v>87</v>
          </cell>
        </row>
        <row r="11">
          <cell r="G11" t="str">
            <v>1/13  Egy Comb</v>
          </cell>
          <cell r="H11">
            <v>172.09</v>
          </cell>
          <cell r="I11">
            <v>172.09</v>
          </cell>
          <cell r="J11">
            <v>172.09</v>
          </cell>
          <cell r="K11">
            <v>172.09</v>
          </cell>
          <cell r="L11">
            <v>172.09</v>
          </cell>
          <cell r="M11">
            <v>172.09</v>
          </cell>
        </row>
        <row r="12">
          <cell r="G12" t="str">
            <v xml:space="preserve">2/10RF Comb+VIS  </v>
          </cell>
          <cell r="H12">
            <v>94</v>
          </cell>
          <cell r="I12">
            <v>94</v>
          </cell>
          <cell r="J12">
            <v>94</v>
          </cell>
          <cell r="K12">
            <v>94</v>
          </cell>
          <cell r="L12">
            <v>94</v>
          </cell>
          <cell r="M12">
            <v>94</v>
          </cell>
        </row>
        <row r="13">
          <cell r="G13" t="str">
            <v>2/30  KC</v>
          </cell>
          <cell r="H13">
            <v>118.5</v>
          </cell>
          <cell r="I13">
            <v>111.91</v>
          </cell>
          <cell r="J13">
            <v>118</v>
          </cell>
          <cell r="K13">
            <v>119</v>
          </cell>
          <cell r="L13">
            <v>119</v>
          </cell>
          <cell r="M13">
            <v>118</v>
          </cell>
        </row>
        <row r="14">
          <cell r="G14" t="str">
            <v>2/16  Egy Comb</v>
          </cell>
          <cell r="H14">
            <v>142.57</v>
          </cell>
          <cell r="I14">
            <v>142.57</v>
          </cell>
          <cell r="J14">
            <v>142.57</v>
          </cell>
          <cell r="K14">
            <v>142.57</v>
          </cell>
          <cell r="L14">
            <v>142.57</v>
          </cell>
          <cell r="M14">
            <v>142.57</v>
          </cell>
        </row>
        <row r="15">
          <cell r="G15" t="str">
            <v xml:space="preserve">1/11OE  </v>
          </cell>
          <cell r="H15">
            <v>70.75</v>
          </cell>
          <cell r="I15">
            <v>67.5</v>
          </cell>
          <cell r="J15">
            <v>71</v>
          </cell>
          <cell r="K15">
            <v>70</v>
          </cell>
          <cell r="L15">
            <v>71</v>
          </cell>
          <cell r="M15">
            <v>71</v>
          </cell>
        </row>
        <row r="16">
          <cell r="G16" t="str">
            <v xml:space="preserve">1/11.5OE VIS+COT  </v>
          </cell>
          <cell r="H16">
            <v>72.33</v>
          </cell>
          <cell r="I16">
            <v>72.33</v>
          </cell>
          <cell r="J16">
            <v>72.33</v>
          </cell>
          <cell r="K16">
            <v>72.33</v>
          </cell>
          <cell r="L16">
            <v>72.33</v>
          </cell>
          <cell r="M16">
            <v>72.33</v>
          </cell>
        </row>
        <row r="17">
          <cell r="G17" t="str">
            <v xml:space="preserve">1/16OE  </v>
          </cell>
          <cell r="H17">
            <v>77.75</v>
          </cell>
          <cell r="I17">
            <v>78</v>
          </cell>
          <cell r="J17">
            <v>78</v>
          </cell>
          <cell r="K17">
            <v>77</v>
          </cell>
          <cell r="L17">
            <v>78</v>
          </cell>
          <cell r="M17">
            <v>78</v>
          </cell>
        </row>
        <row r="18">
          <cell r="G18" t="str">
            <v>1/16  Comb</v>
          </cell>
          <cell r="H18">
            <v>101.5</v>
          </cell>
          <cell r="I18">
            <v>90</v>
          </cell>
          <cell r="J18">
            <v>101</v>
          </cell>
          <cell r="K18">
            <v>102</v>
          </cell>
          <cell r="L18">
            <v>102</v>
          </cell>
          <cell r="M18">
            <v>101</v>
          </cell>
        </row>
        <row r="19">
          <cell r="G19" t="str">
            <v>2/20  Gas Mer</v>
          </cell>
          <cell r="H19">
            <v>174</v>
          </cell>
          <cell r="I19">
            <v>174</v>
          </cell>
          <cell r="J19">
            <v>174</v>
          </cell>
          <cell r="K19">
            <v>174</v>
          </cell>
          <cell r="L19">
            <v>174</v>
          </cell>
          <cell r="M19">
            <v>174</v>
          </cell>
        </row>
        <row r="20">
          <cell r="G20" t="str">
            <v>2/16  KC</v>
          </cell>
          <cell r="H20">
            <v>97.5</v>
          </cell>
          <cell r="I20">
            <v>87.7</v>
          </cell>
          <cell r="J20">
            <v>97</v>
          </cell>
          <cell r="K20">
            <v>98</v>
          </cell>
          <cell r="L20">
            <v>98</v>
          </cell>
          <cell r="M20">
            <v>97</v>
          </cell>
        </row>
        <row r="21">
          <cell r="G21" t="str">
            <v>/450  Den</v>
          </cell>
          <cell r="H21">
            <v>127.25</v>
          </cell>
          <cell r="I21">
            <v>127.25</v>
          </cell>
          <cell r="J21">
            <v>127.25</v>
          </cell>
          <cell r="K21">
            <v>127.25</v>
          </cell>
          <cell r="L21">
            <v>127.25</v>
          </cell>
          <cell r="M21">
            <v>127.25</v>
          </cell>
        </row>
        <row r="22">
          <cell r="G22" t="str">
            <v>1/16  CombDyed</v>
          </cell>
          <cell r="H22">
            <v>150</v>
          </cell>
          <cell r="I22">
            <v>150</v>
          </cell>
          <cell r="J22">
            <v>150</v>
          </cell>
          <cell r="K22">
            <v>150</v>
          </cell>
          <cell r="L22">
            <v>150</v>
          </cell>
          <cell r="M22">
            <v>150</v>
          </cell>
        </row>
        <row r="23">
          <cell r="G23" t="str">
            <v>2/20  Combpima</v>
          </cell>
          <cell r="H23">
            <v>143.07</v>
          </cell>
          <cell r="I23">
            <v>143.07</v>
          </cell>
          <cell r="J23">
            <v>143.07</v>
          </cell>
          <cell r="K23">
            <v>143.07</v>
          </cell>
          <cell r="L23">
            <v>143.07</v>
          </cell>
          <cell r="M23">
            <v>143.07</v>
          </cell>
        </row>
        <row r="24">
          <cell r="G24" t="str">
            <v>2/24  CombEgpt</v>
          </cell>
          <cell r="H24">
            <v>154</v>
          </cell>
          <cell r="I24">
            <v>154</v>
          </cell>
          <cell r="J24">
            <v>154</v>
          </cell>
          <cell r="K24">
            <v>154</v>
          </cell>
          <cell r="L24">
            <v>154</v>
          </cell>
          <cell r="M24">
            <v>154</v>
          </cell>
        </row>
        <row r="25">
          <cell r="G25" t="str">
            <v>1/16  KC</v>
          </cell>
          <cell r="H25">
            <v>88.5</v>
          </cell>
          <cell r="I25">
            <v>75.62</v>
          </cell>
          <cell r="J25">
            <v>88</v>
          </cell>
          <cell r="K25">
            <v>89</v>
          </cell>
          <cell r="L25">
            <v>89</v>
          </cell>
          <cell r="M25">
            <v>88</v>
          </cell>
        </row>
        <row r="26">
          <cell r="G26" t="str">
            <v>2/24  DyedPattern</v>
          </cell>
          <cell r="H26">
            <v>160</v>
          </cell>
          <cell r="J26">
            <v>160</v>
          </cell>
          <cell r="K26">
            <v>160</v>
          </cell>
          <cell r="L26">
            <v>160</v>
          </cell>
          <cell r="M26">
            <v>160</v>
          </cell>
        </row>
        <row r="27">
          <cell r="G27" t="str">
            <v xml:space="preserve">/  </v>
          </cell>
          <cell r="H27">
            <v>0</v>
          </cell>
        </row>
        <row r="28">
          <cell r="G28" t="str">
            <v xml:space="preserve">/  </v>
          </cell>
          <cell r="H28">
            <v>0</v>
          </cell>
        </row>
        <row r="29">
          <cell r="G29" t="str">
            <v xml:space="preserve">/  </v>
          </cell>
          <cell r="H29">
            <v>0</v>
          </cell>
        </row>
        <row r="30">
          <cell r="G30" t="str">
            <v xml:space="preserve">/  </v>
          </cell>
          <cell r="H30">
            <v>0</v>
          </cell>
        </row>
        <row r="31">
          <cell r="G31" t="str">
            <v xml:space="preserve">/  </v>
          </cell>
          <cell r="H31">
            <v>0</v>
          </cell>
        </row>
        <row r="32">
          <cell r="G32" t="str">
            <v xml:space="preserve">/  </v>
          </cell>
          <cell r="H32">
            <v>0</v>
          </cell>
        </row>
        <row r="33">
          <cell r="G33" t="str">
            <v xml:space="preserve">/  </v>
          </cell>
          <cell r="H33">
            <v>0</v>
          </cell>
        </row>
        <row r="34">
          <cell r="G34" t="str">
            <v xml:space="preserve">/  </v>
          </cell>
          <cell r="H34">
            <v>0</v>
          </cell>
        </row>
        <row r="35">
          <cell r="G35" t="str">
            <v xml:space="preserve">/  </v>
          </cell>
          <cell r="H35">
            <v>0</v>
          </cell>
        </row>
        <row r="36">
          <cell r="G36" t="str">
            <v xml:space="preserve">/  </v>
          </cell>
          <cell r="H36">
            <v>0</v>
          </cell>
        </row>
        <row r="37">
          <cell r="G37" t="str">
            <v xml:space="preserve">/  </v>
          </cell>
          <cell r="H37">
            <v>0</v>
          </cell>
        </row>
        <row r="38">
          <cell r="G38" t="str">
            <v xml:space="preserve">/  </v>
          </cell>
          <cell r="H38">
            <v>0</v>
          </cell>
        </row>
        <row r="39">
          <cell r="G39" t="str">
            <v xml:space="preserve">/  </v>
          </cell>
          <cell r="H39">
            <v>0</v>
          </cell>
        </row>
        <row r="40">
          <cell r="G40" t="str">
            <v xml:space="preserve">/  </v>
          </cell>
          <cell r="H40">
            <v>0</v>
          </cell>
        </row>
        <row r="41">
          <cell r="G41" t="str">
            <v xml:space="preserve">/  </v>
          </cell>
          <cell r="H41">
            <v>0</v>
          </cell>
        </row>
        <row r="42">
          <cell r="G42" t="str">
            <v xml:space="preserve">/  </v>
          </cell>
          <cell r="H42">
            <v>0</v>
          </cell>
        </row>
        <row r="43">
          <cell r="G43">
            <v>0</v>
          </cell>
          <cell r="H43">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ed"/>
      <sheetName val="Sheet1 (2)"/>
      <sheetName val="Sheet1"/>
      <sheetName val="SCHEDULE VI"/>
      <sheetName val="SEPT 08"/>
    </sheetNames>
    <sheetDataSet>
      <sheetData sheetId="0" refreshError="1"/>
      <sheetData sheetId="1"/>
      <sheetData sheetId="2" refreshError="1"/>
      <sheetData sheetId="3" refreshError="1"/>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heetName val="Working"/>
      <sheetName val="Sheet1"/>
      <sheetName val="Pivot"/>
      <sheetName val="Consumption"/>
      <sheetName val="Qtr-IV"/>
    </sheetNames>
    <sheetDataSet>
      <sheetData sheetId="0"/>
      <sheetData sheetId="1"/>
      <sheetData sheetId="2"/>
      <sheetData sheetId="3"/>
      <sheetData sheetId="4"/>
      <sheetData sheetId="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uation"/>
      <sheetName val="Financials"/>
      <sheetName val="Anupam"/>
      <sheetName val="comp rev exp"/>
      <sheetName val="AnuPriyaCapex"/>
      <sheetName val="Excise on RM"/>
      <sheetName val="HOUSE RENT DEPO."/>
      <sheetName val="Validations"/>
      <sheetName val="comp_rev_exp"/>
      <sheetName val="Excise_on_RM"/>
      <sheetName val="HOUSE_RENT_DEPO_"/>
      <sheetName val="debt schedule"/>
      <sheetName val="comp_rev_exp1"/>
      <sheetName val="Excise_on_RM1"/>
      <sheetName val="HOUSE_RENT_DEPO_1"/>
      <sheetName val="DATA"/>
      <sheetName val="ecc_res"/>
      <sheetName val="Sheet1"/>
      <sheetName val="V.master Oct10"/>
      <sheetName val="Assumptions"/>
      <sheetName val="P&amp;LG"/>
      <sheetName val="Intaccrual"/>
      <sheetName val="SBU"/>
      <sheetName val="Department"/>
      <sheetName val="Designation"/>
      <sheetName val="Group"/>
      <sheetName val="WorkState"/>
      <sheetName val="BS"/>
      <sheetName val="Ind AS Actng Entries"/>
      <sheetName val="Trial Balance"/>
      <sheetName val="para"/>
      <sheetName val="CUTTING"/>
      <sheetName val="SEWING"/>
      <sheetName val="Glnk"/>
      <sheetName val="BL-Bud"/>
      <sheetName val="BS-Bud"/>
      <sheetName val="GW-Bud"/>
      <sheetName val="Head Office-Bud"/>
      <sheetName val="MS-Bud"/>
      <sheetName val="PL-Bud"/>
      <sheetName val="TB-Bud"/>
      <sheetName val="TM-Bud"/>
      <sheetName val="YS-Bud"/>
      <sheetName val="tdint"/>
      <sheetName val="P&amp;LSC"/>
      <sheetName val="Ageing Due Date"/>
      <sheetName val="pvr-value"/>
      <sheetName val="Dep"/>
      <sheetName val="Rate analysis"/>
      <sheetName val="Input"/>
      <sheetName val="HOUSE RENT DEPO_"/>
      <sheetName val="Annexure 3A"/>
      <sheetName val="debt_schedule"/>
      <sheetName val="Fill this out first..."/>
      <sheetName val="Loan Data"/>
      <sheetName val="June 03"/>
      <sheetName val="icici"/>
      <sheetName val="Web Rate Query"/>
      <sheetName val="comp_rev_exp2"/>
      <sheetName val="Excise_on_RM2"/>
      <sheetName val="HOUSE_RENT_DEPO_2"/>
      <sheetName val="comp_rev_exp3"/>
      <sheetName val="Excise_on_RM3"/>
      <sheetName val="HOUSE_RENT_DEPO_3"/>
      <sheetName val="debt_schedule1"/>
      <sheetName val="comp_rev_exp4"/>
      <sheetName val="Excise_on_RM4"/>
      <sheetName val="HOUSE_RENT_DEPO_4"/>
      <sheetName val="debt_schedule2"/>
      <sheetName val="comp_rev_exp5"/>
      <sheetName val="Excise_on_RM5"/>
      <sheetName val="HOUSE_RENT_DEPO_5"/>
      <sheetName val="debt_schedule3"/>
      <sheetName val="comp_rev_exp6"/>
      <sheetName val="Excise_on_RM6"/>
      <sheetName val="HOUSE_RENT_DEPO_6"/>
      <sheetName val="debt_schedule4"/>
      <sheetName val="Textile P&amp;L"/>
      <sheetName val="Do not delete"/>
      <sheetName val="Ledger"/>
      <sheetName val="para4"/>
      <sheetName val="TBAL Dahej"/>
      <sheetName val="TBAL DAP"/>
      <sheetName val="Net Trial"/>
      <sheetName val="ACCOUNTS"/>
      <sheetName val="A-General"/>
      <sheetName val="Model"/>
      <sheetName val="RECO"/>
      <sheetName val="July"/>
      <sheetName val="Blore"/>
      <sheetName val="Chnai"/>
      <sheetName val="Pun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CODE"/>
      <sheetName val="CUTTING"/>
      <sheetName val="SEWING"/>
      <sheetName val="PACKING"/>
      <sheetName val="Sheet1"/>
      <sheetName val="FAB_CODE"/>
      <sheetName val="FAB_CODE1"/>
      <sheetName val="sortpart"/>
      <sheetName val="CostDetails"/>
      <sheetName val="D&amp;C_Pkg"/>
      <sheetName val="Yarn Rates"/>
      <sheetName val="BL-Bud"/>
      <sheetName val="BS-Bud"/>
      <sheetName val="GW-Bud"/>
      <sheetName val="Head Office-Bud"/>
      <sheetName val="MS-Bud"/>
      <sheetName val="PL-Bud"/>
      <sheetName val="TB-Bud"/>
      <sheetName val="TM-Bud"/>
      <sheetName val="YS-Bud"/>
    </sheetNames>
    <sheetDataSet>
      <sheetData sheetId="0"/>
      <sheetData sheetId="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city"/>
      <sheetName val="Production Planning"/>
      <sheetName val="Grey Prodn"/>
      <sheetName val="Sales Budget"/>
      <sheetName val="Sales"/>
      <sheetName val="Inputs"/>
      <sheetName val="Sales inputs "/>
      <sheetName val="PP summary"/>
      <sheetName val="Working"/>
      <sheetName val="debt schedule"/>
      <sheetName val="Excise on RM"/>
    </sheetNames>
    <sheetDataSet>
      <sheetData sheetId="0"/>
      <sheetData sheetId="1"/>
      <sheetData sheetId="2" refreshError="1">
        <row r="4">
          <cell r="AB4" t="str">
            <v>Key3</v>
          </cell>
          <cell r="AC4" t="str">
            <v>Grey Prodn</v>
          </cell>
        </row>
        <row r="5">
          <cell r="AB5" t="str">
            <v>ExportTargetWaverlyUSABath76x142L</v>
          </cell>
          <cell r="AC5">
            <v>240916.36545626423</v>
          </cell>
        </row>
        <row r="6">
          <cell r="AB6" t="str">
            <v>ExportTargetWaverlyUSABath76x142M</v>
          </cell>
          <cell r="AC6">
            <v>96366.546182505685</v>
          </cell>
        </row>
        <row r="7">
          <cell r="AB7" t="str">
            <v>ExportTargetWaverlyUSABath76x142D</v>
          </cell>
          <cell r="AC7">
            <v>144549.81927375856</v>
          </cell>
        </row>
        <row r="8">
          <cell r="AB8" t="str">
            <v>ExportTargetWaverlyUSAHand41x76L</v>
          </cell>
          <cell r="AC8">
            <v>21257.326363788019</v>
          </cell>
        </row>
        <row r="9">
          <cell r="AB9" t="str">
            <v>ExportTargetWaverlyUSAHand41x76M</v>
          </cell>
          <cell r="AC9">
            <v>8502.930545515208</v>
          </cell>
        </row>
        <row r="10">
          <cell r="AB10" t="str">
            <v>ExportTargetWaverlyUSAHand41x76D</v>
          </cell>
          <cell r="AC10">
            <v>12754.395818272813</v>
          </cell>
        </row>
        <row r="11">
          <cell r="AB11" t="str">
            <v>ExportTargetWaverlyUSAWash30x30L</v>
          </cell>
          <cell r="AC11">
            <v>21257.326363788019</v>
          </cell>
        </row>
        <row r="12">
          <cell r="AB12" t="str">
            <v>ExportTargetWaverlyUSAWash30x30M</v>
          </cell>
          <cell r="AC12">
            <v>8502.930545515208</v>
          </cell>
        </row>
        <row r="13">
          <cell r="AB13" t="str">
            <v>ExportTargetWaverlyUSAWash30x30D</v>
          </cell>
          <cell r="AC13">
            <v>12754.395818272813</v>
          </cell>
        </row>
        <row r="14">
          <cell r="AB14" t="str">
            <v>ExportWalmartHome TrendsUSABath76x132L</v>
          </cell>
          <cell r="AC14">
            <v>307050.2696991603</v>
          </cell>
        </row>
        <row r="15">
          <cell r="AB15" t="str">
            <v>ExportWalmartHome TrendsUSABath76x132M</v>
          </cell>
          <cell r="AC15">
            <v>122820.10787966412</v>
          </cell>
        </row>
        <row r="16">
          <cell r="AB16" t="str">
            <v>ExportWalmartHome TrendsUSABath76x132D</v>
          </cell>
          <cell r="AC16">
            <v>184230.16181949619</v>
          </cell>
        </row>
        <row r="17">
          <cell r="AB17" t="str">
            <v>ExportWalmartHome TrendsUSAHand41x69L</v>
          </cell>
          <cell r="AC17">
            <v>27092.670855808265</v>
          </cell>
        </row>
        <row r="18">
          <cell r="AB18" t="str">
            <v>ExportWalmartHome TrendsUSAHand41x69M</v>
          </cell>
          <cell r="AC18">
            <v>10837.068342323306</v>
          </cell>
        </row>
        <row r="19">
          <cell r="AB19" t="str">
            <v>ExportWalmartHome TrendsUSAHand41x69D</v>
          </cell>
          <cell r="AC19">
            <v>16255.602513484959</v>
          </cell>
        </row>
        <row r="20">
          <cell r="AB20" t="str">
            <v>ExportWalmartHome TrendsUSAWash33x33L</v>
          </cell>
          <cell r="AC20">
            <v>27092.670855808265</v>
          </cell>
        </row>
        <row r="21">
          <cell r="AB21" t="str">
            <v>ExportWalmartHome TrendsUSAWash33x33M</v>
          </cell>
          <cell r="AC21">
            <v>10837.068342323306</v>
          </cell>
        </row>
        <row r="22">
          <cell r="AB22" t="str">
            <v>ExportWalmartHome TrendsUSAWash33x33D</v>
          </cell>
          <cell r="AC22">
            <v>16255.602513484959</v>
          </cell>
        </row>
        <row r="23">
          <cell r="AB23" t="str">
            <v>ExportMill WorkingCannon LandmarkUSABath76x137L</v>
          </cell>
          <cell r="AC23">
            <v>30010.343101818384</v>
          </cell>
        </row>
        <row r="24">
          <cell r="AB24" t="str">
            <v>ExportMill WorkingCannon LandmarkUSABath76x137M</v>
          </cell>
          <cell r="AC24">
            <v>12004.137240727354</v>
          </cell>
        </row>
        <row r="25">
          <cell r="AB25" t="str">
            <v>ExportMill WorkingCannon LandmarkUSABath76x137D</v>
          </cell>
          <cell r="AC25">
            <v>18006.205861091028</v>
          </cell>
        </row>
        <row r="26">
          <cell r="AB26" t="str">
            <v>ExportMill WorkingCannon LandmarkUSAHand41x76L</v>
          </cell>
          <cell r="AC26">
            <v>1667.2412834343547</v>
          </cell>
        </row>
        <row r="27">
          <cell r="AB27" t="str">
            <v>ExportMill WorkingCannon LandmarkUSAHand41x76M</v>
          </cell>
          <cell r="AC27">
            <v>666.89651337374175</v>
          </cell>
        </row>
        <row r="28">
          <cell r="AB28" t="str">
            <v>ExportMill WorkingCannon LandmarkUSAHand41x76D</v>
          </cell>
          <cell r="AC28">
            <v>1000.344770060613</v>
          </cell>
        </row>
        <row r="29">
          <cell r="AB29" t="str">
            <v>ExportMill WorkingCannon LandmarkUSAWash33x33L</v>
          </cell>
          <cell r="AC29">
            <v>1667.2412834343547</v>
          </cell>
        </row>
        <row r="30">
          <cell r="AB30" t="str">
            <v>ExportMill WorkingCannon LandmarkUSAWash33x33M</v>
          </cell>
          <cell r="AC30">
            <v>666.89651337374175</v>
          </cell>
        </row>
        <row r="31">
          <cell r="AB31" t="str">
            <v>ExportMill WorkingCannon LandmarkUSAWash33x33D</v>
          </cell>
          <cell r="AC31">
            <v>1000.344770060613</v>
          </cell>
        </row>
        <row r="32">
          <cell r="AB32" t="str">
            <v>ExportMill WorkingCannon MilestoneUSABath76x137L</v>
          </cell>
          <cell r="AC32">
            <v>30010.343101818384</v>
          </cell>
        </row>
        <row r="33">
          <cell r="AB33" t="str">
            <v>ExportMill WorkingCannon MilestoneUSABath76x137M</v>
          </cell>
          <cell r="AC33">
            <v>12004.137240727354</v>
          </cell>
        </row>
        <row r="34">
          <cell r="AB34" t="str">
            <v>ExportMill WorkingCannon MilestoneUSABath76x137D</v>
          </cell>
          <cell r="AC34">
            <v>18006.205861091028</v>
          </cell>
        </row>
        <row r="35">
          <cell r="AB35" t="str">
            <v>ExportMill WorkingCannon MilestoneUSAHand41x76L</v>
          </cell>
          <cell r="AC35">
            <v>1667.2412834343547</v>
          </cell>
        </row>
        <row r="36">
          <cell r="AB36" t="str">
            <v>ExportMill WorkingCannon MilestoneUSAHand41x76M</v>
          </cell>
          <cell r="AC36">
            <v>666.89651337374175</v>
          </cell>
        </row>
        <row r="37">
          <cell r="AB37" t="str">
            <v>ExportMill WorkingCannon MilestoneUSAHand41x76D</v>
          </cell>
          <cell r="AC37">
            <v>1000.344770060613</v>
          </cell>
        </row>
        <row r="38">
          <cell r="AB38" t="str">
            <v>ExportMill WorkingCannon MilestoneUSAWash33x33L</v>
          </cell>
          <cell r="AC38">
            <v>1667.2412834343547</v>
          </cell>
        </row>
        <row r="39">
          <cell r="AB39" t="str">
            <v>ExportMill WorkingCannon MilestoneUSAWash33x33M</v>
          </cell>
          <cell r="AC39">
            <v>666.89651337374175</v>
          </cell>
        </row>
        <row r="40">
          <cell r="AB40" t="str">
            <v>ExportMill WorkingCannon MilestoneUSAWash33x33D</v>
          </cell>
          <cell r="AC40">
            <v>1000.344770060613</v>
          </cell>
        </row>
        <row r="41">
          <cell r="AB41" t="str">
            <v>ExportWelspun USAEsplamaUSABath76x137L</v>
          </cell>
          <cell r="AC41">
            <v>0</v>
          </cell>
        </row>
        <row r="42">
          <cell r="AB42" t="str">
            <v>ExportWelspun USAEsplamaUSABath76x137M</v>
          </cell>
          <cell r="AC42">
            <v>0</v>
          </cell>
        </row>
        <row r="43">
          <cell r="AB43" t="str">
            <v>ExportWelspun USAEsplamaUSABath76x137D</v>
          </cell>
          <cell r="AC43">
            <v>0</v>
          </cell>
        </row>
        <row r="44">
          <cell r="AB44" t="str">
            <v>ExportWelspun USAEsplamaUSAHand41x71L</v>
          </cell>
          <cell r="AC44">
            <v>0</v>
          </cell>
        </row>
        <row r="45">
          <cell r="AB45" t="str">
            <v>ExportWelspun USAEsplamaUSAHand41x71M</v>
          </cell>
          <cell r="AC45">
            <v>0</v>
          </cell>
        </row>
        <row r="46">
          <cell r="AB46" t="str">
            <v>ExportWelspun USAEsplamaUSAHand41x71D</v>
          </cell>
          <cell r="AC46">
            <v>0</v>
          </cell>
        </row>
        <row r="47">
          <cell r="AB47" t="str">
            <v>ExportWelspun USAEsplamaUSAWash33x33L</v>
          </cell>
          <cell r="AC47">
            <v>0</v>
          </cell>
        </row>
        <row r="48">
          <cell r="AB48" t="str">
            <v>ExportWelspun USAEsplamaUSAWash33x33M</v>
          </cell>
          <cell r="AC48">
            <v>0</v>
          </cell>
        </row>
        <row r="49">
          <cell r="AB49" t="str">
            <v>ExportWelspun USAEsplamaUSAWash33x33D</v>
          </cell>
          <cell r="AC49">
            <v>0</v>
          </cell>
        </row>
        <row r="50">
          <cell r="AB50" t="str">
            <v>ExportLNTManorUSABath76x147L</v>
          </cell>
          <cell r="AC50">
            <v>0</v>
          </cell>
        </row>
        <row r="51">
          <cell r="AB51" t="str">
            <v>ExportLNTManorUSABath76x147M</v>
          </cell>
          <cell r="AC51">
            <v>0</v>
          </cell>
        </row>
        <row r="52">
          <cell r="AB52" t="str">
            <v>ExportLNTManorUSABath76x147D</v>
          </cell>
          <cell r="AC52">
            <v>0</v>
          </cell>
        </row>
        <row r="53">
          <cell r="AB53" t="str">
            <v>ExportLNTManorUSAHand51x76L</v>
          </cell>
          <cell r="AC53">
            <v>0</v>
          </cell>
        </row>
        <row r="54">
          <cell r="AB54" t="str">
            <v>ExportLNTManorUSAHand51x76M</v>
          </cell>
          <cell r="AC54">
            <v>0</v>
          </cell>
        </row>
        <row r="55">
          <cell r="AB55" t="str">
            <v>ExportLNTManorUSAHand51x76D</v>
          </cell>
          <cell r="AC55">
            <v>0</v>
          </cell>
        </row>
        <row r="56">
          <cell r="AB56" t="str">
            <v>ExportLNTManorUSAWash33x33L</v>
          </cell>
          <cell r="AC56">
            <v>0</v>
          </cell>
        </row>
        <row r="57">
          <cell r="AB57" t="str">
            <v>ExportLNTManorUSAWash33x33M</v>
          </cell>
          <cell r="AC57">
            <v>0</v>
          </cell>
        </row>
        <row r="58">
          <cell r="AB58" t="str">
            <v>ExportLNTManorUSAWash33x33D</v>
          </cell>
          <cell r="AC58">
            <v>0</v>
          </cell>
        </row>
        <row r="59">
          <cell r="AB59" t="str">
            <v>ExportLNTNewUSABath76x147L</v>
          </cell>
          <cell r="AC59">
            <v>0</v>
          </cell>
        </row>
        <row r="60">
          <cell r="AB60" t="str">
            <v>ExportLNTNewUSABath76x147M</v>
          </cell>
          <cell r="AC60">
            <v>0</v>
          </cell>
        </row>
        <row r="61">
          <cell r="AB61" t="str">
            <v>ExportLNTNewUSABath76x147D</v>
          </cell>
          <cell r="AC61">
            <v>0</v>
          </cell>
        </row>
        <row r="62">
          <cell r="AB62" t="str">
            <v>ExportLNTNewUSAHand51x76L</v>
          </cell>
          <cell r="AC62">
            <v>0</v>
          </cell>
        </row>
        <row r="63">
          <cell r="AB63" t="str">
            <v>ExportLNTNewUSAHand51x76M</v>
          </cell>
          <cell r="AC63">
            <v>0</v>
          </cell>
        </row>
        <row r="64">
          <cell r="AB64" t="str">
            <v>ExportLNTNewUSAHand51x76D</v>
          </cell>
          <cell r="AC64">
            <v>0</v>
          </cell>
        </row>
        <row r="65">
          <cell r="AB65" t="str">
            <v>ExportLNTNewUSAWash33x33L</v>
          </cell>
          <cell r="AC65">
            <v>0</v>
          </cell>
        </row>
        <row r="66">
          <cell r="AB66" t="str">
            <v>ExportLNTNewUSAWash33x33M</v>
          </cell>
          <cell r="AC66">
            <v>0</v>
          </cell>
        </row>
        <row r="67">
          <cell r="AB67" t="str">
            <v>ExportLNTNewUSAWash33x33D</v>
          </cell>
          <cell r="AC67">
            <v>0</v>
          </cell>
        </row>
        <row r="68">
          <cell r="AB68" t="str">
            <v>ExportKohlsBig One StripeUSABath76x137L</v>
          </cell>
          <cell r="AC68">
            <v>0</v>
          </cell>
        </row>
        <row r="69">
          <cell r="AB69" t="str">
            <v>ExportKohlsBig One StripeUSABath76x137M</v>
          </cell>
          <cell r="AC69">
            <v>0</v>
          </cell>
        </row>
        <row r="70">
          <cell r="AB70" t="str">
            <v>ExportKohlsBig One StripeUSABath76x137D</v>
          </cell>
          <cell r="AC70">
            <v>0</v>
          </cell>
        </row>
        <row r="71">
          <cell r="AB71" t="str">
            <v>ExportKohlsBig One StripeUSAHand41x71L</v>
          </cell>
          <cell r="AC71">
            <v>0</v>
          </cell>
        </row>
        <row r="72">
          <cell r="AB72" t="str">
            <v>ExportKohlsBig One StripeUSAHand41x71M</v>
          </cell>
          <cell r="AC72">
            <v>0</v>
          </cell>
        </row>
        <row r="73">
          <cell r="AB73" t="str">
            <v>ExportKohlsBig One StripeUSAHand41x71D</v>
          </cell>
          <cell r="AC73">
            <v>0</v>
          </cell>
        </row>
        <row r="74">
          <cell r="AB74" t="str">
            <v>ExportKohlsBig One StripeUSAWash30x30L</v>
          </cell>
          <cell r="AC74">
            <v>0</v>
          </cell>
        </row>
        <row r="75">
          <cell r="AB75" t="str">
            <v>ExportKohlsBig One StripeUSAWash30x30M</v>
          </cell>
          <cell r="AC75">
            <v>0</v>
          </cell>
        </row>
        <row r="76">
          <cell r="AB76" t="str">
            <v>ExportKohlsBig One StripeUSAWash30x30D</v>
          </cell>
          <cell r="AC76">
            <v>0</v>
          </cell>
        </row>
        <row r="77">
          <cell r="AB77" t="str">
            <v>ExportKohlsBig One SolidUSABath76x137L</v>
          </cell>
          <cell r="AC77">
            <v>311774.12000222428</v>
          </cell>
        </row>
        <row r="78">
          <cell r="AB78" t="str">
            <v>ExportKohlsBig One SolidUSABath76x137M</v>
          </cell>
          <cell r="AC78">
            <v>124709.64800088973</v>
          </cell>
        </row>
        <row r="79">
          <cell r="AB79" t="str">
            <v>ExportKohlsBig One SolidUSABath76x137D</v>
          </cell>
          <cell r="AC79">
            <v>187064.47200133454</v>
          </cell>
        </row>
        <row r="80">
          <cell r="AB80" t="str">
            <v>ExportKohlsBig One SolidUSAHand41x71L</v>
          </cell>
          <cell r="AC80">
            <v>27509.481176666854</v>
          </cell>
        </row>
        <row r="81">
          <cell r="AB81" t="str">
            <v>ExportKohlsBig One SolidUSAHand41x71M</v>
          </cell>
          <cell r="AC81">
            <v>11003.79247066674</v>
          </cell>
        </row>
        <row r="82">
          <cell r="AB82" t="str">
            <v>ExportKohlsBig One SolidUSAHand41x71D</v>
          </cell>
          <cell r="AC82">
            <v>16505.688706000114</v>
          </cell>
        </row>
        <row r="83">
          <cell r="AB83" t="str">
            <v>ExportKohlsBig One SolidUSAWash30x30L</v>
          </cell>
          <cell r="AC83">
            <v>27509.481176666854</v>
          </cell>
        </row>
        <row r="84">
          <cell r="AB84" t="str">
            <v>ExportKohlsBig One SolidUSAWash30x30M</v>
          </cell>
          <cell r="AC84">
            <v>11003.79247066674</v>
          </cell>
        </row>
        <row r="85">
          <cell r="AB85" t="str">
            <v>ExportKohlsBig One SolidUSAWash30x30D</v>
          </cell>
          <cell r="AC85">
            <v>16505.688706000114</v>
          </cell>
        </row>
        <row r="86">
          <cell r="AB86" t="str">
            <v>ExportIst New Buyer00Bath76x137L</v>
          </cell>
          <cell r="AC86">
            <v>0</v>
          </cell>
        </row>
        <row r="87">
          <cell r="AB87" t="str">
            <v>ExportIst New Buyer00Bath76x137M</v>
          </cell>
          <cell r="AC87">
            <v>0</v>
          </cell>
        </row>
        <row r="88">
          <cell r="AB88" t="str">
            <v>ExportIst New Buyer00Bath76x137D</v>
          </cell>
          <cell r="AC88">
            <v>0</v>
          </cell>
        </row>
        <row r="89">
          <cell r="AB89" t="str">
            <v>ExportIst New Buyer00Hand41x76L</v>
          </cell>
          <cell r="AC89">
            <v>0</v>
          </cell>
        </row>
        <row r="90">
          <cell r="AB90" t="str">
            <v>ExportIst New Buyer00Hand41x76M</v>
          </cell>
          <cell r="AC90">
            <v>0</v>
          </cell>
        </row>
        <row r="91">
          <cell r="AB91" t="str">
            <v>ExportIst New Buyer00Hand41x76D</v>
          </cell>
          <cell r="AC91">
            <v>0</v>
          </cell>
        </row>
        <row r="92">
          <cell r="AB92" t="str">
            <v>ExportIst New Buyer00Wash33x33L</v>
          </cell>
          <cell r="AC92">
            <v>0</v>
          </cell>
        </row>
        <row r="93">
          <cell r="AB93" t="str">
            <v>ExportIst New Buyer00Wash33x33M</v>
          </cell>
          <cell r="AC93">
            <v>0</v>
          </cell>
        </row>
        <row r="94">
          <cell r="AB94" t="str">
            <v>ExportIst New Buyer00Wash33x33D</v>
          </cell>
          <cell r="AC94">
            <v>0</v>
          </cell>
        </row>
        <row r="95">
          <cell r="AB95" t="str">
            <v>Export2nd New Buyer00Bath76x137L</v>
          </cell>
          <cell r="AC95">
            <v>0</v>
          </cell>
        </row>
        <row r="96">
          <cell r="AB96" t="str">
            <v>Export2nd New Buyer00Bath76x137M</v>
          </cell>
          <cell r="AC96">
            <v>0</v>
          </cell>
        </row>
        <row r="97">
          <cell r="AB97" t="str">
            <v>Export2nd New Buyer00Bath76x137D</v>
          </cell>
          <cell r="AC97">
            <v>0</v>
          </cell>
        </row>
        <row r="98">
          <cell r="AB98" t="str">
            <v>Export2nd New Buyer00Hand41x76L</v>
          </cell>
          <cell r="AC98">
            <v>0</v>
          </cell>
        </row>
        <row r="99">
          <cell r="AB99" t="str">
            <v>Export2nd New Buyer00Hand41x76M</v>
          </cell>
          <cell r="AC99">
            <v>0</v>
          </cell>
        </row>
        <row r="100">
          <cell r="AB100" t="str">
            <v>Export2nd New Buyer00Hand41x76D</v>
          </cell>
          <cell r="AC100">
            <v>0</v>
          </cell>
        </row>
        <row r="101">
          <cell r="AB101" t="str">
            <v>Export2nd New Buyer00Wash33x33L</v>
          </cell>
          <cell r="AC101">
            <v>0</v>
          </cell>
        </row>
        <row r="102">
          <cell r="AB102" t="str">
            <v>Export2nd New Buyer00Wash33x33M</v>
          </cell>
          <cell r="AC102">
            <v>0</v>
          </cell>
        </row>
        <row r="103">
          <cell r="AB103" t="str">
            <v>Export2nd New Buyer00Wash33x33D</v>
          </cell>
          <cell r="AC103">
            <v>0</v>
          </cell>
        </row>
        <row r="104">
          <cell r="AB104" t="str">
            <v>Export3rd New Buyer00Bath0x0L</v>
          </cell>
          <cell r="AC104">
            <v>0</v>
          </cell>
        </row>
        <row r="105">
          <cell r="AB105" t="str">
            <v>Export3rd New Buyer00Bath0x0M</v>
          </cell>
          <cell r="AC105">
            <v>0</v>
          </cell>
        </row>
        <row r="106">
          <cell r="AB106" t="str">
            <v>Export3rd New Buyer00Bath0x0D</v>
          </cell>
          <cell r="AC106">
            <v>0</v>
          </cell>
        </row>
        <row r="107">
          <cell r="AB107">
            <v>0</v>
          </cell>
          <cell r="AC107">
            <v>0</v>
          </cell>
        </row>
        <row r="108">
          <cell r="AB108">
            <v>0</v>
          </cell>
          <cell r="AC108">
            <v>0</v>
          </cell>
        </row>
        <row r="109">
          <cell r="AB109" t="str">
            <v>DomesticWIL-VapiKohls Sonama0Bath76x147L</v>
          </cell>
          <cell r="AC109">
            <v>327288.83248730964</v>
          </cell>
        </row>
        <row r="110">
          <cell r="AB110" t="str">
            <v>DomesticWIL-VapiKohls Sonama0Hand41x76M</v>
          </cell>
          <cell r="AC110">
            <v>38504.568527918782</v>
          </cell>
        </row>
        <row r="111">
          <cell r="AB111" t="str">
            <v>DomesticWIL-VapiKohls Sonama0Wash33x33D</v>
          </cell>
          <cell r="AC111">
            <v>19252.284263959391</v>
          </cell>
        </row>
        <row r="112">
          <cell r="AB112" t="str">
            <v>DomesticZucchiBathrobe0Bathrobe285x100M</v>
          </cell>
          <cell r="AC112">
            <v>162487.30964467005</v>
          </cell>
        </row>
        <row r="113">
          <cell r="AB113" t="str">
            <v>DomesticWIL-VapiTarget Solid0Bath76x147M</v>
          </cell>
          <cell r="AC113">
            <v>108034.36548223351</v>
          </cell>
        </row>
        <row r="114">
          <cell r="AB114" t="str">
            <v>0000000</v>
          </cell>
          <cell r="AC114">
            <v>0</v>
          </cell>
        </row>
        <row r="115">
          <cell r="AB115" t="str">
            <v>0000000</v>
          </cell>
          <cell r="AC115">
            <v>0</v>
          </cell>
        </row>
        <row r="116">
          <cell r="AB116" t="str">
            <v>0000000</v>
          </cell>
          <cell r="AC116">
            <v>0</v>
          </cell>
        </row>
        <row r="117">
          <cell r="AB117" t="str">
            <v>0000000</v>
          </cell>
          <cell r="AC117">
            <v>0</v>
          </cell>
        </row>
        <row r="118">
          <cell r="AB118" t="str">
            <v>0000000</v>
          </cell>
          <cell r="AC118">
            <v>0</v>
          </cell>
        </row>
        <row r="119">
          <cell r="AB119">
            <v>0</v>
          </cell>
          <cell r="AC119">
            <v>2811866.0869811918</v>
          </cell>
        </row>
        <row r="120">
          <cell r="AB120">
            <v>0</v>
          </cell>
          <cell r="AC120">
            <v>0</v>
          </cell>
        </row>
        <row r="121">
          <cell r="AB121" t="str">
            <v>Key -3</v>
          </cell>
          <cell r="AC121" t="str">
            <v>Total Grey Prodn</v>
          </cell>
        </row>
        <row r="122">
          <cell r="AB122" t="str">
            <v>ExportTargetWaverlyUSABath76x142L</v>
          </cell>
          <cell r="AC122">
            <v>240916.36545626423</v>
          </cell>
        </row>
        <row r="123">
          <cell r="AB123" t="str">
            <v>ExportTargetWaverlyUSABath76x142M</v>
          </cell>
          <cell r="AC123">
            <v>96366.546182505685</v>
          </cell>
        </row>
        <row r="124">
          <cell r="AB124" t="str">
            <v>ExportTargetWaverlyUSABath76x142D</v>
          </cell>
          <cell r="AC124">
            <v>144549.81927375856</v>
          </cell>
        </row>
        <row r="125">
          <cell r="AB125" t="str">
            <v>ExportTargetWaverlyUSAHand41x76L</v>
          </cell>
          <cell r="AC125">
            <v>21257.326363788019</v>
          </cell>
        </row>
        <row r="126">
          <cell r="AB126" t="str">
            <v>ExportTargetWaverlyUSAHand41x76M</v>
          </cell>
          <cell r="AC126">
            <v>8502.930545515208</v>
          </cell>
        </row>
        <row r="127">
          <cell r="AB127" t="str">
            <v>ExportTargetWaverlyUSAHand41x76D</v>
          </cell>
          <cell r="AC127">
            <v>12754.395818272813</v>
          </cell>
        </row>
        <row r="128">
          <cell r="AB128" t="str">
            <v>ExportTargetWaverlyUSAWash30x30L</v>
          </cell>
          <cell r="AC128">
            <v>21257.326363788019</v>
          </cell>
        </row>
        <row r="129">
          <cell r="AB129" t="str">
            <v>ExportTargetWaverlyUSAWash30x30M</v>
          </cell>
          <cell r="AC129">
            <v>8502.930545515208</v>
          </cell>
        </row>
        <row r="130">
          <cell r="AB130" t="str">
            <v>ExportTargetWaverlyUSAWash30x30D</v>
          </cell>
          <cell r="AC130">
            <v>12754.395818272813</v>
          </cell>
        </row>
        <row r="131">
          <cell r="AB131" t="str">
            <v>ExportWalmartHome TrendsUSABath76x132L</v>
          </cell>
          <cell r="AC131">
            <v>354288.77272980037</v>
          </cell>
        </row>
        <row r="132">
          <cell r="AB132" t="str">
            <v>ExportWalmartHome TrendsUSABath76x132M</v>
          </cell>
          <cell r="AC132">
            <v>141715.50909192013</v>
          </cell>
        </row>
        <row r="133">
          <cell r="AB133" t="str">
            <v>ExportWalmartHome TrendsUSABath76x132D</v>
          </cell>
          <cell r="AC133">
            <v>212573.26363788021</v>
          </cell>
        </row>
        <row r="134">
          <cell r="AB134" t="str">
            <v>ExportWalmartHome TrendsUSAHand41x69L</v>
          </cell>
          <cell r="AC134">
            <v>31260.774064394151</v>
          </cell>
        </row>
        <row r="135">
          <cell r="AB135" t="str">
            <v>ExportWalmartHome TrendsUSAHand41x69M</v>
          </cell>
          <cell r="AC135">
            <v>12504.30962575766</v>
          </cell>
        </row>
        <row r="136">
          <cell r="AB136" t="str">
            <v>ExportWalmartHome TrendsUSAHand41x69D</v>
          </cell>
          <cell r="AC136">
            <v>18756.464438636489</v>
          </cell>
        </row>
        <row r="137">
          <cell r="AB137" t="str">
            <v>ExportWalmartHome TrendsUSAWash33x33L</v>
          </cell>
          <cell r="AC137">
            <v>31260.774064394151</v>
          </cell>
        </row>
        <row r="138">
          <cell r="AB138" t="str">
            <v>ExportWalmartHome TrendsUSAWash33x33M</v>
          </cell>
          <cell r="AC138">
            <v>12504.30962575766</v>
          </cell>
        </row>
        <row r="139">
          <cell r="AB139" t="str">
            <v>ExportWalmartHome TrendsUSAWash33x33D</v>
          </cell>
          <cell r="AC139">
            <v>18756.464438636489</v>
          </cell>
        </row>
        <row r="140">
          <cell r="AB140" t="str">
            <v>ExportMill WorkingCannon LandmarkUSABath76x137L</v>
          </cell>
          <cell r="AC140">
            <v>30010.343101818384</v>
          </cell>
        </row>
        <row r="141">
          <cell r="AB141" t="str">
            <v>ExportMill WorkingCannon LandmarkUSABath76x137M</v>
          </cell>
          <cell r="AC141">
            <v>12004.137240727354</v>
          </cell>
        </row>
        <row r="142">
          <cell r="AB142" t="str">
            <v>ExportMill WorkingCannon LandmarkUSABath76x137D</v>
          </cell>
          <cell r="AC142">
            <v>18006.205861091028</v>
          </cell>
        </row>
        <row r="143">
          <cell r="AB143" t="str">
            <v>ExportMill WorkingCannon LandmarkUSAHand41x76L</v>
          </cell>
          <cell r="AC143">
            <v>1667.2412834343547</v>
          </cell>
        </row>
        <row r="144">
          <cell r="AB144" t="str">
            <v>ExportMill WorkingCannon LandmarkUSAHand41x76M</v>
          </cell>
          <cell r="AC144">
            <v>666.89651337374175</v>
          </cell>
        </row>
        <row r="145">
          <cell r="AB145" t="str">
            <v>ExportMill WorkingCannon LandmarkUSAHand41x76D</v>
          </cell>
          <cell r="AC145">
            <v>1000.344770060613</v>
          </cell>
        </row>
        <row r="146">
          <cell r="AB146" t="str">
            <v>ExportMill WorkingCannon LandmarkUSAWash33x33L</v>
          </cell>
          <cell r="AC146">
            <v>1667.2412834343547</v>
          </cell>
        </row>
        <row r="147">
          <cell r="AB147" t="str">
            <v>ExportMill WorkingCannon LandmarkUSAWash33x33M</v>
          </cell>
          <cell r="AC147">
            <v>666.89651337374175</v>
          </cell>
        </row>
        <row r="148">
          <cell r="AB148" t="str">
            <v>ExportMill WorkingCannon LandmarkUSAWash33x33D</v>
          </cell>
          <cell r="AC148">
            <v>1000.344770060613</v>
          </cell>
        </row>
        <row r="149">
          <cell r="AB149" t="str">
            <v>ExportMill WorkingCannon MilestoneUSABath76x137L</v>
          </cell>
          <cell r="AC149">
            <v>30010.343101818384</v>
          </cell>
        </row>
        <row r="150">
          <cell r="AB150" t="str">
            <v>ExportMill WorkingCannon MilestoneUSABath76x137M</v>
          </cell>
          <cell r="AC150">
            <v>12004.137240727354</v>
          </cell>
        </row>
        <row r="151">
          <cell r="AB151" t="str">
            <v>ExportMill WorkingCannon MilestoneUSABath76x137D</v>
          </cell>
          <cell r="AC151">
            <v>18006.205861091028</v>
          </cell>
        </row>
        <row r="152">
          <cell r="AB152" t="str">
            <v>ExportMill WorkingCannon MilestoneUSAHand41x76L</v>
          </cell>
          <cell r="AC152">
            <v>1667.2412834343547</v>
          </cell>
        </row>
        <row r="153">
          <cell r="AB153" t="str">
            <v>ExportMill WorkingCannon MilestoneUSAHand41x76M</v>
          </cell>
          <cell r="AC153">
            <v>666.89651337374175</v>
          </cell>
        </row>
        <row r="154">
          <cell r="AB154" t="str">
            <v>ExportMill WorkingCannon MilestoneUSAHand41x76D</v>
          </cell>
          <cell r="AC154">
            <v>1000.344770060613</v>
          </cell>
        </row>
        <row r="155">
          <cell r="AB155" t="str">
            <v>ExportMill WorkingCannon MilestoneUSAWash33x33L</v>
          </cell>
          <cell r="AC155">
            <v>1667.2412834343547</v>
          </cell>
        </row>
        <row r="156">
          <cell r="AB156" t="str">
            <v>ExportMill WorkingCannon MilestoneUSAWash33x33M</v>
          </cell>
          <cell r="AC156">
            <v>666.89651337374175</v>
          </cell>
        </row>
        <row r="157">
          <cell r="AB157" t="str">
            <v>ExportMill WorkingCannon MilestoneUSAWash33x33D</v>
          </cell>
          <cell r="AC157">
            <v>1000.344770060613</v>
          </cell>
        </row>
        <row r="158">
          <cell r="AB158" t="str">
            <v>ExportWelspun USAEsplamaUSABath76x137L</v>
          </cell>
          <cell r="AC158">
            <v>1945.1148306734137</v>
          </cell>
        </row>
        <row r="159">
          <cell r="AB159" t="str">
            <v>ExportWelspun USAEsplamaUSABath76x137M</v>
          </cell>
          <cell r="AC159">
            <v>778.04593226936549</v>
          </cell>
        </row>
        <row r="160">
          <cell r="AB160" t="str">
            <v>ExportWelspun USAEsplamaUSABath76x137D</v>
          </cell>
          <cell r="AC160">
            <v>1167.068898404048</v>
          </cell>
        </row>
        <row r="161">
          <cell r="AB161" t="str">
            <v>ExportWelspun USAEsplamaUSAHand41x71L</v>
          </cell>
          <cell r="AC161">
            <v>555.74709447811813</v>
          </cell>
        </row>
        <row r="162">
          <cell r="AB162" t="str">
            <v>ExportWelspun USAEsplamaUSAHand41x71M</v>
          </cell>
          <cell r="AC162">
            <v>222.29883779124734</v>
          </cell>
        </row>
        <row r="163">
          <cell r="AB163" t="str">
            <v>ExportWelspun USAEsplamaUSAHand41x71D</v>
          </cell>
          <cell r="AC163">
            <v>333.44825668687088</v>
          </cell>
        </row>
        <row r="164">
          <cell r="AB164" t="str">
            <v>ExportWelspun USAEsplamaUSAWash33x33L</v>
          </cell>
          <cell r="AC164">
            <v>277.87354723905906</v>
          </cell>
        </row>
        <row r="165">
          <cell r="AB165" t="str">
            <v>ExportWelspun USAEsplamaUSAWash33x33M</v>
          </cell>
          <cell r="AC165">
            <v>111.14941889562367</v>
          </cell>
        </row>
        <row r="166">
          <cell r="AB166" t="str">
            <v>ExportWelspun USAEsplamaUSAWash33x33D</v>
          </cell>
          <cell r="AC166">
            <v>166.72412834343544</v>
          </cell>
        </row>
        <row r="167">
          <cell r="AB167" t="str">
            <v>ExportLNTManorUSABath76x147L</v>
          </cell>
          <cell r="AC167">
            <v>0</v>
          </cell>
        </row>
        <row r="168">
          <cell r="AB168" t="str">
            <v>ExportLNTManorUSABath76x147M</v>
          </cell>
          <cell r="AC168">
            <v>0</v>
          </cell>
        </row>
        <row r="169">
          <cell r="AB169" t="str">
            <v>ExportLNTManorUSABath76x147D</v>
          </cell>
          <cell r="AC169">
            <v>0</v>
          </cell>
        </row>
        <row r="170">
          <cell r="AB170" t="str">
            <v>ExportLNTManorUSAHand51x76L</v>
          </cell>
          <cell r="AC170">
            <v>0</v>
          </cell>
        </row>
        <row r="171">
          <cell r="AB171" t="str">
            <v>ExportLNTManorUSAHand51x76M</v>
          </cell>
          <cell r="AC171">
            <v>0</v>
          </cell>
        </row>
        <row r="172">
          <cell r="AB172" t="str">
            <v>ExportLNTManorUSAHand51x76D</v>
          </cell>
          <cell r="AC172">
            <v>0</v>
          </cell>
        </row>
        <row r="173">
          <cell r="AB173" t="str">
            <v>ExportLNTManorUSAWash33x33L</v>
          </cell>
          <cell r="AC173">
            <v>0</v>
          </cell>
        </row>
        <row r="174">
          <cell r="AB174" t="str">
            <v>ExportLNTManorUSAWash33x33M</v>
          </cell>
          <cell r="AC174">
            <v>0</v>
          </cell>
        </row>
        <row r="175">
          <cell r="AB175" t="str">
            <v>ExportLNTManorUSAWash33x33D</v>
          </cell>
          <cell r="AC175">
            <v>0</v>
          </cell>
        </row>
        <row r="176">
          <cell r="AB176" t="str">
            <v>ExportLNTNewUSABath76x147L</v>
          </cell>
          <cell r="AC176">
            <v>52518.100428182173</v>
          </cell>
        </row>
        <row r="177">
          <cell r="AB177" t="str">
            <v>ExportLNTNewUSABath76x147M</v>
          </cell>
          <cell r="AC177">
            <v>21007.240171272872</v>
          </cell>
        </row>
        <row r="178">
          <cell r="AB178" t="str">
            <v>ExportLNTNewUSABath76x147D</v>
          </cell>
          <cell r="AC178">
            <v>31510.860256909302</v>
          </cell>
        </row>
        <row r="179">
          <cell r="AB179" t="str">
            <v>ExportLNTNewUSAHand51x76L</v>
          </cell>
          <cell r="AC179">
            <v>2917.6722460101205</v>
          </cell>
        </row>
        <row r="180">
          <cell r="AB180" t="str">
            <v>ExportLNTNewUSAHand51x76M</v>
          </cell>
          <cell r="AC180">
            <v>1167.068898404048</v>
          </cell>
        </row>
        <row r="181">
          <cell r="AB181" t="str">
            <v>ExportLNTNewUSAHand51x76D</v>
          </cell>
          <cell r="AC181">
            <v>1750.6033476060722</v>
          </cell>
        </row>
        <row r="182">
          <cell r="AB182" t="str">
            <v>ExportLNTNewUSAWash33x33L</v>
          </cell>
          <cell r="AC182">
            <v>2917.6722460101205</v>
          </cell>
        </row>
        <row r="183">
          <cell r="AB183" t="str">
            <v>ExportLNTNewUSAWash33x33M</v>
          </cell>
          <cell r="AC183">
            <v>1167.068898404048</v>
          </cell>
        </row>
        <row r="184">
          <cell r="AB184" t="str">
            <v>ExportLNTNewUSAWash33x33D</v>
          </cell>
          <cell r="AC184">
            <v>1750.6033476060722</v>
          </cell>
        </row>
        <row r="185">
          <cell r="AB185" t="str">
            <v>ExportKohlsBig One StripeUSABath76x137L</v>
          </cell>
          <cell r="AC185">
            <v>92115.080909748096</v>
          </cell>
        </row>
        <row r="186">
          <cell r="AB186" t="str">
            <v>ExportKohlsBig One StripeUSABath76x137M</v>
          </cell>
          <cell r="AC186">
            <v>36846.032363899241</v>
          </cell>
        </row>
        <row r="187">
          <cell r="AB187" t="str">
            <v>ExportKohlsBig One StripeUSABath76x137D</v>
          </cell>
          <cell r="AC187">
            <v>55269.048545848855</v>
          </cell>
        </row>
        <row r="188">
          <cell r="AB188" t="str">
            <v>ExportKohlsBig One StripeUSAHand41x71L</v>
          </cell>
          <cell r="AC188">
            <v>8127.8012567424794</v>
          </cell>
        </row>
        <row r="189">
          <cell r="AB189" t="str">
            <v>ExportKohlsBig One StripeUSAHand41x71M</v>
          </cell>
          <cell r="AC189">
            <v>3251.120502696991</v>
          </cell>
        </row>
        <row r="190">
          <cell r="AB190" t="str">
            <v>ExportKohlsBig One StripeUSAHand41x71D</v>
          </cell>
          <cell r="AC190">
            <v>4876.6807540454874</v>
          </cell>
        </row>
        <row r="191">
          <cell r="AB191" t="str">
            <v>ExportKohlsBig One StripeUSAWash30x30L</v>
          </cell>
          <cell r="AC191">
            <v>8127.8012567424794</v>
          </cell>
        </row>
        <row r="192">
          <cell r="AB192" t="str">
            <v>ExportKohlsBig One StripeUSAWash30x30M</v>
          </cell>
          <cell r="AC192">
            <v>3251.120502696991</v>
          </cell>
        </row>
        <row r="193">
          <cell r="AB193" t="str">
            <v>ExportKohlsBig One StripeUSAWash30x30D</v>
          </cell>
          <cell r="AC193">
            <v>4876.6807540454874</v>
          </cell>
        </row>
        <row r="194">
          <cell r="AB194" t="str">
            <v>ExportKohlsBig One SolidUSABath76x137L</v>
          </cell>
          <cell r="AC194">
            <v>311774.12000222428</v>
          </cell>
        </row>
        <row r="195">
          <cell r="AB195" t="str">
            <v>ExportKohlsBig One SolidUSABath76x137M</v>
          </cell>
          <cell r="AC195">
            <v>124709.64800088973</v>
          </cell>
        </row>
        <row r="196">
          <cell r="AB196" t="str">
            <v>ExportKohlsBig One SolidUSABath76x137D</v>
          </cell>
          <cell r="AC196">
            <v>187064.47200133454</v>
          </cell>
        </row>
        <row r="197">
          <cell r="AB197" t="str">
            <v>ExportKohlsBig One SolidUSAHand41x71L</v>
          </cell>
          <cell r="AC197">
            <v>27509.481176666854</v>
          </cell>
        </row>
        <row r="198">
          <cell r="AB198" t="str">
            <v>ExportKohlsBig One SolidUSAHand41x71M</v>
          </cell>
          <cell r="AC198">
            <v>11003.79247066674</v>
          </cell>
        </row>
        <row r="199">
          <cell r="AB199" t="str">
            <v>ExportKohlsBig One SolidUSAHand41x71D</v>
          </cell>
          <cell r="AC199">
            <v>16505.688706000114</v>
          </cell>
        </row>
        <row r="200">
          <cell r="AB200" t="str">
            <v>ExportKohlsBig One SolidUSAWash30x30L</v>
          </cell>
          <cell r="AC200">
            <v>27509.481176666854</v>
          </cell>
        </row>
        <row r="201">
          <cell r="AB201" t="str">
            <v>ExportKohlsBig One SolidUSAWash30x30M</v>
          </cell>
          <cell r="AC201">
            <v>11003.79247066674</v>
          </cell>
        </row>
        <row r="202">
          <cell r="AB202" t="str">
            <v>ExportKohlsBig One SolidUSAWash30x30D</v>
          </cell>
          <cell r="AC202">
            <v>16505.688706000114</v>
          </cell>
        </row>
        <row r="203">
          <cell r="AB203" t="str">
            <v>ExportIst New Buyer00Bath76x137L</v>
          </cell>
          <cell r="AC203">
            <v>200068.95401212256</v>
          </cell>
        </row>
        <row r="204">
          <cell r="AB204" t="str">
            <v>ExportIst New Buyer00Bath76x137M</v>
          </cell>
          <cell r="AC204">
            <v>80027.581604849023</v>
          </cell>
        </row>
        <row r="205">
          <cell r="AB205" t="str">
            <v>ExportIst New Buyer00Bath76x137D</v>
          </cell>
          <cell r="AC205">
            <v>120041.37240727353</v>
          </cell>
        </row>
        <row r="206">
          <cell r="AB206" t="str">
            <v>ExportIst New Buyer00Hand41x76L</v>
          </cell>
          <cell r="AC206">
            <v>11114.941889562366</v>
          </cell>
        </row>
        <row r="207">
          <cell r="AB207" t="str">
            <v>ExportIst New Buyer00Hand41x76M</v>
          </cell>
          <cell r="AC207">
            <v>4445.976755824945</v>
          </cell>
        </row>
        <row r="208">
          <cell r="AB208" t="str">
            <v>ExportIst New Buyer00Hand41x76D</v>
          </cell>
          <cell r="AC208">
            <v>6668.9651337374189</v>
          </cell>
        </row>
        <row r="209">
          <cell r="AB209" t="str">
            <v>ExportIst New Buyer00Wash33x33L</v>
          </cell>
          <cell r="AC209">
            <v>11114.941889562366</v>
          </cell>
        </row>
        <row r="210">
          <cell r="AB210" t="str">
            <v>ExportIst New Buyer00Wash33x33M</v>
          </cell>
          <cell r="AC210">
            <v>4445.976755824945</v>
          </cell>
        </row>
        <row r="211">
          <cell r="AB211" t="str">
            <v>ExportIst New Buyer00Wash33x33D</v>
          </cell>
          <cell r="AC211">
            <v>6668.9651337374189</v>
          </cell>
        </row>
        <row r="212">
          <cell r="AB212" t="str">
            <v>Export2nd New Buyer00Bath76x137L</v>
          </cell>
          <cell r="AC212">
            <v>200068.95401212256</v>
          </cell>
        </row>
        <row r="213">
          <cell r="AB213" t="str">
            <v>Export2nd New Buyer00Bath76x137M</v>
          </cell>
          <cell r="AC213">
            <v>80027.581604849023</v>
          </cell>
        </row>
        <row r="214">
          <cell r="AB214" t="str">
            <v>Export2nd New Buyer00Bath76x137D</v>
          </cell>
          <cell r="AC214">
            <v>120041.37240727353</v>
          </cell>
        </row>
        <row r="215">
          <cell r="AB215" t="str">
            <v>Export2nd New Buyer00Hand41x76L</v>
          </cell>
          <cell r="AC215">
            <v>11114.941889562366</v>
          </cell>
        </row>
        <row r="216">
          <cell r="AB216" t="str">
            <v>Export2nd New Buyer00Hand41x76M</v>
          </cell>
          <cell r="AC216">
            <v>4445.976755824945</v>
          </cell>
        </row>
        <row r="217">
          <cell r="AB217" t="str">
            <v>Export2nd New Buyer00Hand41x76D</v>
          </cell>
          <cell r="AC217">
            <v>6668.9651337374189</v>
          </cell>
        </row>
        <row r="218">
          <cell r="AB218" t="str">
            <v>Export2nd New Buyer00Wash33x33L</v>
          </cell>
          <cell r="AC218">
            <v>11114.941889562366</v>
          </cell>
        </row>
        <row r="219">
          <cell r="AB219" t="str">
            <v>Export2nd New Buyer00Wash33x33M</v>
          </cell>
          <cell r="AC219">
            <v>4445.976755824945</v>
          </cell>
        </row>
        <row r="220">
          <cell r="AB220" t="str">
            <v>Export2nd New Buyer00Wash33x33D</v>
          </cell>
          <cell r="AC220">
            <v>6668.9651337374189</v>
          </cell>
        </row>
        <row r="221">
          <cell r="AB221" t="str">
            <v>Export3rd New Buyer00Bath0x0L</v>
          </cell>
          <cell r="AC221">
            <v>0</v>
          </cell>
        </row>
        <row r="222">
          <cell r="AB222" t="str">
            <v>Export3rd New Buyer00Bath0x0M</v>
          </cell>
          <cell r="AC222">
            <v>0</v>
          </cell>
        </row>
        <row r="223">
          <cell r="AB223" t="str">
            <v>Export3rd New Buyer00Bath0x0D</v>
          </cell>
          <cell r="AC223">
            <v>0</v>
          </cell>
        </row>
        <row r="224">
          <cell r="AB224">
            <v>0</v>
          </cell>
          <cell r="AC224">
            <v>0</v>
          </cell>
        </row>
        <row r="225">
          <cell r="AB225">
            <v>0</v>
          </cell>
          <cell r="AC225">
            <v>0</v>
          </cell>
        </row>
        <row r="226">
          <cell r="AB226" t="str">
            <v>DomesticWIL-VapiKohls Sonama0Bath76x147L</v>
          </cell>
          <cell r="AC226">
            <v>288784.26395939087</v>
          </cell>
        </row>
        <row r="227">
          <cell r="AB227" t="str">
            <v>DomesticWIL-VapiKohls Sonama0Hand41x76M</v>
          </cell>
          <cell r="AC227">
            <v>33974.619289340102</v>
          </cell>
        </row>
        <row r="228">
          <cell r="AB228" t="str">
            <v>DomesticWIL-VapiKohls Sonama0Wash33x33D</v>
          </cell>
          <cell r="AC228">
            <v>16987.309644670051</v>
          </cell>
        </row>
        <row r="229">
          <cell r="AB229" t="str">
            <v>DomesticZucchiBathrobe0Bathrobe285x100M</v>
          </cell>
          <cell r="AC229">
            <v>162487.30964467005</v>
          </cell>
        </row>
        <row r="230">
          <cell r="AB230" t="str">
            <v>DomesticWIL-VapiTarget Solid0Bath76x147M</v>
          </cell>
          <cell r="AC230">
            <v>0</v>
          </cell>
        </row>
        <row r="231">
          <cell r="AB231">
            <v>0</v>
          </cell>
          <cell r="AC231">
            <v>0</v>
          </cell>
        </row>
        <row r="232">
          <cell r="AB232">
            <v>0</v>
          </cell>
          <cell r="AC232">
            <v>0</v>
          </cell>
        </row>
        <row r="233">
          <cell r="AB233">
            <v>0</v>
          </cell>
          <cell r="AC233">
            <v>0</v>
          </cell>
        </row>
        <row r="234">
          <cell r="AB234">
            <v>0</v>
          </cell>
          <cell r="AC234">
            <v>0</v>
          </cell>
        </row>
        <row r="235">
          <cell r="AB235">
            <v>0</v>
          </cell>
          <cell r="AC235">
            <v>0</v>
          </cell>
        </row>
        <row r="236">
          <cell r="AB236">
            <v>0</v>
          </cell>
          <cell r="AC236">
            <v>3997882.7268054346</v>
          </cell>
        </row>
        <row r="237">
          <cell r="AB237">
            <v>0</v>
          </cell>
          <cell r="AC237">
            <v>0</v>
          </cell>
        </row>
        <row r="238">
          <cell r="AB238" t="str">
            <v>Key -3</v>
          </cell>
          <cell r="AC238" t="str">
            <v>Total Grey Prodn</v>
          </cell>
        </row>
        <row r="239">
          <cell r="AB239" t="str">
            <v>ExportTargetWaverlyUSABath76x142L</v>
          </cell>
          <cell r="AC239">
            <v>240916.36545626423</v>
          </cell>
        </row>
        <row r="240">
          <cell r="AB240" t="str">
            <v>ExportTargetWaverlyUSABath76x142M</v>
          </cell>
          <cell r="AC240">
            <v>96366.546182505685</v>
          </cell>
        </row>
        <row r="241">
          <cell r="AB241" t="str">
            <v>ExportTargetWaverlyUSABath76x142D</v>
          </cell>
          <cell r="AC241">
            <v>144549.81927375856</v>
          </cell>
        </row>
        <row r="242">
          <cell r="AB242" t="str">
            <v>ExportTargetWaverlyUSAHand41x76L</v>
          </cell>
          <cell r="AC242">
            <v>21257.326363788019</v>
          </cell>
        </row>
        <row r="243">
          <cell r="AB243" t="str">
            <v>ExportTargetWaverlyUSAHand41x76M</v>
          </cell>
          <cell r="AC243">
            <v>8502.930545515208</v>
          </cell>
        </row>
        <row r="244">
          <cell r="AB244" t="str">
            <v>ExportTargetWaverlyUSAHand41x76D</v>
          </cell>
          <cell r="AC244">
            <v>12754.395818272813</v>
          </cell>
        </row>
        <row r="245">
          <cell r="AB245" t="str">
            <v>ExportTargetWaverlyUSAWash30x30L</v>
          </cell>
          <cell r="AC245">
            <v>21257.326363788019</v>
          </cell>
        </row>
        <row r="246">
          <cell r="AB246" t="str">
            <v>ExportTargetWaverlyUSAWash30x30M</v>
          </cell>
          <cell r="AC246">
            <v>8502.930545515208</v>
          </cell>
        </row>
        <row r="247">
          <cell r="AB247" t="str">
            <v>ExportTargetWaverlyUSAWash30x30D</v>
          </cell>
          <cell r="AC247">
            <v>12754.395818272813</v>
          </cell>
        </row>
        <row r="248">
          <cell r="AB248" t="str">
            <v>ExportWalmartHome TrendsUSABath76x132L</v>
          </cell>
          <cell r="AC248">
            <v>354288.77272980037</v>
          </cell>
        </row>
        <row r="249">
          <cell r="AB249" t="str">
            <v>ExportWalmartHome TrendsUSABath76x132M</v>
          </cell>
          <cell r="AC249">
            <v>141715.50909192013</v>
          </cell>
        </row>
        <row r="250">
          <cell r="AB250" t="str">
            <v>ExportWalmartHome TrendsUSABath76x132D</v>
          </cell>
          <cell r="AC250">
            <v>212573.26363788021</v>
          </cell>
        </row>
        <row r="251">
          <cell r="AB251" t="str">
            <v>ExportWalmartHome TrendsUSAHand41x69L</v>
          </cell>
          <cell r="AC251">
            <v>31260.774064394151</v>
          </cell>
        </row>
        <row r="252">
          <cell r="AB252" t="str">
            <v>ExportWalmartHome TrendsUSAHand41x69M</v>
          </cell>
          <cell r="AC252">
            <v>12504.30962575766</v>
          </cell>
        </row>
        <row r="253">
          <cell r="AB253" t="str">
            <v>ExportWalmartHome TrendsUSAHand41x69D</v>
          </cell>
          <cell r="AC253">
            <v>18756.464438636489</v>
          </cell>
        </row>
        <row r="254">
          <cell r="AB254" t="str">
            <v>ExportWalmartHome TrendsUSAWash33x33L</v>
          </cell>
          <cell r="AC254">
            <v>31260.774064394151</v>
          </cell>
        </row>
        <row r="255">
          <cell r="AB255" t="str">
            <v>ExportWalmartHome TrendsUSAWash33x33M</v>
          </cell>
          <cell r="AC255">
            <v>12504.30962575766</v>
          </cell>
        </row>
        <row r="256">
          <cell r="AB256" t="str">
            <v>ExportWalmartHome TrendsUSAWash33x33D</v>
          </cell>
          <cell r="AC256">
            <v>18756.464438636489</v>
          </cell>
        </row>
        <row r="257">
          <cell r="AB257" t="str">
            <v>ExportMill WorkingCannon LandmarkUSABath76x137L</v>
          </cell>
          <cell r="AC257">
            <v>30010.343101818384</v>
          </cell>
        </row>
        <row r="258">
          <cell r="AB258" t="str">
            <v>ExportMill WorkingCannon LandmarkUSABath76x137M</v>
          </cell>
          <cell r="AC258">
            <v>12004.137240727354</v>
          </cell>
        </row>
        <row r="259">
          <cell r="AB259" t="str">
            <v>ExportMill WorkingCannon LandmarkUSABath76x137D</v>
          </cell>
          <cell r="AC259">
            <v>18006.205861091028</v>
          </cell>
        </row>
        <row r="260">
          <cell r="AB260" t="str">
            <v>ExportMill WorkingCannon LandmarkUSAHand41x76L</v>
          </cell>
          <cell r="AC260">
            <v>1667.2412834343547</v>
          </cell>
        </row>
        <row r="261">
          <cell r="AB261" t="str">
            <v>ExportMill WorkingCannon LandmarkUSAHand41x76M</v>
          </cell>
          <cell r="AC261">
            <v>666.89651337374175</v>
          </cell>
        </row>
        <row r="262">
          <cell r="AB262" t="str">
            <v>ExportMill WorkingCannon LandmarkUSAHand41x76D</v>
          </cell>
          <cell r="AC262">
            <v>1000.3447700606127</v>
          </cell>
        </row>
        <row r="263">
          <cell r="AB263" t="str">
            <v>ExportMill WorkingCannon LandmarkUSAWash33x33L</v>
          </cell>
          <cell r="AC263">
            <v>1667.2412834343547</v>
          </cell>
        </row>
        <row r="264">
          <cell r="AB264" t="str">
            <v>ExportMill WorkingCannon LandmarkUSAWash33x33M</v>
          </cell>
          <cell r="AC264">
            <v>666.89651337374175</v>
          </cell>
        </row>
        <row r="265">
          <cell r="AB265" t="str">
            <v>ExportMill WorkingCannon LandmarkUSAWash33x33D</v>
          </cell>
          <cell r="AC265">
            <v>1000.3447700606127</v>
          </cell>
        </row>
        <row r="266">
          <cell r="AB266" t="str">
            <v>ExportMill WorkingCannon MilestoneUSABath76x137L</v>
          </cell>
          <cell r="AC266">
            <v>30010.343101818384</v>
          </cell>
        </row>
        <row r="267">
          <cell r="AB267" t="str">
            <v>ExportMill WorkingCannon MilestoneUSABath76x137M</v>
          </cell>
          <cell r="AC267">
            <v>12004.137240727354</v>
          </cell>
        </row>
        <row r="268">
          <cell r="AB268" t="str">
            <v>ExportMill WorkingCannon MilestoneUSABath76x137D</v>
          </cell>
          <cell r="AC268">
            <v>18006.205861091028</v>
          </cell>
        </row>
        <row r="269">
          <cell r="AB269" t="str">
            <v>ExportMill WorkingCannon MilestoneUSAHand41x76L</v>
          </cell>
          <cell r="AC269">
            <v>1667.2412834343547</v>
          </cell>
        </row>
        <row r="270">
          <cell r="AB270" t="str">
            <v>ExportMill WorkingCannon MilestoneUSAHand41x76M</v>
          </cell>
          <cell r="AC270">
            <v>666.89651337374175</v>
          </cell>
        </row>
        <row r="271">
          <cell r="AB271" t="str">
            <v>ExportMill WorkingCannon MilestoneUSAHand41x76D</v>
          </cell>
          <cell r="AC271">
            <v>1000.3447700606127</v>
          </cell>
        </row>
        <row r="272">
          <cell r="AB272" t="str">
            <v>ExportMill WorkingCannon MilestoneUSAWash33x33L</v>
          </cell>
          <cell r="AC272">
            <v>1667.2412834343547</v>
          </cell>
        </row>
        <row r="273">
          <cell r="AB273" t="str">
            <v>ExportMill WorkingCannon MilestoneUSAWash33x33M</v>
          </cell>
          <cell r="AC273">
            <v>666.89651337374175</v>
          </cell>
        </row>
        <row r="274">
          <cell r="AB274" t="str">
            <v>ExportMill WorkingCannon MilestoneUSAWash33x33D</v>
          </cell>
          <cell r="AC274">
            <v>1000.3447700606127</v>
          </cell>
        </row>
        <row r="275">
          <cell r="AB275" t="str">
            <v>ExportWelspun USAEsplamaUSABath76x137L</v>
          </cell>
          <cell r="AC275">
            <v>5835.344492020241</v>
          </cell>
        </row>
        <row r="276">
          <cell r="AB276" t="str">
            <v>ExportWelspun USAEsplamaUSABath76x137M</v>
          </cell>
          <cell r="AC276">
            <v>2334.137796808096</v>
          </cell>
        </row>
        <row r="277">
          <cell r="AB277" t="str">
            <v>ExportWelspun USAEsplamaUSABath76x137D</v>
          </cell>
          <cell r="AC277">
            <v>3501.2066952121445</v>
          </cell>
        </row>
        <row r="278">
          <cell r="AB278" t="str">
            <v>ExportWelspun USAEsplamaUSAHand41x71L</v>
          </cell>
          <cell r="AC278">
            <v>1667.2412834343547</v>
          </cell>
        </row>
        <row r="279">
          <cell r="AB279" t="str">
            <v>ExportWelspun USAEsplamaUSAHand41x71M</v>
          </cell>
          <cell r="AC279">
            <v>666.89651337374175</v>
          </cell>
        </row>
        <row r="280">
          <cell r="AB280" t="str">
            <v>ExportWelspun USAEsplamaUSAHand41x71D</v>
          </cell>
          <cell r="AC280">
            <v>1000.3447700606127</v>
          </cell>
        </row>
        <row r="281">
          <cell r="AB281" t="str">
            <v>ExportWelspun USAEsplamaUSAWash33x33L</v>
          </cell>
          <cell r="AC281">
            <v>833.62064171717736</v>
          </cell>
        </row>
        <row r="282">
          <cell r="AB282" t="str">
            <v>ExportWelspun USAEsplamaUSAWash33x33M</v>
          </cell>
          <cell r="AC282">
            <v>333.44825668687088</v>
          </cell>
        </row>
        <row r="283">
          <cell r="AB283" t="str">
            <v>ExportWelspun USAEsplamaUSAWash33x33D</v>
          </cell>
          <cell r="AC283">
            <v>500.17238503030637</v>
          </cell>
        </row>
        <row r="284">
          <cell r="AB284" t="str">
            <v>ExportLNTManorUSABath76x147L</v>
          </cell>
          <cell r="AC284">
            <v>0</v>
          </cell>
        </row>
        <row r="285">
          <cell r="AB285" t="str">
            <v>ExportLNTManorUSABath76x147M</v>
          </cell>
          <cell r="AC285">
            <v>0</v>
          </cell>
        </row>
        <row r="286">
          <cell r="AB286" t="str">
            <v>ExportLNTManorUSABath76x147D</v>
          </cell>
          <cell r="AC286">
            <v>0</v>
          </cell>
        </row>
        <row r="287">
          <cell r="AB287" t="str">
            <v>ExportLNTManorUSAHand51x76L</v>
          </cell>
          <cell r="AC287">
            <v>0</v>
          </cell>
        </row>
        <row r="288">
          <cell r="AB288" t="str">
            <v>ExportLNTManorUSAHand51x76M</v>
          </cell>
          <cell r="AC288">
            <v>0</v>
          </cell>
        </row>
        <row r="289">
          <cell r="AB289" t="str">
            <v>ExportLNTManorUSAHand51x76D</v>
          </cell>
          <cell r="AC289">
            <v>0</v>
          </cell>
        </row>
        <row r="290">
          <cell r="AB290" t="str">
            <v>ExportLNTManorUSAWash33x33L</v>
          </cell>
          <cell r="AC290">
            <v>0</v>
          </cell>
        </row>
        <row r="291">
          <cell r="AB291" t="str">
            <v>ExportLNTManorUSAWash33x33M</v>
          </cell>
          <cell r="AC291">
            <v>0</v>
          </cell>
        </row>
        <row r="292">
          <cell r="AB292" t="str">
            <v>ExportLNTManorUSAWash33x33D</v>
          </cell>
          <cell r="AC292">
            <v>0</v>
          </cell>
        </row>
        <row r="293">
          <cell r="AB293" t="str">
            <v>ExportLNTNewUSABath76x147L</v>
          </cell>
          <cell r="AC293">
            <v>22507.75732636379</v>
          </cell>
        </row>
        <row r="294">
          <cell r="AB294" t="str">
            <v>ExportLNTNewUSABath76x147M</v>
          </cell>
          <cell r="AC294">
            <v>9003.102930545514</v>
          </cell>
        </row>
        <row r="295">
          <cell r="AB295" t="str">
            <v>ExportLNTNewUSABath76x147D</v>
          </cell>
          <cell r="AC295">
            <v>13504.654395818274</v>
          </cell>
        </row>
        <row r="296">
          <cell r="AB296" t="str">
            <v>ExportLNTNewUSAHand51x76L</v>
          </cell>
          <cell r="AC296">
            <v>1250.430962575766</v>
          </cell>
        </row>
        <row r="297">
          <cell r="AB297" t="str">
            <v>ExportLNTNewUSAHand51x76M</v>
          </cell>
          <cell r="AC297">
            <v>500.17238503030637</v>
          </cell>
        </row>
        <row r="298">
          <cell r="AB298" t="str">
            <v>ExportLNTNewUSAHand51x76D</v>
          </cell>
          <cell r="AC298">
            <v>750.25857754545962</v>
          </cell>
        </row>
        <row r="299">
          <cell r="AB299" t="str">
            <v>ExportLNTNewUSAWash33x33L</v>
          </cell>
          <cell r="AC299">
            <v>1250.430962575766</v>
          </cell>
        </row>
        <row r="300">
          <cell r="AB300" t="str">
            <v>ExportLNTNewUSAWash33x33M</v>
          </cell>
          <cell r="AC300">
            <v>500.17238503030637</v>
          </cell>
        </row>
        <row r="301">
          <cell r="AB301" t="str">
            <v>ExportLNTNewUSAWash33x33D</v>
          </cell>
          <cell r="AC301">
            <v>750.25857754545962</v>
          </cell>
        </row>
        <row r="302">
          <cell r="AB302" t="str">
            <v>ExportKohlsBig One StripeUSABath76x137L</v>
          </cell>
          <cell r="AC302">
            <v>92115.080909748096</v>
          </cell>
        </row>
        <row r="303">
          <cell r="AB303" t="str">
            <v>ExportKohlsBig One StripeUSABath76x137M</v>
          </cell>
          <cell r="AC303">
            <v>36846.032363899241</v>
          </cell>
        </row>
        <row r="304">
          <cell r="AB304" t="str">
            <v>ExportKohlsBig One StripeUSABath76x137D</v>
          </cell>
          <cell r="AC304">
            <v>55269.048545848855</v>
          </cell>
        </row>
        <row r="305">
          <cell r="AB305" t="str">
            <v>ExportKohlsBig One StripeUSAHand41x71L</v>
          </cell>
          <cell r="AC305">
            <v>8127.8012567424794</v>
          </cell>
        </row>
        <row r="306">
          <cell r="AB306" t="str">
            <v>ExportKohlsBig One StripeUSAHand41x71M</v>
          </cell>
          <cell r="AC306">
            <v>3251.120502696991</v>
          </cell>
        </row>
        <row r="307">
          <cell r="AB307" t="str">
            <v>ExportKohlsBig One StripeUSAHand41x71D</v>
          </cell>
          <cell r="AC307">
            <v>4876.6807540454874</v>
          </cell>
        </row>
        <row r="308">
          <cell r="AB308" t="str">
            <v>ExportKohlsBig One StripeUSAWash30x30L</v>
          </cell>
          <cell r="AC308">
            <v>8127.8012567424794</v>
          </cell>
        </row>
        <row r="309">
          <cell r="AB309" t="str">
            <v>ExportKohlsBig One StripeUSAWash30x30M</v>
          </cell>
          <cell r="AC309">
            <v>3251.120502696991</v>
          </cell>
        </row>
        <row r="310">
          <cell r="AB310" t="str">
            <v>ExportKohlsBig One StripeUSAWash30x30D</v>
          </cell>
          <cell r="AC310">
            <v>4876.6807540454874</v>
          </cell>
        </row>
        <row r="311">
          <cell r="AB311" t="str">
            <v>ExportKohlsBig One SolidUSABath76x137L</v>
          </cell>
          <cell r="AC311">
            <v>311774.12000222428</v>
          </cell>
        </row>
        <row r="312">
          <cell r="AB312" t="str">
            <v>ExportKohlsBig One SolidUSABath76x137M</v>
          </cell>
          <cell r="AC312">
            <v>124709.64800088973</v>
          </cell>
        </row>
        <row r="313">
          <cell r="AB313" t="str">
            <v>ExportKohlsBig One SolidUSABath76x137D</v>
          </cell>
          <cell r="AC313">
            <v>187064.47200133454</v>
          </cell>
        </row>
        <row r="314">
          <cell r="AB314" t="str">
            <v>ExportKohlsBig One SolidUSAHand41x71L</v>
          </cell>
          <cell r="AC314">
            <v>27509.481176666854</v>
          </cell>
        </row>
        <row r="315">
          <cell r="AB315" t="str">
            <v>ExportKohlsBig One SolidUSAHand41x71M</v>
          </cell>
          <cell r="AC315">
            <v>11003.79247066674</v>
          </cell>
        </row>
        <row r="316">
          <cell r="AB316" t="str">
            <v>ExportKohlsBig One SolidUSAHand41x71D</v>
          </cell>
          <cell r="AC316">
            <v>16505.688706000114</v>
          </cell>
        </row>
        <row r="317">
          <cell r="AB317" t="str">
            <v>ExportKohlsBig One SolidUSAWash30x30L</v>
          </cell>
          <cell r="AC317">
            <v>27509.481176666854</v>
          </cell>
        </row>
        <row r="318">
          <cell r="AB318" t="str">
            <v>ExportKohlsBig One SolidUSAWash30x30M</v>
          </cell>
          <cell r="AC318">
            <v>11003.79247066674</v>
          </cell>
        </row>
        <row r="319">
          <cell r="AB319" t="str">
            <v>ExportKohlsBig One SolidUSAWash30x30D</v>
          </cell>
          <cell r="AC319">
            <v>16505.688706000114</v>
          </cell>
        </row>
        <row r="320">
          <cell r="AB320" t="str">
            <v>ExportIst New Buyer00Bath76x137L</v>
          </cell>
          <cell r="AC320">
            <v>150051.71550909191</v>
          </cell>
        </row>
        <row r="321">
          <cell r="AB321" t="str">
            <v>ExportIst New Buyer00Bath76x137M</v>
          </cell>
          <cell r="AC321">
            <v>60020.686203636767</v>
          </cell>
        </row>
        <row r="322">
          <cell r="AB322" t="str">
            <v>ExportIst New Buyer00Bath76x137D</v>
          </cell>
          <cell r="AC322">
            <v>90031.029305455158</v>
          </cell>
        </row>
        <row r="323">
          <cell r="AB323" t="str">
            <v>ExportIst New Buyer00Hand41x76L</v>
          </cell>
          <cell r="AC323">
            <v>8336.2064171717739</v>
          </cell>
        </row>
        <row r="324">
          <cell r="AB324" t="str">
            <v>ExportIst New Buyer00Hand41x76M</v>
          </cell>
          <cell r="AC324">
            <v>3334.4825668687095</v>
          </cell>
        </row>
        <row r="325">
          <cell r="AB325" t="str">
            <v>ExportIst New Buyer00Hand41x76D</v>
          </cell>
          <cell r="AC325">
            <v>5001.723850303064</v>
          </cell>
        </row>
        <row r="326">
          <cell r="AB326" t="str">
            <v>ExportIst New Buyer00Wash33x33L</v>
          </cell>
          <cell r="AC326">
            <v>8336.2064171717739</v>
          </cell>
        </row>
        <row r="327">
          <cell r="AB327" t="str">
            <v>ExportIst New Buyer00Wash33x33M</v>
          </cell>
          <cell r="AC327">
            <v>3334.4825668687095</v>
          </cell>
        </row>
        <row r="328">
          <cell r="AB328" t="str">
            <v>ExportIst New Buyer00Wash33x33D</v>
          </cell>
          <cell r="AC328">
            <v>5001.723850303064</v>
          </cell>
        </row>
        <row r="329">
          <cell r="AB329" t="str">
            <v>Export2nd New Buyer00Bath76x137L</v>
          </cell>
          <cell r="AC329">
            <v>150051.71550909191</v>
          </cell>
        </row>
        <row r="330">
          <cell r="AB330" t="str">
            <v>Export2nd New Buyer00Bath76x137M</v>
          </cell>
          <cell r="AC330">
            <v>60020.686203636767</v>
          </cell>
        </row>
        <row r="331">
          <cell r="AB331" t="str">
            <v>Export2nd New Buyer00Bath76x137D</v>
          </cell>
          <cell r="AC331">
            <v>90031.029305455158</v>
          </cell>
        </row>
        <row r="332">
          <cell r="AB332" t="str">
            <v>Export2nd New Buyer00Hand41x76L</v>
          </cell>
          <cell r="AC332">
            <v>8336.2064171717739</v>
          </cell>
        </row>
        <row r="333">
          <cell r="AB333" t="str">
            <v>Export2nd New Buyer00Hand41x76M</v>
          </cell>
          <cell r="AC333">
            <v>3334.4825668687095</v>
          </cell>
        </row>
        <row r="334">
          <cell r="AB334" t="str">
            <v>Export2nd New Buyer00Hand41x76D</v>
          </cell>
          <cell r="AC334">
            <v>5001.723850303064</v>
          </cell>
        </row>
        <row r="335">
          <cell r="AB335" t="str">
            <v>Export2nd New Buyer00Wash33x33L</v>
          </cell>
          <cell r="AC335">
            <v>8336.2064171717739</v>
          </cell>
        </row>
        <row r="336">
          <cell r="AB336" t="str">
            <v>Export2nd New Buyer00Wash33x33M</v>
          </cell>
          <cell r="AC336">
            <v>3334.4825668687095</v>
          </cell>
        </row>
        <row r="337">
          <cell r="AB337" t="str">
            <v>Export2nd New Buyer00Wash33x33D</v>
          </cell>
          <cell r="AC337">
            <v>5001.723850303064</v>
          </cell>
        </row>
        <row r="338">
          <cell r="AB338" t="str">
            <v>Export3rd New Buyer00Bath0x0L</v>
          </cell>
          <cell r="AC338">
            <v>0</v>
          </cell>
        </row>
        <row r="339">
          <cell r="AB339" t="str">
            <v>Export3rd New Buyer00Bath0x0M</v>
          </cell>
          <cell r="AC339">
            <v>0</v>
          </cell>
        </row>
        <row r="340">
          <cell r="AB340" t="str">
            <v>Export3rd New Buyer00Bath0x0D</v>
          </cell>
          <cell r="AC340">
            <v>0</v>
          </cell>
        </row>
        <row r="341">
          <cell r="AB341">
            <v>0</v>
          </cell>
          <cell r="AC341">
            <v>0</v>
          </cell>
        </row>
        <row r="342">
          <cell r="AB342">
            <v>0</v>
          </cell>
          <cell r="AC342">
            <v>0</v>
          </cell>
        </row>
        <row r="343">
          <cell r="AB343" t="str">
            <v>DomesticWIL-VapiKohls Sonama0Bath76x147L</v>
          </cell>
          <cell r="AC343">
            <v>288784.26395939087</v>
          </cell>
        </row>
        <row r="344">
          <cell r="AB344" t="str">
            <v>DomesticWIL-VapiKohls Sonama0Hand41x76M</v>
          </cell>
          <cell r="AC344">
            <v>33974.619289340102</v>
          </cell>
        </row>
        <row r="345">
          <cell r="AB345" t="str">
            <v>DomesticWIL-VapiKohls Sonama0Wash33x33D</v>
          </cell>
          <cell r="AC345">
            <v>16987.309644670051</v>
          </cell>
        </row>
        <row r="346">
          <cell r="AB346" t="str">
            <v>DomesticZucchiBathrobe0Bathrobe285x100M</v>
          </cell>
          <cell r="AC346">
            <v>162487.30964467005</v>
          </cell>
        </row>
        <row r="347">
          <cell r="AB347" t="str">
            <v>DomesticWIL-VapiTarget Solid0Bath76x147M</v>
          </cell>
          <cell r="AC347">
            <v>0</v>
          </cell>
        </row>
        <row r="348">
          <cell r="AB348">
            <v>0</v>
          </cell>
          <cell r="AC348">
            <v>0</v>
          </cell>
        </row>
        <row r="349">
          <cell r="AB349">
            <v>0</v>
          </cell>
          <cell r="AC349">
            <v>0</v>
          </cell>
        </row>
        <row r="350">
          <cell r="AB350">
            <v>0</v>
          </cell>
          <cell r="AC350">
            <v>0</v>
          </cell>
        </row>
        <row r="351">
          <cell r="AB351">
            <v>0</v>
          </cell>
          <cell r="AC351">
            <v>0</v>
          </cell>
        </row>
        <row r="352">
          <cell r="AB352">
            <v>0</v>
          </cell>
          <cell r="AC352">
            <v>0</v>
          </cell>
        </row>
        <row r="353">
          <cell r="AB353">
            <v>0</v>
          </cell>
          <cell r="AC353">
            <v>3720009.1795663773</v>
          </cell>
        </row>
        <row r="354">
          <cell r="AB354">
            <v>0</v>
          </cell>
          <cell r="AC354">
            <v>0</v>
          </cell>
        </row>
        <row r="355">
          <cell r="AB355" t="str">
            <v>Key -3</v>
          </cell>
          <cell r="AC355" t="str">
            <v>Total Grey Prodn</v>
          </cell>
        </row>
        <row r="356">
          <cell r="AB356" t="str">
            <v>ExportTargetWaverlyUSABath76x142L</v>
          </cell>
          <cell r="AC356">
            <v>240916.36545626423</v>
          </cell>
        </row>
        <row r="357">
          <cell r="AB357" t="str">
            <v>ExportTargetWaverlyUSABath76x142M</v>
          </cell>
          <cell r="AC357">
            <v>96366.546182505685</v>
          </cell>
        </row>
        <row r="358">
          <cell r="AB358" t="str">
            <v>ExportTargetWaverlyUSABath76x142D</v>
          </cell>
          <cell r="AC358">
            <v>144549.81927375856</v>
          </cell>
        </row>
        <row r="359">
          <cell r="AB359" t="str">
            <v>ExportTargetWaverlyUSAHand41x76L</v>
          </cell>
          <cell r="AC359">
            <v>21257.326363788019</v>
          </cell>
        </row>
        <row r="360">
          <cell r="AB360" t="str">
            <v>ExportTargetWaverlyUSAHand41x76M</v>
          </cell>
          <cell r="AC360">
            <v>8502.930545515208</v>
          </cell>
        </row>
        <row r="361">
          <cell r="AB361" t="str">
            <v>ExportTargetWaverlyUSAHand41x76D</v>
          </cell>
          <cell r="AC361">
            <v>12754.395818272813</v>
          </cell>
        </row>
        <row r="362">
          <cell r="AB362" t="str">
            <v>ExportTargetWaverlyUSAWash30x30L</v>
          </cell>
          <cell r="AC362">
            <v>21257.326363788019</v>
          </cell>
        </row>
        <row r="363">
          <cell r="AB363" t="str">
            <v>ExportTargetWaverlyUSAWash30x30M</v>
          </cell>
          <cell r="AC363">
            <v>8502.930545515208</v>
          </cell>
        </row>
        <row r="364">
          <cell r="AB364" t="str">
            <v>ExportTargetWaverlyUSAWash30x30D</v>
          </cell>
          <cell r="AC364">
            <v>12754.395818272813</v>
          </cell>
        </row>
        <row r="365">
          <cell r="AB365" t="str">
            <v>ExportWalmartHome TrendsUSABath76x132L</v>
          </cell>
          <cell r="AC365">
            <v>354288.77272980037</v>
          </cell>
        </row>
        <row r="366">
          <cell r="AB366" t="str">
            <v>ExportWalmartHome TrendsUSABath76x132M</v>
          </cell>
          <cell r="AC366">
            <v>141715.50909192013</v>
          </cell>
        </row>
        <row r="367">
          <cell r="AB367" t="str">
            <v>ExportWalmartHome TrendsUSABath76x132D</v>
          </cell>
          <cell r="AC367">
            <v>212573.26363788021</v>
          </cell>
        </row>
        <row r="368">
          <cell r="AB368" t="str">
            <v>ExportWalmartHome TrendsUSAHand41x69L</v>
          </cell>
          <cell r="AC368">
            <v>31260.774064394151</v>
          </cell>
        </row>
        <row r="369">
          <cell r="AB369" t="str">
            <v>ExportWalmartHome TrendsUSAHand41x69M</v>
          </cell>
          <cell r="AC369">
            <v>12504.30962575766</v>
          </cell>
        </row>
        <row r="370">
          <cell r="AB370" t="str">
            <v>ExportWalmartHome TrendsUSAHand41x69D</v>
          </cell>
          <cell r="AC370">
            <v>18756.464438636489</v>
          </cell>
        </row>
        <row r="371">
          <cell r="AB371" t="str">
            <v>ExportWalmartHome TrendsUSAWash33x33L</v>
          </cell>
          <cell r="AC371">
            <v>31260.774064394151</v>
          </cell>
        </row>
        <row r="372">
          <cell r="AB372" t="str">
            <v>ExportWalmartHome TrendsUSAWash33x33M</v>
          </cell>
          <cell r="AC372">
            <v>12504.30962575766</v>
          </cell>
        </row>
        <row r="373">
          <cell r="AB373" t="str">
            <v>ExportWalmartHome TrendsUSAWash33x33D</v>
          </cell>
          <cell r="AC373">
            <v>18756.464438636489</v>
          </cell>
        </row>
        <row r="374">
          <cell r="AB374" t="str">
            <v>ExportMill WorkingCannon LandmarkUSABath76x137L</v>
          </cell>
          <cell r="AC374">
            <v>30010.343101818384</v>
          </cell>
        </row>
        <row r="375">
          <cell r="AB375" t="str">
            <v>ExportMill WorkingCannon LandmarkUSABath76x137M</v>
          </cell>
          <cell r="AC375">
            <v>12004.137240727354</v>
          </cell>
        </row>
        <row r="376">
          <cell r="AB376" t="str">
            <v>ExportMill WorkingCannon LandmarkUSABath76x137D</v>
          </cell>
          <cell r="AC376">
            <v>18006.205861091028</v>
          </cell>
        </row>
        <row r="377">
          <cell r="AB377" t="str">
            <v>ExportMill WorkingCannon LandmarkUSAHand41x76L</v>
          </cell>
          <cell r="AC377">
            <v>1667.2412834343547</v>
          </cell>
        </row>
        <row r="378">
          <cell r="AB378" t="str">
            <v>ExportMill WorkingCannon LandmarkUSAHand41x76M</v>
          </cell>
          <cell r="AC378">
            <v>666.89651337374175</v>
          </cell>
        </row>
        <row r="379">
          <cell r="AB379" t="str">
            <v>ExportMill WorkingCannon LandmarkUSAHand41x76D</v>
          </cell>
          <cell r="AC379">
            <v>1000.3447700606127</v>
          </cell>
        </row>
        <row r="380">
          <cell r="AB380" t="str">
            <v>ExportMill WorkingCannon LandmarkUSAWash33x33L</v>
          </cell>
          <cell r="AC380">
            <v>1667.2412834343547</v>
          </cell>
        </row>
        <row r="381">
          <cell r="AB381" t="str">
            <v>ExportMill WorkingCannon LandmarkUSAWash33x33M</v>
          </cell>
          <cell r="AC381">
            <v>666.89651337374175</v>
          </cell>
        </row>
        <row r="382">
          <cell r="AB382" t="str">
            <v>ExportMill WorkingCannon LandmarkUSAWash33x33D</v>
          </cell>
          <cell r="AC382">
            <v>1000.3447700606127</v>
          </cell>
        </row>
        <row r="383">
          <cell r="AB383" t="str">
            <v>ExportMill WorkingCannon MilestoneUSABath76x137L</v>
          </cell>
          <cell r="AC383">
            <v>30010.343101818384</v>
          </cell>
        </row>
        <row r="384">
          <cell r="AB384" t="str">
            <v>ExportMill WorkingCannon MilestoneUSABath76x137M</v>
          </cell>
          <cell r="AC384">
            <v>12004.137240727354</v>
          </cell>
        </row>
        <row r="385">
          <cell r="AB385" t="str">
            <v>ExportMill WorkingCannon MilestoneUSABath76x137D</v>
          </cell>
          <cell r="AC385">
            <v>18006.205861091028</v>
          </cell>
        </row>
        <row r="386">
          <cell r="AB386" t="str">
            <v>ExportMill WorkingCannon MilestoneUSAHand41x76L</v>
          </cell>
          <cell r="AC386">
            <v>1667.2412834343547</v>
          </cell>
        </row>
        <row r="387">
          <cell r="AB387" t="str">
            <v>ExportMill WorkingCannon MilestoneUSAHand41x76M</v>
          </cell>
          <cell r="AC387">
            <v>666.89651337374175</v>
          </cell>
        </row>
        <row r="388">
          <cell r="AB388" t="str">
            <v>ExportMill WorkingCannon MilestoneUSAHand41x76D</v>
          </cell>
          <cell r="AC388">
            <v>1000.3447700606127</v>
          </cell>
        </row>
        <row r="389">
          <cell r="AB389" t="str">
            <v>ExportMill WorkingCannon MilestoneUSAWash33x33L</v>
          </cell>
          <cell r="AC389">
            <v>1667.2412834343547</v>
          </cell>
        </row>
        <row r="390">
          <cell r="AB390" t="str">
            <v>ExportMill WorkingCannon MilestoneUSAWash33x33M</v>
          </cell>
          <cell r="AC390">
            <v>666.89651337374175</v>
          </cell>
        </row>
        <row r="391">
          <cell r="AB391" t="str">
            <v>ExportMill WorkingCannon MilestoneUSAWash33x33D</v>
          </cell>
          <cell r="AC391">
            <v>1000.3447700606127</v>
          </cell>
        </row>
        <row r="392">
          <cell r="AB392" t="str">
            <v>ExportWelspun USAEsplamaUSABath76x137L</v>
          </cell>
          <cell r="AC392">
            <v>5835.344492020241</v>
          </cell>
        </row>
        <row r="393">
          <cell r="AB393" t="str">
            <v>ExportWelspun USAEsplamaUSABath76x137M</v>
          </cell>
          <cell r="AC393">
            <v>2334.137796808096</v>
          </cell>
        </row>
        <row r="394">
          <cell r="AB394" t="str">
            <v>ExportWelspun USAEsplamaUSABath76x137D</v>
          </cell>
          <cell r="AC394">
            <v>3501.2066952121445</v>
          </cell>
        </row>
        <row r="395">
          <cell r="AB395" t="str">
            <v>ExportWelspun USAEsplamaUSAHand41x71L</v>
          </cell>
          <cell r="AC395">
            <v>1667.2412834343547</v>
          </cell>
        </row>
        <row r="396">
          <cell r="AB396" t="str">
            <v>ExportWelspun USAEsplamaUSAHand41x71M</v>
          </cell>
          <cell r="AC396">
            <v>666.89651337374175</v>
          </cell>
        </row>
        <row r="397">
          <cell r="AB397" t="str">
            <v>ExportWelspun USAEsplamaUSAHand41x71D</v>
          </cell>
          <cell r="AC397">
            <v>1000.3447700606127</v>
          </cell>
        </row>
        <row r="398">
          <cell r="AB398" t="str">
            <v>ExportWelspun USAEsplamaUSAWash33x33L</v>
          </cell>
          <cell r="AC398">
            <v>833.62064171717736</v>
          </cell>
        </row>
        <row r="399">
          <cell r="AB399" t="str">
            <v>ExportWelspun USAEsplamaUSAWash33x33M</v>
          </cell>
          <cell r="AC399">
            <v>333.44825668687088</v>
          </cell>
        </row>
        <row r="400">
          <cell r="AB400" t="str">
            <v>ExportWelspun USAEsplamaUSAWash33x33D</v>
          </cell>
          <cell r="AC400">
            <v>500.17238503030637</v>
          </cell>
        </row>
        <row r="401">
          <cell r="AB401" t="str">
            <v>ExportLNTManorUSABath76x147L</v>
          </cell>
          <cell r="AC401">
            <v>0</v>
          </cell>
        </row>
        <row r="402">
          <cell r="AB402" t="str">
            <v>ExportLNTManorUSABath76x147M</v>
          </cell>
          <cell r="AC402">
            <v>0</v>
          </cell>
        </row>
        <row r="403">
          <cell r="AB403" t="str">
            <v>ExportLNTManorUSABath76x147D</v>
          </cell>
          <cell r="AC403">
            <v>0</v>
          </cell>
        </row>
        <row r="404">
          <cell r="AB404" t="str">
            <v>ExportLNTManorUSAHand51x76L</v>
          </cell>
          <cell r="AC404">
            <v>0</v>
          </cell>
        </row>
        <row r="405">
          <cell r="AB405" t="str">
            <v>ExportLNTManorUSAHand51x76M</v>
          </cell>
          <cell r="AC405">
            <v>0</v>
          </cell>
        </row>
        <row r="406">
          <cell r="AB406" t="str">
            <v>ExportLNTManorUSAHand51x76D</v>
          </cell>
          <cell r="AC406">
            <v>0</v>
          </cell>
        </row>
        <row r="407">
          <cell r="AB407" t="str">
            <v>ExportLNTManorUSAWash33x33L</v>
          </cell>
          <cell r="AC407">
            <v>0</v>
          </cell>
        </row>
        <row r="408">
          <cell r="AB408" t="str">
            <v>ExportLNTManorUSAWash33x33M</v>
          </cell>
          <cell r="AC408">
            <v>0</v>
          </cell>
        </row>
        <row r="409">
          <cell r="AB409" t="str">
            <v>ExportLNTManorUSAWash33x33D</v>
          </cell>
          <cell r="AC409">
            <v>0</v>
          </cell>
        </row>
        <row r="410">
          <cell r="AB410" t="str">
            <v>ExportLNTNewUSABath76x147L</v>
          </cell>
          <cell r="AC410">
            <v>22507.75732636379</v>
          </cell>
        </row>
        <row r="411">
          <cell r="AB411" t="str">
            <v>ExportLNTNewUSABath76x147M</v>
          </cell>
          <cell r="AC411">
            <v>9003.102930545514</v>
          </cell>
        </row>
        <row r="412">
          <cell r="AB412" t="str">
            <v>ExportLNTNewUSABath76x147D</v>
          </cell>
          <cell r="AC412">
            <v>13504.654395818274</v>
          </cell>
        </row>
        <row r="413">
          <cell r="AB413" t="str">
            <v>ExportLNTNewUSAHand51x76L</v>
          </cell>
          <cell r="AC413">
            <v>1250.430962575766</v>
          </cell>
        </row>
        <row r="414">
          <cell r="AB414" t="str">
            <v>ExportLNTNewUSAHand51x76M</v>
          </cell>
          <cell r="AC414">
            <v>500.17238503030637</v>
          </cell>
        </row>
        <row r="415">
          <cell r="AB415" t="str">
            <v>ExportLNTNewUSAHand51x76D</v>
          </cell>
          <cell r="AC415">
            <v>750.25857754545962</v>
          </cell>
        </row>
        <row r="416">
          <cell r="AB416" t="str">
            <v>ExportLNTNewUSAWash33x33L</v>
          </cell>
          <cell r="AC416">
            <v>1250.430962575766</v>
          </cell>
        </row>
        <row r="417">
          <cell r="AB417" t="str">
            <v>ExportLNTNewUSAWash33x33M</v>
          </cell>
          <cell r="AC417">
            <v>500.17238503030637</v>
          </cell>
        </row>
        <row r="418">
          <cell r="AB418" t="str">
            <v>ExportLNTNewUSAWash33x33D</v>
          </cell>
          <cell r="AC418">
            <v>750.25857754545962</v>
          </cell>
        </row>
        <row r="419">
          <cell r="AB419" t="str">
            <v>ExportKohlsBig One StripeUSABath76x137L</v>
          </cell>
          <cell r="AC419">
            <v>92115.080909748096</v>
          </cell>
        </row>
        <row r="420">
          <cell r="AB420" t="str">
            <v>ExportKohlsBig One StripeUSABath76x137M</v>
          </cell>
          <cell r="AC420">
            <v>36846.032363899241</v>
          </cell>
        </row>
        <row r="421">
          <cell r="AB421" t="str">
            <v>ExportKohlsBig One StripeUSABath76x137D</v>
          </cell>
          <cell r="AC421">
            <v>55269.048545848855</v>
          </cell>
        </row>
        <row r="422">
          <cell r="AB422" t="str">
            <v>ExportKohlsBig One StripeUSAHand41x71L</v>
          </cell>
          <cell r="AC422">
            <v>8127.8012567424794</v>
          </cell>
        </row>
        <row r="423">
          <cell r="AB423" t="str">
            <v>ExportKohlsBig One StripeUSAHand41x71M</v>
          </cell>
          <cell r="AC423">
            <v>3251.120502696991</v>
          </cell>
        </row>
        <row r="424">
          <cell r="AB424" t="str">
            <v>ExportKohlsBig One StripeUSAHand41x71D</v>
          </cell>
          <cell r="AC424">
            <v>4876.6807540454874</v>
          </cell>
        </row>
        <row r="425">
          <cell r="AB425" t="str">
            <v>ExportKohlsBig One StripeUSAWash30x30L</v>
          </cell>
          <cell r="AC425">
            <v>8127.8012567424794</v>
          </cell>
        </row>
        <row r="426">
          <cell r="AB426" t="str">
            <v>ExportKohlsBig One StripeUSAWash30x30M</v>
          </cell>
          <cell r="AC426">
            <v>3251.120502696991</v>
          </cell>
        </row>
        <row r="427">
          <cell r="AB427" t="str">
            <v>ExportKohlsBig One StripeUSAWash30x30D</v>
          </cell>
          <cell r="AC427">
            <v>4876.6807540454874</v>
          </cell>
        </row>
        <row r="428">
          <cell r="AB428" t="str">
            <v>ExportKohlsBig One SolidUSABath76x137L</v>
          </cell>
          <cell r="AC428">
            <v>311774.12000222428</v>
          </cell>
        </row>
        <row r="429">
          <cell r="AB429" t="str">
            <v>ExportKohlsBig One SolidUSABath76x137M</v>
          </cell>
          <cell r="AC429">
            <v>124709.64800088973</v>
          </cell>
        </row>
        <row r="430">
          <cell r="AB430" t="str">
            <v>ExportKohlsBig One SolidUSABath76x137D</v>
          </cell>
          <cell r="AC430">
            <v>187064.47200133454</v>
          </cell>
        </row>
        <row r="431">
          <cell r="AB431" t="str">
            <v>ExportKohlsBig One SolidUSAHand41x71L</v>
          </cell>
          <cell r="AC431">
            <v>27509.481176666854</v>
          </cell>
        </row>
        <row r="432">
          <cell r="AB432" t="str">
            <v>ExportKohlsBig One SolidUSAHand41x71M</v>
          </cell>
          <cell r="AC432">
            <v>11003.79247066674</v>
          </cell>
        </row>
        <row r="433">
          <cell r="AB433" t="str">
            <v>ExportKohlsBig One SolidUSAHand41x71D</v>
          </cell>
          <cell r="AC433">
            <v>16505.688706000114</v>
          </cell>
        </row>
        <row r="434">
          <cell r="AB434" t="str">
            <v>ExportKohlsBig One SolidUSAWash30x30L</v>
          </cell>
          <cell r="AC434">
            <v>27509.481176666854</v>
          </cell>
        </row>
        <row r="435">
          <cell r="AB435" t="str">
            <v>ExportKohlsBig One SolidUSAWash30x30M</v>
          </cell>
          <cell r="AC435">
            <v>11003.79247066674</v>
          </cell>
        </row>
        <row r="436">
          <cell r="AB436" t="str">
            <v>ExportKohlsBig One SolidUSAWash30x30D</v>
          </cell>
          <cell r="AC436">
            <v>16505.688706000114</v>
          </cell>
        </row>
        <row r="437">
          <cell r="AB437" t="str">
            <v>ExportIst New Buyer00Bath76x137L</v>
          </cell>
          <cell r="AC437">
            <v>150051.71550909191</v>
          </cell>
        </row>
        <row r="438">
          <cell r="AB438" t="str">
            <v>ExportIst New Buyer00Bath76x137M</v>
          </cell>
          <cell r="AC438">
            <v>60020.686203636767</v>
          </cell>
        </row>
        <row r="439">
          <cell r="AB439" t="str">
            <v>ExportIst New Buyer00Bath76x137D</v>
          </cell>
          <cell r="AC439">
            <v>90031.029305455158</v>
          </cell>
        </row>
        <row r="440">
          <cell r="AB440" t="str">
            <v>ExportIst New Buyer00Hand41x76L</v>
          </cell>
          <cell r="AC440">
            <v>8336.2064171717739</v>
          </cell>
        </row>
        <row r="441">
          <cell r="AB441" t="str">
            <v>ExportIst New Buyer00Hand41x76M</v>
          </cell>
          <cell r="AC441">
            <v>3334.4825668687095</v>
          </cell>
        </row>
        <row r="442">
          <cell r="AB442" t="str">
            <v>ExportIst New Buyer00Hand41x76D</v>
          </cell>
          <cell r="AC442">
            <v>5001.723850303064</v>
          </cell>
        </row>
        <row r="443">
          <cell r="AB443" t="str">
            <v>ExportIst New Buyer00Wash33x33L</v>
          </cell>
          <cell r="AC443">
            <v>8336.2064171717739</v>
          </cell>
        </row>
        <row r="444">
          <cell r="AB444" t="str">
            <v>ExportIst New Buyer00Wash33x33M</v>
          </cell>
          <cell r="AC444">
            <v>3334.4825668687095</v>
          </cell>
        </row>
        <row r="445">
          <cell r="AB445" t="str">
            <v>ExportIst New Buyer00Wash33x33D</v>
          </cell>
          <cell r="AC445">
            <v>5001.723850303064</v>
          </cell>
        </row>
        <row r="446">
          <cell r="AB446" t="str">
            <v>Export2nd New Buyer00Bath76x137L</v>
          </cell>
          <cell r="AC446">
            <v>150051.71550909191</v>
          </cell>
        </row>
        <row r="447">
          <cell r="AB447" t="str">
            <v>Export2nd New Buyer00Bath76x137M</v>
          </cell>
          <cell r="AC447">
            <v>60020.686203636767</v>
          </cell>
        </row>
        <row r="448">
          <cell r="AB448" t="str">
            <v>Export2nd New Buyer00Bath76x137D</v>
          </cell>
          <cell r="AC448">
            <v>90031.029305455158</v>
          </cell>
        </row>
        <row r="449">
          <cell r="AB449" t="str">
            <v>Export2nd New Buyer00Hand41x76L</v>
          </cell>
          <cell r="AC449">
            <v>8336.2064171717739</v>
          </cell>
        </row>
        <row r="450">
          <cell r="AB450" t="str">
            <v>Export2nd New Buyer00Hand41x76M</v>
          </cell>
          <cell r="AC450">
            <v>3334.4825668687095</v>
          </cell>
        </row>
        <row r="451">
          <cell r="AB451" t="str">
            <v>Export2nd New Buyer00Hand41x76D</v>
          </cell>
          <cell r="AC451">
            <v>5001.723850303064</v>
          </cell>
        </row>
        <row r="452">
          <cell r="AB452" t="str">
            <v>Export2nd New Buyer00Wash33x33L</v>
          </cell>
          <cell r="AC452">
            <v>8336.2064171717739</v>
          </cell>
        </row>
        <row r="453">
          <cell r="AB453" t="str">
            <v>Export2nd New Buyer00Wash33x33M</v>
          </cell>
          <cell r="AC453">
            <v>3334.4825668687095</v>
          </cell>
        </row>
        <row r="454">
          <cell r="AB454" t="str">
            <v>Export2nd New Buyer00Wash33x33D</v>
          </cell>
          <cell r="AC454">
            <v>5001.723850303064</v>
          </cell>
        </row>
        <row r="455">
          <cell r="AB455" t="str">
            <v>Export3rd New Buyer00Bath0x0L</v>
          </cell>
          <cell r="AC455">
            <v>0</v>
          </cell>
        </row>
        <row r="456">
          <cell r="AB456" t="str">
            <v>Export3rd New Buyer00Bath0x0M</v>
          </cell>
          <cell r="AC456">
            <v>0</v>
          </cell>
        </row>
        <row r="457">
          <cell r="AB457" t="str">
            <v>Export3rd New Buyer00Bath0x0D</v>
          </cell>
          <cell r="AC457">
            <v>0</v>
          </cell>
        </row>
        <row r="458">
          <cell r="AB458">
            <v>0</v>
          </cell>
          <cell r="AC458">
            <v>0</v>
          </cell>
        </row>
        <row r="459">
          <cell r="AB459">
            <v>0</v>
          </cell>
          <cell r="AC459">
            <v>0</v>
          </cell>
        </row>
        <row r="460">
          <cell r="AB460" t="str">
            <v>DomesticWIL-VapiKohls Sonama0Bath76x147L</v>
          </cell>
          <cell r="AC460">
            <v>0</v>
          </cell>
        </row>
        <row r="461">
          <cell r="AB461" t="str">
            <v>DomesticWIL-VapiKohls Sonama0Hand41x76M</v>
          </cell>
          <cell r="AC461">
            <v>0</v>
          </cell>
        </row>
        <row r="462">
          <cell r="AB462" t="str">
            <v>DomesticWIL-VapiKohls Sonama0Wash33x33D</v>
          </cell>
          <cell r="AC462">
            <v>0</v>
          </cell>
        </row>
        <row r="463">
          <cell r="AB463" t="str">
            <v>DomesticZucchiBathrobe0Bathrobe285x100M</v>
          </cell>
          <cell r="AC463">
            <v>114233.50253807107</v>
          </cell>
        </row>
        <row r="464">
          <cell r="AB464" t="str">
            <v>DomesticWIL-VapiTarget Solid0Bath76x147M</v>
          </cell>
          <cell r="AC464">
            <v>108034.36548223351</v>
          </cell>
        </row>
        <row r="465">
          <cell r="AB465">
            <v>0</v>
          </cell>
          <cell r="AC465">
            <v>0</v>
          </cell>
        </row>
        <row r="466">
          <cell r="AB466">
            <v>0</v>
          </cell>
          <cell r="AC466">
            <v>0</v>
          </cell>
        </row>
        <row r="467">
          <cell r="AB467">
            <v>0</v>
          </cell>
          <cell r="AC467">
            <v>0</v>
          </cell>
        </row>
        <row r="468">
          <cell r="AB468">
            <v>0</v>
          </cell>
          <cell r="AC468">
            <v>0</v>
          </cell>
        </row>
        <row r="469">
          <cell r="AB469">
            <v>0</v>
          </cell>
          <cell r="AC469">
            <v>0</v>
          </cell>
        </row>
        <row r="470">
          <cell r="AB470">
            <v>0</v>
          </cell>
          <cell r="AC470">
            <v>3440043.5450486103</v>
          </cell>
        </row>
      </sheetData>
      <sheetData sheetId="3" refreshError="1">
        <row r="4">
          <cell r="AB4" t="str">
            <v>Key3</v>
          </cell>
          <cell r="AC4" t="str">
            <v>Q1 Sales</v>
          </cell>
          <cell r="AD4" t="str">
            <v>Q2 Sales</v>
          </cell>
          <cell r="AE4" t="str">
            <v>Q3 Sales</v>
          </cell>
          <cell r="AF4" t="str">
            <v>Q4 Sales</v>
          </cell>
          <cell r="AG4" t="str">
            <v>Full Year</v>
          </cell>
        </row>
        <row r="5">
          <cell r="AB5" t="str">
            <v>ExportTargetWaverlyUSABath76x142L</v>
          </cell>
          <cell r="AC5">
            <v>216750</v>
          </cell>
          <cell r="AD5">
            <v>216750</v>
          </cell>
          <cell r="AE5">
            <v>216750</v>
          </cell>
          <cell r="AF5">
            <v>216750</v>
          </cell>
          <cell r="AG5">
            <v>867000</v>
          </cell>
        </row>
        <row r="6">
          <cell r="AB6" t="str">
            <v>ExportTargetWaverlyUSABath76x142M</v>
          </cell>
          <cell r="AC6">
            <v>86700</v>
          </cell>
          <cell r="AD6">
            <v>86700</v>
          </cell>
          <cell r="AE6">
            <v>86700</v>
          </cell>
          <cell r="AF6">
            <v>86700</v>
          </cell>
          <cell r="AG6">
            <v>346800</v>
          </cell>
        </row>
        <row r="7">
          <cell r="AB7" t="str">
            <v>ExportTargetWaverlyUSABath76x142D</v>
          </cell>
          <cell r="AC7">
            <v>130050</v>
          </cell>
          <cell r="AD7">
            <v>130050</v>
          </cell>
          <cell r="AE7">
            <v>130050</v>
          </cell>
          <cell r="AF7">
            <v>130050</v>
          </cell>
          <cell r="AG7">
            <v>520200</v>
          </cell>
        </row>
        <row r="8">
          <cell r="AB8" t="str">
            <v>ExportTargetWaverlyUSAHand41x76L</v>
          </cell>
          <cell r="AC8">
            <v>19125</v>
          </cell>
          <cell r="AD8">
            <v>19125</v>
          </cell>
          <cell r="AE8">
            <v>19125</v>
          </cell>
          <cell r="AF8">
            <v>19125</v>
          </cell>
          <cell r="AG8">
            <v>76500</v>
          </cell>
        </row>
        <row r="9">
          <cell r="AB9" t="str">
            <v>ExportTargetWaverlyUSAHand41x76M</v>
          </cell>
          <cell r="AC9">
            <v>7650</v>
          </cell>
          <cell r="AD9">
            <v>7650</v>
          </cell>
          <cell r="AE9">
            <v>7650</v>
          </cell>
          <cell r="AF9">
            <v>7650</v>
          </cell>
          <cell r="AG9">
            <v>30600</v>
          </cell>
        </row>
        <row r="10">
          <cell r="AB10" t="str">
            <v>ExportTargetWaverlyUSAHand41x76D</v>
          </cell>
          <cell r="AC10">
            <v>11475</v>
          </cell>
          <cell r="AD10">
            <v>11475</v>
          </cell>
          <cell r="AE10">
            <v>11475</v>
          </cell>
          <cell r="AF10">
            <v>11475</v>
          </cell>
          <cell r="AG10">
            <v>45900</v>
          </cell>
        </row>
        <row r="11">
          <cell r="AB11" t="str">
            <v>ExportTargetWaverlyUSAWash30x30L</v>
          </cell>
          <cell r="AC11">
            <v>19125</v>
          </cell>
          <cell r="AD11">
            <v>19125</v>
          </cell>
          <cell r="AE11">
            <v>19125</v>
          </cell>
          <cell r="AF11">
            <v>19125</v>
          </cell>
          <cell r="AG11">
            <v>76500</v>
          </cell>
        </row>
        <row r="12">
          <cell r="AB12" t="str">
            <v>ExportTargetWaverlyUSAWash30x30M</v>
          </cell>
          <cell r="AC12">
            <v>7650</v>
          </cell>
          <cell r="AD12">
            <v>7650</v>
          </cell>
          <cell r="AE12">
            <v>7650</v>
          </cell>
          <cell r="AF12">
            <v>7650</v>
          </cell>
          <cell r="AG12">
            <v>30600</v>
          </cell>
        </row>
        <row r="13">
          <cell r="AB13" t="str">
            <v>ExportTargetWaverlyUSAWash30x30D</v>
          </cell>
          <cell r="AC13">
            <v>11475</v>
          </cell>
          <cell r="AD13">
            <v>11475</v>
          </cell>
          <cell r="AE13">
            <v>11475</v>
          </cell>
          <cell r="AF13">
            <v>11475</v>
          </cell>
          <cell r="AG13">
            <v>45900</v>
          </cell>
        </row>
        <row r="14">
          <cell r="AB14" t="str">
            <v>ExportWalmartHome TrendsUSABath76x132L</v>
          </cell>
          <cell r="AC14">
            <v>276250</v>
          </cell>
          <cell r="AD14">
            <v>318750</v>
          </cell>
          <cell r="AE14">
            <v>318750</v>
          </cell>
          <cell r="AF14">
            <v>318750</v>
          </cell>
          <cell r="AG14">
            <v>1232500</v>
          </cell>
        </row>
        <row r="15">
          <cell r="AB15" t="str">
            <v>ExportWalmartHome TrendsUSABath76x132M</v>
          </cell>
          <cell r="AC15">
            <v>110500</v>
          </cell>
          <cell r="AD15">
            <v>127500</v>
          </cell>
          <cell r="AE15">
            <v>127500</v>
          </cell>
          <cell r="AF15">
            <v>127500</v>
          </cell>
          <cell r="AG15">
            <v>493000</v>
          </cell>
        </row>
        <row r="16">
          <cell r="AB16" t="str">
            <v>ExportWalmartHome TrendsUSABath76x132D</v>
          </cell>
          <cell r="AC16">
            <v>165750</v>
          </cell>
          <cell r="AD16">
            <v>191250</v>
          </cell>
          <cell r="AE16">
            <v>191250</v>
          </cell>
          <cell r="AF16">
            <v>191250</v>
          </cell>
          <cell r="AG16">
            <v>739500</v>
          </cell>
        </row>
        <row r="17">
          <cell r="AB17" t="str">
            <v>ExportWalmartHome TrendsUSAHand41x69L</v>
          </cell>
          <cell r="AC17">
            <v>24375</v>
          </cell>
          <cell r="AD17">
            <v>28125</v>
          </cell>
          <cell r="AE17">
            <v>28125</v>
          </cell>
          <cell r="AF17">
            <v>28125</v>
          </cell>
          <cell r="AG17">
            <v>108750</v>
          </cell>
        </row>
        <row r="18">
          <cell r="AB18" t="str">
            <v>ExportWalmartHome TrendsUSAHand41x69M</v>
          </cell>
          <cell r="AC18">
            <v>9750</v>
          </cell>
          <cell r="AD18">
            <v>11250</v>
          </cell>
          <cell r="AE18">
            <v>11250</v>
          </cell>
          <cell r="AF18">
            <v>11250</v>
          </cell>
          <cell r="AG18">
            <v>43500</v>
          </cell>
        </row>
        <row r="19">
          <cell r="AB19" t="str">
            <v>ExportWalmartHome TrendsUSAHand41x69D</v>
          </cell>
          <cell r="AC19">
            <v>14625</v>
          </cell>
          <cell r="AD19">
            <v>16875</v>
          </cell>
          <cell r="AE19">
            <v>16875</v>
          </cell>
          <cell r="AF19">
            <v>16875</v>
          </cell>
          <cell r="AG19">
            <v>65250</v>
          </cell>
        </row>
        <row r="20">
          <cell r="AB20" t="str">
            <v>ExportWalmartHome TrendsUSAWash33x33L</v>
          </cell>
          <cell r="AC20">
            <v>24375</v>
          </cell>
          <cell r="AD20">
            <v>28125</v>
          </cell>
          <cell r="AE20">
            <v>28125</v>
          </cell>
          <cell r="AF20">
            <v>28125</v>
          </cell>
          <cell r="AG20">
            <v>108750</v>
          </cell>
        </row>
        <row r="21">
          <cell r="AB21" t="str">
            <v>ExportWalmartHome TrendsUSAWash33x33M</v>
          </cell>
          <cell r="AC21">
            <v>9750</v>
          </cell>
          <cell r="AD21">
            <v>11250</v>
          </cell>
          <cell r="AE21">
            <v>11250</v>
          </cell>
          <cell r="AF21">
            <v>11250</v>
          </cell>
          <cell r="AG21">
            <v>43500</v>
          </cell>
        </row>
        <row r="22">
          <cell r="AB22" t="str">
            <v>ExportWalmartHome TrendsUSAWash33x33D</v>
          </cell>
          <cell r="AC22">
            <v>14625</v>
          </cell>
          <cell r="AD22">
            <v>16875</v>
          </cell>
          <cell r="AE22">
            <v>16875</v>
          </cell>
          <cell r="AF22">
            <v>16875</v>
          </cell>
          <cell r="AG22">
            <v>65250</v>
          </cell>
        </row>
        <row r="23">
          <cell r="AB23" t="str">
            <v>ExportMill WorkingCannon LandmarkUSABath76x137L</v>
          </cell>
          <cell r="AC23">
            <v>27000</v>
          </cell>
          <cell r="AD23">
            <v>27000</v>
          </cell>
          <cell r="AE23">
            <v>27000</v>
          </cell>
          <cell r="AF23">
            <v>27000</v>
          </cell>
          <cell r="AG23">
            <v>108000</v>
          </cell>
        </row>
        <row r="24">
          <cell r="AB24" t="str">
            <v>ExportMill WorkingCannon LandmarkUSABath76x137M</v>
          </cell>
          <cell r="AC24">
            <v>10800</v>
          </cell>
          <cell r="AD24">
            <v>10800</v>
          </cell>
          <cell r="AE24">
            <v>10800</v>
          </cell>
          <cell r="AF24">
            <v>10800</v>
          </cell>
          <cell r="AG24">
            <v>43200</v>
          </cell>
        </row>
        <row r="25">
          <cell r="AB25" t="str">
            <v>ExportMill WorkingCannon LandmarkUSABath76x137D</v>
          </cell>
          <cell r="AC25">
            <v>16200</v>
          </cell>
          <cell r="AD25">
            <v>16200</v>
          </cell>
          <cell r="AE25">
            <v>16200</v>
          </cell>
          <cell r="AF25">
            <v>16200</v>
          </cell>
          <cell r="AG25">
            <v>64800</v>
          </cell>
        </row>
        <row r="26">
          <cell r="AB26" t="str">
            <v>ExportMill WorkingCannon LandmarkUSAHand41x76L</v>
          </cell>
          <cell r="AC26">
            <v>1500</v>
          </cell>
          <cell r="AD26">
            <v>1500</v>
          </cell>
          <cell r="AE26">
            <v>1500</v>
          </cell>
          <cell r="AF26">
            <v>1500</v>
          </cell>
          <cell r="AG26">
            <v>6000</v>
          </cell>
        </row>
        <row r="27">
          <cell r="AB27" t="str">
            <v>ExportMill WorkingCannon LandmarkUSAHand41x76M</v>
          </cell>
          <cell r="AC27">
            <v>600</v>
          </cell>
          <cell r="AD27">
            <v>600</v>
          </cell>
          <cell r="AE27">
            <v>600</v>
          </cell>
          <cell r="AF27">
            <v>600</v>
          </cell>
          <cell r="AG27">
            <v>2400</v>
          </cell>
        </row>
        <row r="28">
          <cell r="AB28" t="str">
            <v>ExportMill WorkingCannon LandmarkUSAHand41x76D</v>
          </cell>
          <cell r="AC28">
            <v>900</v>
          </cell>
          <cell r="AD28">
            <v>900</v>
          </cell>
          <cell r="AE28">
            <v>900</v>
          </cell>
          <cell r="AF28">
            <v>900</v>
          </cell>
          <cell r="AG28">
            <v>3600</v>
          </cell>
        </row>
        <row r="29">
          <cell r="AB29" t="str">
            <v>ExportMill WorkingCannon LandmarkUSAWash33x33L</v>
          </cell>
          <cell r="AC29">
            <v>1500</v>
          </cell>
          <cell r="AD29">
            <v>1500</v>
          </cell>
          <cell r="AE29">
            <v>1500</v>
          </cell>
          <cell r="AF29">
            <v>1500</v>
          </cell>
          <cell r="AG29">
            <v>6000</v>
          </cell>
        </row>
        <row r="30">
          <cell r="AB30" t="str">
            <v>ExportMill WorkingCannon LandmarkUSAWash33x33M</v>
          </cell>
          <cell r="AC30">
            <v>600</v>
          </cell>
          <cell r="AD30">
            <v>600</v>
          </cell>
          <cell r="AE30">
            <v>600</v>
          </cell>
          <cell r="AF30">
            <v>600</v>
          </cell>
          <cell r="AG30">
            <v>2400</v>
          </cell>
        </row>
        <row r="31">
          <cell r="AB31" t="str">
            <v>ExportMill WorkingCannon LandmarkUSAWash33x33D</v>
          </cell>
          <cell r="AC31">
            <v>900</v>
          </cell>
          <cell r="AD31">
            <v>900</v>
          </cell>
          <cell r="AE31">
            <v>900</v>
          </cell>
          <cell r="AF31">
            <v>900</v>
          </cell>
          <cell r="AG31">
            <v>3600</v>
          </cell>
        </row>
        <row r="32">
          <cell r="AB32" t="str">
            <v>ExportMill WorkingCannon MilestoneUSABath76x137L</v>
          </cell>
          <cell r="AC32">
            <v>27000</v>
          </cell>
          <cell r="AD32">
            <v>27000</v>
          </cell>
          <cell r="AE32">
            <v>27000</v>
          </cell>
          <cell r="AF32">
            <v>27000</v>
          </cell>
          <cell r="AG32">
            <v>108000</v>
          </cell>
        </row>
        <row r="33">
          <cell r="AB33" t="str">
            <v>ExportMill WorkingCannon MilestoneUSABath76x137M</v>
          </cell>
          <cell r="AC33">
            <v>10800</v>
          </cell>
          <cell r="AD33">
            <v>10800</v>
          </cell>
          <cell r="AE33">
            <v>10800</v>
          </cell>
          <cell r="AF33">
            <v>10800</v>
          </cell>
          <cell r="AG33">
            <v>43200</v>
          </cell>
        </row>
        <row r="34">
          <cell r="AB34" t="str">
            <v>ExportMill WorkingCannon MilestoneUSABath76x137D</v>
          </cell>
          <cell r="AC34">
            <v>16200</v>
          </cell>
          <cell r="AD34">
            <v>16200</v>
          </cell>
          <cell r="AE34">
            <v>16200</v>
          </cell>
          <cell r="AF34">
            <v>16200</v>
          </cell>
          <cell r="AG34">
            <v>64800</v>
          </cell>
        </row>
        <row r="35">
          <cell r="AB35" t="str">
            <v>ExportMill WorkingCannon MilestoneUSAHand41x76L</v>
          </cell>
          <cell r="AC35">
            <v>1500</v>
          </cell>
          <cell r="AD35">
            <v>1500</v>
          </cell>
          <cell r="AE35">
            <v>1500</v>
          </cell>
          <cell r="AF35">
            <v>1500</v>
          </cell>
          <cell r="AG35">
            <v>6000</v>
          </cell>
        </row>
        <row r="36">
          <cell r="AB36" t="str">
            <v>ExportMill WorkingCannon MilestoneUSAHand41x76M</v>
          </cell>
          <cell r="AC36">
            <v>600</v>
          </cell>
          <cell r="AD36">
            <v>600</v>
          </cell>
          <cell r="AE36">
            <v>600</v>
          </cell>
          <cell r="AF36">
            <v>600</v>
          </cell>
          <cell r="AG36">
            <v>2400</v>
          </cell>
        </row>
        <row r="37">
          <cell r="AB37" t="str">
            <v>ExportMill WorkingCannon MilestoneUSAHand41x76D</v>
          </cell>
          <cell r="AC37">
            <v>900</v>
          </cell>
          <cell r="AD37">
            <v>900</v>
          </cell>
          <cell r="AE37">
            <v>900</v>
          </cell>
          <cell r="AF37">
            <v>900</v>
          </cell>
          <cell r="AG37">
            <v>3600</v>
          </cell>
        </row>
        <row r="38">
          <cell r="AB38" t="str">
            <v>ExportMill WorkingCannon MilestoneUSAWash33x33L</v>
          </cell>
          <cell r="AC38">
            <v>1500</v>
          </cell>
          <cell r="AD38">
            <v>1500</v>
          </cell>
          <cell r="AE38">
            <v>1500</v>
          </cell>
          <cell r="AF38">
            <v>1500</v>
          </cell>
          <cell r="AG38">
            <v>6000</v>
          </cell>
        </row>
        <row r="39">
          <cell r="AB39" t="str">
            <v>ExportMill WorkingCannon MilestoneUSAWash33x33M</v>
          </cell>
          <cell r="AC39">
            <v>600</v>
          </cell>
          <cell r="AD39">
            <v>600</v>
          </cell>
          <cell r="AE39">
            <v>600</v>
          </cell>
          <cell r="AF39">
            <v>600</v>
          </cell>
          <cell r="AG39">
            <v>2400</v>
          </cell>
        </row>
        <row r="40">
          <cell r="AB40" t="str">
            <v>ExportMill WorkingCannon MilestoneUSAWash33x33D</v>
          </cell>
          <cell r="AC40">
            <v>900</v>
          </cell>
          <cell r="AD40">
            <v>900</v>
          </cell>
          <cell r="AE40">
            <v>900</v>
          </cell>
          <cell r="AF40">
            <v>900</v>
          </cell>
          <cell r="AG40">
            <v>3600</v>
          </cell>
        </row>
        <row r="41">
          <cell r="AB41" t="str">
            <v>ExportWelspun USAEsplamaUSABath76x137L</v>
          </cell>
          <cell r="AC41">
            <v>0</v>
          </cell>
          <cell r="AD41">
            <v>1750</v>
          </cell>
          <cell r="AE41">
            <v>5250</v>
          </cell>
          <cell r="AF41">
            <v>5250</v>
          </cell>
          <cell r="AG41">
            <v>12250</v>
          </cell>
        </row>
        <row r="42">
          <cell r="AB42" t="str">
            <v>ExportWelspun USAEsplamaUSABath76x137M</v>
          </cell>
          <cell r="AC42">
            <v>0</v>
          </cell>
          <cell r="AD42">
            <v>700</v>
          </cell>
          <cell r="AE42">
            <v>2100</v>
          </cell>
          <cell r="AF42">
            <v>2100</v>
          </cell>
          <cell r="AG42">
            <v>4900</v>
          </cell>
        </row>
        <row r="43">
          <cell r="AB43" t="str">
            <v>ExportWelspun USAEsplamaUSABath76x137D</v>
          </cell>
          <cell r="AC43">
            <v>0</v>
          </cell>
          <cell r="AD43">
            <v>1050</v>
          </cell>
          <cell r="AE43">
            <v>3150</v>
          </cell>
          <cell r="AF43">
            <v>3150</v>
          </cell>
          <cell r="AG43">
            <v>7350</v>
          </cell>
        </row>
        <row r="44">
          <cell r="AB44" t="str">
            <v>ExportWelspun USAEsplamaUSAHand41x71L</v>
          </cell>
          <cell r="AC44">
            <v>0</v>
          </cell>
          <cell r="AD44">
            <v>500</v>
          </cell>
          <cell r="AE44">
            <v>1500</v>
          </cell>
          <cell r="AF44">
            <v>1500</v>
          </cell>
          <cell r="AG44">
            <v>3500</v>
          </cell>
        </row>
        <row r="45">
          <cell r="AB45" t="str">
            <v>ExportWelspun USAEsplamaUSAHand41x71M</v>
          </cell>
          <cell r="AC45">
            <v>0</v>
          </cell>
          <cell r="AD45">
            <v>200</v>
          </cell>
          <cell r="AE45">
            <v>600</v>
          </cell>
          <cell r="AF45">
            <v>600</v>
          </cell>
          <cell r="AG45">
            <v>1400</v>
          </cell>
        </row>
        <row r="46">
          <cell r="AB46" t="str">
            <v>ExportWelspun USAEsplamaUSAHand41x71D</v>
          </cell>
          <cell r="AC46">
            <v>0</v>
          </cell>
          <cell r="AD46">
            <v>300</v>
          </cell>
          <cell r="AE46">
            <v>900</v>
          </cell>
          <cell r="AF46">
            <v>900</v>
          </cell>
          <cell r="AG46">
            <v>2100</v>
          </cell>
        </row>
        <row r="47">
          <cell r="AB47" t="str">
            <v>ExportWelspun USAEsplamaUSAWash33x33L</v>
          </cell>
          <cell r="AC47">
            <v>0</v>
          </cell>
          <cell r="AD47">
            <v>250</v>
          </cell>
          <cell r="AE47">
            <v>750</v>
          </cell>
          <cell r="AF47">
            <v>750</v>
          </cell>
          <cell r="AG47">
            <v>1750</v>
          </cell>
        </row>
        <row r="48">
          <cell r="AB48" t="str">
            <v>ExportWelspun USAEsplamaUSAWash33x33M</v>
          </cell>
          <cell r="AC48">
            <v>0</v>
          </cell>
          <cell r="AD48">
            <v>100</v>
          </cell>
          <cell r="AE48">
            <v>300</v>
          </cell>
          <cell r="AF48">
            <v>300</v>
          </cell>
          <cell r="AG48">
            <v>700</v>
          </cell>
        </row>
        <row r="49">
          <cell r="AB49" t="str">
            <v>ExportWelspun USAEsplamaUSAWash33x33D</v>
          </cell>
          <cell r="AC49">
            <v>0</v>
          </cell>
          <cell r="AD49">
            <v>150</v>
          </cell>
          <cell r="AE49">
            <v>450</v>
          </cell>
          <cell r="AF49">
            <v>450</v>
          </cell>
          <cell r="AG49">
            <v>1050</v>
          </cell>
        </row>
        <row r="50">
          <cell r="AB50" t="str">
            <v>ExportLNTManorUSABath76x147L</v>
          </cell>
          <cell r="AC50">
            <v>0</v>
          </cell>
          <cell r="AD50">
            <v>0</v>
          </cell>
          <cell r="AE50">
            <v>0</v>
          </cell>
          <cell r="AF50">
            <v>0</v>
          </cell>
          <cell r="AG50">
            <v>0</v>
          </cell>
        </row>
        <row r="51">
          <cell r="AB51" t="str">
            <v>ExportLNTManorUSABath76x147M</v>
          </cell>
          <cell r="AC51">
            <v>0</v>
          </cell>
          <cell r="AD51">
            <v>0</v>
          </cell>
          <cell r="AE51">
            <v>0</v>
          </cell>
          <cell r="AF51">
            <v>0</v>
          </cell>
          <cell r="AG51">
            <v>0</v>
          </cell>
        </row>
        <row r="52">
          <cell r="AB52" t="str">
            <v>ExportLNTManorUSABath76x147D</v>
          </cell>
          <cell r="AC52">
            <v>0</v>
          </cell>
          <cell r="AD52">
            <v>0</v>
          </cell>
          <cell r="AE52">
            <v>0</v>
          </cell>
          <cell r="AF52">
            <v>0</v>
          </cell>
          <cell r="AG52">
            <v>0</v>
          </cell>
        </row>
        <row r="53">
          <cell r="AB53" t="str">
            <v>ExportLNTManorUSAHand51x76L</v>
          </cell>
          <cell r="AC53">
            <v>0</v>
          </cell>
          <cell r="AD53">
            <v>0</v>
          </cell>
          <cell r="AE53">
            <v>0</v>
          </cell>
          <cell r="AF53">
            <v>0</v>
          </cell>
          <cell r="AG53">
            <v>0</v>
          </cell>
        </row>
        <row r="54">
          <cell r="AB54" t="str">
            <v>ExportLNTManorUSAHand51x76M</v>
          </cell>
          <cell r="AC54">
            <v>0</v>
          </cell>
          <cell r="AD54">
            <v>0</v>
          </cell>
          <cell r="AE54">
            <v>0</v>
          </cell>
          <cell r="AF54">
            <v>0</v>
          </cell>
          <cell r="AG54">
            <v>0</v>
          </cell>
        </row>
        <row r="55">
          <cell r="AB55" t="str">
            <v>ExportLNTManorUSAHand51x76D</v>
          </cell>
          <cell r="AC55">
            <v>0</v>
          </cell>
          <cell r="AD55">
            <v>0</v>
          </cell>
          <cell r="AE55">
            <v>0</v>
          </cell>
          <cell r="AF55">
            <v>0</v>
          </cell>
          <cell r="AG55">
            <v>0</v>
          </cell>
        </row>
        <row r="56">
          <cell r="AB56" t="str">
            <v>ExportLNTManorUSAWash33x33L</v>
          </cell>
          <cell r="AC56">
            <v>0</v>
          </cell>
          <cell r="AD56">
            <v>0</v>
          </cell>
          <cell r="AE56">
            <v>0</v>
          </cell>
          <cell r="AF56">
            <v>0</v>
          </cell>
          <cell r="AG56">
            <v>0</v>
          </cell>
        </row>
        <row r="57">
          <cell r="AB57" t="str">
            <v>ExportLNTManorUSAWash33x33M</v>
          </cell>
          <cell r="AC57">
            <v>0</v>
          </cell>
          <cell r="AD57">
            <v>0</v>
          </cell>
          <cell r="AE57">
            <v>0</v>
          </cell>
          <cell r="AF57">
            <v>0</v>
          </cell>
          <cell r="AG57">
            <v>0</v>
          </cell>
        </row>
        <row r="58">
          <cell r="AB58" t="str">
            <v>ExportLNTManorUSAWash33x33D</v>
          </cell>
          <cell r="AC58">
            <v>0</v>
          </cell>
          <cell r="AD58">
            <v>0</v>
          </cell>
          <cell r="AE58">
            <v>0</v>
          </cell>
          <cell r="AF58">
            <v>0</v>
          </cell>
          <cell r="AG58">
            <v>0</v>
          </cell>
        </row>
        <row r="59">
          <cell r="AB59" t="str">
            <v>ExportLNTNewUSABath76x147L</v>
          </cell>
          <cell r="AC59">
            <v>0</v>
          </cell>
          <cell r="AD59">
            <v>47250</v>
          </cell>
          <cell r="AE59">
            <v>20250</v>
          </cell>
          <cell r="AF59">
            <v>20250</v>
          </cell>
          <cell r="AG59">
            <v>87750</v>
          </cell>
        </row>
        <row r="60">
          <cell r="AB60" t="str">
            <v>ExportLNTNewUSABath76x147M</v>
          </cell>
          <cell r="AC60">
            <v>0</v>
          </cell>
          <cell r="AD60">
            <v>18900</v>
          </cell>
          <cell r="AE60">
            <v>8100</v>
          </cell>
          <cell r="AF60">
            <v>8100</v>
          </cell>
          <cell r="AG60">
            <v>35100</v>
          </cell>
        </row>
        <row r="61">
          <cell r="AB61" t="str">
            <v>ExportLNTNewUSABath76x147D</v>
          </cell>
          <cell r="AC61">
            <v>0</v>
          </cell>
          <cell r="AD61">
            <v>28350</v>
          </cell>
          <cell r="AE61">
            <v>12150</v>
          </cell>
          <cell r="AF61">
            <v>12150</v>
          </cell>
          <cell r="AG61">
            <v>52650</v>
          </cell>
        </row>
        <row r="62">
          <cell r="AB62" t="str">
            <v>ExportLNTNewUSAHand51x76L</v>
          </cell>
          <cell r="AC62">
            <v>0</v>
          </cell>
          <cell r="AD62">
            <v>2625</v>
          </cell>
          <cell r="AE62">
            <v>1125</v>
          </cell>
          <cell r="AF62">
            <v>1125</v>
          </cell>
          <cell r="AG62">
            <v>4875</v>
          </cell>
        </row>
        <row r="63">
          <cell r="AB63" t="str">
            <v>ExportLNTNewUSAHand51x76M</v>
          </cell>
          <cell r="AC63">
            <v>0</v>
          </cell>
          <cell r="AD63">
            <v>1050</v>
          </cell>
          <cell r="AE63">
            <v>450</v>
          </cell>
          <cell r="AF63">
            <v>450</v>
          </cell>
          <cell r="AG63">
            <v>1950</v>
          </cell>
        </row>
        <row r="64">
          <cell r="AB64" t="str">
            <v>ExportLNTNewUSAHand51x76D</v>
          </cell>
          <cell r="AC64">
            <v>0</v>
          </cell>
          <cell r="AD64">
            <v>1575</v>
          </cell>
          <cell r="AE64">
            <v>675</v>
          </cell>
          <cell r="AF64">
            <v>675</v>
          </cell>
          <cell r="AG64">
            <v>2925</v>
          </cell>
        </row>
        <row r="65">
          <cell r="AB65" t="str">
            <v>ExportLNTNewUSAWash33x33L</v>
          </cell>
          <cell r="AC65">
            <v>0</v>
          </cell>
          <cell r="AD65">
            <v>2625</v>
          </cell>
          <cell r="AE65">
            <v>1125</v>
          </cell>
          <cell r="AF65">
            <v>1125</v>
          </cell>
          <cell r="AG65">
            <v>4875</v>
          </cell>
        </row>
        <row r="66">
          <cell r="AB66" t="str">
            <v>ExportLNTNewUSAWash33x33M</v>
          </cell>
          <cell r="AC66">
            <v>0</v>
          </cell>
          <cell r="AD66">
            <v>1050</v>
          </cell>
          <cell r="AE66">
            <v>450</v>
          </cell>
          <cell r="AF66">
            <v>450</v>
          </cell>
          <cell r="AG66">
            <v>1950</v>
          </cell>
        </row>
        <row r="67">
          <cell r="AB67" t="str">
            <v>ExportLNTNewUSAWash33x33D</v>
          </cell>
          <cell r="AC67">
            <v>0</v>
          </cell>
          <cell r="AD67">
            <v>1575</v>
          </cell>
          <cell r="AE67">
            <v>675</v>
          </cell>
          <cell r="AF67">
            <v>675</v>
          </cell>
          <cell r="AG67">
            <v>2925</v>
          </cell>
        </row>
        <row r="68">
          <cell r="AB68" t="str">
            <v>ExportKohlsBig One StripeUSABath76x137L</v>
          </cell>
          <cell r="AC68">
            <v>0</v>
          </cell>
          <cell r="AD68">
            <v>82875</v>
          </cell>
          <cell r="AE68">
            <v>82875</v>
          </cell>
          <cell r="AF68">
            <v>82875</v>
          </cell>
          <cell r="AG68">
            <v>248625</v>
          </cell>
        </row>
        <row r="69">
          <cell r="AB69" t="str">
            <v>ExportKohlsBig One StripeUSABath76x137M</v>
          </cell>
          <cell r="AC69">
            <v>0</v>
          </cell>
          <cell r="AD69">
            <v>33150</v>
          </cell>
          <cell r="AE69">
            <v>33150</v>
          </cell>
          <cell r="AF69">
            <v>33150</v>
          </cell>
          <cell r="AG69">
            <v>99450</v>
          </cell>
        </row>
        <row r="70">
          <cell r="AB70" t="str">
            <v>ExportKohlsBig One StripeUSABath76x137D</v>
          </cell>
          <cell r="AC70">
            <v>0</v>
          </cell>
          <cell r="AD70">
            <v>49725</v>
          </cell>
          <cell r="AE70">
            <v>49725</v>
          </cell>
          <cell r="AF70">
            <v>49725</v>
          </cell>
          <cell r="AG70">
            <v>149175</v>
          </cell>
        </row>
        <row r="71">
          <cell r="AB71" t="str">
            <v>ExportKohlsBig One StripeUSAHand41x71L</v>
          </cell>
          <cell r="AC71">
            <v>0</v>
          </cell>
          <cell r="AD71">
            <v>7312.5</v>
          </cell>
          <cell r="AE71">
            <v>7312.5</v>
          </cell>
          <cell r="AF71">
            <v>7312.5</v>
          </cell>
          <cell r="AG71">
            <v>21937.5</v>
          </cell>
        </row>
        <row r="72">
          <cell r="AB72" t="str">
            <v>ExportKohlsBig One StripeUSAHand41x71M</v>
          </cell>
          <cell r="AC72">
            <v>0</v>
          </cell>
          <cell r="AD72">
            <v>2925</v>
          </cell>
          <cell r="AE72">
            <v>2925</v>
          </cell>
          <cell r="AF72">
            <v>2925</v>
          </cell>
          <cell r="AG72">
            <v>8775</v>
          </cell>
        </row>
        <row r="73">
          <cell r="AB73" t="str">
            <v>ExportKohlsBig One StripeUSAHand41x71D</v>
          </cell>
          <cell r="AC73">
            <v>0</v>
          </cell>
          <cell r="AD73">
            <v>4387.5</v>
          </cell>
          <cell r="AE73">
            <v>4387.5</v>
          </cell>
          <cell r="AF73">
            <v>4387.5</v>
          </cell>
          <cell r="AG73">
            <v>13162.5</v>
          </cell>
        </row>
        <row r="74">
          <cell r="AB74" t="str">
            <v>ExportKohlsBig One StripeUSAWash30x30L</v>
          </cell>
          <cell r="AC74">
            <v>0</v>
          </cell>
          <cell r="AD74">
            <v>7312.5</v>
          </cell>
          <cell r="AE74">
            <v>7312.5</v>
          </cell>
          <cell r="AF74">
            <v>7312.5</v>
          </cell>
          <cell r="AG74">
            <v>21937.5</v>
          </cell>
        </row>
        <row r="75">
          <cell r="AB75" t="str">
            <v>ExportKohlsBig One StripeUSAWash30x30M</v>
          </cell>
          <cell r="AC75">
            <v>0</v>
          </cell>
          <cell r="AD75">
            <v>2925</v>
          </cell>
          <cell r="AE75">
            <v>2925</v>
          </cell>
          <cell r="AF75">
            <v>2925</v>
          </cell>
          <cell r="AG75">
            <v>8775</v>
          </cell>
        </row>
        <row r="76">
          <cell r="AB76" t="str">
            <v>ExportKohlsBig One StripeUSAWash30x30D</v>
          </cell>
          <cell r="AC76">
            <v>0</v>
          </cell>
          <cell r="AD76">
            <v>4387.5</v>
          </cell>
          <cell r="AE76">
            <v>4387.5</v>
          </cell>
          <cell r="AF76">
            <v>4387.5</v>
          </cell>
          <cell r="AG76">
            <v>13162.5</v>
          </cell>
        </row>
        <row r="77">
          <cell r="AB77" t="str">
            <v>ExportKohlsBig One SolidUSABath76x137L</v>
          </cell>
          <cell r="AC77">
            <v>280500</v>
          </cell>
          <cell r="AD77">
            <v>280500</v>
          </cell>
          <cell r="AE77">
            <v>280500</v>
          </cell>
          <cell r="AF77">
            <v>280500</v>
          </cell>
          <cell r="AG77">
            <v>1122000</v>
          </cell>
        </row>
        <row r="78">
          <cell r="AB78" t="str">
            <v>ExportKohlsBig One SolidUSABath76x137M</v>
          </cell>
          <cell r="AC78">
            <v>112200</v>
          </cell>
          <cell r="AD78">
            <v>112200</v>
          </cell>
          <cell r="AE78">
            <v>112200</v>
          </cell>
          <cell r="AF78">
            <v>112200</v>
          </cell>
          <cell r="AG78">
            <v>448800</v>
          </cell>
        </row>
        <row r="79">
          <cell r="AB79" t="str">
            <v>ExportKohlsBig One SolidUSABath76x137D</v>
          </cell>
          <cell r="AC79">
            <v>168300</v>
          </cell>
          <cell r="AD79">
            <v>168300</v>
          </cell>
          <cell r="AE79">
            <v>168300</v>
          </cell>
          <cell r="AF79">
            <v>168300</v>
          </cell>
          <cell r="AG79">
            <v>673200</v>
          </cell>
        </row>
        <row r="80">
          <cell r="AB80" t="str">
            <v>ExportKohlsBig One SolidUSAHand41x71L</v>
          </cell>
          <cell r="AC80">
            <v>24750</v>
          </cell>
          <cell r="AD80">
            <v>24750</v>
          </cell>
          <cell r="AE80">
            <v>24750</v>
          </cell>
          <cell r="AF80">
            <v>24750</v>
          </cell>
          <cell r="AG80">
            <v>99000</v>
          </cell>
        </row>
        <row r="81">
          <cell r="AB81" t="str">
            <v>ExportKohlsBig One SolidUSAHand41x71M</v>
          </cell>
          <cell r="AC81">
            <v>9900</v>
          </cell>
          <cell r="AD81">
            <v>9900</v>
          </cell>
          <cell r="AE81">
            <v>9900</v>
          </cell>
          <cell r="AF81">
            <v>9900</v>
          </cell>
          <cell r="AG81">
            <v>39600</v>
          </cell>
        </row>
        <row r="82">
          <cell r="AB82" t="str">
            <v>ExportKohlsBig One SolidUSAHand41x71D</v>
          </cell>
          <cell r="AC82">
            <v>14850</v>
          </cell>
          <cell r="AD82">
            <v>14850</v>
          </cell>
          <cell r="AE82">
            <v>14850</v>
          </cell>
          <cell r="AF82">
            <v>14850</v>
          </cell>
          <cell r="AG82">
            <v>59400</v>
          </cell>
        </row>
        <row r="83">
          <cell r="AB83" t="str">
            <v>ExportKohlsBig One SolidUSAWash30x30L</v>
          </cell>
          <cell r="AC83">
            <v>24750</v>
          </cell>
          <cell r="AD83">
            <v>24750</v>
          </cell>
          <cell r="AE83">
            <v>24750</v>
          </cell>
          <cell r="AF83">
            <v>24750</v>
          </cell>
          <cell r="AG83">
            <v>99000</v>
          </cell>
        </row>
        <row r="84">
          <cell r="AB84" t="str">
            <v>ExportKohlsBig One SolidUSAWash30x30M</v>
          </cell>
          <cell r="AC84">
            <v>9900</v>
          </cell>
          <cell r="AD84">
            <v>9900</v>
          </cell>
          <cell r="AE84">
            <v>9900</v>
          </cell>
          <cell r="AF84">
            <v>9900</v>
          </cell>
          <cell r="AG84">
            <v>39600</v>
          </cell>
        </row>
        <row r="85">
          <cell r="AB85" t="str">
            <v>ExportKohlsBig One SolidUSAWash30x30D</v>
          </cell>
          <cell r="AC85">
            <v>14850</v>
          </cell>
          <cell r="AD85">
            <v>14850</v>
          </cell>
          <cell r="AE85">
            <v>14850</v>
          </cell>
          <cell r="AF85">
            <v>14850</v>
          </cell>
          <cell r="AG85">
            <v>59400</v>
          </cell>
        </row>
        <row r="86">
          <cell r="AB86" t="str">
            <v>ExportIst New Buyer00Bath76x137L</v>
          </cell>
          <cell r="AC86">
            <v>0</v>
          </cell>
          <cell r="AD86">
            <v>180000</v>
          </cell>
          <cell r="AE86">
            <v>135000</v>
          </cell>
          <cell r="AF86">
            <v>135000</v>
          </cell>
          <cell r="AG86">
            <v>450000</v>
          </cell>
        </row>
        <row r="87">
          <cell r="AB87" t="str">
            <v>ExportIst New Buyer00Bath76x137M</v>
          </cell>
          <cell r="AC87">
            <v>0</v>
          </cell>
          <cell r="AD87">
            <v>72000</v>
          </cell>
          <cell r="AE87">
            <v>54000</v>
          </cell>
          <cell r="AF87">
            <v>54000</v>
          </cell>
          <cell r="AG87">
            <v>180000</v>
          </cell>
        </row>
        <row r="88">
          <cell r="AB88" t="str">
            <v>ExportIst New Buyer00Bath76x137D</v>
          </cell>
          <cell r="AC88">
            <v>0</v>
          </cell>
          <cell r="AD88">
            <v>108000</v>
          </cell>
          <cell r="AE88">
            <v>81000</v>
          </cell>
          <cell r="AF88">
            <v>81000</v>
          </cell>
          <cell r="AG88">
            <v>270000</v>
          </cell>
        </row>
        <row r="89">
          <cell r="AB89" t="str">
            <v>ExportIst New Buyer00Hand41x76L</v>
          </cell>
          <cell r="AC89">
            <v>0</v>
          </cell>
          <cell r="AD89">
            <v>10000</v>
          </cell>
          <cell r="AE89">
            <v>7500</v>
          </cell>
          <cell r="AF89">
            <v>7500</v>
          </cell>
          <cell r="AG89">
            <v>25000</v>
          </cell>
        </row>
        <row r="90">
          <cell r="AB90" t="str">
            <v>ExportIst New Buyer00Hand41x76M</v>
          </cell>
          <cell r="AC90">
            <v>0</v>
          </cell>
          <cell r="AD90">
            <v>4000</v>
          </cell>
          <cell r="AE90">
            <v>3000</v>
          </cell>
          <cell r="AF90">
            <v>3000</v>
          </cell>
          <cell r="AG90">
            <v>10000</v>
          </cell>
        </row>
        <row r="91">
          <cell r="AB91" t="str">
            <v>ExportIst New Buyer00Hand41x76D</v>
          </cell>
          <cell r="AC91">
            <v>0</v>
          </cell>
          <cell r="AD91">
            <v>6000</v>
          </cell>
          <cell r="AE91">
            <v>4500</v>
          </cell>
          <cell r="AF91">
            <v>4500</v>
          </cell>
          <cell r="AG91">
            <v>15000</v>
          </cell>
        </row>
        <row r="92">
          <cell r="AB92" t="str">
            <v>ExportIst New Buyer00Wash33x33L</v>
          </cell>
          <cell r="AC92">
            <v>0</v>
          </cell>
          <cell r="AD92">
            <v>10000</v>
          </cell>
          <cell r="AE92">
            <v>7500</v>
          </cell>
          <cell r="AF92">
            <v>7500</v>
          </cell>
          <cell r="AG92">
            <v>25000</v>
          </cell>
        </row>
        <row r="93">
          <cell r="AB93" t="str">
            <v>ExportIst New Buyer00Wash33x33M</v>
          </cell>
          <cell r="AC93">
            <v>0</v>
          </cell>
          <cell r="AD93">
            <v>4000</v>
          </cell>
          <cell r="AE93">
            <v>3000</v>
          </cell>
          <cell r="AF93">
            <v>3000</v>
          </cell>
          <cell r="AG93">
            <v>10000</v>
          </cell>
        </row>
        <row r="94">
          <cell r="AB94" t="str">
            <v>ExportIst New Buyer00Wash33x33D</v>
          </cell>
          <cell r="AC94">
            <v>0</v>
          </cell>
          <cell r="AD94">
            <v>6000</v>
          </cell>
          <cell r="AE94">
            <v>4500</v>
          </cell>
          <cell r="AF94">
            <v>4500</v>
          </cell>
          <cell r="AG94">
            <v>15000</v>
          </cell>
        </row>
        <row r="95">
          <cell r="AB95" t="str">
            <v>Export2nd New Buyer00Bath76x137L</v>
          </cell>
          <cell r="AC95">
            <v>0</v>
          </cell>
          <cell r="AD95">
            <v>180000</v>
          </cell>
          <cell r="AE95">
            <v>135000</v>
          </cell>
          <cell r="AF95">
            <v>135000</v>
          </cell>
          <cell r="AG95">
            <v>450000</v>
          </cell>
        </row>
        <row r="96">
          <cell r="AB96" t="str">
            <v>Export2nd New Buyer00Bath76x137M</v>
          </cell>
          <cell r="AC96">
            <v>0</v>
          </cell>
          <cell r="AD96">
            <v>72000</v>
          </cell>
          <cell r="AE96">
            <v>54000</v>
          </cell>
          <cell r="AF96">
            <v>54000</v>
          </cell>
          <cell r="AG96">
            <v>180000</v>
          </cell>
        </row>
        <row r="97">
          <cell r="AB97" t="str">
            <v>Export2nd New Buyer00Bath76x137D</v>
          </cell>
          <cell r="AC97">
            <v>0</v>
          </cell>
          <cell r="AD97">
            <v>108000</v>
          </cell>
          <cell r="AE97">
            <v>81000</v>
          </cell>
          <cell r="AF97">
            <v>81000</v>
          </cell>
          <cell r="AG97">
            <v>270000</v>
          </cell>
        </row>
        <row r="98">
          <cell r="AB98" t="str">
            <v>Export2nd New Buyer00Hand41x76L</v>
          </cell>
          <cell r="AC98">
            <v>0</v>
          </cell>
          <cell r="AD98">
            <v>10000</v>
          </cell>
          <cell r="AE98">
            <v>7500</v>
          </cell>
          <cell r="AF98">
            <v>7500</v>
          </cell>
          <cell r="AG98">
            <v>25000</v>
          </cell>
        </row>
        <row r="99">
          <cell r="AB99" t="str">
            <v>Export2nd New Buyer00Hand41x76M</v>
          </cell>
          <cell r="AC99">
            <v>0</v>
          </cell>
          <cell r="AD99">
            <v>4000</v>
          </cell>
          <cell r="AE99">
            <v>3000</v>
          </cell>
          <cell r="AF99">
            <v>3000</v>
          </cell>
          <cell r="AG99">
            <v>10000</v>
          </cell>
        </row>
        <row r="100">
          <cell r="AB100" t="str">
            <v>Export2nd New Buyer00Hand41x76D</v>
          </cell>
          <cell r="AC100">
            <v>0</v>
          </cell>
          <cell r="AD100">
            <v>6000</v>
          </cell>
          <cell r="AE100">
            <v>4500</v>
          </cell>
          <cell r="AF100">
            <v>4500</v>
          </cell>
          <cell r="AG100">
            <v>15000</v>
          </cell>
        </row>
        <row r="101">
          <cell r="AB101" t="str">
            <v>Export2nd New Buyer00Wash33x33L</v>
          </cell>
          <cell r="AC101">
            <v>0</v>
          </cell>
          <cell r="AD101">
            <v>10000</v>
          </cell>
          <cell r="AE101">
            <v>7500</v>
          </cell>
          <cell r="AF101">
            <v>7500</v>
          </cell>
          <cell r="AG101">
            <v>25000</v>
          </cell>
        </row>
        <row r="102">
          <cell r="AB102" t="str">
            <v>Export2nd New Buyer00Wash33x33M</v>
          </cell>
          <cell r="AC102">
            <v>0</v>
          </cell>
          <cell r="AD102">
            <v>4000</v>
          </cell>
          <cell r="AE102">
            <v>3000</v>
          </cell>
          <cell r="AF102">
            <v>3000</v>
          </cell>
          <cell r="AG102">
            <v>10000</v>
          </cell>
        </row>
        <row r="103">
          <cell r="AB103" t="str">
            <v>Export2nd New Buyer00Wash33x33D</v>
          </cell>
          <cell r="AC103">
            <v>0</v>
          </cell>
          <cell r="AD103">
            <v>6000</v>
          </cell>
          <cell r="AE103">
            <v>4500</v>
          </cell>
          <cell r="AF103">
            <v>4500</v>
          </cell>
          <cell r="AG103">
            <v>15000</v>
          </cell>
        </row>
        <row r="104">
          <cell r="AB104" t="str">
            <v>Export3rd New Buyer00Bath0x0L</v>
          </cell>
          <cell r="AC104">
            <v>0</v>
          </cell>
          <cell r="AD104">
            <v>0</v>
          </cell>
          <cell r="AE104">
            <v>0</v>
          </cell>
          <cell r="AF104">
            <v>0</v>
          </cell>
          <cell r="AG104">
            <v>0</v>
          </cell>
        </row>
        <row r="105">
          <cell r="AB105" t="str">
            <v>Export3rd New Buyer00Bath0x0M</v>
          </cell>
          <cell r="AC105">
            <v>0</v>
          </cell>
          <cell r="AD105">
            <v>0</v>
          </cell>
          <cell r="AE105">
            <v>0</v>
          </cell>
          <cell r="AF105">
            <v>0</v>
          </cell>
          <cell r="AG105">
            <v>0</v>
          </cell>
        </row>
        <row r="106">
          <cell r="AB106" t="str">
            <v>Export3rd New Buyer00Bath0x0D</v>
          </cell>
          <cell r="AC106">
            <v>0</v>
          </cell>
          <cell r="AD106">
            <v>0</v>
          </cell>
          <cell r="AE106">
            <v>0</v>
          </cell>
          <cell r="AF106">
            <v>0</v>
          </cell>
          <cell r="AG106">
            <v>0</v>
          </cell>
        </row>
        <row r="107">
          <cell r="AB107">
            <v>0</v>
          </cell>
          <cell r="AC107">
            <v>0</v>
          </cell>
          <cell r="AD107">
            <v>0</v>
          </cell>
          <cell r="AE107">
            <v>0</v>
          </cell>
          <cell r="AF107">
            <v>0</v>
          </cell>
          <cell r="AG107">
            <v>0</v>
          </cell>
        </row>
        <row r="108">
          <cell r="AB108">
            <v>0</v>
          </cell>
          <cell r="AC108">
            <v>1940000</v>
          </cell>
          <cell r="AD108">
            <v>3145000</v>
          </cell>
          <cell r="AE108">
            <v>2895000</v>
          </cell>
          <cell r="AF108">
            <v>2895000</v>
          </cell>
          <cell r="AG108">
            <v>10875000</v>
          </cell>
        </row>
        <row r="109">
          <cell r="AB109" t="str">
            <v>DomesticWIL-VapiKohls Sonama0Bath76x147L</v>
          </cell>
          <cell r="AC109">
            <v>332350</v>
          </cell>
          <cell r="AD109">
            <v>293250</v>
          </cell>
          <cell r="AE109">
            <v>293250</v>
          </cell>
          <cell r="AF109">
            <v>0</v>
          </cell>
          <cell r="AG109">
            <v>918850</v>
          </cell>
        </row>
        <row r="110">
          <cell r="AB110" t="str">
            <v>DomesticWIL-VapiKohls Sonama0Hand41x76M</v>
          </cell>
          <cell r="AC110">
            <v>39100</v>
          </cell>
          <cell r="AD110">
            <v>34500</v>
          </cell>
          <cell r="AE110">
            <v>34500</v>
          </cell>
          <cell r="AF110">
            <v>0</v>
          </cell>
          <cell r="AG110">
            <v>108100</v>
          </cell>
        </row>
        <row r="111">
          <cell r="AB111" t="str">
            <v>DomesticWIL-VapiKohls Sonama0Wash33x33D</v>
          </cell>
          <cell r="AC111">
            <v>19550</v>
          </cell>
          <cell r="AD111">
            <v>17250</v>
          </cell>
          <cell r="AE111">
            <v>17250</v>
          </cell>
          <cell r="AF111">
            <v>0</v>
          </cell>
          <cell r="AG111">
            <v>54050</v>
          </cell>
        </row>
        <row r="112">
          <cell r="AB112" t="str">
            <v>DomesticZucchiBathrobe0Bathrobe285x100M</v>
          </cell>
          <cell r="AC112">
            <v>165000</v>
          </cell>
          <cell r="AD112">
            <v>165000</v>
          </cell>
          <cell r="AE112">
            <v>165000</v>
          </cell>
          <cell r="AF112">
            <v>116000</v>
          </cell>
          <cell r="AG112">
            <v>611000</v>
          </cell>
        </row>
        <row r="113">
          <cell r="AB113" t="str">
            <v>DomesticWIL-VapiTarget Solid0Bath76x147M</v>
          </cell>
          <cell r="AC113">
            <v>109705</v>
          </cell>
          <cell r="AD113">
            <v>0</v>
          </cell>
          <cell r="AE113">
            <v>0</v>
          </cell>
          <cell r="AF113">
            <v>0</v>
          </cell>
          <cell r="AG113">
            <v>109705</v>
          </cell>
        </row>
      </sheetData>
      <sheetData sheetId="4"/>
      <sheetData sheetId="5" refreshError="1">
        <row r="4">
          <cell r="K4" t="str">
            <v>Key -3</v>
          </cell>
          <cell r="L4" t="str">
            <v>Key -2</v>
          </cell>
          <cell r="M4" t="str">
            <v>FRC</v>
          </cell>
          <cell r="N4" t="str">
            <v>Wt Loss</v>
          </cell>
          <cell r="O4" t="str">
            <v>Sizing</v>
          </cell>
          <cell r="P4" t="str">
            <v>Other Loss</v>
          </cell>
          <cell r="Q4" t="str">
            <v>Total Loss</v>
          </cell>
          <cell r="R4" t="str">
            <v>Grey Yield</v>
          </cell>
        </row>
        <row r="5">
          <cell r="K5" t="str">
            <v>ExportTargetWaverlyUSABath76x142L</v>
          </cell>
          <cell r="M5">
            <v>2.5000000000000001E-3</v>
          </cell>
          <cell r="N5">
            <v>6.5000000000000002E-2</v>
          </cell>
          <cell r="O5">
            <v>1.4999999999999999E-2</v>
          </cell>
          <cell r="Q5">
            <v>8.2500000000000004E-2</v>
          </cell>
          <cell r="R5">
            <v>0.91749999999999998</v>
          </cell>
        </row>
        <row r="6">
          <cell r="K6" t="str">
            <v>ExportTargetWaverlyUSABath76x142M</v>
          </cell>
          <cell r="M6">
            <v>2.5000000000000001E-3</v>
          </cell>
          <cell r="N6">
            <v>6.5000000000000002E-2</v>
          </cell>
          <cell r="O6">
            <v>1.4999999999999999E-2</v>
          </cell>
          <cell r="Q6">
            <v>8.2500000000000004E-2</v>
          </cell>
          <cell r="R6">
            <v>0.91749999999999998</v>
          </cell>
        </row>
        <row r="7">
          <cell r="K7" t="str">
            <v>ExportTargetWaverlyUSABath76x142D</v>
          </cell>
          <cell r="M7">
            <v>2.5000000000000001E-3</v>
          </cell>
          <cell r="N7">
            <v>6.5000000000000002E-2</v>
          </cell>
          <cell r="O7">
            <v>1.4999999999999999E-2</v>
          </cell>
          <cell r="Q7">
            <v>8.2500000000000004E-2</v>
          </cell>
          <cell r="R7">
            <v>0.91749999999999998</v>
          </cell>
        </row>
        <row r="8">
          <cell r="K8" t="str">
            <v>ExportTargetWaverlyUSAHand41x76L</v>
          </cell>
          <cell r="M8">
            <v>2.5000000000000001E-3</v>
          </cell>
          <cell r="N8">
            <v>6.5000000000000002E-2</v>
          </cell>
          <cell r="O8">
            <v>1.4999999999999999E-2</v>
          </cell>
          <cell r="Q8">
            <v>8.2500000000000004E-2</v>
          </cell>
          <cell r="R8">
            <v>0.91749999999999998</v>
          </cell>
        </row>
        <row r="9">
          <cell r="K9" t="str">
            <v>ExportTargetWaverlyUSAHand41x76M</v>
          </cell>
          <cell r="M9">
            <v>2.5000000000000001E-3</v>
          </cell>
          <cell r="N9">
            <v>6.5000000000000002E-2</v>
          </cell>
          <cell r="O9">
            <v>1.4999999999999999E-2</v>
          </cell>
          <cell r="Q9">
            <v>8.2500000000000004E-2</v>
          </cell>
          <cell r="R9">
            <v>0.91749999999999998</v>
          </cell>
        </row>
        <row r="10">
          <cell r="K10" t="str">
            <v>ExportTargetWaverlyUSAHand41x76D</v>
          </cell>
          <cell r="M10">
            <v>2.5000000000000001E-3</v>
          </cell>
          <cell r="N10">
            <v>6.5000000000000002E-2</v>
          </cell>
          <cell r="O10">
            <v>1.4999999999999999E-2</v>
          </cell>
          <cell r="Q10">
            <v>8.2500000000000004E-2</v>
          </cell>
          <cell r="R10">
            <v>0.91749999999999998</v>
          </cell>
        </row>
        <row r="11">
          <cell r="K11" t="str">
            <v>ExportTargetWaverlyUSAWash30x30L</v>
          </cell>
          <cell r="M11">
            <v>2.5000000000000001E-3</v>
          </cell>
          <cell r="N11">
            <v>6.5000000000000002E-2</v>
          </cell>
          <cell r="O11">
            <v>1.4999999999999999E-2</v>
          </cell>
          <cell r="Q11">
            <v>8.2500000000000004E-2</v>
          </cell>
          <cell r="R11">
            <v>0.91749999999999998</v>
          </cell>
        </row>
        <row r="12">
          <cell r="K12" t="str">
            <v>ExportTargetWaverlyUSAWash30x30M</v>
          </cell>
          <cell r="M12">
            <v>2.5000000000000001E-3</v>
          </cell>
          <cell r="N12">
            <v>6.5000000000000002E-2</v>
          </cell>
          <cell r="O12">
            <v>1.4999999999999999E-2</v>
          </cell>
          <cell r="Q12">
            <v>8.2500000000000004E-2</v>
          </cell>
          <cell r="R12">
            <v>0.91749999999999998</v>
          </cell>
        </row>
        <row r="13">
          <cell r="K13" t="str">
            <v>ExportTargetWaverlyUSAWash30x30D</v>
          </cell>
          <cell r="M13">
            <v>2.5000000000000001E-3</v>
          </cell>
          <cell r="N13">
            <v>6.5000000000000002E-2</v>
          </cell>
          <cell r="O13">
            <v>1.4999999999999999E-2</v>
          </cell>
          <cell r="Q13">
            <v>8.2500000000000004E-2</v>
          </cell>
          <cell r="R13">
            <v>0.91749999999999998</v>
          </cell>
        </row>
        <row r="14">
          <cell r="K14" t="str">
            <v>ExportWalmartHome TrendsUSABath76x132L</v>
          </cell>
          <cell r="M14">
            <v>2.5000000000000001E-3</v>
          </cell>
          <cell r="N14">
            <v>6.5000000000000002E-2</v>
          </cell>
          <cell r="O14">
            <v>1.4999999999999999E-2</v>
          </cell>
          <cell r="Q14">
            <v>8.2500000000000004E-2</v>
          </cell>
          <cell r="R14">
            <v>0.91749999999999998</v>
          </cell>
        </row>
        <row r="15">
          <cell r="K15" t="str">
            <v>ExportWalmartHome TrendsUSABath76x132M</v>
          </cell>
          <cell r="M15">
            <v>2.5000000000000001E-3</v>
          </cell>
          <cell r="N15">
            <v>6.5000000000000002E-2</v>
          </cell>
          <cell r="O15">
            <v>1.4999999999999999E-2</v>
          </cell>
          <cell r="Q15">
            <v>8.2500000000000004E-2</v>
          </cell>
          <cell r="R15">
            <v>0.91749999999999998</v>
          </cell>
        </row>
        <row r="16">
          <cell r="K16" t="str">
            <v>ExportWalmartHome TrendsUSABath76x132D</v>
          </cell>
          <cell r="M16">
            <v>2.5000000000000001E-3</v>
          </cell>
          <cell r="N16">
            <v>6.5000000000000002E-2</v>
          </cell>
          <cell r="O16">
            <v>1.4999999999999999E-2</v>
          </cell>
          <cell r="Q16">
            <v>8.2500000000000004E-2</v>
          </cell>
          <cell r="R16">
            <v>0.91749999999999998</v>
          </cell>
        </row>
        <row r="17">
          <cell r="K17" t="str">
            <v>ExportWalmartHome TrendsUSAHand41x69L</v>
          </cell>
          <cell r="M17">
            <v>2.5000000000000001E-3</v>
          </cell>
          <cell r="N17">
            <v>6.5000000000000002E-2</v>
          </cell>
          <cell r="O17">
            <v>1.4999999999999999E-2</v>
          </cell>
          <cell r="Q17">
            <v>8.2500000000000004E-2</v>
          </cell>
          <cell r="R17">
            <v>0.91749999999999998</v>
          </cell>
        </row>
        <row r="18">
          <cell r="K18" t="str">
            <v>ExportWalmartHome TrendsUSAHand41x69M</v>
          </cell>
          <cell r="M18">
            <v>2.5000000000000001E-3</v>
          </cell>
          <cell r="N18">
            <v>6.5000000000000002E-2</v>
          </cell>
          <cell r="O18">
            <v>1.4999999999999999E-2</v>
          </cell>
          <cell r="Q18">
            <v>8.2500000000000004E-2</v>
          </cell>
          <cell r="R18">
            <v>0.91749999999999998</v>
          </cell>
        </row>
        <row r="19">
          <cell r="K19" t="str">
            <v>ExportWalmartHome TrendsUSAHand41x69D</v>
          </cell>
          <cell r="M19">
            <v>2.5000000000000001E-3</v>
          </cell>
          <cell r="N19">
            <v>6.5000000000000002E-2</v>
          </cell>
          <cell r="O19">
            <v>1.4999999999999999E-2</v>
          </cell>
          <cell r="Q19">
            <v>8.2500000000000004E-2</v>
          </cell>
          <cell r="R19">
            <v>0.91749999999999998</v>
          </cell>
        </row>
        <row r="20">
          <cell r="K20" t="str">
            <v>ExportWalmartHome TrendsUSAWash33x33L</v>
          </cell>
          <cell r="M20">
            <v>2.5000000000000001E-3</v>
          </cell>
          <cell r="N20">
            <v>6.5000000000000002E-2</v>
          </cell>
          <cell r="O20">
            <v>1.4999999999999999E-2</v>
          </cell>
          <cell r="Q20">
            <v>8.2500000000000004E-2</v>
          </cell>
          <cell r="R20">
            <v>0.91749999999999998</v>
          </cell>
        </row>
        <row r="21">
          <cell r="K21" t="str">
            <v>ExportWalmartHome TrendsUSAWash33x33M</v>
          </cell>
          <cell r="M21">
            <v>2.5000000000000001E-3</v>
          </cell>
          <cell r="N21">
            <v>6.5000000000000002E-2</v>
          </cell>
          <cell r="O21">
            <v>1.4999999999999999E-2</v>
          </cell>
          <cell r="Q21">
            <v>8.2500000000000004E-2</v>
          </cell>
          <cell r="R21">
            <v>0.91749999999999998</v>
          </cell>
        </row>
        <row r="22">
          <cell r="K22" t="str">
            <v>ExportWalmartHome TrendsUSAWash33x33D</v>
          </cell>
          <cell r="M22">
            <v>2.5000000000000001E-3</v>
          </cell>
          <cell r="N22">
            <v>6.5000000000000002E-2</v>
          </cell>
          <cell r="O22">
            <v>1.4999999999999999E-2</v>
          </cell>
          <cell r="Q22">
            <v>8.2500000000000004E-2</v>
          </cell>
          <cell r="R22">
            <v>0.91749999999999998</v>
          </cell>
        </row>
        <row r="23">
          <cell r="K23" t="str">
            <v>ExportMill WorkingCannon LandmarkUSABath76x137L</v>
          </cell>
          <cell r="M23">
            <v>2.5000000000000001E-3</v>
          </cell>
          <cell r="N23">
            <v>6.5000000000000002E-2</v>
          </cell>
          <cell r="O23">
            <v>1.4999999999999999E-2</v>
          </cell>
          <cell r="Q23">
            <v>8.2500000000000004E-2</v>
          </cell>
          <cell r="R23">
            <v>0.91749999999999998</v>
          </cell>
        </row>
        <row r="24">
          <cell r="K24" t="str">
            <v>ExportMill WorkingCannon LandmarkUSABath76x137M</v>
          </cell>
          <cell r="M24">
            <v>2.5000000000000001E-3</v>
          </cell>
          <cell r="N24">
            <v>6.5000000000000002E-2</v>
          </cell>
          <cell r="O24">
            <v>1.4999999999999999E-2</v>
          </cell>
          <cell r="Q24">
            <v>8.2500000000000004E-2</v>
          </cell>
          <cell r="R24">
            <v>0.91749999999999998</v>
          </cell>
        </row>
        <row r="25">
          <cell r="K25" t="str">
            <v>ExportMill WorkingCannon LandmarkUSABath76x137D</v>
          </cell>
          <cell r="M25">
            <v>2.5000000000000001E-3</v>
          </cell>
          <cell r="N25">
            <v>6.5000000000000002E-2</v>
          </cell>
          <cell r="O25">
            <v>1.4999999999999999E-2</v>
          </cell>
          <cell r="Q25">
            <v>8.2500000000000004E-2</v>
          </cell>
          <cell r="R25">
            <v>0.91749999999999998</v>
          </cell>
        </row>
        <row r="26">
          <cell r="K26" t="str">
            <v>ExportMill WorkingCannon LandmarkUSAHand41x76L</v>
          </cell>
          <cell r="M26">
            <v>2.5000000000000001E-3</v>
          </cell>
          <cell r="N26">
            <v>6.5000000000000002E-2</v>
          </cell>
          <cell r="O26">
            <v>1.4999999999999999E-2</v>
          </cell>
          <cell r="Q26">
            <v>8.2500000000000004E-2</v>
          </cell>
          <cell r="R26">
            <v>0.91749999999999998</v>
          </cell>
        </row>
        <row r="27">
          <cell r="K27" t="str">
            <v>ExportMill WorkingCannon LandmarkUSAHand41x76M</v>
          </cell>
          <cell r="M27">
            <v>2.5000000000000001E-3</v>
          </cell>
          <cell r="N27">
            <v>6.5000000000000002E-2</v>
          </cell>
          <cell r="O27">
            <v>1.4999999999999999E-2</v>
          </cell>
          <cell r="Q27">
            <v>8.2500000000000004E-2</v>
          </cell>
          <cell r="R27">
            <v>0.91749999999999998</v>
          </cell>
        </row>
        <row r="28">
          <cell r="K28" t="str">
            <v>ExportMill WorkingCannon LandmarkUSAHand41x76D</v>
          </cell>
          <cell r="M28">
            <v>2.5000000000000001E-3</v>
          </cell>
          <cell r="N28">
            <v>6.5000000000000002E-2</v>
          </cell>
          <cell r="O28">
            <v>1.4999999999999999E-2</v>
          </cell>
          <cell r="Q28">
            <v>8.2500000000000004E-2</v>
          </cell>
          <cell r="R28">
            <v>0.91749999999999998</v>
          </cell>
        </row>
        <row r="29">
          <cell r="K29" t="str">
            <v>ExportMill WorkingCannon LandmarkUSAWash33x33L</v>
          </cell>
          <cell r="M29">
            <v>2.5000000000000001E-3</v>
          </cell>
          <cell r="N29">
            <v>6.5000000000000002E-2</v>
          </cell>
          <cell r="O29">
            <v>1.4999999999999999E-2</v>
          </cell>
          <cell r="Q29">
            <v>8.2500000000000004E-2</v>
          </cell>
          <cell r="R29">
            <v>0.91749999999999998</v>
          </cell>
        </row>
        <row r="30">
          <cell r="K30" t="str">
            <v>ExportMill WorkingCannon LandmarkUSAWash33x33M</v>
          </cell>
          <cell r="M30">
            <v>2.5000000000000001E-3</v>
          </cell>
          <cell r="N30">
            <v>6.5000000000000002E-2</v>
          </cell>
          <cell r="O30">
            <v>1.4999999999999999E-2</v>
          </cell>
          <cell r="Q30">
            <v>8.2500000000000004E-2</v>
          </cell>
          <cell r="R30">
            <v>0.91749999999999998</v>
          </cell>
        </row>
        <row r="31">
          <cell r="K31" t="str">
            <v>ExportMill WorkingCannon LandmarkUSAWash33x33D</v>
          </cell>
          <cell r="M31">
            <v>2.5000000000000001E-3</v>
          </cell>
          <cell r="N31">
            <v>6.5000000000000002E-2</v>
          </cell>
          <cell r="O31">
            <v>1.4999999999999999E-2</v>
          </cell>
          <cell r="Q31">
            <v>8.2500000000000004E-2</v>
          </cell>
          <cell r="R31">
            <v>0.91749999999999998</v>
          </cell>
        </row>
        <row r="32">
          <cell r="K32" t="str">
            <v>ExportMill WorkingCannon MilestoneUSABath76x137L</v>
          </cell>
          <cell r="M32">
            <v>2.5000000000000001E-3</v>
          </cell>
          <cell r="N32">
            <v>6.5000000000000002E-2</v>
          </cell>
          <cell r="O32">
            <v>1.4999999999999999E-2</v>
          </cell>
          <cell r="Q32">
            <v>8.2500000000000004E-2</v>
          </cell>
          <cell r="R32">
            <v>0.91749999999999998</v>
          </cell>
        </row>
        <row r="33">
          <cell r="K33" t="str">
            <v>ExportMill WorkingCannon MilestoneUSABath76x137M</v>
          </cell>
          <cell r="M33">
            <v>2.5000000000000001E-3</v>
          </cell>
          <cell r="N33">
            <v>6.5000000000000002E-2</v>
          </cell>
          <cell r="O33">
            <v>1.4999999999999999E-2</v>
          </cell>
          <cell r="Q33">
            <v>8.2500000000000004E-2</v>
          </cell>
          <cell r="R33">
            <v>0.91749999999999998</v>
          </cell>
        </row>
        <row r="34">
          <cell r="K34" t="str">
            <v>ExportMill WorkingCannon MilestoneUSABath76x137D</v>
          </cell>
          <cell r="M34">
            <v>2.5000000000000001E-3</v>
          </cell>
          <cell r="N34">
            <v>6.5000000000000002E-2</v>
          </cell>
          <cell r="O34">
            <v>1.4999999999999999E-2</v>
          </cell>
          <cell r="Q34">
            <v>8.2500000000000004E-2</v>
          </cell>
          <cell r="R34">
            <v>0.91749999999999998</v>
          </cell>
        </row>
        <row r="35">
          <cell r="K35" t="str">
            <v>ExportMill WorkingCannon MilestoneUSAHand41x76L</v>
          </cell>
          <cell r="M35">
            <v>2.5000000000000001E-3</v>
          </cell>
          <cell r="N35">
            <v>6.5000000000000002E-2</v>
          </cell>
          <cell r="O35">
            <v>1.4999999999999999E-2</v>
          </cell>
          <cell r="Q35">
            <v>8.2500000000000004E-2</v>
          </cell>
          <cell r="R35">
            <v>0.91749999999999998</v>
          </cell>
        </row>
        <row r="36">
          <cell r="K36" t="str">
            <v>ExportMill WorkingCannon MilestoneUSAHand41x76M</v>
          </cell>
          <cell r="M36">
            <v>2.5000000000000001E-3</v>
          </cell>
          <cell r="N36">
            <v>6.5000000000000002E-2</v>
          </cell>
          <cell r="O36">
            <v>1.4999999999999999E-2</v>
          </cell>
          <cell r="Q36">
            <v>8.2500000000000004E-2</v>
          </cell>
          <cell r="R36">
            <v>0.91749999999999998</v>
          </cell>
        </row>
        <row r="37">
          <cell r="K37" t="str">
            <v>ExportMill WorkingCannon MilestoneUSAHand41x76D</v>
          </cell>
          <cell r="M37">
            <v>2.5000000000000001E-3</v>
          </cell>
          <cell r="N37">
            <v>6.5000000000000002E-2</v>
          </cell>
          <cell r="O37">
            <v>1.4999999999999999E-2</v>
          </cell>
          <cell r="Q37">
            <v>8.2500000000000004E-2</v>
          </cell>
          <cell r="R37">
            <v>0.91749999999999998</v>
          </cell>
        </row>
        <row r="38">
          <cell r="K38" t="str">
            <v>ExportMill WorkingCannon MilestoneUSAWash33x33L</v>
          </cell>
          <cell r="M38">
            <v>2.5000000000000001E-3</v>
          </cell>
          <cell r="N38">
            <v>6.5000000000000002E-2</v>
          </cell>
          <cell r="O38">
            <v>1.4999999999999999E-2</v>
          </cell>
          <cell r="Q38">
            <v>8.2500000000000004E-2</v>
          </cell>
          <cell r="R38">
            <v>0.91749999999999998</v>
          </cell>
        </row>
        <row r="39">
          <cell r="K39" t="str">
            <v>ExportMill WorkingCannon MilestoneUSAWash33x33M</v>
          </cell>
          <cell r="M39">
            <v>2.5000000000000001E-3</v>
          </cell>
          <cell r="N39">
            <v>6.5000000000000002E-2</v>
          </cell>
          <cell r="O39">
            <v>1.4999999999999999E-2</v>
          </cell>
          <cell r="Q39">
            <v>8.2500000000000004E-2</v>
          </cell>
          <cell r="R39">
            <v>0.91749999999999998</v>
          </cell>
        </row>
        <row r="40">
          <cell r="K40" t="str">
            <v>ExportMill WorkingCannon MilestoneUSAWash33x33D</v>
          </cell>
          <cell r="M40">
            <v>2.5000000000000001E-3</v>
          </cell>
          <cell r="N40">
            <v>6.5000000000000002E-2</v>
          </cell>
          <cell r="O40">
            <v>1.4999999999999999E-2</v>
          </cell>
          <cell r="Q40">
            <v>8.2500000000000004E-2</v>
          </cell>
          <cell r="R40">
            <v>0.91749999999999998</v>
          </cell>
        </row>
        <row r="41">
          <cell r="K41" t="str">
            <v>ExportWelspun USAEsplamaUSABath76x137L</v>
          </cell>
          <cell r="M41">
            <v>2.5000000000000001E-3</v>
          </cell>
          <cell r="N41">
            <v>6.5000000000000002E-2</v>
          </cell>
          <cell r="O41">
            <v>1.4999999999999999E-2</v>
          </cell>
          <cell r="Q41">
            <v>8.2500000000000004E-2</v>
          </cell>
          <cell r="R41">
            <v>0.91749999999999998</v>
          </cell>
        </row>
        <row r="42">
          <cell r="K42" t="str">
            <v>ExportWelspun USAEsplamaUSABath76x137M</v>
          </cell>
          <cell r="M42">
            <v>2.5000000000000001E-3</v>
          </cell>
          <cell r="N42">
            <v>6.5000000000000002E-2</v>
          </cell>
          <cell r="O42">
            <v>1.4999999999999999E-2</v>
          </cell>
          <cell r="Q42">
            <v>8.2500000000000004E-2</v>
          </cell>
          <cell r="R42">
            <v>0.91749999999999998</v>
          </cell>
        </row>
        <row r="43">
          <cell r="K43" t="str">
            <v>ExportWelspun USAEsplamaUSABath76x137D</v>
          </cell>
          <cell r="M43">
            <v>2.5000000000000001E-3</v>
          </cell>
          <cell r="N43">
            <v>6.5000000000000002E-2</v>
          </cell>
          <cell r="O43">
            <v>1.4999999999999999E-2</v>
          </cell>
          <cell r="Q43">
            <v>8.2500000000000004E-2</v>
          </cell>
          <cell r="R43">
            <v>0.91749999999999998</v>
          </cell>
        </row>
        <row r="44">
          <cell r="K44" t="str">
            <v>ExportWelspun USAEsplamaUSAHand41x71L</v>
          </cell>
          <cell r="M44">
            <v>2.5000000000000001E-3</v>
          </cell>
          <cell r="N44">
            <v>6.5000000000000002E-2</v>
          </cell>
          <cell r="O44">
            <v>1.4999999999999999E-2</v>
          </cell>
          <cell r="Q44">
            <v>8.2500000000000004E-2</v>
          </cell>
          <cell r="R44">
            <v>0.91749999999999998</v>
          </cell>
        </row>
        <row r="45">
          <cell r="K45" t="str">
            <v>ExportWelspun USAEsplamaUSAHand41x71M</v>
          </cell>
          <cell r="M45">
            <v>2.5000000000000001E-3</v>
          </cell>
          <cell r="N45">
            <v>6.5000000000000002E-2</v>
          </cell>
          <cell r="O45">
            <v>1.4999999999999999E-2</v>
          </cell>
          <cell r="Q45">
            <v>8.2500000000000004E-2</v>
          </cell>
          <cell r="R45">
            <v>0.91749999999999998</v>
          </cell>
        </row>
        <row r="46">
          <cell r="K46" t="str">
            <v>ExportWelspun USAEsplamaUSAHand41x71D</v>
          </cell>
          <cell r="M46">
            <v>2.5000000000000001E-3</v>
          </cell>
          <cell r="N46">
            <v>6.5000000000000002E-2</v>
          </cell>
          <cell r="O46">
            <v>1.4999999999999999E-2</v>
          </cell>
          <cell r="Q46">
            <v>8.2500000000000004E-2</v>
          </cell>
          <cell r="R46">
            <v>0.91749999999999998</v>
          </cell>
        </row>
        <row r="47">
          <cell r="K47" t="str">
            <v>ExportWelspun USAEsplamaUSAWash33x33L</v>
          </cell>
          <cell r="M47">
            <v>2.5000000000000001E-3</v>
          </cell>
          <cell r="N47">
            <v>6.5000000000000002E-2</v>
          </cell>
          <cell r="O47">
            <v>1.4999999999999999E-2</v>
          </cell>
          <cell r="Q47">
            <v>8.2500000000000004E-2</v>
          </cell>
          <cell r="R47">
            <v>0.91749999999999998</v>
          </cell>
        </row>
        <row r="48">
          <cell r="K48" t="str">
            <v>ExportWelspun USAEsplamaUSAWash33x33M</v>
          </cell>
          <cell r="M48">
            <v>2.5000000000000001E-3</v>
          </cell>
          <cell r="N48">
            <v>6.5000000000000002E-2</v>
          </cell>
          <cell r="O48">
            <v>1.4999999999999999E-2</v>
          </cell>
          <cell r="Q48">
            <v>8.2500000000000004E-2</v>
          </cell>
          <cell r="R48">
            <v>0.91749999999999998</v>
          </cell>
        </row>
        <row r="49">
          <cell r="K49" t="str">
            <v>ExportWelspun USAEsplamaUSAWash33x33D</v>
          </cell>
          <cell r="M49">
            <v>2.5000000000000001E-3</v>
          </cell>
          <cell r="N49">
            <v>6.5000000000000002E-2</v>
          </cell>
          <cell r="O49">
            <v>1.4999999999999999E-2</v>
          </cell>
          <cell r="Q49">
            <v>8.2500000000000004E-2</v>
          </cell>
          <cell r="R49">
            <v>0.91749999999999998</v>
          </cell>
        </row>
        <row r="50">
          <cell r="K50" t="str">
            <v>ExportLNTManorUSABath76x147L</v>
          </cell>
          <cell r="M50">
            <v>2.5000000000000001E-3</v>
          </cell>
          <cell r="N50">
            <v>6.5000000000000002E-2</v>
          </cell>
          <cell r="O50">
            <v>1.4999999999999999E-2</v>
          </cell>
          <cell r="Q50">
            <v>8.2500000000000004E-2</v>
          </cell>
          <cell r="R50">
            <v>0.91749999999999998</v>
          </cell>
        </row>
        <row r="51">
          <cell r="K51" t="str">
            <v>ExportLNTManorUSABath76x147M</v>
          </cell>
          <cell r="M51">
            <v>2.5000000000000001E-3</v>
          </cell>
          <cell r="N51">
            <v>6.5000000000000002E-2</v>
          </cell>
          <cell r="O51">
            <v>1.4999999999999999E-2</v>
          </cell>
          <cell r="Q51">
            <v>8.2500000000000004E-2</v>
          </cell>
          <cell r="R51">
            <v>0.91749999999999998</v>
          </cell>
        </row>
        <row r="52">
          <cell r="K52" t="str">
            <v>ExportLNTManorUSABath76x147D</v>
          </cell>
          <cell r="M52">
            <v>2.5000000000000001E-3</v>
          </cell>
          <cell r="N52">
            <v>6.5000000000000002E-2</v>
          </cell>
          <cell r="O52">
            <v>1.4999999999999999E-2</v>
          </cell>
          <cell r="Q52">
            <v>8.2500000000000004E-2</v>
          </cell>
          <cell r="R52">
            <v>0.91749999999999998</v>
          </cell>
        </row>
        <row r="53">
          <cell r="K53" t="str">
            <v>ExportLNTManorUSAHand51x76L</v>
          </cell>
          <cell r="M53">
            <v>2.5000000000000001E-3</v>
          </cell>
          <cell r="N53">
            <v>6.5000000000000002E-2</v>
          </cell>
          <cell r="O53">
            <v>1.4999999999999999E-2</v>
          </cell>
          <cell r="Q53">
            <v>8.2500000000000004E-2</v>
          </cell>
          <cell r="R53">
            <v>0.91749999999999998</v>
          </cell>
        </row>
        <row r="54">
          <cell r="K54" t="str">
            <v>ExportLNTManorUSAHand51x76M</v>
          </cell>
          <cell r="M54">
            <v>2.5000000000000001E-3</v>
          </cell>
          <cell r="N54">
            <v>6.5000000000000002E-2</v>
          </cell>
          <cell r="O54">
            <v>1.4999999999999999E-2</v>
          </cell>
          <cell r="Q54">
            <v>8.2500000000000004E-2</v>
          </cell>
          <cell r="R54">
            <v>0.91749999999999998</v>
          </cell>
        </row>
        <row r="55">
          <cell r="K55" t="str">
            <v>ExportLNTManorUSAHand51x76D</v>
          </cell>
          <cell r="M55">
            <v>2.5000000000000001E-3</v>
          </cell>
          <cell r="N55">
            <v>6.5000000000000002E-2</v>
          </cell>
          <cell r="O55">
            <v>1.4999999999999999E-2</v>
          </cell>
          <cell r="Q55">
            <v>8.2500000000000004E-2</v>
          </cell>
          <cell r="R55">
            <v>0.91749999999999998</v>
          </cell>
        </row>
        <row r="56">
          <cell r="K56" t="str">
            <v>ExportLNTManorUSAWash33x33L</v>
          </cell>
          <cell r="M56">
            <v>2.5000000000000001E-3</v>
          </cell>
          <cell r="N56">
            <v>6.5000000000000002E-2</v>
          </cell>
          <cell r="O56">
            <v>1.4999999999999999E-2</v>
          </cell>
          <cell r="Q56">
            <v>8.2500000000000004E-2</v>
          </cell>
          <cell r="R56">
            <v>0.91749999999999998</v>
          </cell>
        </row>
        <row r="57">
          <cell r="K57" t="str">
            <v>ExportLNTManorUSAWash33x33M</v>
          </cell>
          <cell r="M57">
            <v>2.5000000000000001E-3</v>
          </cell>
          <cell r="N57">
            <v>6.5000000000000002E-2</v>
          </cell>
          <cell r="O57">
            <v>1.4999999999999999E-2</v>
          </cell>
          <cell r="Q57">
            <v>8.2500000000000004E-2</v>
          </cell>
          <cell r="R57">
            <v>0.91749999999999998</v>
          </cell>
        </row>
        <row r="58">
          <cell r="K58" t="str">
            <v>ExportLNTManorUSAWash33x33D</v>
          </cell>
          <cell r="M58">
            <v>2.5000000000000001E-3</v>
          </cell>
          <cell r="N58">
            <v>6.5000000000000002E-2</v>
          </cell>
          <cell r="O58">
            <v>1.4999999999999999E-2</v>
          </cell>
          <cell r="Q58">
            <v>8.2500000000000004E-2</v>
          </cell>
          <cell r="R58">
            <v>0.91749999999999998</v>
          </cell>
        </row>
        <row r="59">
          <cell r="K59" t="str">
            <v>ExportLNTNewUSABath76x147L</v>
          </cell>
          <cell r="M59">
            <v>2.5000000000000001E-3</v>
          </cell>
          <cell r="N59">
            <v>6.5000000000000002E-2</v>
          </cell>
          <cell r="O59">
            <v>1.4999999999999999E-2</v>
          </cell>
          <cell r="Q59">
            <v>8.2500000000000004E-2</v>
          </cell>
          <cell r="R59">
            <v>0.91749999999999998</v>
          </cell>
        </row>
        <row r="60">
          <cell r="K60" t="str">
            <v>ExportLNTNewUSABath76x147M</v>
          </cell>
          <cell r="M60">
            <v>2.5000000000000001E-3</v>
          </cell>
          <cell r="N60">
            <v>6.5000000000000002E-2</v>
          </cell>
          <cell r="O60">
            <v>1.4999999999999999E-2</v>
          </cell>
          <cell r="Q60">
            <v>8.2500000000000004E-2</v>
          </cell>
          <cell r="R60">
            <v>0.91749999999999998</v>
          </cell>
        </row>
        <row r="61">
          <cell r="K61" t="str">
            <v>ExportLNTNewUSABath76x147D</v>
          </cell>
          <cell r="M61">
            <v>2.5000000000000001E-3</v>
          </cell>
          <cell r="N61">
            <v>6.5000000000000002E-2</v>
          </cell>
          <cell r="O61">
            <v>1.4999999999999999E-2</v>
          </cell>
          <cell r="Q61">
            <v>8.2500000000000004E-2</v>
          </cell>
          <cell r="R61">
            <v>0.91749999999999998</v>
          </cell>
        </row>
        <row r="62">
          <cell r="K62" t="str">
            <v>ExportLNTNewUSAHand51x76L</v>
          </cell>
          <cell r="M62">
            <v>2.5000000000000001E-3</v>
          </cell>
          <cell r="N62">
            <v>6.5000000000000002E-2</v>
          </cell>
          <cell r="O62">
            <v>1.4999999999999999E-2</v>
          </cell>
          <cell r="Q62">
            <v>8.2500000000000004E-2</v>
          </cell>
          <cell r="R62">
            <v>0.91749999999999998</v>
          </cell>
        </row>
        <row r="63">
          <cell r="K63" t="str">
            <v>ExportLNTNewUSAHand51x76M</v>
          </cell>
          <cell r="M63">
            <v>2.5000000000000001E-3</v>
          </cell>
          <cell r="N63">
            <v>6.5000000000000002E-2</v>
          </cell>
          <cell r="O63">
            <v>1.4999999999999999E-2</v>
          </cell>
          <cell r="Q63">
            <v>8.2500000000000004E-2</v>
          </cell>
          <cell r="R63">
            <v>0.91749999999999998</v>
          </cell>
        </row>
        <row r="64">
          <cell r="K64" t="str">
            <v>ExportLNTNewUSAHand51x76D</v>
          </cell>
          <cell r="M64">
            <v>2.5000000000000001E-3</v>
          </cell>
          <cell r="N64">
            <v>6.5000000000000002E-2</v>
          </cell>
          <cell r="O64">
            <v>1.4999999999999999E-2</v>
          </cell>
          <cell r="Q64">
            <v>8.2500000000000004E-2</v>
          </cell>
          <cell r="R64">
            <v>0.91749999999999998</v>
          </cell>
        </row>
        <row r="65">
          <cell r="K65" t="str">
            <v>ExportLNTNewUSAWash33x33L</v>
          </cell>
          <cell r="M65">
            <v>2.5000000000000001E-3</v>
          </cell>
          <cell r="N65">
            <v>6.5000000000000002E-2</v>
          </cell>
          <cell r="O65">
            <v>1.4999999999999999E-2</v>
          </cell>
          <cell r="Q65">
            <v>8.2500000000000004E-2</v>
          </cell>
          <cell r="R65">
            <v>0.91749999999999998</v>
          </cell>
        </row>
        <row r="66">
          <cell r="K66" t="str">
            <v>ExportLNTNewUSAWash33x33M</v>
          </cell>
          <cell r="M66">
            <v>2.5000000000000001E-3</v>
          </cell>
          <cell r="N66">
            <v>6.5000000000000002E-2</v>
          </cell>
          <cell r="O66">
            <v>1.4999999999999999E-2</v>
          </cell>
          <cell r="Q66">
            <v>8.2500000000000004E-2</v>
          </cell>
          <cell r="R66">
            <v>0.91749999999999998</v>
          </cell>
        </row>
        <row r="67">
          <cell r="K67" t="str">
            <v>ExportLNTNewUSAWash33x33D</v>
          </cell>
          <cell r="M67">
            <v>2.5000000000000001E-3</v>
          </cell>
          <cell r="N67">
            <v>6.5000000000000002E-2</v>
          </cell>
          <cell r="O67">
            <v>1.4999999999999999E-2</v>
          </cell>
          <cell r="Q67">
            <v>8.2500000000000004E-2</v>
          </cell>
          <cell r="R67">
            <v>0.91749999999999998</v>
          </cell>
        </row>
        <row r="68">
          <cell r="K68" t="str">
            <v>ExportKohlsBig One StripeUSABath76x137L</v>
          </cell>
          <cell r="M68">
            <v>2.5000000000000001E-3</v>
          </cell>
          <cell r="N68">
            <v>6.5000000000000002E-2</v>
          </cell>
          <cell r="O68">
            <v>1.4999999999999999E-2</v>
          </cell>
          <cell r="Q68">
            <v>8.2500000000000004E-2</v>
          </cell>
          <cell r="R68">
            <v>0.91749999999999998</v>
          </cell>
        </row>
        <row r="69">
          <cell r="K69" t="str">
            <v>ExportKohlsBig One StripeUSABath76x137M</v>
          </cell>
          <cell r="M69">
            <v>2.5000000000000001E-3</v>
          </cell>
          <cell r="N69">
            <v>6.5000000000000002E-2</v>
          </cell>
          <cell r="O69">
            <v>1.4999999999999999E-2</v>
          </cell>
          <cell r="Q69">
            <v>8.2500000000000004E-2</v>
          </cell>
          <cell r="R69">
            <v>0.91749999999999998</v>
          </cell>
        </row>
        <row r="70">
          <cell r="K70" t="str">
            <v>ExportKohlsBig One StripeUSABath76x137D</v>
          </cell>
          <cell r="M70">
            <v>2.5000000000000001E-3</v>
          </cell>
          <cell r="N70">
            <v>6.5000000000000002E-2</v>
          </cell>
          <cell r="O70">
            <v>1.4999999999999999E-2</v>
          </cell>
          <cell r="Q70">
            <v>8.2500000000000004E-2</v>
          </cell>
          <cell r="R70">
            <v>0.91749999999999998</v>
          </cell>
        </row>
        <row r="71">
          <cell r="K71" t="str">
            <v>ExportKohlsBig One StripeUSAHand41x71L</v>
          </cell>
          <cell r="M71">
            <v>2.5000000000000001E-3</v>
          </cell>
          <cell r="N71">
            <v>6.5000000000000002E-2</v>
          </cell>
          <cell r="O71">
            <v>1.4999999999999999E-2</v>
          </cell>
          <cell r="Q71">
            <v>8.2500000000000004E-2</v>
          </cell>
          <cell r="R71">
            <v>0.91749999999999998</v>
          </cell>
        </row>
        <row r="72">
          <cell r="K72" t="str">
            <v>ExportKohlsBig One StripeUSAHand41x71M</v>
          </cell>
          <cell r="M72">
            <v>2.5000000000000001E-3</v>
          </cell>
          <cell r="N72">
            <v>6.5000000000000002E-2</v>
          </cell>
          <cell r="O72">
            <v>1.4999999999999999E-2</v>
          </cell>
          <cell r="Q72">
            <v>8.2500000000000004E-2</v>
          </cell>
          <cell r="R72">
            <v>0.91749999999999998</v>
          </cell>
        </row>
        <row r="73">
          <cell r="K73" t="str">
            <v>ExportKohlsBig One StripeUSAHand41x71D</v>
          </cell>
          <cell r="M73">
            <v>2.5000000000000001E-3</v>
          </cell>
          <cell r="N73">
            <v>6.5000000000000002E-2</v>
          </cell>
          <cell r="O73">
            <v>1.4999999999999999E-2</v>
          </cell>
          <cell r="Q73">
            <v>8.2500000000000004E-2</v>
          </cell>
          <cell r="R73">
            <v>0.91749999999999998</v>
          </cell>
        </row>
        <row r="74">
          <cell r="K74" t="str">
            <v>ExportKohlsBig One StripeUSAWash30x30L</v>
          </cell>
          <cell r="M74">
            <v>2.5000000000000001E-3</v>
          </cell>
          <cell r="N74">
            <v>6.5000000000000002E-2</v>
          </cell>
          <cell r="O74">
            <v>1.4999999999999999E-2</v>
          </cell>
          <cell r="Q74">
            <v>8.2500000000000004E-2</v>
          </cell>
          <cell r="R74">
            <v>0.91749999999999998</v>
          </cell>
        </row>
        <row r="75">
          <cell r="K75" t="str">
            <v>ExportKohlsBig One StripeUSAWash30x30M</v>
          </cell>
          <cell r="M75">
            <v>2.5000000000000001E-3</v>
          </cell>
          <cell r="N75">
            <v>6.5000000000000002E-2</v>
          </cell>
          <cell r="O75">
            <v>1.4999999999999999E-2</v>
          </cell>
          <cell r="Q75">
            <v>8.2500000000000004E-2</v>
          </cell>
          <cell r="R75">
            <v>0.91749999999999998</v>
          </cell>
        </row>
        <row r="76">
          <cell r="K76" t="str">
            <v>ExportKohlsBig One StripeUSAWash30x30D</v>
          </cell>
          <cell r="M76">
            <v>2.5000000000000001E-3</v>
          </cell>
          <cell r="N76">
            <v>6.5000000000000002E-2</v>
          </cell>
          <cell r="O76">
            <v>1.4999999999999999E-2</v>
          </cell>
          <cell r="Q76">
            <v>8.2500000000000004E-2</v>
          </cell>
          <cell r="R76">
            <v>0.91749999999999998</v>
          </cell>
        </row>
        <row r="77">
          <cell r="K77" t="str">
            <v>ExportKohlsBig One SolidUSABath76x137L</v>
          </cell>
          <cell r="M77">
            <v>2.5000000000000001E-3</v>
          </cell>
          <cell r="N77">
            <v>6.5000000000000002E-2</v>
          </cell>
          <cell r="O77">
            <v>1.4999999999999999E-2</v>
          </cell>
          <cell r="Q77">
            <v>8.2500000000000004E-2</v>
          </cell>
          <cell r="R77">
            <v>0.91749999999999998</v>
          </cell>
        </row>
        <row r="78">
          <cell r="K78" t="str">
            <v>ExportKohlsBig One SolidUSABath76x137M</v>
          </cell>
          <cell r="M78">
            <v>2.5000000000000001E-3</v>
          </cell>
          <cell r="N78">
            <v>6.5000000000000002E-2</v>
          </cell>
          <cell r="O78">
            <v>1.4999999999999999E-2</v>
          </cell>
          <cell r="Q78">
            <v>8.2500000000000004E-2</v>
          </cell>
          <cell r="R78">
            <v>0.91749999999999998</v>
          </cell>
        </row>
        <row r="79">
          <cell r="K79" t="str">
            <v>ExportKohlsBig One SolidUSABath76x137D</v>
          </cell>
          <cell r="M79">
            <v>2.5000000000000001E-3</v>
          </cell>
          <cell r="N79">
            <v>6.5000000000000002E-2</v>
          </cell>
          <cell r="O79">
            <v>1.4999999999999999E-2</v>
          </cell>
          <cell r="Q79">
            <v>8.2500000000000004E-2</v>
          </cell>
          <cell r="R79">
            <v>0.91749999999999998</v>
          </cell>
        </row>
        <row r="80">
          <cell r="K80" t="str">
            <v>ExportKohlsBig One SolidUSAHand41x71L</v>
          </cell>
          <cell r="M80">
            <v>2.5000000000000001E-3</v>
          </cell>
          <cell r="N80">
            <v>6.5000000000000002E-2</v>
          </cell>
          <cell r="O80">
            <v>1.4999999999999999E-2</v>
          </cell>
          <cell r="Q80">
            <v>8.2500000000000004E-2</v>
          </cell>
          <cell r="R80">
            <v>0.91749999999999998</v>
          </cell>
        </row>
        <row r="81">
          <cell r="K81" t="str">
            <v>ExportKohlsBig One SolidUSAHand41x71M</v>
          </cell>
          <cell r="M81">
            <v>2.5000000000000001E-3</v>
          </cell>
          <cell r="N81">
            <v>6.5000000000000002E-2</v>
          </cell>
          <cell r="O81">
            <v>1.4999999999999999E-2</v>
          </cell>
          <cell r="Q81">
            <v>8.2500000000000004E-2</v>
          </cell>
          <cell r="R81">
            <v>0.91749999999999998</v>
          </cell>
        </row>
        <row r="82">
          <cell r="K82" t="str">
            <v>ExportKohlsBig One SolidUSAHand41x71D</v>
          </cell>
          <cell r="M82">
            <v>2.5000000000000001E-3</v>
          </cell>
          <cell r="N82">
            <v>6.5000000000000002E-2</v>
          </cell>
          <cell r="O82">
            <v>1.4999999999999999E-2</v>
          </cell>
          <cell r="Q82">
            <v>8.2500000000000004E-2</v>
          </cell>
          <cell r="R82">
            <v>0.91749999999999998</v>
          </cell>
        </row>
        <row r="83">
          <cell r="K83" t="str">
            <v>ExportKohlsBig One SolidUSAWash30x30L</v>
          </cell>
          <cell r="M83">
            <v>2.5000000000000001E-3</v>
          </cell>
          <cell r="N83">
            <v>6.5000000000000002E-2</v>
          </cell>
          <cell r="O83">
            <v>1.4999999999999999E-2</v>
          </cell>
          <cell r="Q83">
            <v>8.2500000000000004E-2</v>
          </cell>
          <cell r="R83">
            <v>0.91749999999999998</v>
          </cell>
        </row>
        <row r="84">
          <cell r="K84" t="str">
            <v>ExportKohlsBig One SolidUSAWash30x30M</v>
          </cell>
          <cell r="M84">
            <v>2.5000000000000001E-3</v>
          </cell>
          <cell r="N84">
            <v>6.5000000000000002E-2</v>
          </cell>
          <cell r="O84">
            <v>1.4999999999999999E-2</v>
          </cell>
          <cell r="Q84">
            <v>8.2500000000000004E-2</v>
          </cell>
          <cell r="R84">
            <v>0.91749999999999998</v>
          </cell>
        </row>
        <row r="85">
          <cell r="K85" t="str">
            <v>ExportKohlsBig One SolidUSAWash30x30D</v>
          </cell>
          <cell r="M85">
            <v>2.5000000000000001E-3</v>
          </cell>
          <cell r="N85">
            <v>6.5000000000000002E-2</v>
          </cell>
          <cell r="O85">
            <v>1.4999999999999999E-2</v>
          </cell>
          <cell r="Q85">
            <v>8.2500000000000004E-2</v>
          </cell>
          <cell r="R85">
            <v>0.91749999999999998</v>
          </cell>
        </row>
        <row r="86">
          <cell r="K86" t="str">
            <v>ExportIst New Buyer00Bath76x137L</v>
          </cell>
          <cell r="M86">
            <v>2.5000000000000001E-3</v>
          </cell>
          <cell r="N86">
            <v>6.5000000000000002E-2</v>
          </cell>
          <cell r="O86">
            <v>1.4999999999999999E-2</v>
          </cell>
          <cell r="Q86">
            <v>8.2500000000000004E-2</v>
          </cell>
          <cell r="R86">
            <v>0.91749999999999998</v>
          </cell>
        </row>
        <row r="87">
          <cell r="K87" t="str">
            <v>ExportIst New Buyer00Bath76x137M</v>
          </cell>
          <cell r="M87">
            <v>2.5000000000000001E-3</v>
          </cell>
          <cell r="N87">
            <v>6.5000000000000002E-2</v>
          </cell>
          <cell r="O87">
            <v>1.4999999999999999E-2</v>
          </cell>
          <cell r="Q87">
            <v>8.2500000000000004E-2</v>
          </cell>
          <cell r="R87">
            <v>0.91749999999999998</v>
          </cell>
        </row>
        <row r="88">
          <cell r="K88" t="str">
            <v>ExportIst New Buyer00Bath76x137D</v>
          </cell>
          <cell r="M88">
            <v>2.5000000000000001E-3</v>
          </cell>
          <cell r="N88">
            <v>6.5000000000000002E-2</v>
          </cell>
          <cell r="O88">
            <v>1.4999999999999999E-2</v>
          </cell>
          <cell r="Q88">
            <v>8.2500000000000004E-2</v>
          </cell>
          <cell r="R88">
            <v>0.91749999999999998</v>
          </cell>
        </row>
        <row r="89">
          <cell r="K89" t="str">
            <v>ExportIst New Buyer00Hand41x76L</v>
          </cell>
          <cell r="M89">
            <v>2.5000000000000001E-3</v>
          </cell>
          <cell r="N89">
            <v>6.5000000000000002E-2</v>
          </cell>
          <cell r="O89">
            <v>1.4999999999999999E-2</v>
          </cell>
          <cell r="Q89">
            <v>8.2500000000000004E-2</v>
          </cell>
          <cell r="R89">
            <v>0.91749999999999998</v>
          </cell>
        </row>
        <row r="90">
          <cell r="K90" t="str">
            <v>ExportIst New Buyer00Hand41x76M</v>
          </cell>
          <cell r="M90">
            <v>2.5000000000000001E-3</v>
          </cell>
          <cell r="N90">
            <v>6.5000000000000002E-2</v>
          </cell>
          <cell r="O90">
            <v>1.4999999999999999E-2</v>
          </cell>
          <cell r="Q90">
            <v>8.2500000000000004E-2</v>
          </cell>
          <cell r="R90">
            <v>0.91749999999999998</v>
          </cell>
        </row>
        <row r="91">
          <cell r="K91" t="str">
            <v>ExportIst New Buyer00Hand41x76D</v>
          </cell>
          <cell r="M91">
            <v>2.5000000000000001E-3</v>
          </cell>
          <cell r="N91">
            <v>6.5000000000000002E-2</v>
          </cell>
          <cell r="O91">
            <v>1.4999999999999999E-2</v>
          </cell>
          <cell r="Q91">
            <v>8.2500000000000004E-2</v>
          </cell>
          <cell r="R91">
            <v>0.91749999999999998</v>
          </cell>
        </row>
        <row r="92">
          <cell r="K92" t="str">
            <v>ExportIst New Buyer00Wash33x33L</v>
          </cell>
          <cell r="M92">
            <v>2.5000000000000001E-3</v>
          </cell>
          <cell r="N92">
            <v>6.5000000000000002E-2</v>
          </cell>
          <cell r="O92">
            <v>1.4999999999999999E-2</v>
          </cell>
          <cell r="Q92">
            <v>8.2500000000000004E-2</v>
          </cell>
          <cell r="R92">
            <v>0.91749999999999998</v>
          </cell>
        </row>
        <row r="93">
          <cell r="K93" t="str">
            <v>ExportIst New Buyer00Wash33x33M</v>
          </cell>
          <cell r="M93">
            <v>2.5000000000000001E-3</v>
          </cell>
          <cell r="N93">
            <v>6.5000000000000002E-2</v>
          </cell>
          <cell r="O93">
            <v>1.4999999999999999E-2</v>
          </cell>
          <cell r="Q93">
            <v>8.2500000000000004E-2</v>
          </cell>
          <cell r="R93">
            <v>0.91749999999999998</v>
          </cell>
        </row>
        <row r="94">
          <cell r="K94" t="str">
            <v>ExportIst New Buyer00Wash33x33D</v>
          </cell>
          <cell r="M94">
            <v>2.5000000000000001E-3</v>
          </cell>
          <cell r="N94">
            <v>6.5000000000000002E-2</v>
          </cell>
          <cell r="O94">
            <v>1.4999999999999999E-2</v>
          </cell>
          <cell r="Q94">
            <v>8.2500000000000004E-2</v>
          </cell>
          <cell r="R94">
            <v>0.91749999999999998</v>
          </cell>
        </row>
        <row r="95">
          <cell r="K95" t="str">
            <v>Export2nd New Buyer00Bath76x137L</v>
          </cell>
          <cell r="M95">
            <v>2.5000000000000001E-3</v>
          </cell>
          <cell r="N95">
            <v>6.5000000000000002E-2</v>
          </cell>
          <cell r="O95">
            <v>1.4999999999999999E-2</v>
          </cell>
          <cell r="Q95">
            <v>8.2500000000000004E-2</v>
          </cell>
          <cell r="R95">
            <v>0.91749999999999998</v>
          </cell>
        </row>
        <row r="96">
          <cell r="K96" t="str">
            <v>Export2nd New Buyer00Bath76x137M</v>
          </cell>
          <cell r="M96">
            <v>2.5000000000000001E-3</v>
          </cell>
          <cell r="N96">
            <v>6.5000000000000002E-2</v>
          </cell>
          <cell r="O96">
            <v>1.4999999999999999E-2</v>
          </cell>
          <cell r="Q96">
            <v>8.2500000000000004E-2</v>
          </cell>
          <cell r="R96">
            <v>0.91749999999999998</v>
          </cell>
        </row>
        <row r="97">
          <cell r="K97" t="str">
            <v>Export2nd New Buyer00Bath76x137D</v>
          </cell>
          <cell r="M97">
            <v>2.5000000000000001E-3</v>
          </cell>
          <cell r="N97">
            <v>6.5000000000000002E-2</v>
          </cell>
          <cell r="O97">
            <v>1.4999999999999999E-2</v>
          </cell>
          <cell r="Q97">
            <v>8.2500000000000004E-2</v>
          </cell>
          <cell r="R97">
            <v>0.91749999999999998</v>
          </cell>
        </row>
        <row r="98">
          <cell r="K98" t="str">
            <v>Export2nd New Buyer00Hand41x76L</v>
          </cell>
          <cell r="M98">
            <v>2.5000000000000001E-3</v>
          </cell>
          <cell r="N98">
            <v>6.5000000000000002E-2</v>
          </cell>
          <cell r="O98">
            <v>1.4999999999999999E-2</v>
          </cell>
          <cell r="Q98">
            <v>8.2500000000000004E-2</v>
          </cell>
          <cell r="R98">
            <v>0.91749999999999998</v>
          </cell>
        </row>
        <row r="99">
          <cell r="K99" t="str">
            <v>Export2nd New Buyer00Hand41x76M</v>
          </cell>
          <cell r="M99">
            <v>2.5000000000000001E-3</v>
          </cell>
          <cell r="N99">
            <v>6.5000000000000002E-2</v>
          </cell>
          <cell r="O99">
            <v>1.4999999999999999E-2</v>
          </cell>
          <cell r="Q99">
            <v>8.2500000000000004E-2</v>
          </cell>
          <cell r="R99">
            <v>0.91749999999999998</v>
          </cell>
        </row>
        <row r="100">
          <cell r="K100" t="str">
            <v>Export2nd New Buyer00Hand41x76D</v>
          </cell>
          <cell r="M100">
            <v>2.5000000000000001E-3</v>
          </cell>
          <cell r="N100">
            <v>6.5000000000000002E-2</v>
          </cell>
          <cell r="O100">
            <v>1.4999999999999999E-2</v>
          </cell>
          <cell r="Q100">
            <v>8.2500000000000004E-2</v>
          </cell>
          <cell r="R100">
            <v>0.91749999999999998</v>
          </cell>
        </row>
        <row r="101">
          <cell r="K101" t="str">
            <v>Export2nd New Buyer00Wash33x33L</v>
          </cell>
          <cell r="M101">
            <v>2.5000000000000001E-3</v>
          </cell>
          <cell r="N101">
            <v>6.5000000000000002E-2</v>
          </cell>
          <cell r="O101">
            <v>1.4999999999999999E-2</v>
          </cell>
          <cell r="Q101">
            <v>8.2500000000000004E-2</v>
          </cell>
          <cell r="R101">
            <v>0.91749999999999998</v>
          </cell>
        </row>
        <row r="102">
          <cell r="K102" t="str">
            <v>Export2nd New Buyer00Wash33x33M</v>
          </cell>
          <cell r="M102">
            <v>2.5000000000000001E-3</v>
          </cell>
          <cell r="N102">
            <v>6.5000000000000002E-2</v>
          </cell>
          <cell r="O102">
            <v>1.4999999999999999E-2</v>
          </cell>
          <cell r="Q102">
            <v>8.2500000000000004E-2</v>
          </cell>
          <cell r="R102">
            <v>0.91749999999999998</v>
          </cell>
        </row>
        <row r="103">
          <cell r="K103" t="str">
            <v>Export2nd New Buyer00Wash33x33D</v>
          </cell>
          <cell r="M103">
            <v>2.5000000000000001E-3</v>
          </cell>
          <cell r="N103">
            <v>6.5000000000000002E-2</v>
          </cell>
          <cell r="O103">
            <v>1.4999999999999999E-2</v>
          </cell>
          <cell r="Q103">
            <v>8.2500000000000004E-2</v>
          </cell>
          <cell r="R103">
            <v>0.91749999999999998</v>
          </cell>
        </row>
        <row r="104">
          <cell r="K104" t="str">
            <v>Export3rd New Buyer00Bath0x0L</v>
          </cell>
          <cell r="M104">
            <v>2.5000000000000001E-3</v>
          </cell>
          <cell r="N104">
            <v>6.5000000000000002E-2</v>
          </cell>
          <cell r="O104">
            <v>1.4999999999999999E-2</v>
          </cell>
          <cell r="Q104">
            <v>8.2500000000000004E-2</v>
          </cell>
          <cell r="R104">
            <v>0.91749999999999998</v>
          </cell>
        </row>
        <row r="105">
          <cell r="K105" t="str">
            <v>Export3rd New Buyer00Bath0x0M</v>
          </cell>
          <cell r="M105">
            <v>2.5000000000000001E-3</v>
          </cell>
          <cell r="N105">
            <v>6.5000000000000002E-2</v>
          </cell>
          <cell r="O105">
            <v>1.4999999999999999E-2</v>
          </cell>
          <cell r="Q105">
            <v>8.2500000000000004E-2</v>
          </cell>
          <cell r="R105">
            <v>0.91749999999999998</v>
          </cell>
        </row>
        <row r="106">
          <cell r="K106" t="str">
            <v>Export3rd New Buyer00Bath0x0D</v>
          </cell>
          <cell r="M106">
            <v>2.5000000000000001E-3</v>
          </cell>
          <cell r="N106">
            <v>6.5000000000000002E-2</v>
          </cell>
          <cell r="O106">
            <v>1.4999999999999999E-2</v>
          </cell>
          <cell r="Q106">
            <v>8.2500000000000004E-2</v>
          </cell>
          <cell r="R106">
            <v>0.91749999999999998</v>
          </cell>
        </row>
      </sheetData>
      <sheetData sheetId="6"/>
      <sheetData sheetId="7" refreshError="1"/>
      <sheetData sheetId="8" refreshError="1"/>
      <sheetData sheetId="9" refreshError="1"/>
      <sheetData sheetId="1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UPEC"/>
      <sheetName val="WGSRL"/>
      <sheetName val="sortpart"/>
      <sheetName val="CostDetails"/>
      <sheetName val="D&amp;C_Pkg"/>
      <sheetName val="Yarn Rates"/>
      <sheetName val="Sheet1"/>
    </sheetNames>
    <sheetDataSet>
      <sheetData sheetId="0" refreshError="1"/>
      <sheetData sheetId="1" refreshError="1">
        <row r="49">
          <cell r="G49" t="str">
            <v>15.05.2004</v>
          </cell>
        </row>
        <row r="50">
          <cell r="G50" t="str">
            <v>15.05.2004</v>
          </cell>
        </row>
        <row r="51">
          <cell r="G51" t="str">
            <v>18.05.2004</v>
          </cell>
        </row>
        <row r="52">
          <cell r="G52" t="str">
            <v>18.05.2004</v>
          </cell>
        </row>
        <row r="53">
          <cell r="G53" t="str">
            <v>18.05.2004</v>
          </cell>
        </row>
      </sheetData>
      <sheetData sheetId="2" refreshError="1"/>
      <sheetData sheetId="3" refreshError="1"/>
      <sheetData sheetId="4" refreshError="1"/>
      <sheetData sheetId="5" refreshError="1"/>
      <sheetData sheetId="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UPEC"/>
      <sheetName val="WGSRL"/>
      <sheetName val="Projected Balance Sheet"/>
      <sheetName val="Working capital requirement"/>
      <sheetName val="profitability statement"/>
    </sheetNames>
    <sheetDataSet>
      <sheetData sheetId="0" refreshError="1"/>
      <sheetData sheetId="1">
        <row r="49">
          <cell r="G49" t="str">
            <v>15.05.2004</v>
          </cell>
        </row>
        <row r="50">
          <cell r="G50" t="str">
            <v>15.05.2004</v>
          </cell>
        </row>
        <row r="51">
          <cell r="G51" t="str">
            <v>18.05.2004</v>
          </cell>
        </row>
        <row r="52">
          <cell r="G52" t="str">
            <v>18.05.2004</v>
          </cell>
        </row>
        <row r="53">
          <cell r="G53" t="str">
            <v>18.05.2004</v>
          </cell>
        </row>
      </sheetData>
      <sheetData sheetId="2" refreshError="1"/>
      <sheetData sheetId="3" refreshError="1"/>
      <sheetData sheetId="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 Rates B07"/>
      <sheetName val="Product Specification (2)"/>
      <sheetName val="CPLD_ACTUAL"/>
      <sheetName val="Fixed Cost"/>
      <sheetName val="Final Summary"/>
      <sheetName val="CPLD_Full Cost"/>
      <sheetName val="Working of Full Cost"/>
      <sheetName val="Product Specification"/>
      <sheetName val="PM_D_C"/>
      <sheetName val="Yarn Rates"/>
      <sheetName val="Yarn Cost Details"/>
      <sheetName val="Product Profitability"/>
      <sheetName val="Financials"/>
    </sheetNames>
    <sheetDataSet>
      <sheetData sheetId="0"/>
      <sheetData sheetId="1"/>
      <sheetData sheetId="2"/>
      <sheetData sheetId="3">
        <row r="3">
          <cell r="B3" t="str">
            <v>Expense Head</v>
          </cell>
          <cell r="C3" t="str">
            <v>Grey</v>
          </cell>
          <cell r="D3" t="str">
            <v>White</v>
          </cell>
          <cell r="E3" t="str">
            <v>Processed</v>
          </cell>
          <cell r="F3" t="str">
            <v>LenHam</v>
          </cell>
          <cell r="G3" t="str">
            <v>Finish</v>
          </cell>
          <cell r="H3" t="str">
            <v>Dyed</v>
          </cell>
        </row>
        <row r="4">
          <cell r="B4" t="str">
            <v xml:space="preserve">Power                    </v>
          </cell>
          <cell r="C4">
            <v>1275.2219955126859</v>
          </cell>
          <cell r="D4">
            <v>1901.6332524410045</v>
          </cell>
          <cell r="E4">
            <v>2319.2407570598834</v>
          </cell>
          <cell r="F4">
            <v>2518.0328219507305</v>
          </cell>
          <cell r="G4">
            <v>3313.2010815141198</v>
          </cell>
          <cell r="H4">
            <v>2895.5935768952413</v>
          </cell>
        </row>
        <row r="5">
          <cell r="B5" t="str">
            <v>Salary</v>
          </cell>
          <cell r="C5">
            <v>722.53525086987293</v>
          </cell>
          <cell r="D5">
            <v>1150.8286407044482</v>
          </cell>
          <cell r="E5">
            <v>1436.3575672608317</v>
          </cell>
          <cell r="F5">
            <v>1559.4739301689031</v>
          </cell>
          <cell r="G5">
            <v>2051.9393818011881</v>
          </cell>
          <cell r="H5">
            <v>1766.4104552448048</v>
          </cell>
        </row>
        <row r="6">
          <cell r="B6" t="str">
            <v>Wages</v>
          </cell>
          <cell r="C6">
            <v>888.65949213837314</v>
          </cell>
          <cell r="D6">
            <v>1200.7071375322969</v>
          </cell>
          <cell r="E6">
            <v>1408.7389011282462</v>
          </cell>
          <cell r="F6">
            <v>1529.4879497963816</v>
          </cell>
          <cell r="G6">
            <v>2012.4841444689232</v>
          </cell>
          <cell r="H6">
            <v>1804.4523808729741</v>
          </cell>
        </row>
        <row r="7">
          <cell r="B7" t="str">
            <v>Labour Charges</v>
          </cell>
          <cell r="C7">
            <v>45.513604796725851</v>
          </cell>
          <cell r="D7">
            <v>115.61381363909894</v>
          </cell>
          <cell r="E7">
            <v>162.34728620068097</v>
          </cell>
          <cell r="F7">
            <v>176.26276787502505</v>
          </cell>
          <cell r="G7">
            <v>231.92469457240136</v>
          </cell>
          <cell r="H7">
            <v>185.19122201081933</v>
          </cell>
        </row>
        <row r="8">
          <cell r="B8" t="str">
            <v>Stores &amp; Spares</v>
          </cell>
          <cell r="C8">
            <v>158.50793143078678</v>
          </cell>
          <cell r="D8">
            <v>329.77609466324202</v>
          </cell>
          <cell r="E8">
            <v>443.95487015154549</v>
          </cell>
          <cell r="F8">
            <v>482.0081447359637</v>
          </cell>
          <cell r="G8">
            <v>634.2212430736364</v>
          </cell>
          <cell r="H8">
            <v>520.04246758533293</v>
          </cell>
        </row>
        <row r="9">
          <cell r="B9" t="str">
            <v>Contractor Wages</v>
          </cell>
          <cell r="C9">
            <v>242.5954565085444</v>
          </cell>
          <cell r="D9">
            <v>368.51424909650808</v>
          </cell>
          <cell r="E9">
            <v>452.46011082181724</v>
          </cell>
          <cell r="F9">
            <v>491.24240603511583</v>
          </cell>
          <cell r="G9">
            <v>646.37158688831028</v>
          </cell>
          <cell r="H9">
            <v>562.42572516300106</v>
          </cell>
        </row>
        <row r="10">
          <cell r="B10" t="str">
            <v>Repair &amp; Maintenance</v>
          </cell>
          <cell r="C10">
            <v>69.337305853845933</v>
          </cell>
          <cell r="D10">
            <v>99.543454286260967</v>
          </cell>
          <cell r="E10">
            <v>119.68088657453765</v>
          </cell>
          <cell r="F10">
            <v>129.93924828092659</v>
          </cell>
          <cell r="G10">
            <v>170.9726951064824</v>
          </cell>
          <cell r="H10">
            <v>150.83526281820573</v>
          </cell>
        </row>
        <row r="11">
          <cell r="B11" t="str">
            <v xml:space="preserve">Overhead </v>
          </cell>
          <cell r="C11">
            <v>276.00881518272587</v>
          </cell>
          <cell r="D11">
            <v>518.79527452091736</v>
          </cell>
          <cell r="E11">
            <v>680.65291407971165</v>
          </cell>
          <cell r="F11">
            <v>738.99459242940122</v>
          </cell>
          <cell r="G11">
            <v>972.3613058281594</v>
          </cell>
          <cell r="H11">
            <v>810.503666269365</v>
          </cell>
        </row>
        <row r="12">
          <cell r="B12" t="str">
            <v>Export Division (TT) Expenses</v>
          </cell>
          <cell r="C12">
            <v>518.98014456633746</v>
          </cell>
          <cell r="D12">
            <v>833.28155516783045</v>
          </cell>
          <cell r="E12">
            <v>1042.8158289021592</v>
          </cell>
          <cell r="F12">
            <v>1132.2000428080585</v>
          </cell>
          <cell r="G12">
            <v>1489.7368984316558</v>
          </cell>
          <cell r="H12">
            <v>1280.2026246973271</v>
          </cell>
        </row>
        <row r="13">
          <cell r="B13" t="str">
            <v>Corporate Expenses</v>
          </cell>
          <cell r="C13">
            <v>551.10669167928734</v>
          </cell>
          <cell r="D13">
            <v>912.82948615998066</v>
          </cell>
          <cell r="E13">
            <v>1153.9780158137762</v>
          </cell>
          <cell r="F13">
            <v>1252.8904171692429</v>
          </cell>
          <cell r="G13">
            <v>1648.5400225911094</v>
          </cell>
          <cell r="H13">
            <v>1407.3914929373138</v>
          </cell>
        </row>
        <row r="14">
          <cell r="B14" t="str">
            <v>Insurance</v>
          </cell>
          <cell r="C14">
            <v>266.63785185075426</v>
          </cell>
          <cell r="D14">
            <v>355.47548922818464</v>
          </cell>
          <cell r="E14">
            <v>414.70058081313829</v>
          </cell>
          <cell r="F14">
            <v>450.2463448828359</v>
          </cell>
          <cell r="G14">
            <v>592.42940116162629</v>
          </cell>
          <cell r="H14">
            <v>533.20430957667259</v>
          </cell>
        </row>
        <row r="15">
          <cell r="B15" t="str">
            <v xml:space="preserve">Interest </v>
          </cell>
          <cell r="C15">
            <v>974.30870466961699</v>
          </cell>
          <cell r="D15">
            <v>1623.4148497829278</v>
          </cell>
          <cell r="E15">
            <v>2056.1522798584683</v>
          </cell>
          <cell r="F15">
            <v>2232.3939038463373</v>
          </cell>
          <cell r="G15">
            <v>2937.3603997978121</v>
          </cell>
          <cell r="H15">
            <v>2504.6229697222716</v>
          </cell>
        </row>
        <row r="16">
          <cell r="B16" t="str">
            <v xml:space="preserve">Depreciation </v>
          </cell>
          <cell r="C16">
            <v>2000.3256256033885</v>
          </cell>
          <cell r="D16">
            <v>2965.0411254666706</v>
          </cell>
          <cell r="E16">
            <v>3608.1847920421924</v>
          </cell>
          <cell r="F16">
            <v>3917.4577742172373</v>
          </cell>
          <cell r="G16">
            <v>5154.5497029174176</v>
          </cell>
          <cell r="H16">
            <v>4511.4060363418957</v>
          </cell>
        </row>
        <row r="17">
          <cell r="B17" t="str">
            <v>Total</v>
          </cell>
          <cell r="C17">
            <v>7989.7388706629454</v>
          </cell>
          <cell r="D17">
            <v>12375.45442268937</v>
          </cell>
          <cell r="E17">
            <v>15299.264790706988</v>
          </cell>
          <cell r="F17">
            <v>16610.630344196161</v>
          </cell>
          <cell r="G17">
            <v>21856.092558152843</v>
          </cell>
          <cell r="H17">
            <v>18932.282190135225</v>
          </cell>
        </row>
      </sheetData>
      <sheetData sheetId="4"/>
      <sheetData sheetId="5"/>
      <sheetData sheetId="6"/>
      <sheetData sheetId="7"/>
      <sheetData sheetId="8"/>
      <sheetData sheetId="9"/>
      <sheetData sheetId="10"/>
      <sheetData sheetId="11"/>
      <sheetData sheetId="1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gh"/>
      <sheetName val="Ten Year"/>
      <sheetName val="S &amp; A"/>
      <sheetName val="Balance Sheet"/>
      <sheetName val="P &amp; L"/>
      <sheetName val="S 1 to 4"/>
      <sheetName val="S 5 to 6"/>
      <sheetName val="S 7 to 9"/>
      <sheetName val="S 10 to 12"/>
      <sheetName val="S 13 to 16"/>
      <sheetName val="S 17 to 18"/>
      <sheetName val="S 19 to 21"/>
      <sheetName val="S 22 to 24"/>
      <sheetName val="add info"/>
      <sheetName val="Rel Party"/>
      <sheetName val="Inv Det"/>
      <sheetName val="cash flow"/>
      <sheetName val="JV Detail"/>
      <sheetName val="Working"/>
      <sheetName val="Related party"/>
      <sheetName val="grouping"/>
      <sheetName val="Mar03"/>
      <sheetName val="Mar02"/>
      <sheetName val="BS Abs"/>
      <sheetName val="Ratio"/>
      <sheetName val="Ratio B"/>
      <sheetName val="GRAPH"/>
      <sheetName val="ED"/>
      <sheetName val="TDS"/>
      <sheetName val="Deb age"/>
      <sheetName val="D.R."/>
      <sheetName val="212st"/>
      <sheetName val="Summary for Segment"/>
      <sheetName val="Controls"/>
      <sheetName val="Details"/>
      <sheetName val="Existing"/>
      <sheetName val="Sheet1"/>
      <sheetName val="TBAL9697 -group wise  sdpl"/>
      <sheetName val="EXIS-COMBINED"/>
      <sheetName val="CAPI_01-02"/>
      <sheetName val="Ins &amp; Bonds"/>
      <sheetName val="Site facilities"/>
      <sheetName val="Clients Requirements"/>
      <sheetName val="BOQ"/>
      <sheetName val="HEAD"/>
      <sheetName val="재1"/>
      <sheetName val="Load Details(B2)"/>
      <sheetName val="SILICATE"/>
      <sheetName val="Site Dev BOQ"/>
      <sheetName val="Headings"/>
      <sheetName val="월선수금"/>
      <sheetName val="VCH-SLC"/>
      <sheetName val="Basement Budget"/>
      <sheetName val="FORM7"/>
      <sheetName val="X rate"/>
      <sheetName val="GF Columns"/>
      <sheetName val="Supplier"/>
      <sheetName val="Labour"/>
      <sheetName val="gen ledger data"/>
      <sheetName val="K-PIS"/>
      <sheetName val="Data"/>
      <sheetName val="Shivaji"/>
      <sheetName val="CMA"/>
      <sheetName val="Bal Sheet"/>
      <sheetName val="defaults"/>
      <sheetName val="header"/>
      <sheetName val="Report"/>
      <sheetName val="beam-reinft"/>
      <sheetName val="電気設備表"/>
      <sheetName val="Sheet6"/>
      <sheetName val="Original policy"/>
      <sheetName val="Ten_Year"/>
      <sheetName val="S_&amp;_A"/>
      <sheetName val="Balance_Sheet"/>
      <sheetName val="P_&amp;_L"/>
      <sheetName val="S_1_to_4"/>
      <sheetName val="S_5_to_6"/>
      <sheetName val="S_7_to_9"/>
      <sheetName val="S_10_to_12"/>
      <sheetName val="S_13_to_16"/>
      <sheetName val="S_17_to_18"/>
      <sheetName val="S_19_to_21"/>
      <sheetName val="S_22_to_24"/>
      <sheetName val="add_info"/>
      <sheetName val="Rel_Party"/>
      <sheetName val="Inv_Det"/>
      <sheetName val="cash_flow"/>
      <sheetName val="JV_Detail"/>
      <sheetName val="Related_party"/>
      <sheetName val="BS_Abs"/>
      <sheetName val="Ratio_B"/>
      <sheetName val="Deb_age"/>
      <sheetName val="D_R_"/>
      <sheetName val="Summary_for_Segment"/>
      <sheetName val="Master"/>
      <sheetName val="data 3A|6A"/>
      <sheetName val="EAW Final Accounts - 99"/>
      <sheetName val="BS"/>
      <sheetName val="Sch 14 to 20"/>
      <sheetName val="PI"/>
      <sheetName val="Sheet2"/>
      <sheetName val="BUDGET"/>
      <sheetName val="Schedules 1-15 (BIW)"/>
      <sheetName val="Schedules 16-22 (BIW)"/>
      <sheetName val="Trial Balance for Schedules"/>
      <sheetName val="RO Graf"/>
      <sheetName val="MCIPL, Gurgaon"/>
      <sheetName val="Other notes"/>
      <sheetName val="YTD"/>
      <sheetName val="Gr Data"/>
      <sheetName val="PL"/>
      <sheetName val="BalSht"/>
      <sheetName val="Tables"/>
      <sheetName val="KDS"/>
      <sheetName val="income-tax"/>
      <sheetName val="P&amp;L"/>
      <sheetName val="H"/>
      <sheetName val="Param"/>
      <sheetName val="BUDGET-IMPORT"/>
      <sheetName val="Ten_Year1"/>
      <sheetName val="S_&amp;_A1"/>
      <sheetName val="Balance_Sheet1"/>
      <sheetName val="P_&amp;_L1"/>
      <sheetName val="S_1_to_41"/>
      <sheetName val="S_5_to_61"/>
      <sheetName val="S_7_to_91"/>
      <sheetName val="S_10_to_121"/>
      <sheetName val="S_13_to_161"/>
      <sheetName val="S_17_to_181"/>
      <sheetName val="S_19_to_211"/>
      <sheetName val="S_22_to_241"/>
      <sheetName val="add_info1"/>
      <sheetName val="Rel_Party1"/>
      <sheetName val="Inv_Det1"/>
      <sheetName val="cash_flow1"/>
      <sheetName val="JV_Detail1"/>
      <sheetName val="Related_party1"/>
      <sheetName val="BS_Abs1"/>
      <sheetName val="Ratio_B1"/>
      <sheetName val="Deb_age1"/>
      <sheetName val="D_R_1"/>
      <sheetName val="Summary_for_Segment1"/>
      <sheetName val="Ten_Year2"/>
      <sheetName val="S_&amp;_A2"/>
      <sheetName val="Balance_Sheet2"/>
      <sheetName val="P_&amp;_L2"/>
      <sheetName val="S_1_to_42"/>
      <sheetName val="S_5_to_62"/>
      <sheetName val="S_7_to_92"/>
      <sheetName val="S_10_to_122"/>
      <sheetName val="S_13_to_162"/>
      <sheetName val="S_17_to_182"/>
      <sheetName val="S_19_to_212"/>
      <sheetName val="S_22_to_242"/>
      <sheetName val="add_info2"/>
      <sheetName val="Rel_Party2"/>
      <sheetName val="Inv_Det2"/>
      <sheetName val="cash_flow2"/>
      <sheetName val="JV_Detail2"/>
      <sheetName val="Related_party2"/>
      <sheetName val="BS_Abs2"/>
      <sheetName val="Ratio_B2"/>
      <sheetName val="Deb_age2"/>
      <sheetName val="D_R_2"/>
      <sheetName val="Summary_for_Segment2"/>
      <sheetName val="Ten_Year3"/>
      <sheetName val="S_&amp;_A3"/>
      <sheetName val="Balance_Sheet3"/>
      <sheetName val="P_&amp;_L3"/>
      <sheetName val="S_1_to_43"/>
      <sheetName val="S_5_to_63"/>
      <sheetName val="S_7_to_93"/>
      <sheetName val="S_10_to_123"/>
      <sheetName val="S_13_to_163"/>
      <sheetName val="S_17_to_183"/>
      <sheetName val="S_19_to_213"/>
      <sheetName val="S_22_to_243"/>
      <sheetName val="add_info3"/>
      <sheetName val="Rel_Party3"/>
      <sheetName val="Inv_Det3"/>
      <sheetName val="cash_flow3"/>
      <sheetName val="JV_Detail3"/>
      <sheetName val="Related_party3"/>
      <sheetName val="BS_Abs3"/>
      <sheetName val="Ratio_B3"/>
      <sheetName val="Deb_age3"/>
      <sheetName val="D_R_3"/>
      <sheetName val="Summary_for_Segment3"/>
      <sheetName val="NEW-PANEL"/>
      <sheetName val="Nº DIASOP2001"/>
      <sheetName val="intfirm"/>
      <sheetName val="KEY INDICATORS"/>
      <sheetName val="TB"/>
      <sheetName val="Eq. Mobilization"/>
      <sheetName val="Target Grid"/>
      <sheetName val="FORM-16"/>
      <sheetName val="Rate Analysis"/>
      <sheetName val="Intro."/>
      <sheetName val="1"/>
      <sheetName val="PRELIM5"/>
      <sheetName val="SPT vs PHI"/>
      <sheetName val="FMT 14 -VOLUME BY BRANDS"/>
      <sheetName val="FMT 13-VOLUME BY MARKET"/>
      <sheetName val="cap01"/>
      <sheetName val="GPIN-KEY"/>
      <sheetName val="92期"/>
      <sheetName val="ocean voyage"/>
      <sheetName val="COAT&amp;WRAP-QIOT-#3"/>
      <sheetName val="PNT-QUOT-#3"/>
      <sheetName val="DGP-2002"/>
      <sheetName val="XLR_NoRangeSheet"/>
      <sheetName val="SAR.05"/>
      <sheetName val="Attribute Worksheet"/>
      <sheetName val="Input"/>
      <sheetName val="segment_topsheet"/>
      <sheetName val="Summary KPI"/>
      <sheetName val="S80-MP"/>
      <sheetName val="Annexure 5"/>
      <sheetName val="標準単価ﾏｽﾀ"/>
      <sheetName val="Project Cost"/>
      <sheetName val="Op_Costs"/>
      <sheetName val="Contents"/>
      <sheetName val="Product Cost"/>
      <sheetName val="Amortization Table"/>
      <sheetName val="SUM14ZC1"/>
      <sheetName val="ASSUM"/>
      <sheetName val="Form"/>
      <sheetName val="Challan"/>
      <sheetName val="共振周波数"/>
      <sheetName val="Sheet3"/>
      <sheetName val="DATA 91-98"/>
      <sheetName val="list"/>
      <sheetName val="NOVEMBER SWAMY ORG-I"/>
      <sheetName val="annBF"/>
      <sheetName val="1072"/>
      <sheetName val="TBAL9697_-group_wise__sdpl"/>
      <sheetName val="Ins_&amp;_Bonds"/>
      <sheetName val="Site_facilities"/>
      <sheetName val="Clients_Requirements"/>
      <sheetName val="Load_Details(B2)"/>
      <sheetName val="Site_Dev_BOQ"/>
      <sheetName val="Basement_Budget"/>
      <sheetName val="X_rate"/>
      <sheetName val="GF_Columns"/>
      <sheetName val="gen_ledger_data"/>
      <sheetName val="Bal_Sheet"/>
      <sheetName val="data_3A|6A"/>
      <sheetName val="EAW_Final_Accounts_-_99"/>
      <sheetName val="Sch_14_to_20"/>
      <sheetName val="Schedules_1-15_(BIW)"/>
      <sheetName val="Schedules_16-22_(BIW)"/>
      <sheetName val="Trial_Balance_for_Schedules"/>
      <sheetName val="RO_Graf"/>
      <sheetName val="MCIPL,_Gurgaon"/>
      <sheetName val="RA"/>
      <sheetName val="EXPENSES"/>
      <sheetName val="Other_notes"/>
      <sheetName val="FMT_14_-VOLUME_BY_BRANDS"/>
      <sheetName val="FMT_13-VOLUME_BY_MARKET"/>
      <sheetName val="Original_policy"/>
      <sheetName val="Scenario"/>
      <sheetName val="Main"/>
      <sheetName val="TB trend"/>
      <sheetName val="cashbook"/>
      <sheetName val="PointNo.5"/>
      <sheetName val="Financials"/>
      <sheetName val="Feb'03"/>
      <sheetName val="T"/>
      <sheetName val="EVA"/>
      <sheetName val="Cons"/>
      <sheetName val="118.세금과공과"/>
      <sheetName val="Excess Calc"/>
      <sheetName val="Mfg OH "/>
      <sheetName val="BdData"/>
      <sheetName val="Set"/>
      <sheetName val="Basic Rate"/>
      <sheetName val="Gr_Data"/>
      <sheetName val="workings"/>
      <sheetName val="ACK-NEW"/>
    </sheetNames>
    <sheetDataSet>
      <sheetData sheetId="0"/>
      <sheetData sheetId="1"/>
      <sheetData sheetId="2" refreshError="1">
        <row r="4">
          <cell r="A4" t="str">
            <v>SOURCES OF FUNDS</v>
          </cell>
        </row>
        <row r="5">
          <cell r="A5" t="str">
            <v>Own Funds</v>
          </cell>
        </row>
        <row r="6">
          <cell r="A6" t="str">
            <v>Retained Profit/ (Loss)</v>
          </cell>
        </row>
        <row r="7">
          <cell r="A7" t="str">
            <v>Depreciation</v>
          </cell>
        </row>
        <row r="8">
          <cell r="A8" t="str">
            <v>D.R.E. charged off</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ow r="4">
          <cell r="A4" t="str">
            <v>SOURCES OF FUNDS</v>
          </cell>
        </row>
      </sheetData>
      <sheetData sheetId="75"/>
      <sheetData sheetId="76"/>
      <sheetData sheetId="77"/>
      <sheetData sheetId="78">
        <row r="4">
          <cell r="A4" t="str">
            <v>SOURCES OF FUNDS</v>
          </cell>
        </row>
      </sheetData>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ow r="4">
          <cell r="A4" t="str">
            <v>SOURCES OF FUNDS</v>
          </cell>
        </row>
      </sheetData>
      <sheetData sheetId="121">
        <row r="4">
          <cell r="A4" t="str">
            <v>SOURCES OF FUNDS</v>
          </cell>
        </row>
      </sheetData>
      <sheetData sheetId="122"/>
      <sheetData sheetId="123"/>
      <sheetData sheetId="124">
        <row r="4">
          <cell r="A4" t="str">
            <v>SOURCES OF FUNDS</v>
          </cell>
        </row>
      </sheetData>
      <sheetData sheetId="125">
        <row r="4">
          <cell r="A4" t="str">
            <v>SOURCES OF FUNDS</v>
          </cell>
        </row>
      </sheetData>
      <sheetData sheetId="126">
        <row r="4">
          <cell r="A4" t="str">
            <v>SOURCES OF FUNDS</v>
          </cell>
        </row>
      </sheetData>
      <sheetData sheetId="127"/>
      <sheetData sheetId="128">
        <row r="4">
          <cell r="A4" t="str">
            <v>SOURCES OF FUNDS</v>
          </cell>
        </row>
      </sheetData>
      <sheetData sheetId="129"/>
      <sheetData sheetId="130"/>
      <sheetData sheetId="131"/>
      <sheetData sheetId="132">
        <row r="4">
          <cell r="A4" t="str">
            <v>SOURCES OF FUNDS</v>
          </cell>
        </row>
      </sheetData>
      <sheetData sheetId="133">
        <row r="4">
          <cell r="A4" t="str">
            <v>SOURCES OF FUNDS</v>
          </cell>
        </row>
      </sheetData>
      <sheetData sheetId="134"/>
      <sheetData sheetId="135"/>
      <sheetData sheetId="136"/>
      <sheetData sheetId="137">
        <row r="4">
          <cell r="A4" t="str">
            <v>SOURCES OF FUNDS</v>
          </cell>
        </row>
      </sheetData>
      <sheetData sheetId="138">
        <row r="4">
          <cell r="A4" t="str">
            <v>SOURCES OF FUNDS</v>
          </cell>
        </row>
      </sheetData>
      <sheetData sheetId="139"/>
      <sheetData sheetId="140">
        <row r="4">
          <cell r="A4" t="str">
            <v>SOURCES OF FUNDS</v>
          </cell>
        </row>
      </sheetData>
      <sheetData sheetId="141"/>
      <sheetData sheetId="142"/>
      <sheetData sheetId="143">
        <row r="4">
          <cell r="A4" t="str">
            <v>SOURCES OF FUNDS</v>
          </cell>
        </row>
      </sheetData>
      <sheetData sheetId="144">
        <row r="4">
          <cell r="A4" t="str">
            <v>SOURCES OF FUNDS</v>
          </cell>
        </row>
      </sheetData>
      <sheetData sheetId="145"/>
      <sheetData sheetId="146">
        <row r="4">
          <cell r="A4" t="str">
            <v>SOURCES OF FUNDS</v>
          </cell>
        </row>
      </sheetData>
      <sheetData sheetId="147">
        <row r="4">
          <cell r="A4" t="str">
            <v>SOURCES OF FUNDS</v>
          </cell>
        </row>
      </sheetData>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ow r="4">
          <cell r="A4" t="str">
            <v>SOURCES OF FUNDS</v>
          </cell>
        </row>
      </sheetData>
      <sheetData sheetId="167"/>
      <sheetData sheetId="168"/>
      <sheetData sheetId="169"/>
      <sheetData sheetId="170"/>
      <sheetData sheetId="171"/>
      <sheetData sheetId="172">
        <row r="4">
          <cell r="A4" t="str">
            <v>SOURCES OF FUNDS</v>
          </cell>
        </row>
      </sheetData>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row r="4">
          <cell r="A4" t="str">
            <v>SOURCES OF FUNDS</v>
          </cell>
        </row>
      </sheetData>
      <sheetData sheetId="238">
        <row r="4">
          <cell r="A4" t="str">
            <v>SOURCES OF FUNDS</v>
          </cell>
        </row>
      </sheetData>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refreshError="1"/>
      <sheetData sheetId="27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P&amp;L"/>
      <sheetName val="BSSC"/>
      <sheetName val="P&amp;LSC"/>
      <sheetName val="P&amp;LSC2"/>
      <sheetName val="WTT grouping"/>
      <sheetName val="MIS-ANJAR TT"/>
      <sheetName val="MIS-ANJAR SHEETING"/>
      <sheetName val="MIS-ANJAR SPG"/>
      <sheetName val="Mis TT Spg &amp; Sht"/>
      <sheetName val="Anjar Balance Sheet"/>
      <sheetName val="Anjar Profit &amp; Loss"/>
      <sheetName val="Sap TB "/>
      <sheetName val="MIS-TT"/>
      <sheetName val="MIS-SHT"/>
      <sheetName val="MIS-SPG"/>
      <sheetName val="Manpower"/>
      <sheetName val="For Costing"/>
      <sheetName val="Abnormal Transaction"/>
      <sheetName val="ABNORMAL ITEMS"/>
      <sheetName val="WTT_grouping"/>
      <sheetName val="MIS-ANJAR_TT"/>
      <sheetName val="MIS-ANJAR_SHEETING"/>
      <sheetName val="MIS-ANJAR_SPG"/>
      <sheetName val="Mis_TT_Spg_&amp;_Sht"/>
      <sheetName val="Anjar_Balance_Sheet"/>
      <sheetName val="Anjar_Profit_&amp;_Loss"/>
      <sheetName val="Sap_TB_"/>
      <sheetName val="For_Costing"/>
      <sheetName val="Abnormal_Transaction"/>
      <sheetName val="ABNORMAL_ITEMS"/>
      <sheetName val="graph "/>
      <sheetName val="WTT_grouping1"/>
      <sheetName val="MIS-ANJAR_TT1"/>
      <sheetName val="MIS-ANJAR_SHEETING1"/>
      <sheetName val="MIS-ANJAR_SPG1"/>
      <sheetName val="Mis_TT_Spg_&amp;_Sht1"/>
      <sheetName val="Anjar_Balance_Sheet1"/>
      <sheetName val="Anjar_Profit_&amp;_Loss1"/>
      <sheetName val="Sap_TB_1"/>
      <sheetName val="For_Costing1"/>
      <sheetName val="Abnormal_Transaction1"/>
      <sheetName val="ABNORMAL_ITEMS1"/>
      <sheetName val="Fixed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sheetData sheetId="32"/>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Sheet2"/>
      <sheetName val="Sheet1"/>
      <sheetName val="Sheet3"/>
      <sheetName val="Sheet4"/>
      <sheetName val="B"/>
      <sheetName val="expenses"/>
      <sheetName val="J"/>
      <sheetName val="Ann-1"/>
      <sheetName val="Cont"/>
      <sheetName val="Assumption"/>
    </sheetNames>
    <sheetDataSet>
      <sheetData sheetId="0">
        <row r="38">
          <cell r="D38" t="str">
            <v>80/100 TEX SIM _B1</v>
          </cell>
          <cell r="E38" t="str">
            <v>80</v>
          </cell>
          <cell r="F38" t="str">
            <v>100</v>
          </cell>
          <cell r="G38" t="str">
            <v>TEX</v>
          </cell>
          <cell r="H38" t="str">
            <v>SIM</v>
          </cell>
          <cell r="I38" t="str">
            <v xml:space="preserve"> </v>
          </cell>
          <cell r="J38" t="str">
            <v xml:space="preserve"> </v>
          </cell>
          <cell r="K38" t="str">
            <v>B1</v>
          </cell>
          <cell r="L38">
            <v>0.5</v>
          </cell>
          <cell r="M38">
            <v>0</v>
          </cell>
          <cell r="N38">
            <v>0.49999999999999994</v>
          </cell>
          <cell r="O38">
            <v>600</v>
          </cell>
          <cell r="P38">
            <v>124</v>
          </cell>
          <cell r="Q38">
            <v>1.653</v>
          </cell>
          <cell r="R38">
            <v>0.97389999999999999</v>
          </cell>
          <cell r="S38">
            <v>0.97</v>
          </cell>
          <cell r="T38">
            <v>2.4799999999999999E-2</v>
          </cell>
          <cell r="U38">
            <v>1.5059100533375303</v>
          </cell>
          <cell r="V38">
            <v>6.4999999999999997E-3</v>
          </cell>
          <cell r="W38">
            <v>1.4961216379908364</v>
          </cell>
          <cell r="X38">
            <v>23.189885388857963</v>
          </cell>
          <cell r="Z38">
            <v>23.189885388857963</v>
          </cell>
          <cell r="AA38">
            <v>85.19</v>
          </cell>
          <cell r="AB38">
            <v>0.116865</v>
          </cell>
          <cell r="AC38">
            <v>85.073134999999994</v>
          </cell>
          <cell r="AD38">
            <v>1</v>
          </cell>
          <cell r="AE38">
            <v>0</v>
          </cell>
          <cell r="AF38">
            <v>0.425365675</v>
          </cell>
          <cell r="AH38">
            <v>0</v>
          </cell>
          <cell r="AI38">
            <v>0</v>
          </cell>
          <cell r="AJ38">
            <v>0</v>
          </cell>
          <cell r="AK38">
            <v>0</v>
          </cell>
          <cell r="AN38">
            <v>0</v>
          </cell>
          <cell r="AO38">
            <v>0</v>
          </cell>
          <cell r="AP38">
            <v>0</v>
          </cell>
          <cell r="AQ38">
            <v>0</v>
          </cell>
          <cell r="AR38">
            <v>0</v>
          </cell>
          <cell r="AS38" t="str">
            <v>140/100</v>
          </cell>
          <cell r="AT38">
            <v>1</v>
          </cell>
          <cell r="AU38">
            <v>0</v>
          </cell>
          <cell r="AV38">
            <v>64</v>
          </cell>
          <cell r="AW38">
            <v>1</v>
          </cell>
          <cell r="AX38">
            <v>64</v>
          </cell>
          <cell r="AY38">
            <v>0.98218435443183194</v>
          </cell>
          <cell r="AZ38">
            <v>57.781905571224669</v>
          </cell>
          <cell r="BA38">
            <v>57.781905571224669</v>
          </cell>
          <cell r="BB38">
            <v>2.81</v>
          </cell>
          <cell r="BC38">
            <v>0.89815</v>
          </cell>
          <cell r="BD38">
            <v>1.6362497618326133</v>
          </cell>
          <cell r="BE38">
            <v>0</v>
          </cell>
          <cell r="BF38">
            <v>1.6362497618326133</v>
          </cell>
          <cell r="BG38">
            <v>0</v>
          </cell>
          <cell r="BH38">
            <v>20.521463991942717</v>
          </cell>
          <cell r="BI38">
            <v>2.6843599679845442</v>
          </cell>
          <cell r="BJ38" t="b">
            <v>0</v>
          </cell>
          <cell r="BK38">
            <v>2.6843599679845442</v>
          </cell>
          <cell r="BL38">
            <v>1.5564436561356163</v>
          </cell>
          <cell r="BM38" t="b">
            <v>0</v>
          </cell>
          <cell r="BN38">
            <v>1.5564436561356163</v>
          </cell>
          <cell r="BO38">
            <v>3.32310827361942</v>
          </cell>
          <cell r="BP38">
            <v>0</v>
          </cell>
          <cell r="BQ38">
            <v>3.3307249751175427</v>
          </cell>
          <cell r="BR38">
            <v>1.7599267661585414</v>
          </cell>
          <cell r="BS38">
            <v>0</v>
          </cell>
          <cell r="BT38">
            <v>1.7914481923584642</v>
          </cell>
          <cell r="BU38">
            <v>2.7800374568032695</v>
          </cell>
          <cell r="BV38">
            <v>0</v>
          </cell>
          <cell r="BW38">
            <v>2.7945091896497027</v>
          </cell>
          <cell r="BX38">
            <v>0.15</v>
          </cell>
          <cell r="BY38">
            <v>0.8</v>
          </cell>
          <cell r="CA38">
            <v>2.8757149456219957</v>
          </cell>
          <cell r="CB38">
            <v>0</v>
          </cell>
          <cell r="CC38">
            <v>4.0544287974622497</v>
          </cell>
          <cell r="CD38">
            <v>0</v>
          </cell>
          <cell r="CE38">
            <v>4.7418729256193295</v>
          </cell>
          <cell r="CF38">
            <v>3.346016968125312</v>
          </cell>
          <cell r="CG38">
            <v>0</v>
          </cell>
          <cell r="CH38">
            <v>3.4779030840658827</v>
          </cell>
          <cell r="CI38">
            <v>0</v>
          </cell>
          <cell r="CJ38">
            <v>1.3958559574940175</v>
          </cell>
          <cell r="CK38">
            <v>3.5154006914412568</v>
          </cell>
          <cell r="CL38">
            <v>0</v>
          </cell>
          <cell r="CM38">
            <v>3.5154006914412568</v>
          </cell>
          <cell r="CN38">
            <v>0</v>
          </cell>
          <cell r="CO38">
            <v>-2.1195447339472393</v>
          </cell>
        </row>
        <row r="39">
          <cell r="D39" t="str">
            <v>150/100 TEX SIM Z _B1</v>
          </cell>
          <cell r="E39" t="str">
            <v>150</v>
          </cell>
          <cell r="F39" t="str">
            <v>100</v>
          </cell>
          <cell r="G39" t="str">
            <v>TEX</v>
          </cell>
          <cell r="H39" t="str">
            <v>SIM</v>
          </cell>
          <cell r="I39" t="str">
            <v>Z</v>
          </cell>
          <cell r="J39" t="str">
            <v xml:space="preserve"> </v>
          </cell>
          <cell r="K39" t="str">
            <v>B1</v>
          </cell>
          <cell r="L39">
            <v>1</v>
          </cell>
          <cell r="M39">
            <v>0.37363236306346437</v>
          </cell>
          <cell r="N39">
            <v>0.62636763693653563</v>
          </cell>
          <cell r="O39">
            <v>575</v>
          </cell>
          <cell r="P39">
            <v>252</v>
          </cell>
          <cell r="Q39">
            <v>1.64</v>
          </cell>
          <cell r="R39">
            <v>0.97389999999999999</v>
          </cell>
          <cell r="S39">
            <v>0.97</v>
          </cell>
          <cell r="T39">
            <v>2.4799999999999999E-2</v>
          </cell>
          <cell r="U39">
            <v>2.9561297223510787</v>
          </cell>
          <cell r="V39">
            <v>7.0000000000000001E-3</v>
          </cell>
          <cell r="W39">
            <v>2.9354368142946212</v>
          </cell>
          <cell r="X39">
            <v>90.998541243133261</v>
          </cell>
          <cell r="Y39">
            <v>34</v>
          </cell>
          <cell r="Z39">
            <v>56.998541243133261</v>
          </cell>
          <cell r="AA39">
            <v>71.526022304832708</v>
          </cell>
          <cell r="AB39">
            <v>0.116865</v>
          </cell>
          <cell r="AC39">
            <v>71.409157304832704</v>
          </cell>
          <cell r="AD39">
            <v>1</v>
          </cell>
          <cell r="AE39">
            <v>0</v>
          </cell>
          <cell r="AF39">
            <v>0.35704578652416352</v>
          </cell>
          <cell r="AG39">
            <v>1.55</v>
          </cell>
          <cell r="AH39">
            <v>90</v>
          </cell>
          <cell r="AI39">
            <v>43.86</v>
          </cell>
          <cell r="AJ39">
            <v>67.983000000000004</v>
          </cell>
          <cell r="AK39">
            <v>23.11422</v>
          </cell>
          <cell r="AN39">
            <v>0</v>
          </cell>
          <cell r="AO39">
            <v>4.7699999999999996</v>
          </cell>
          <cell r="AP39">
            <v>1.4705882352941178</v>
          </cell>
          <cell r="AQ39">
            <v>1.6762931506849317</v>
          </cell>
          <cell r="AR39">
            <v>0.1291677</v>
          </cell>
          <cell r="AS39" t="str">
            <v>265/100</v>
          </cell>
          <cell r="AT39">
            <v>1</v>
          </cell>
          <cell r="AU39">
            <v>9.4819500000000012</v>
          </cell>
          <cell r="AV39">
            <v>57</v>
          </cell>
          <cell r="AW39">
            <v>1</v>
          </cell>
          <cell r="AX39">
            <v>57</v>
          </cell>
          <cell r="AY39">
            <v>0.98267890848743711</v>
          </cell>
          <cell r="AZ39">
            <v>50.932247826903861</v>
          </cell>
          <cell r="BA39">
            <v>50.932247826903861</v>
          </cell>
          <cell r="BB39">
            <v>2.81</v>
          </cell>
          <cell r="BC39">
            <v>0.89815</v>
          </cell>
          <cell r="BD39">
            <v>0.83395720252400696</v>
          </cell>
          <cell r="BE39">
            <v>0</v>
          </cell>
          <cell r="BF39">
            <v>0.83395720252400696</v>
          </cell>
          <cell r="BG39">
            <v>13.944545884593085</v>
          </cell>
          <cell r="BH39">
            <v>14.57775648888067</v>
          </cell>
          <cell r="BI39">
            <v>1.3681538000412155</v>
          </cell>
          <cell r="BJ39" t="b">
            <v>0</v>
          </cell>
          <cell r="BK39">
            <v>1.3681538000412155</v>
          </cell>
          <cell r="BL39">
            <v>0.79328194731305379</v>
          </cell>
          <cell r="BM39" t="b">
            <v>0</v>
          </cell>
          <cell r="BN39">
            <v>0.79328194731305379</v>
          </cell>
          <cell r="BO39">
            <v>1.6937084693281308</v>
          </cell>
          <cell r="BP39">
            <v>0</v>
          </cell>
          <cell r="BQ39">
            <v>1.6975905191361751</v>
          </cell>
          <cell r="BR39">
            <v>0.89699240103103772</v>
          </cell>
          <cell r="BS39">
            <v>0</v>
          </cell>
          <cell r="BT39">
            <v>0.91305811485202093</v>
          </cell>
          <cell r="BU39">
            <v>1.4169183180145715</v>
          </cell>
          <cell r="BV39">
            <v>0</v>
          </cell>
          <cell r="BW39">
            <v>1.4242942126498559</v>
          </cell>
          <cell r="BX39">
            <v>0.15</v>
          </cell>
          <cell r="BY39">
            <v>0.8</v>
          </cell>
          <cell r="CA39">
            <v>1.4656828359879279</v>
          </cell>
          <cell r="CB39">
            <v>0</v>
          </cell>
          <cell r="CC39">
            <v>2.0664449747435851</v>
          </cell>
          <cell r="CD39">
            <v>6.1598081128771467</v>
          </cell>
          <cell r="CE39">
            <v>6.1430187171647344</v>
          </cell>
          <cell r="CF39">
            <v>1.7053844806738636</v>
          </cell>
          <cell r="CG39">
            <v>0</v>
          </cell>
          <cell r="CH39">
            <v>1.772603666196231</v>
          </cell>
          <cell r="CI39">
            <v>4.4544236322032829</v>
          </cell>
          <cell r="CJ39">
            <v>4.4376342364908705</v>
          </cell>
          <cell r="CK39">
            <v>1.7917152960204494</v>
          </cell>
          <cell r="CL39">
            <v>0</v>
          </cell>
          <cell r="CM39">
            <v>1.7917152960204494</v>
          </cell>
          <cell r="CN39">
            <v>2.6627083361828334</v>
          </cell>
          <cell r="CO39">
            <v>2.6459189404704211</v>
          </cell>
        </row>
        <row r="40">
          <cell r="D40" t="str">
            <v>150/48/2 ROTO IM _B1</v>
          </cell>
          <cell r="E40" t="str">
            <v>150</v>
          </cell>
          <cell r="F40" t="str">
            <v>48/2</v>
          </cell>
          <cell r="G40" t="str">
            <v>ROTO</v>
          </cell>
          <cell r="H40" t="str">
            <v>IM</v>
          </cell>
          <cell r="I40" t="str">
            <v xml:space="preserve"> </v>
          </cell>
          <cell r="J40" t="str">
            <v xml:space="preserve"> </v>
          </cell>
          <cell r="K40" t="str">
            <v>B1</v>
          </cell>
          <cell r="L40">
            <v>1</v>
          </cell>
          <cell r="M40">
            <v>0.76451714221066969</v>
          </cell>
          <cell r="N40">
            <v>0.23548285778933045</v>
          </cell>
          <cell r="O40">
            <v>700</v>
          </cell>
          <cell r="P40">
            <v>258</v>
          </cell>
          <cell r="Q40">
            <v>1.673</v>
          </cell>
          <cell r="R40">
            <v>0.97389999999999999</v>
          </cell>
          <cell r="S40">
            <v>0.97</v>
          </cell>
          <cell r="T40">
            <v>2.4799999999999999E-2</v>
          </cell>
          <cell r="U40">
            <v>3.6117755662430255</v>
          </cell>
          <cell r="V40">
            <v>7.0000000000000001E-3</v>
          </cell>
          <cell r="W40">
            <v>3.5864931372793243</v>
          </cell>
          <cell r="X40">
            <v>111.18128725565906</v>
          </cell>
          <cell r="Y40">
            <v>85</v>
          </cell>
          <cell r="Z40">
            <v>26.181287255659058</v>
          </cell>
          <cell r="AA40">
            <v>63.543011152416355</v>
          </cell>
          <cell r="AB40">
            <v>0.31474000000000008</v>
          </cell>
          <cell r="AC40">
            <v>63.228271152416355</v>
          </cell>
          <cell r="AD40">
            <v>1</v>
          </cell>
          <cell r="AE40">
            <v>0</v>
          </cell>
          <cell r="AF40">
            <v>0.3161413557620818</v>
          </cell>
          <cell r="AG40">
            <v>1.42</v>
          </cell>
          <cell r="AH40">
            <v>90</v>
          </cell>
          <cell r="AI40">
            <v>43.86</v>
          </cell>
          <cell r="AJ40">
            <v>62.281199999999998</v>
          </cell>
          <cell r="AK40">
            <v>52.939019999999999</v>
          </cell>
          <cell r="AN40">
            <v>0</v>
          </cell>
          <cell r="AO40">
            <v>4.7699999999999996</v>
          </cell>
          <cell r="AP40">
            <v>1.4705882352941178</v>
          </cell>
          <cell r="AQ40">
            <v>1.5357008219178085</v>
          </cell>
          <cell r="AR40">
            <v>0.11833428</v>
          </cell>
          <cell r="AS40" t="str">
            <v>265/48</v>
          </cell>
          <cell r="AT40">
            <v>2</v>
          </cell>
          <cell r="AU40">
            <v>0</v>
          </cell>
          <cell r="AV40">
            <v>40.5</v>
          </cell>
          <cell r="AW40">
            <v>1</v>
          </cell>
          <cell r="AX40">
            <v>54.5</v>
          </cell>
          <cell r="AY40">
            <v>0.98267890848743711</v>
          </cell>
          <cell r="AZ40">
            <v>37.66608256232346</v>
          </cell>
          <cell r="BA40">
            <v>48.475550555685274</v>
          </cell>
          <cell r="BB40">
            <v>2.81</v>
          </cell>
          <cell r="BC40">
            <v>0.89815</v>
          </cell>
          <cell r="BD40">
            <v>2.0477066985485779</v>
          </cell>
          <cell r="BE40">
            <v>0</v>
          </cell>
          <cell r="BF40">
            <v>2.0477066985485779</v>
          </cell>
          <cell r="BG40">
            <v>10.964637401916036</v>
          </cell>
          <cell r="BH40">
            <v>7.6807225424204182</v>
          </cell>
          <cell r="BI40">
            <v>1.1197927553556282</v>
          </cell>
          <cell r="BJ40" t="b">
            <v>0</v>
          </cell>
          <cell r="BK40">
            <v>1.1197927553556282</v>
          </cell>
          <cell r="BL40">
            <v>0.64927742592156135</v>
          </cell>
          <cell r="BM40" t="b">
            <v>0</v>
          </cell>
          <cell r="BN40">
            <v>0.64927742592156135</v>
          </cell>
          <cell r="BO40">
            <v>1.3862494652143467</v>
          </cell>
          <cell r="BP40">
            <v>0</v>
          </cell>
          <cell r="BQ40">
            <v>1.3894268062785213</v>
          </cell>
          <cell r="BR40">
            <v>0.73416131450524613</v>
          </cell>
          <cell r="BS40">
            <v>0</v>
          </cell>
          <cell r="BT40">
            <v>0.74731061829390777</v>
          </cell>
          <cell r="BU40">
            <v>1.1597050473386845</v>
          </cell>
          <cell r="BV40">
            <v>0</v>
          </cell>
          <cell r="BW40">
            <v>1.165741995360617</v>
          </cell>
          <cell r="BX40">
            <v>0.15</v>
          </cell>
          <cell r="BY40">
            <v>0.8</v>
          </cell>
          <cell r="CA40">
            <v>1.1996173393217417</v>
          </cell>
          <cell r="CB40">
            <v>0</v>
          </cell>
          <cell r="CC40">
            <v>1.6913230895453435</v>
          </cell>
          <cell r="CD40">
            <v>4.5658340542588274</v>
          </cell>
          <cell r="CE40">
            <v>0.63191919476320924</v>
          </cell>
          <cell r="CF40">
            <v>1.3958059294919796</v>
          </cell>
          <cell r="CG40">
            <v>0</v>
          </cell>
          <cell r="CH40">
            <v>1.4508228120724214</v>
          </cell>
          <cell r="CI40">
            <v>3.1700281247668478</v>
          </cell>
          <cell r="CJ40">
            <v>-0.76388673472877033</v>
          </cell>
          <cell r="CK40">
            <v>1.4664651065422052</v>
          </cell>
          <cell r="CL40">
            <v>0</v>
          </cell>
          <cell r="CM40">
            <v>1.4664651065422052</v>
          </cell>
          <cell r="CN40">
            <v>1.7035630182246426</v>
          </cell>
          <cell r="CO40">
            <v>-2.2303518412709753</v>
          </cell>
        </row>
        <row r="41">
          <cell r="D41" t="str">
            <v>150/48 TEX NIM Z _B1</v>
          </cell>
          <cell r="E41" t="str">
            <v>150</v>
          </cell>
          <cell r="F41" t="str">
            <v>48</v>
          </cell>
          <cell r="G41" t="str">
            <v>TEX</v>
          </cell>
          <cell r="H41" t="str">
            <v>NIM</v>
          </cell>
          <cell r="I41" t="str">
            <v>Z</v>
          </cell>
          <cell r="J41" t="str">
            <v xml:space="preserve"> </v>
          </cell>
          <cell r="K41" t="str">
            <v>B1</v>
          </cell>
          <cell r="L41">
            <v>1</v>
          </cell>
          <cell r="M41">
            <v>0.67301205609299186</v>
          </cell>
          <cell r="N41">
            <v>0.32698794390700814</v>
          </cell>
          <cell r="O41">
            <v>875</v>
          </cell>
          <cell r="P41">
            <v>251</v>
          </cell>
          <cell r="Q41">
            <v>1.7909999999999999</v>
          </cell>
          <cell r="R41">
            <v>0.97389999999999999</v>
          </cell>
          <cell r="S41">
            <v>0.97</v>
          </cell>
          <cell r="T41">
            <v>2.4799999999999999E-2</v>
          </cell>
          <cell r="U41">
            <v>4.102845274779015</v>
          </cell>
          <cell r="V41">
            <v>7.0000000000000001E-3</v>
          </cell>
          <cell r="W41">
            <v>4.0741253578555616</v>
          </cell>
          <cell r="X41">
            <v>126.29788609352241</v>
          </cell>
          <cell r="Y41">
            <v>85</v>
          </cell>
          <cell r="Z41">
            <v>41.297886093522408</v>
          </cell>
          <cell r="AA41">
            <v>61.326505576208177</v>
          </cell>
          <cell r="AB41">
            <v>0.116865</v>
          </cell>
          <cell r="AC41">
            <v>61.20964057620818</v>
          </cell>
          <cell r="AD41">
            <v>1</v>
          </cell>
          <cell r="AE41">
            <v>0</v>
          </cell>
          <cell r="AF41">
            <v>0.3060482028810409</v>
          </cell>
          <cell r="AG41">
            <v>1.3</v>
          </cell>
          <cell r="AH41">
            <v>90</v>
          </cell>
          <cell r="AI41">
            <v>43.86</v>
          </cell>
          <cell r="AJ41">
            <v>57.018000000000001</v>
          </cell>
          <cell r="AK41">
            <v>48.465299999999999</v>
          </cell>
          <cell r="AN41">
            <v>0</v>
          </cell>
          <cell r="AO41">
            <v>4.7699999999999996</v>
          </cell>
          <cell r="AP41">
            <v>1.4705882352941178</v>
          </cell>
          <cell r="AQ41">
            <v>1.4059232876712331</v>
          </cell>
          <cell r="AR41">
            <v>0.10833420000000001</v>
          </cell>
          <cell r="AS41" t="str">
            <v>265/48</v>
          </cell>
          <cell r="AT41">
            <v>2</v>
          </cell>
          <cell r="AU41">
            <v>0</v>
          </cell>
          <cell r="AV41">
            <v>40.5</v>
          </cell>
          <cell r="AW41">
            <v>1</v>
          </cell>
          <cell r="AX41">
            <v>54.5</v>
          </cell>
          <cell r="AY41">
            <v>0.98267890848743711</v>
          </cell>
          <cell r="AZ41">
            <v>37.66608256232346</v>
          </cell>
          <cell r="BA41">
            <v>48.475550555685274</v>
          </cell>
          <cell r="BB41">
            <v>2.81</v>
          </cell>
          <cell r="BC41">
            <v>0.89815</v>
          </cell>
          <cell r="BD41">
            <v>0</v>
          </cell>
          <cell r="BE41">
            <v>0</v>
          </cell>
          <cell r="BF41">
            <v>0</v>
          </cell>
          <cell r="BG41">
            <v>7.8889217147111905</v>
          </cell>
          <cell r="BH41">
            <v>7.7198918176418614</v>
          </cell>
          <cell r="BI41">
            <v>0.98576471745385297</v>
          </cell>
          <cell r="BJ41" t="b">
            <v>0</v>
          </cell>
          <cell r="BK41">
            <v>0.98576471745385297</v>
          </cell>
          <cell r="BL41">
            <v>0.57156538587309225</v>
          </cell>
          <cell r="BM41" t="b">
            <v>0</v>
          </cell>
          <cell r="BN41">
            <v>0.57156538587309225</v>
          </cell>
          <cell r="BO41">
            <v>1.2203292134744985</v>
          </cell>
          <cell r="BP41">
            <v>0</v>
          </cell>
          <cell r="BQ41">
            <v>1.2231262584646549</v>
          </cell>
          <cell r="BR41">
            <v>0.64628951857165262</v>
          </cell>
          <cell r="BS41">
            <v>0</v>
          </cell>
          <cell r="BT41">
            <v>0.65786498168476082</v>
          </cell>
          <cell r="BU41">
            <v>1.0208999056763544</v>
          </cell>
          <cell r="BV41">
            <v>0</v>
          </cell>
          <cell r="BW41">
            <v>1.0262142911576515</v>
          </cell>
          <cell r="BX41">
            <v>0.15</v>
          </cell>
          <cell r="BY41">
            <v>0.8</v>
          </cell>
          <cell r="CA41">
            <v>1.0560350938988563</v>
          </cell>
          <cell r="CB41">
            <v>0</v>
          </cell>
          <cell r="CC41">
            <v>1.4888885639908902</v>
          </cell>
          <cell r="CD41">
            <v>2.2380378797628828</v>
          </cell>
          <cell r="CE41">
            <v>1.4190079826935538</v>
          </cell>
          <cell r="CF41">
            <v>1.2287418641756609</v>
          </cell>
          <cell r="CG41">
            <v>0</v>
          </cell>
          <cell r="CH41">
            <v>1.2771737739667517</v>
          </cell>
          <cell r="CI41">
            <v>1.0092960155872219</v>
          </cell>
          <cell r="CJ41">
            <v>0.19026611851789288</v>
          </cell>
          <cell r="CK41">
            <v>1.2909438416105981</v>
          </cell>
          <cell r="CL41">
            <v>0</v>
          </cell>
          <cell r="CM41">
            <v>1.2909438416105981</v>
          </cell>
          <cell r="CN41">
            <v>-0.28164782602337612</v>
          </cell>
          <cell r="CO41">
            <v>-1.1006777230927052</v>
          </cell>
        </row>
        <row r="42">
          <cell r="D42" t="str">
            <v>150/48 TEX NIM S _B1</v>
          </cell>
          <cell r="E42" t="str">
            <v>150</v>
          </cell>
          <cell r="F42" t="str">
            <v>48</v>
          </cell>
          <cell r="G42" t="str">
            <v>TEX</v>
          </cell>
          <cell r="H42" t="str">
            <v>NIM</v>
          </cell>
          <cell r="I42" t="str">
            <v>S</v>
          </cell>
          <cell r="J42" t="str">
            <v xml:space="preserve"> </v>
          </cell>
          <cell r="K42" t="str">
            <v>B1</v>
          </cell>
          <cell r="L42">
            <v>0.5</v>
          </cell>
          <cell r="M42">
            <v>0</v>
          </cell>
          <cell r="N42">
            <v>0.5</v>
          </cell>
          <cell r="O42">
            <v>875</v>
          </cell>
          <cell r="P42">
            <v>251</v>
          </cell>
          <cell r="Q42">
            <v>1.7909999999999999</v>
          </cell>
          <cell r="R42">
            <v>0.97389999999999999</v>
          </cell>
          <cell r="S42">
            <v>0.97</v>
          </cell>
          <cell r="T42">
            <v>2.4799999999999999E-2</v>
          </cell>
          <cell r="U42">
            <v>4.102845274779015</v>
          </cell>
          <cell r="V42">
            <v>7.0000000000000001E-3</v>
          </cell>
          <cell r="W42">
            <v>4.0741253578555616</v>
          </cell>
          <cell r="X42">
            <v>63.148943046761204</v>
          </cell>
          <cell r="Z42">
            <v>63.148943046761204</v>
          </cell>
          <cell r="AA42">
            <v>56.65</v>
          </cell>
          <cell r="AB42">
            <v>0.116865</v>
          </cell>
          <cell r="AC42">
            <v>56.533135000000001</v>
          </cell>
          <cell r="AD42">
            <v>1</v>
          </cell>
          <cell r="AE42">
            <v>0</v>
          </cell>
          <cell r="AF42">
            <v>0.28266567500000001</v>
          </cell>
          <cell r="AI42">
            <v>0</v>
          </cell>
          <cell r="AJ42">
            <v>0</v>
          </cell>
          <cell r="AK42">
            <v>0</v>
          </cell>
          <cell r="AN42">
            <v>0</v>
          </cell>
          <cell r="AP42">
            <v>0</v>
          </cell>
          <cell r="AQ42">
            <v>0</v>
          </cell>
          <cell r="AR42">
            <v>0</v>
          </cell>
          <cell r="AS42" t="str">
            <v>265/48</v>
          </cell>
          <cell r="AT42">
            <v>1</v>
          </cell>
          <cell r="AU42">
            <v>0</v>
          </cell>
          <cell r="AV42">
            <v>54.5</v>
          </cell>
          <cell r="AW42">
            <v>2</v>
          </cell>
          <cell r="AX42">
            <v>40.5</v>
          </cell>
          <cell r="AY42">
            <v>0.98267890848743711</v>
          </cell>
          <cell r="AZ42">
            <v>48.475550555685274</v>
          </cell>
          <cell r="BA42">
            <v>37.66608256232346</v>
          </cell>
          <cell r="BB42">
            <v>2.81</v>
          </cell>
          <cell r="BC42">
            <v>0.89815</v>
          </cell>
          <cell r="BD42">
            <v>0</v>
          </cell>
          <cell r="BE42">
            <v>0</v>
          </cell>
          <cell r="BF42">
            <v>0</v>
          </cell>
          <cell r="BG42">
            <v>0</v>
          </cell>
          <cell r="BH42">
            <v>13.876236762676545</v>
          </cell>
          <cell r="BI42">
            <v>0.98576471745385297</v>
          </cell>
          <cell r="BJ42" t="b">
            <v>0</v>
          </cell>
          <cell r="BK42">
            <v>0.98576471745385297</v>
          </cell>
          <cell r="BL42">
            <v>0.57156538587309225</v>
          </cell>
          <cell r="BM42" t="b">
            <v>0</v>
          </cell>
          <cell r="BN42">
            <v>0.57156538587309225</v>
          </cell>
          <cell r="BO42">
            <v>1.2203292134744985</v>
          </cell>
          <cell r="BP42">
            <v>0</v>
          </cell>
          <cell r="BQ42">
            <v>1.2231262584646549</v>
          </cell>
          <cell r="BR42">
            <v>0.64628951857165262</v>
          </cell>
          <cell r="BS42">
            <v>0</v>
          </cell>
          <cell r="BT42">
            <v>0.65786498168476082</v>
          </cell>
          <cell r="BU42">
            <v>1.0208999056763544</v>
          </cell>
          <cell r="BV42">
            <v>0</v>
          </cell>
          <cell r="BW42">
            <v>1.0262142911576515</v>
          </cell>
          <cell r="BX42">
            <v>0.15</v>
          </cell>
          <cell r="BY42">
            <v>0.8</v>
          </cell>
          <cell r="CA42">
            <v>1.0560350938988563</v>
          </cell>
          <cell r="CB42">
            <v>0</v>
          </cell>
          <cell r="CC42">
            <v>1.4888885639908902</v>
          </cell>
          <cell r="CD42">
            <v>0</v>
          </cell>
          <cell r="CE42">
            <v>7.5753529277282396</v>
          </cell>
          <cell r="CF42">
            <v>1.2287418641756609</v>
          </cell>
          <cell r="CG42">
            <v>0</v>
          </cell>
          <cell r="CH42">
            <v>1.2771737739667517</v>
          </cell>
          <cell r="CI42">
            <v>0</v>
          </cell>
          <cell r="CJ42">
            <v>6.3466110635525785</v>
          </cell>
          <cell r="CK42">
            <v>1.2909438416105981</v>
          </cell>
          <cell r="CL42">
            <v>0</v>
          </cell>
          <cell r="CM42">
            <v>1.2909438416105981</v>
          </cell>
          <cell r="CN42">
            <v>0</v>
          </cell>
          <cell r="CO42">
            <v>5.0556672219419809</v>
          </cell>
        </row>
        <row r="43">
          <cell r="D43" t="str">
            <v>150/34 GFT NIM _B1</v>
          </cell>
          <cell r="E43" t="str">
            <v>150</v>
          </cell>
          <cell r="F43" t="str">
            <v>34</v>
          </cell>
          <cell r="G43" t="str">
            <v>GFT</v>
          </cell>
          <cell r="H43" t="str">
            <v>NIM</v>
          </cell>
          <cell r="I43" t="str">
            <v xml:space="preserve"> </v>
          </cell>
          <cell r="J43" t="str">
            <v xml:space="preserve"> </v>
          </cell>
          <cell r="K43" t="str">
            <v>B1</v>
          </cell>
          <cell r="L43">
            <v>1</v>
          </cell>
          <cell r="M43">
            <v>0</v>
          </cell>
          <cell r="N43">
            <v>1</v>
          </cell>
          <cell r="O43">
            <v>800</v>
          </cell>
          <cell r="P43">
            <v>235</v>
          </cell>
          <cell r="Q43">
            <v>1.7110000000000001</v>
          </cell>
          <cell r="R43">
            <v>0.97389999999999999</v>
          </cell>
          <cell r="S43">
            <v>0.97</v>
          </cell>
          <cell r="T43">
            <v>2.4799999999999999E-2</v>
          </cell>
          <cell r="U43">
            <v>3.6762648376993283</v>
          </cell>
          <cell r="V43">
            <v>7.0000000000000001E-3</v>
          </cell>
          <cell r="W43">
            <v>3.650530983835433</v>
          </cell>
          <cell r="X43">
            <v>113.16646049889842</v>
          </cell>
          <cell r="Z43">
            <v>113.16646049889842</v>
          </cell>
          <cell r="AA43">
            <v>61.326505576208177</v>
          </cell>
          <cell r="AB43">
            <v>0.116865</v>
          </cell>
          <cell r="AC43">
            <v>61.20964057620818</v>
          </cell>
          <cell r="AD43">
            <v>1</v>
          </cell>
          <cell r="AE43">
            <v>0</v>
          </cell>
          <cell r="AF43">
            <v>0.3060482028810409</v>
          </cell>
          <cell r="AG43">
            <v>0</v>
          </cell>
          <cell r="AI43">
            <v>0</v>
          </cell>
          <cell r="AJ43">
            <v>0</v>
          </cell>
          <cell r="AK43">
            <v>0</v>
          </cell>
          <cell r="AN43">
            <v>0</v>
          </cell>
          <cell r="AP43">
            <v>0</v>
          </cell>
          <cell r="AQ43">
            <v>0</v>
          </cell>
          <cell r="AR43">
            <v>0</v>
          </cell>
          <cell r="AS43" t="str">
            <v>235/34</v>
          </cell>
          <cell r="AT43">
            <v>1</v>
          </cell>
          <cell r="AU43">
            <v>0</v>
          </cell>
          <cell r="AV43">
            <v>55</v>
          </cell>
          <cell r="AW43">
            <v>1</v>
          </cell>
          <cell r="AX43">
            <v>55</v>
          </cell>
          <cell r="AY43">
            <v>0.98267890848743711</v>
          </cell>
          <cell r="AZ43">
            <v>48.966890009928989</v>
          </cell>
          <cell r="BA43">
            <v>48.966890009928989</v>
          </cell>
          <cell r="BB43">
            <v>2.81</v>
          </cell>
          <cell r="BC43">
            <v>0.89815</v>
          </cell>
          <cell r="BD43">
            <v>0</v>
          </cell>
          <cell r="BE43">
            <v>0</v>
          </cell>
          <cell r="BF43">
            <v>0</v>
          </cell>
          <cell r="BG43">
            <v>0</v>
          </cell>
          <cell r="BH43">
            <v>7.2285523633981468</v>
          </cell>
          <cell r="BI43">
            <v>1.1001492796641099</v>
          </cell>
          <cell r="BJ43" t="b">
            <v>0</v>
          </cell>
          <cell r="BK43">
            <v>1.1001492796641099</v>
          </cell>
          <cell r="BL43">
            <v>0.63788776004620806</v>
          </cell>
          <cell r="BM43" t="b">
            <v>0</v>
          </cell>
          <cell r="BN43">
            <v>0.63788776004620806</v>
          </cell>
          <cell r="BO43">
            <v>1.3619317889817741</v>
          </cell>
          <cell r="BP43">
            <v>0</v>
          </cell>
          <cell r="BQ43">
            <v>1.3650533929270408</v>
          </cell>
          <cell r="BR43">
            <v>0.72128261006090721</v>
          </cell>
          <cell r="BS43">
            <v>0</v>
          </cell>
          <cell r="BT43">
            <v>0.7342012479267026</v>
          </cell>
          <cell r="BU43">
            <v>1.1393614276842658</v>
          </cell>
          <cell r="BV43">
            <v>0</v>
          </cell>
          <cell r="BW43">
            <v>1.1452924751802724</v>
          </cell>
          <cell r="BX43">
            <v>0.15</v>
          </cell>
          <cell r="BY43">
            <v>0.8</v>
          </cell>
          <cell r="CA43">
            <v>1.1785735757044224</v>
          </cell>
          <cell r="CB43">
            <v>0</v>
          </cell>
          <cell r="CC43">
            <v>1.6616537924034482</v>
          </cell>
          <cell r="CD43">
            <v>0</v>
          </cell>
          <cell r="CE43">
            <v>0.28936592125645899</v>
          </cell>
          <cell r="CF43">
            <v>1.3713206131556142</v>
          </cell>
          <cell r="CG43">
            <v>0</v>
          </cell>
          <cell r="CH43">
            <v>1.4253723860848071</v>
          </cell>
          <cell r="CI43">
            <v>0</v>
          </cell>
          <cell r="CJ43">
            <v>-1.0819546918991552</v>
          </cell>
          <cell r="CK43">
            <v>1.4407402824307354</v>
          </cell>
          <cell r="CL43">
            <v>0</v>
          </cell>
          <cell r="CM43">
            <v>1.4407402824307354</v>
          </cell>
          <cell r="CN43">
            <v>0</v>
          </cell>
          <cell r="CO43">
            <v>-2.5226949743298905</v>
          </cell>
        </row>
        <row r="44">
          <cell r="D44" t="str">
            <v>300/68 ROTO IM _B1</v>
          </cell>
          <cell r="E44" t="str">
            <v>300</v>
          </cell>
          <cell r="F44" t="str">
            <v>68</v>
          </cell>
          <cell r="G44" t="str">
            <v>ROTO</v>
          </cell>
          <cell r="H44" t="str">
            <v>IM</v>
          </cell>
          <cell r="I44" t="str">
            <v xml:space="preserve"> </v>
          </cell>
          <cell r="J44" t="str">
            <v xml:space="preserve"> </v>
          </cell>
          <cell r="K44" t="str">
            <v>B1</v>
          </cell>
          <cell r="L44">
            <v>0.5</v>
          </cell>
          <cell r="M44">
            <v>0.24404752852307615</v>
          </cell>
          <cell r="N44">
            <v>0.25595247147692379</v>
          </cell>
          <cell r="O44">
            <v>450</v>
          </cell>
          <cell r="P44">
            <v>505</v>
          </cell>
          <cell r="Q44">
            <v>1.68</v>
          </cell>
          <cell r="R44">
            <v>0.97389999999999999</v>
          </cell>
          <cell r="S44">
            <v>0.97</v>
          </cell>
          <cell r="T44">
            <v>2.4799999999999999E-2</v>
          </cell>
          <cell r="U44">
            <v>4.5257812704287996</v>
          </cell>
          <cell r="V44">
            <v>7.0000000000000001E-3</v>
          </cell>
          <cell r="W44">
            <v>4.4941008015357982</v>
          </cell>
          <cell r="X44">
            <v>69.658562423804867</v>
          </cell>
          <cell r="Y44">
            <v>34</v>
          </cell>
          <cell r="Z44">
            <v>35.658562423804867</v>
          </cell>
          <cell r="AA44">
            <v>65.77</v>
          </cell>
          <cell r="AB44">
            <v>0.31474000000000008</v>
          </cell>
          <cell r="AC44">
            <v>65.455259999999996</v>
          </cell>
          <cell r="AD44">
            <v>1</v>
          </cell>
          <cell r="AE44">
            <v>0</v>
          </cell>
          <cell r="AF44">
            <v>0.32727629999999996</v>
          </cell>
          <cell r="AG44">
            <v>1.54</v>
          </cell>
          <cell r="AH44">
            <v>90</v>
          </cell>
          <cell r="AI44">
            <v>43.86</v>
          </cell>
          <cell r="AJ44">
            <v>67.544399999999996</v>
          </cell>
          <cell r="AK44">
            <v>22.965095999999999</v>
          </cell>
          <cell r="AM44">
            <v>0.02</v>
          </cell>
          <cell r="AN44">
            <v>1.3508879999999999</v>
          </cell>
          <cell r="AO44">
            <v>5.21</v>
          </cell>
          <cell r="AP44">
            <v>1.4705882352941178</v>
          </cell>
          <cell r="AQ44">
            <v>1.6654783561643836</v>
          </cell>
          <cell r="AR44">
            <v>0.12833435999999998</v>
          </cell>
          <cell r="AS44" t="str">
            <v>530/68</v>
          </cell>
          <cell r="AT44">
            <v>1</v>
          </cell>
          <cell r="AU44">
            <v>9.3501599999999989</v>
          </cell>
          <cell r="AV44">
            <v>54</v>
          </cell>
          <cell r="AW44">
            <v>1</v>
          </cell>
          <cell r="AX44">
            <v>54</v>
          </cell>
          <cell r="AY44">
            <v>0.98267890848743711</v>
          </cell>
          <cell r="AZ44">
            <v>47.984211101441552</v>
          </cell>
          <cell r="BA44">
            <v>47.984211101441552</v>
          </cell>
          <cell r="BB44">
            <v>2.81</v>
          </cell>
          <cell r="BC44">
            <v>0.89815</v>
          </cell>
          <cell r="BD44">
            <v>1.6341613919731472</v>
          </cell>
          <cell r="BE44">
            <v>0</v>
          </cell>
          <cell r="BF44">
            <v>1.6341613919731472</v>
          </cell>
          <cell r="BG44">
            <v>13.742748555126797</v>
          </cell>
          <cell r="BH44">
            <v>10.801461206585302</v>
          </cell>
          <cell r="BI44">
            <v>0.8936446265036172</v>
          </cell>
          <cell r="BJ44" t="b">
            <v>0</v>
          </cell>
          <cell r="BK44">
            <v>0.8936446265036172</v>
          </cell>
          <cell r="BL44">
            <v>0.51815238133116348</v>
          </cell>
          <cell r="BM44" t="b">
            <v>0</v>
          </cell>
          <cell r="BN44">
            <v>0.51815238133116348</v>
          </cell>
          <cell r="BO44">
            <v>1.1062889804005622</v>
          </cell>
          <cell r="BP44">
            <v>0</v>
          </cell>
          <cell r="BQ44">
            <v>1.1088246404635418</v>
          </cell>
          <cell r="BR44">
            <v>0.58589351516753219</v>
          </cell>
          <cell r="BS44">
            <v>0</v>
          </cell>
          <cell r="BT44">
            <v>0.59638724681278588</v>
          </cell>
          <cell r="BU44">
            <v>0.92549641791012138</v>
          </cell>
          <cell r="BV44">
            <v>0</v>
          </cell>
          <cell r="BW44">
            <v>0.93031417202978262</v>
          </cell>
          <cell r="BX44">
            <v>0.15</v>
          </cell>
          <cell r="BY44">
            <v>0.8</v>
          </cell>
          <cell r="CA44">
            <v>0.95734820931662579</v>
          </cell>
          <cell r="CB44">
            <v>0</v>
          </cell>
          <cell r="CC44">
            <v>1.3497513566014125</v>
          </cell>
          <cell r="CD44">
            <v>8.6059244244971751</v>
          </cell>
          <cell r="CE44">
            <v>5.0146370759556804</v>
          </cell>
          <cell r="CF44">
            <v>1.1139154656669081</v>
          </cell>
          <cell r="CG44">
            <v>0</v>
          </cell>
          <cell r="CH44">
            <v>1.157821394911269</v>
          </cell>
          <cell r="CI44">
            <v>7.492008958830267</v>
          </cell>
          <cell r="CJ44">
            <v>3.9007216102887723</v>
          </cell>
          <cell r="CK44">
            <v>1.1703046444520917</v>
          </cell>
          <cell r="CL44">
            <v>0</v>
          </cell>
          <cell r="CM44">
            <v>1.1703046444520917</v>
          </cell>
          <cell r="CN44">
            <v>6.3217043143781755</v>
          </cell>
          <cell r="CO44">
            <v>2.7304169658366808</v>
          </cell>
        </row>
        <row r="45">
          <cell r="D45" t="str">
            <v>150/34 TEX NIM _B1</v>
          </cell>
          <cell r="E45" t="str">
            <v>150</v>
          </cell>
          <cell r="F45" t="str">
            <v>34</v>
          </cell>
          <cell r="G45" t="str">
            <v>TEX</v>
          </cell>
          <cell r="H45" t="str">
            <v>NIM</v>
          </cell>
          <cell r="I45" t="str">
            <v xml:space="preserve"> </v>
          </cell>
          <cell r="J45" t="str">
            <v xml:space="preserve"> </v>
          </cell>
          <cell r="K45" t="str">
            <v>B1</v>
          </cell>
          <cell r="L45">
            <v>1.5</v>
          </cell>
          <cell r="M45">
            <v>0</v>
          </cell>
          <cell r="N45">
            <v>1.4999999999999998</v>
          </cell>
          <cell r="O45">
            <v>875</v>
          </cell>
          <cell r="P45">
            <v>251</v>
          </cell>
          <cell r="Q45">
            <v>1.748</v>
          </cell>
          <cell r="R45">
            <v>0.97389999999999999</v>
          </cell>
          <cell r="S45">
            <v>0.97</v>
          </cell>
          <cell r="T45">
            <v>2.4799999999999999E-2</v>
          </cell>
          <cell r="U45">
            <v>4.2037733908061874</v>
          </cell>
          <cell r="V45">
            <v>7.0000000000000001E-3</v>
          </cell>
          <cell r="W45">
            <v>4.1743469770705444</v>
          </cell>
          <cell r="X45">
            <v>194.10713443378029</v>
          </cell>
          <cell r="Z45">
            <v>194.10713443378029</v>
          </cell>
          <cell r="AA45">
            <v>61.326505576208177</v>
          </cell>
          <cell r="AB45">
            <v>0.116865</v>
          </cell>
          <cell r="AC45">
            <v>61.20964057620818</v>
          </cell>
          <cell r="AD45">
            <v>1</v>
          </cell>
          <cell r="AE45">
            <v>0</v>
          </cell>
          <cell r="AF45">
            <v>0.3060482028810409</v>
          </cell>
          <cell r="AG45">
            <v>0</v>
          </cell>
          <cell r="AH45">
            <v>0</v>
          </cell>
          <cell r="AI45">
            <v>0</v>
          </cell>
          <cell r="AJ45">
            <v>0</v>
          </cell>
          <cell r="AK45">
            <v>0</v>
          </cell>
          <cell r="AN45">
            <v>0</v>
          </cell>
          <cell r="AP45">
            <v>0</v>
          </cell>
          <cell r="AQ45">
            <v>0</v>
          </cell>
          <cell r="AR45">
            <v>0</v>
          </cell>
          <cell r="AS45" t="str">
            <v>265/34</v>
          </cell>
          <cell r="AT45">
            <v>1</v>
          </cell>
          <cell r="AU45">
            <v>0</v>
          </cell>
          <cell r="AV45">
            <v>54</v>
          </cell>
          <cell r="AW45">
            <v>1</v>
          </cell>
          <cell r="AX45">
            <v>54</v>
          </cell>
          <cell r="AY45">
            <v>0.98267890848743711</v>
          </cell>
          <cell r="AZ45">
            <v>47.984211101441552</v>
          </cell>
          <cell r="BA45">
            <v>47.984211101441552</v>
          </cell>
          <cell r="BB45">
            <v>2.81</v>
          </cell>
          <cell r="BC45">
            <v>0.89815</v>
          </cell>
          <cell r="BD45">
            <v>0</v>
          </cell>
          <cell r="BE45">
            <v>0</v>
          </cell>
          <cell r="BF45">
            <v>0</v>
          </cell>
          <cell r="BG45">
            <v>0</v>
          </cell>
          <cell r="BH45">
            <v>8.211231271885584</v>
          </cell>
          <cell r="BI45">
            <v>0.96209755784999151</v>
          </cell>
          <cell r="BJ45" t="b">
            <v>0</v>
          </cell>
          <cell r="BK45">
            <v>0.96209755784999151</v>
          </cell>
          <cell r="BL45">
            <v>0.55784271050037149</v>
          </cell>
          <cell r="BM45" t="b">
            <v>0</v>
          </cell>
          <cell r="BN45">
            <v>0.55784271050037149</v>
          </cell>
          <cell r="BO45">
            <v>1.1910304104709231</v>
          </cell>
          <cell r="BP45">
            <v>0</v>
          </cell>
          <cell r="BQ45">
            <v>1.1937603013937557</v>
          </cell>
          <cell r="BR45">
            <v>0.63077279646189199</v>
          </cell>
          <cell r="BS45">
            <v>0</v>
          </cell>
          <cell r="BT45">
            <v>0.64207034505022986</v>
          </cell>
          <cell r="BU45">
            <v>0.9963891876729577</v>
          </cell>
          <cell r="BV45">
            <v>0</v>
          </cell>
          <cell r="BW45">
            <v>1.0015759804263398</v>
          </cell>
          <cell r="BX45">
            <v>0.15</v>
          </cell>
          <cell r="BY45">
            <v>0.8</v>
          </cell>
          <cell r="CA45">
            <v>1.0306808174959243</v>
          </cell>
          <cell r="CB45">
            <v>0</v>
          </cell>
          <cell r="CC45">
            <v>1.4531419373847434</v>
          </cell>
          <cell r="CD45">
            <v>0</v>
          </cell>
          <cell r="CE45">
            <v>2.0424177914335226</v>
          </cell>
          <cell r="CF45">
            <v>1.1992410824003654</v>
          </cell>
          <cell r="CG45">
            <v>0</v>
          </cell>
          <cell r="CH45">
            <v>1.2465101936872596</v>
          </cell>
          <cell r="CI45">
            <v>0</v>
          </cell>
          <cell r="CJ45">
            <v>0.84317670903315722</v>
          </cell>
          <cell r="CK45">
            <v>1.2599496566919741</v>
          </cell>
          <cell r="CL45">
            <v>0</v>
          </cell>
          <cell r="CM45">
            <v>1.2599496566919741</v>
          </cell>
          <cell r="CN45">
            <v>0</v>
          </cell>
          <cell r="CO45">
            <v>-0.41677294765881689</v>
          </cell>
        </row>
        <row r="46">
          <cell r="D46" t="str">
            <v>300/68 TEX NIM _B1</v>
          </cell>
          <cell r="E46" t="str">
            <v>300</v>
          </cell>
          <cell r="F46" t="str">
            <v>68</v>
          </cell>
          <cell r="G46" t="str">
            <v>TEX</v>
          </cell>
          <cell r="H46" t="str">
            <v>NIM</v>
          </cell>
          <cell r="I46" t="str">
            <v xml:space="preserve"> </v>
          </cell>
          <cell r="J46" t="str">
            <v xml:space="preserve"> </v>
          </cell>
          <cell r="K46" t="str">
            <v>B1</v>
          </cell>
          <cell r="L46">
            <v>1</v>
          </cell>
          <cell r="M46">
            <v>0.32946416350615271</v>
          </cell>
          <cell r="N46">
            <v>0.67053583649384729</v>
          </cell>
          <cell r="O46">
            <v>500</v>
          </cell>
          <cell r="P46">
            <v>505</v>
          </cell>
          <cell r="Q46">
            <v>1.68</v>
          </cell>
          <cell r="R46">
            <v>0.97389999999999999</v>
          </cell>
          <cell r="S46">
            <v>0.97</v>
          </cell>
          <cell r="T46">
            <v>2.4799999999999999E-2</v>
          </cell>
          <cell r="U46">
            <v>5.0286458560320009</v>
          </cell>
          <cell r="V46">
            <v>7.0000000000000001E-3</v>
          </cell>
          <cell r="W46">
            <v>4.9934453350397767</v>
          </cell>
          <cell r="X46">
            <v>154.79680538623307</v>
          </cell>
          <cell r="Y46">
            <v>51</v>
          </cell>
          <cell r="Z46">
            <v>103.79680538623307</v>
          </cell>
          <cell r="AA46">
            <v>62.066505576208179</v>
          </cell>
          <cell r="AB46">
            <v>0.116865</v>
          </cell>
          <cell r="AC46">
            <v>61.949640576208182</v>
          </cell>
          <cell r="AD46">
            <v>1</v>
          </cell>
          <cell r="AE46">
            <v>0</v>
          </cell>
          <cell r="AF46">
            <v>0.30974820288104093</v>
          </cell>
          <cell r="AG46">
            <v>1.28</v>
          </cell>
          <cell r="AH46">
            <v>90</v>
          </cell>
          <cell r="AI46">
            <v>43.86</v>
          </cell>
          <cell r="AJ46">
            <v>56.140799999999999</v>
          </cell>
          <cell r="AK46">
            <v>28.631807999999999</v>
          </cell>
          <cell r="AN46">
            <v>0</v>
          </cell>
          <cell r="AO46">
            <v>4.34</v>
          </cell>
          <cell r="AP46">
            <v>1.4705882352941178</v>
          </cell>
          <cell r="AQ46">
            <v>1.3842936986301371</v>
          </cell>
          <cell r="AR46">
            <v>0.10666752</v>
          </cell>
          <cell r="AS46" t="str">
            <v>530/68</v>
          </cell>
          <cell r="AT46">
            <v>2</v>
          </cell>
          <cell r="AU46">
            <v>0</v>
          </cell>
          <cell r="AV46">
            <v>41.5</v>
          </cell>
          <cell r="AW46">
            <v>1</v>
          </cell>
          <cell r="AX46">
            <v>54</v>
          </cell>
          <cell r="AY46">
            <v>0.98267890848743711</v>
          </cell>
          <cell r="AZ46">
            <v>38.648761470810896</v>
          </cell>
          <cell r="BA46">
            <v>47.984211101441552</v>
          </cell>
          <cell r="BB46">
            <v>2.81</v>
          </cell>
          <cell r="BC46">
            <v>0.89815</v>
          </cell>
          <cell r="BD46">
            <v>0</v>
          </cell>
          <cell r="BE46">
            <v>0</v>
          </cell>
          <cell r="BF46">
            <v>0</v>
          </cell>
          <cell r="BG46">
            <v>6.4823390752648491</v>
          </cell>
          <cell r="BH46">
            <v>8.9475312718855911</v>
          </cell>
          <cell r="BI46">
            <v>0.8042801638532554</v>
          </cell>
          <cell r="BJ46" t="b">
            <v>0</v>
          </cell>
          <cell r="BK46">
            <v>0.8042801638532554</v>
          </cell>
          <cell r="BL46">
            <v>0.46633714319804703</v>
          </cell>
          <cell r="BM46" t="b">
            <v>0</v>
          </cell>
          <cell r="BN46">
            <v>0.46633714319804703</v>
          </cell>
          <cell r="BO46">
            <v>0.99566008236050574</v>
          </cell>
          <cell r="BP46">
            <v>0</v>
          </cell>
          <cell r="BQ46">
            <v>0.99794217641718741</v>
          </cell>
          <cell r="BR46">
            <v>0.52730416365077881</v>
          </cell>
          <cell r="BS46">
            <v>0</v>
          </cell>
          <cell r="BT46">
            <v>0.53674852213150714</v>
          </cell>
          <cell r="BU46">
            <v>0.83294677611910906</v>
          </cell>
          <cell r="BV46">
            <v>0</v>
          </cell>
          <cell r="BW46">
            <v>0.83728275482680414</v>
          </cell>
          <cell r="BX46">
            <v>0.15</v>
          </cell>
          <cell r="BY46">
            <v>0.8</v>
          </cell>
          <cell r="CA46">
            <v>0.86161338838496304</v>
          </cell>
          <cell r="CB46">
            <v>0</v>
          </cell>
          <cell r="CC46">
            <v>1.2147762209412709</v>
          </cell>
          <cell r="CD46">
            <v>1.8441973576981892</v>
          </cell>
          <cell r="CE46">
            <v>3.6593895543189316</v>
          </cell>
          <cell r="CF46">
            <v>1.0025239191002171</v>
          </cell>
          <cell r="CG46">
            <v>0</v>
          </cell>
          <cell r="CH46">
            <v>1.0420392554201419</v>
          </cell>
          <cell r="CI46">
            <v>0.84167343859797206</v>
          </cell>
          <cell r="CJ46">
            <v>2.6568656352187148</v>
          </cell>
          <cell r="CK46">
            <v>1.0532741800068823</v>
          </cell>
          <cell r="CL46">
            <v>0</v>
          </cell>
          <cell r="CM46">
            <v>1.0532741800068823</v>
          </cell>
          <cell r="CN46">
            <v>-0.21160074140891028</v>
          </cell>
          <cell r="CO46">
            <v>1.6035914552118324</v>
          </cell>
        </row>
        <row r="47">
          <cell r="D47" t="str">
            <v>150/34 TEX NIM _S1</v>
          </cell>
          <cell r="E47" t="str">
            <v>150</v>
          </cell>
          <cell r="F47" t="str">
            <v>34</v>
          </cell>
          <cell r="G47" t="str">
            <v>TEX</v>
          </cell>
          <cell r="H47" t="str">
            <v>NIM</v>
          </cell>
          <cell r="I47" t="str">
            <v xml:space="preserve"> </v>
          </cell>
          <cell r="J47" t="str">
            <v xml:space="preserve"> </v>
          </cell>
          <cell r="K47" t="str">
            <v>S1</v>
          </cell>
          <cell r="L47">
            <v>1.5</v>
          </cell>
          <cell r="M47">
            <v>0</v>
          </cell>
          <cell r="N47">
            <v>1.5</v>
          </cell>
          <cell r="O47">
            <v>800</v>
          </cell>
          <cell r="P47">
            <v>251</v>
          </cell>
          <cell r="Q47">
            <v>1.75</v>
          </cell>
          <cell r="R47">
            <v>0.97389999999999999</v>
          </cell>
          <cell r="S47">
            <v>0.97</v>
          </cell>
          <cell r="T47">
            <v>2.4799999999999999E-2</v>
          </cell>
          <cell r="U47">
            <v>3.8390574430715891</v>
          </cell>
          <cell r="V47">
            <v>7.0000000000000001E-3</v>
          </cell>
          <cell r="W47">
            <v>3.812184040970088</v>
          </cell>
          <cell r="X47">
            <v>177.2665579051091</v>
          </cell>
          <cell r="Z47">
            <v>177.2665579051091</v>
          </cell>
          <cell r="AA47">
            <v>61.326505576208177</v>
          </cell>
          <cell r="AB47">
            <v>0.116865</v>
          </cell>
          <cell r="AC47">
            <v>61.20964057620818</v>
          </cell>
          <cell r="AD47">
            <v>1</v>
          </cell>
          <cell r="AE47">
            <v>0</v>
          </cell>
          <cell r="AF47">
            <v>0.3060482028810409</v>
          </cell>
          <cell r="AI47">
            <v>0</v>
          </cell>
          <cell r="AJ47">
            <v>0</v>
          </cell>
          <cell r="AK47">
            <v>0</v>
          </cell>
          <cell r="AN47">
            <v>0</v>
          </cell>
          <cell r="AP47">
            <v>0</v>
          </cell>
          <cell r="AQ47">
            <v>0</v>
          </cell>
          <cell r="AR47">
            <v>0</v>
          </cell>
          <cell r="AS47" t="str">
            <v>265/34</v>
          </cell>
          <cell r="AT47">
            <v>1</v>
          </cell>
          <cell r="AU47">
            <v>0</v>
          </cell>
          <cell r="AV47">
            <v>54</v>
          </cell>
          <cell r="AW47">
            <v>1</v>
          </cell>
          <cell r="AX47">
            <v>54</v>
          </cell>
          <cell r="AY47">
            <v>0.98267890848743711</v>
          </cell>
          <cell r="AZ47">
            <v>47.984211101441552</v>
          </cell>
          <cell r="BA47">
            <v>47.984211101441552</v>
          </cell>
          <cell r="BB47">
            <v>2.81</v>
          </cell>
          <cell r="BC47">
            <v>0.89815</v>
          </cell>
          <cell r="BD47">
            <v>0</v>
          </cell>
          <cell r="BE47">
            <v>0</v>
          </cell>
          <cell r="BF47">
            <v>0</v>
          </cell>
          <cell r="BG47">
            <v>0</v>
          </cell>
          <cell r="BH47">
            <v>8.211231271885584</v>
          </cell>
          <cell r="BI47">
            <v>1.0534982018433925</v>
          </cell>
          <cell r="BJ47" t="b">
            <v>0</v>
          </cell>
          <cell r="BK47">
            <v>1.0534982018433925</v>
          </cell>
          <cell r="BL47">
            <v>0.61083856582787055</v>
          </cell>
          <cell r="BM47" t="b">
            <v>0</v>
          </cell>
          <cell r="BN47">
            <v>0.61083856582787055</v>
          </cell>
          <cell r="BO47">
            <v>1.3041800028844404</v>
          </cell>
          <cell r="BP47">
            <v>0</v>
          </cell>
          <cell r="BQ47">
            <v>1.3071692373492485</v>
          </cell>
          <cell r="BR47">
            <v>0.69069711426077829</v>
          </cell>
          <cell r="BS47">
            <v>0</v>
          </cell>
          <cell r="BT47">
            <v>0.70306794612282952</v>
          </cell>
          <cell r="BU47">
            <v>1.0910475855436335</v>
          </cell>
          <cell r="BV47">
            <v>0</v>
          </cell>
          <cell r="BW47">
            <v>1.0967271310267688</v>
          </cell>
          <cell r="BX47">
            <v>0.15</v>
          </cell>
          <cell r="BY47">
            <v>0.8</v>
          </cell>
          <cell r="CA47">
            <v>1.1285969692438751</v>
          </cell>
          <cell r="CB47">
            <v>0</v>
          </cell>
          <cell r="CC47">
            <v>1.5911924997285392</v>
          </cell>
          <cell r="CD47">
            <v>0</v>
          </cell>
          <cell r="CE47">
            <v>1.5323728322815928</v>
          </cell>
          <cell r="CF47">
            <v>1.3131707003901321</v>
          </cell>
          <cell r="CG47">
            <v>0</v>
          </cell>
          <cell r="CH47">
            <v>1.3649304448538448</v>
          </cell>
          <cell r="CI47">
            <v>0</v>
          </cell>
          <cell r="CJ47">
            <v>0.21920213189146076</v>
          </cell>
          <cell r="CK47">
            <v>1.3796466760652075</v>
          </cell>
          <cell r="CL47">
            <v>0</v>
          </cell>
          <cell r="CM47">
            <v>1.3796466760652075</v>
          </cell>
          <cell r="CN47">
            <v>0</v>
          </cell>
          <cell r="CO47">
            <v>-1.1604445441737468</v>
          </cell>
        </row>
        <row r="48">
          <cell r="D48" t="str">
            <v>150/34 TEX NIM CLQ_S1</v>
          </cell>
          <cell r="E48" t="str">
            <v>150</v>
          </cell>
          <cell r="F48" t="str">
            <v>34</v>
          </cell>
          <cell r="G48" t="str">
            <v>TEX</v>
          </cell>
          <cell r="H48" t="str">
            <v>NIM</v>
          </cell>
          <cell r="I48" t="str">
            <v xml:space="preserve"> </v>
          </cell>
          <cell r="J48" t="str">
            <v>CLQ</v>
          </cell>
          <cell r="K48" t="str">
            <v>S1</v>
          </cell>
          <cell r="L48">
            <v>0.5</v>
          </cell>
          <cell r="M48">
            <v>0</v>
          </cell>
          <cell r="N48">
            <v>0.49999999999999994</v>
          </cell>
          <cell r="O48">
            <v>800</v>
          </cell>
          <cell r="P48">
            <v>251</v>
          </cell>
          <cell r="Q48">
            <v>1.75</v>
          </cell>
          <cell r="R48">
            <v>0.97389999999999999</v>
          </cell>
          <cell r="S48">
            <v>0.97</v>
          </cell>
          <cell r="T48">
            <v>2.4799999999999999E-2</v>
          </cell>
          <cell r="U48">
            <v>3.8390574430715891</v>
          </cell>
          <cell r="V48">
            <v>7.0000000000000001E-3</v>
          </cell>
          <cell r="W48">
            <v>3.812184040970088</v>
          </cell>
          <cell r="X48">
            <v>59.088852635036361</v>
          </cell>
          <cell r="Z48">
            <v>59.088852635036361</v>
          </cell>
          <cell r="AA48">
            <v>59.09650557620818</v>
          </cell>
          <cell r="AB48">
            <v>0</v>
          </cell>
          <cell r="AC48">
            <v>59.09650557620818</v>
          </cell>
          <cell r="AD48">
            <v>1</v>
          </cell>
          <cell r="AE48">
            <v>0</v>
          </cell>
          <cell r="AF48">
            <v>0.2954825278810409</v>
          </cell>
          <cell r="AG48">
            <v>0</v>
          </cell>
          <cell r="AH48">
            <v>0</v>
          </cell>
          <cell r="AI48">
            <v>0</v>
          </cell>
          <cell r="AJ48">
            <v>0</v>
          </cell>
          <cell r="AK48">
            <v>0</v>
          </cell>
          <cell r="AM48">
            <v>0</v>
          </cell>
          <cell r="AN48">
            <v>0</v>
          </cell>
          <cell r="AP48">
            <v>0</v>
          </cell>
          <cell r="AQ48">
            <v>0</v>
          </cell>
          <cell r="AR48">
            <v>0</v>
          </cell>
          <cell r="AS48" t="str">
            <v>265/34</v>
          </cell>
          <cell r="AT48">
            <v>1</v>
          </cell>
          <cell r="AU48">
            <v>0</v>
          </cell>
          <cell r="AV48">
            <v>54</v>
          </cell>
          <cell r="AW48">
            <v>1</v>
          </cell>
          <cell r="AX48">
            <v>50</v>
          </cell>
          <cell r="AY48">
            <v>0.98267890848743711</v>
          </cell>
          <cell r="AZ48">
            <v>47.984211101441552</v>
          </cell>
          <cell r="BA48">
            <v>44.053495467491807</v>
          </cell>
          <cell r="BB48">
            <v>2.81</v>
          </cell>
          <cell r="BC48">
            <v>0.89815</v>
          </cell>
          <cell r="BD48">
            <v>0</v>
          </cell>
          <cell r="BE48">
            <v>0</v>
          </cell>
          <cell r="BF48">
            <v>0</v>
          </cell>
          <cell r="BG48">
            <v>0</v>
          </cell>
          <cell r="BH48">
            <v>10.039377580835332</v>
          </cell>
          <cell r="BI48">
            <v>1.0534982018433925</v>
          </cell>
          <cell r="BJ48" t="b">
            <v>0</v>
          </cell>
          <cell r="BK48">
            <v>1.0534982018433925</v>
          </cell>
          <cell r="BL48">
            <v>0.61083856582787055</v>
          </cell>
          <cell r="BM48" t="b">
            <v>0</v>
          </cell>
          <cell r="BN48">
            <v>0.61083856582787055</v>
          </cell>
          <cell r="BO48">
            <v>1.3041800028844404</v>
          </cell>
          <cell r="BP48">
            <v>0</v>
          </cell>
          <cell r="BQ48">
            <v>1.3071692373492485</v>
          </cell>
          <cell r="BR48">
            <v>0.69069711426077829</v>
          </cell>
          <cell r="BS48">
            <v>0</v>
          </cell>
          <cell r="BT48">
            <v>0.70306794612282952</v>
          </cell>
          <cell r="BU48">
            <v>1.0910475855436335</v>
          </cell>
          <cell r="BV48">
            <v>0</v>
          </cell>
          <cell r="BW48">
            <v>1.0967271310267688</v>
          </cell>
          <cell r="BX48">
            <v>0.15</v>
          </cell>
          <cell r="BY48">
            <v>0.8</v>
          </cell>
          <cell r="CA48">
            <v>1.1285969692438751</v>
          </cell>
          <cell r="CB48">
            <v>0</v>
          </cell>
          <cell r="CC48">
            <v>1.5911924997285392</v>
          </cell>
          <cell r="CD48">
            <v>0</v>
          </cell>
          <cell r="CE48">
            <v>3.3605191412313404</v>
          </cell>
          <cell r="CF48">
            <v>1.3131707003901321</v>
          </cell>
          <cell r="CG48">
            <v>0</v>
          </cell>
          <cell r="CH48">
            <v>1.3649304448538448</v>
          </cell>
          <cell r="CI48">
            <v>0</v>
          </cell>
          <cell r="CJ48">
            <v>2.0473484408412084</v>
          </cell>
          <cell r="CK48">
            <v>1.3796466760652075</v>
          </cell>
          <cell r="CL48">
            <v>0</v>
          </cell>
          <cell r="CM48">
            <v>1.3796466760652075</v>
          </cell>
          <cell r="CN48">
            <v>0</v>
          </cell>
          <cell r="CO48">
            <v>0.66770176477600085</v>
          </cell>
        </row>
        <row r="49">
          <cell r="D49" t="str">
            <v>75/34 TEX NIM _S1</v>
          </cell>
          <cell r="E49" t="str">
            <v>75</v>
          </cell>
          <cell r="F49" t="str">
            <v>34</v>
          </cell>
          <cell r="G49" t="str">
            <v>TEX</v>
          </cell>
          <cell r="H49" t="str">
            <v>NIM</v>
          </cell>
          <cell r="I49" t="str">
            <v xml:space="preserve"> </v>
          </cell>
          <cell r="J49" t="str">
            <v xml:space="preserve"> </v>
          </cell>
          <cell r="K49" t="str">
            <v>S1</v>
          </cell>
          <cell r="L49">
            <v>1</v>
          </cell>
          <cell r="M49">
            <v>0.79322783098456473</v>
          </cell>
          <cell r="N49">
            <v>0.20677216901543535</v>
          </cell>
          <cell r="O49">
            <v>900</v>
          </cell>
          <cell r="P49">
            <v>130</v>
          </cell>
          <cell r="Q49">
            <v>1.7709999999999999</v>
          </cell>
          <cell r="R49">
            <v>0.97389999999999999</v>
          </cell>
          <cell r="S49">
            <v>0.97</v>
          </cell>
          <cell r="T49">
            <v>2.4799999999999999E-2</v>
          </cell>
          <cell r="U49">
            <v>2.210376482407209</v>
          </cell>
          <cell r="V49">
            <v>6.4999999999999997E-3</v>
          </cell>
          <cell r="W49">
            <v>2.1960090352715622</v>
          </cell>
          <cell r="X49">
            <v>68.076280093418433</v>
          </cell>
          <cell r="Y49">
            <v>54</v>
          </cell>
          <cell r="Z49">
            <v>14.076280093418433</v>
          </cell>
          <cell r="AA49">
            <v>72.443011152416361</v>
          </cell>
          <cell r="AB49">
            <v>0.116865</v>
          </cell>
          <cell r="AC49">
            <v>72.326146152416356</v>
          </cell>
          <cell r="AD49">
            <v>1</v>
          </cell>
          <cell r="AE49">
            <v>0</v>
          </cell>
          <cell r="AF49">
            <v>0.3616307307620818</v>
          </cell>
          <cell r="AG49">
            <v>1.70278</v>
          </cell>
          <cell r="AH49">
            <v>90</v>
          </cell>
          <cell r="AI49">
            <v>43.86</v>
          </cell>
          <cell r="AJ49">
            <v>74.683930799999999</v>
          </cell>
          <cell r="AK49">
            <v>40.329322632</v>
          </cell>
          <cell r="AM49">
            <v>0.02</v>
          </cell>
          <cell r="AN49">
            <v>1.493678616</v>
          </cell>
          <cell r="AO49">
            <v>5.21</v>
          </cell>
          <cell r="AP49">
            <v>1.4705882352941178</v>
          </cell>
          <cell r="AQ49">
            <v>1.8415215813698631</v>
          </cell>
          <cell r="AR49">
            <v>0.14189946851999999</v>
          </cell>
          <cell r="AS49" t="str">
            <v>140/34</v>
          </cell>
          <cell r="AT49">
            <v>1</v>
          </cell>
          <cell r="AU49">
            <v>10.42108962</v>
          </cell>
          <cell r="AV49">
            <v>61</v>
          </cell>
          <cell r="AW49">
            <v>1</v>
          </cell>
          <cell r="AX49">
            <v>61</v>
          </cell>
          <cell r="AY49">
            <v>0.98218435443183194</v>
          </cell>
          <cell r="AZ49">
            <v>54.835352507929173</v>
          </cell>
          <cell r="BA49">
            <v>54.835352507929173</v>
          </cell>
          <cell r="BB49">
            <v>2.81</v>
          </cell>
          <cell r="BC49">
            <v>0.89815</v>
          </cell>
          <cell r="BD49">
            <v>0</v>
          </cell>
          <cell r="BE49">
            <v>0</v>
          </cell>
          <cell r="BF49">
            <v>0</v>
          </cell>
          <cell r="BG49">
            <v>16.403830010886853</v>
          </cell>
          <cell r="BH49">
            <v>12.421012913725097</v>
          </cell>
          <cell r="BI49">
            <v>1.8288308325477467</v>
          </cell>
          <cell r="BJ49" t="b">
            <v>0</v>
          </cell>
          <cell r="BK49">
            <v>1.8288308325477467</v>
          </cell>
          <cell r="BL49">
            <v>1.0603913712814492</v>
          </cell>
          <cell r="BM49" t="b">
            <v>0</v>
          </cell>
          <cell r="BN49">
            <v>1.0603913712814492</v>
          </cell>
          <cell r="BO49">
            <v>2.2640044342684451</v>
          </cell>
          <cell r="BP49">
            <v>0</v>
          </cell>
          <cell r="BQ49">
            <v>2.2691936259969072</v>
          </cell>
          <cell r="BR49">
            <v>1.1990226241502797</v>
          </cell>
          <cell r="BS49">
            <v>0</v>
          </cell>
          <cell r="BT49">
            <v>1.2204978945342213</v>
          </cell>
          <cell r="BU49">
            <v>1.8940150640291165</v>
          </cell>
          <cell r="BV49">
            <v>0</v>
          </cell>
          <cell r="BW49">
            <v>1.9038745283131944</v>
          </cell>
          <cell r="BX49">
            <v>0.15</v>
          </cell>
          <cell r="BY49">
            <v>0.8</v>
          </cell>
          <cell r="CA49">
            <v>1.9591992955104873</v>
          </cell>
          <cell r="CB49">
            <v>0</v>
          </cell>
          <cell r="CC49">
            <v>2.7622466739196803</v>
          </cell>
          <cell r="CD49">
            <v>6.0483663890993302</v>
          </cell>
          <cell r="CE49">
            <v>1.415549291937573</v>
          </cell>
          <cell r="CF49">
            <v>2.2796119263132799</v>
          </cell>
          <cell r="CG49">
            <v>0</v>
          </cell>
          <cell r="CH49">
            <v>2.3694647769345689</v>
          </cell>
          <cell r="CI49">
            <v>3.7687544627860503</v>
          </cell>
          <cell r="CJ49">
            <v>-0.86406263437570696</v>
          </cell>
          <cell r="CK49">
            <v>2.3950115669823813</v>
          </cell>
          <cell r="CL49">
            <v>0</v>
          </cell>
          <cell r="CM49">
            <v>2.3950115669823813</v>
          </cell>
          <cell r="CN49">
            <v>1.373742895803669</v>
          </cell>
          <cell r="CO49">
            <v>-3.2590742013580885</v>
          </cell>
        </row>
        <row r="50">
          <cell r="D50" t="str">
            <v>75/34 ROTO IM _S1</v>
          </cell>
          <cell r="E50" t="str">
            <v>75</v>
          </cell>
          <cell r="F50" t="str">
            <v>34</v>
          </cell>
          <cell r="G50" t="str">
            <v>ROTO</v>
          </cell>
          <cell r="H50" t="str">
            <v>IM</v>
          </cell>
          <cell r="I50" t="str">
            <v xml:space="preserve"> </v>
          </cell>
          <cell r="J50" t="str">
            <v xml:space="preserve"> </v>
          </cell>
          <cell r="K50" t="str">
            <v>S1</v>
          </cell>
          <cell r="L50">
            <v>1</v>
          </cell>
          <cell r="M50">
            <v>0.83491273580647174</v>
          </cell>
          <cell r="N50">
            <v>0.16508726419352832</v>
          </cell>
          <cell r="O50">
            <v>850</v>
          </cell>
          <cell r="P50">
            <v>118</v>
          </cell>
          <cell r="Q50">
            <v>1.6919999999999999</v>
          </cell>
          <cell r="R50">
            <v>0.97389999999999999</v>
          </cell>
          <cell r="S50">
            <v>0.97</v>
          </cell>
          <cell r="T50">
            <v>2.4799999999999999E-2</v>
          </cell>
          <cell r="U50">
            <v>1.9833507509416848</v>
          </cell>
          <cell r="V50">
            <v>6.4999999999999997E-3</v>
          </cell>
          <cell r="W50">
            <v>1.970458971060564</v>
          </cell>
          <cell r="X50">
            <v>61.084228102877482</v>
          </cell>
          <cell r="Y50">
            <v>51</v>
          </cell>
          <cell r="Z50">
            <v>10.084228102877482</v>
          </cell>
          <cell r="AA50">
            <v>76.159516728624538</v>
          </cell>
          <cell r="AB50">
            <v>0.31474000000000008</v>
          </cell>
          <cell r="AC50">
            <v>75.844776728624538</v>
          </cell>
          <cell r="AD50">
            <v>1</v>
          </cell>
          <cell r="AE50">
            <v>0</v>
          </cell>
          <cell r="AF50">
            <v>0.37922388364312271</v>
          </cell>
          <cell r="AG50">
            <v>1.816667</v>
          </cell>
          <cell r="AH50">
            <v>90</v>
          </cell>
          <cell r="AI50">
            <v>43.86</v>
          </cell>
          <cell r="AJ50">
            <v>79.679014620000004</v>
          </cell>
          <cell r="AK50">
            <v>40.636297456199998</v>
          </cell>
          <cell r="AM50">
            <v>1.32E-2</v>
          </cell>
          <cell r="AN50">
            <v>1.051762992984</v>
          </cell>
          <cell r="AO50">
            <v>5.5</v>
          </cell>
          <cell r="AP50">
            <v>1.4705882352941178</v>
          </cell>
          <cell r="AQ50">
            <v>1.9646880317260274</v>
          </cell>
          <cell r="AR50">
            <v>0.15139012777800001</v>
          </cell>
          <cell r="AS50" t="str">
            <v>126/34</v>
          </cell>
          <cell r="AT50">
            <v>1</v>
          </cell>
          <cell r="AU50">
            <v>11.126852193</v>
          </cell>
          <cell r="AV50">
            <v>62</v>
          </cell>
          <cell r="AW50">
            <v>1</v>
          </cell>
          <cell r="AX50">
            <v>62</v>
          </cell>
          <cell r="AY50">
            <v>0.98218435443183194</v>
          </cell>
          <cell r="AZ50">
            <v>55.81753686236101</v>
          </cell>
          <cell r="BA50">
            <v>55.81753686236101</v>
          </cell>
          <cell r="BB50">
            <v>2.81</v>
          </cell>
          <cell r="BC50">
            <v>0.89815</v>
          </cell>
          <cell r="BD50">
            <v>3.7270941082079747</v>
          </cell>
          <cell r="BE50">
            <v>0</v>
          </cell>
          <cell r="BF50">
            <v>3.7270941082079747</v>
          </cell>
          <cell r="BG50">
            <v>17.41465645464887</v>
          </cell>
          <cell r="BH50">
            <v>11.212771874412432</v>
          </cell>
          <cell r="BI50">
            <v>2.0381693256452107</v>
          </cell>
          <cell r="BJ50" t="b">
            <v>0</v>
          </cell>
          <cell r="BK50">
            <v>2.0381693256452107</v>
          </cell>
          <cell r="BL50">
            <v>1.1817698650201895</v>
          </cell>
          <cell r="BM50" t="b">
            <v>0</v>
          </cell>
          <cell r="BN50">
            <v>1.1817698650201895</v>
          </cell>
          <cell r="BO50">
            <v>2.5231554001210283</v>
          </cell>
          <cell r="BP50">
            <v>0</v>
          </cell>
          <cell r="BQ50">
            <v>2.5289385765732257</v>
          </cell>
          <cell r="BR50">
            <v>1.3362696482392795</v>
          </cell>
          <cell r="BS50">
            <v>0</v>
          </cell>
          <cell r="BT50">
            <v>1.3602031015568348</v>
          </cell>
          <cell r="BU50">
            <v>2.1108149190793517</v>
          </cell>
          <cell r="BV50">
            <v>0</v>
          </cell>
          <cell r="BW50">
            <v>2.1218029543385271</v>
          </cell>
          <cell r="BX50">
            <v>0.15</v>
          </cell>
          <cell r="BY50">
            <v>0.8</v>
          </cell>
          <cell r="CA50">
            <v>2.1834605125134932</v>
          </cell>
          <cell r="CB50">
            <v>0</v>
          </cell>
          <cell r="CC50">
            <v>3.0784293114774002</v>
          </cell>
          <cell r="CD50">
            <v>5.8910167840303167</v>
          </cell>
          <cell r="CE50">
            <v>-0.96086779620612117</v>
          </cell>
          <cell r="CF50">
            <v>2.5405494154503296</v>
          </cell>
          <cell r="CG50">
            <v>0</v>
          </cell>
          <cell r="CH50">
            <v>2.6406873400187632</v>
          </cell>
          <cell r="CI50">
            <v>3.3504673685799871</v>
          </cell>
          <cell r="CJ50">
            <v>-3.5014172116564506</v>
          </cell>
          <cell r="CK50">
            <v>2.6691583625526585</v>
          </cell>
          <cell r="CL50">
            <v>0</v>
          </cell>
          <cell r="CM50">
            <v>2.6691583625526585</v>
          </cell>
          <cell r="CN50">
            <v>0.68130900602732858</v>
          </cell>
          <cell r="CO50">
            <v>-6.1705755742091091</v>
          </cell>
        </row>
        <row r="51">
          <cell r="D51" t="str">
            <v>80/34 TEX NIM _S1</v>
          </cell>
          <cell r="E51" t="str">
            <v>80</v>
          </cell>
          <cell r="F51" t="str">
            <v>34</v>
          </cell>
          <cell r="G51" t="str">
            <v>TEX</v>
          </cell>
          <cell r="H51" t="str">
            <v>NIM</v>
          </cell>
          <cell r="I51" t="str">
            <v xml:space="preserve"> </v>
          </cell>
          <cell r="J51" t="str">
            <v xml:space="preserve"> </v>
          </cell>
          <cell r="K51" t="str">
            <v>S1</v>
          </cell>
          <cell r="L51">
            <v>0.5</v>
          </cell>
          <cell r="M51">
            <v>0</v>
          </cell>
          <cell r="N51">
            <v>0.49999999999999994</v>
          </cell>
          <cell r="O51">
            <v>900</v>
          </cell>
          <cell r="P51">
            <v>134</v>
          </cell>
          <cell r="Q51">
            <v>1.7450000000000001</v>
          </cell>
          <cell r="R51">
            <v>0.97389999999999999</v>
          </cell>
          <cell r="S51">
            <v>0.97</v>
          </cell>
          <cell r="T51">
            <v>2.4799999999999999E-2</v>
          </cell>
          <cell r="U51">
            <v>2.3123353958385913</v>
          </cell>
          <cell r="V51">
            <v>6.4999999999999997E-3</v>
          </cell>
          <cell r="W51">
            <v>2.2973052157656406</v>
          </cell>
          <cell r="X51">
            <v>35.608230844367426</v>
          </cell>
          <cell r="Z51">
            <v>35.608230844367426</v>
          </cell>
          <cell r="AA51">
            <v>71.703011152416352</v>
          </cell>
          <cell r="AB51">
            <v>0.116865</v>
          </cell>
          <cell r="AC51">
            <v>71.586146152416347</v>
          </cell>
          <cell r="AD51">
            <v>1</v>
          </cell>
          <cell r="AE51">
            <v>0</v>
          </cell>
          <cell r="AF51">
            <v>0.35793073076208176</v>
          </cell>
          <cell r="AG51">
            <v>0</v>
          </cell>
          <cell r="AH51">
            <v>0</v>
          </cell>
          <cell r="AI51">
            <v>0</v>
          </cell>
          <cell r="AJ51">
            <v>0</v>
          </cell>
          <cell r="AK51">
            <v>0</v>
          </cell>
          <cell r="AM51">
            <v>0</v>
          </cell>
          <cell r="AN51">
            <v>0</v>
          </cell>
          <cell r="AP51">
            <v>0</v>
          </cell>
          <cell r="AQ51">
            <v>0</v>
          </cell>
          <cell r="AR51">
            <v>0</v>
          </cell>
          <cell r="AS51" t="str">
            <v>140/34</v>
          </cell>
          <cell r="AT51">
            <v>1</v>
          </cell>
          <cell r="AU51">
            <v>0</v>
          </cell>
          <cell r="AV51">
            <v>61</v>
          </cell>
          <cell r="AW51">
            <v>1</v>
          </cell>
          <cell r="AX51">
            <v>61</v>
          </cell>
          <cell r="AY51">
            <v>0.98218435443183194</v>
          </cell>
          <cell r="AZ51">
            <v>54.835352507929173</v>
          </cell>
          <cell r="BA51">
            <v>54.835352507929173</v>
          </cell>
          <cell r="BB51">
            <v>2.81</v>
          </cell>
          <cell r="BC51">
            <v>0.89815</v>
          </cell>
          <cell r="BD51">
            <v>0</v>
          </cell>
          <cell r="BE51">
            <v>0</v>
          </cell>
          <cell r="BF51">
            <v>0</v>
          </cell>
          <cell r="BG51">
            <v>0</v>
          </cell>
          <cell r="BH51">
            <v>11.684712913725097</v>
          </cell>
          <cell r="BI51">
            <v>1.7481913176780817</v>
          </cell>
          <cell r="BJ51" t="b">
            <v>0</v>
          </cell>
          <cell r="BK51">
            <v>1.7481913176780817</v>
          </cell>
          <cell r="BL51">
            <v>1.0136350260633453</v>
          </cell>
          <cell r="BM51" t="b">
            <v>0</v>
          </cell>
          <cell r="BN51">
            <v>1.0136350260633453</v>
          </cell>
          <cell r="BO51">
            <v>2.1641766011014805</v>
          </cell>
          <cell r="BP51">
            <v>0</v>
          </cell>
          <cell r="BQ51">
            <v>2.1691369833107119</v>
          </cell>
          <cell r="BR51">
            <v>1.1461535446222766</v>
          </cell>
          <cell r="BS51">
            <v>0</v>
          </cell>
          <cell r="BT51">
            <v>1.1666818956112497</v>
          </cell>
          <cell r="BU51">
            <v>1.8105013495832738</v>
          </cell>
          <cell r="BV51">
            <v>0</v>
          </cell>
          <cell r="BW51">
            <v>1.819926075780814</v>
          </cell>
          <cell r="BX51">
            <v>0.15</v>
          </cell>
          <cell r="BY51">
            <v>0.8</v>
          </cell>
          <cell r="CA51">
            <v>1.8728113814884666</v>
          </cell>
          <cell r="CB51">
            <v>0</v>
          </cell>
          <cell r="CC51">
            <v>2.6404496067601548</v>
          </cell>
          <cell r="CD51">
            <v>0</v>
          </cell>
          <cell r="CE51">
            <v>1.129243693188172</v>
          </cell>
          <cell r="CF51">
            <v>2.1790959045153997</v>
          </cell>
          <cell r="CG51">
            <v>0</v>
          </cell>
          <cell r="CH51">
            <v>2.2649868303075542</v>
          </cell>
          <cell r="CI51">
            <v>0</v>
          </cell>
          <cell r="CJ51">
            <v>-1.0498522113272277</v>
          </cell>
          <cell r="CK51">
            <v>2.2894071734914636</v>
          </cell>
          <cell r="CL51">
            <v>0</v>
          </cell>
          <cell r="CM51">
            <v>2.2894071734914636</v>
          </cell>
          <cell r="CN51">
            <v>0</v>
          </cell>
          <cell r="CO51">
            <v>-3.3392593848186913</v>
          </cell>
        </row>
        <row r="52">
          <cell r="D52" t="str">
            <v>80/34 TEX NIM CLQ_S1</v>
          </cell>
          <cell r="E52" t="str">
            <v>80</v>
          </cell>
          <cell r="F52" t="str">
            <v>34</v>
          </cell>
          <cell r="G52" t="str">
            <v>TEX</v>
          </cell>
          <cell r="H52" t="str">
            <v>NIM</v>
          </cell>
          <cell r="I52" t="str">
            <v xml:space="preserve"> </v>
          </cell>
          <cell r="J52" t="str">
            <v>CLQ</v>
          </cell>
          <cell r="K52" t="str">
            <v>S1</v>
          </cell>
          <cell r="L52">
            <v>0.5</v>
          </cell>
          <cell r="M52">
            <v>0</v>
          </cell>
          <cell r="N52">
            <v>0.49999999999999994</v>
          </cell>
          <cell r="O52">
            <v>900</v>
          </cell>
          <cell r="P52">
            <v>134</v>
          </cell>
          <cell r="Q52">
            <v>1.7450000000000001</v>
          </cell>
          <cell r="R52">
            <v>0.97389999999999999</v>
          </cell>
          <cell r="S52">
            <v>0.97</v>
          </cell>
          <cell r="T52">
            <v>2.4799999999999999E-2</v>
          </cell>
          <cell r="U52">
            <v>2.3123353958385913</v>
          </cell>
          <cell r="V52">
            <v>6.4999999999999997E-3</v>
          </cell>
          <cell r="W52">
            <v>2.2973052157656406</v>
          </cell>
          <cell r="X52">
            <v>35.608230844367426</v>
          </cell>
          <cell r="Z52">
            <v>35.608230844367426</v>
          </cell>
          <cell r="AA52">
            <v>69.473011152416348</v>
          </cell>
          <cell r="AB52">
            <v>0</v>
          </cell>
          <cell r="AC52">
            <v>69.473011152416348</v>
          </cell>
          <cell r="AD52">
            <v>1</v>
          </cell>
          <cell r="AE52">
            <v>0</v>
          </cell>
          <cell r="AF52">
            <v>0.34736505576208176</v>
          </cell>
          <cell r="AG52">
            <v>0</v>
          </cell>
          <cell r="AH52">
            <v>0</v>
          </cell>
          <cell r="AI52">
            <v>0</v>
          </cell>
          <cell r="AJ52">
            <v>0</v>
          </cell>
          <cell r="AK52">
            <v>0</v>
          </cell>
          <cell r="AM52">
            <v>0</v>
          </cell>
          <cell r="AN52">
            <v>0</v>
          </cell>
          <cell r="AP52">
            <v>0</v>
          </cell>
          <cell r="AQ52">
            <v>0</v>
          </cell>
          <cell r="AR52">
            <v>0</v>
          </cell>
          <cell r="AS52" t="str">
            <v>140/34</v>
          </cell>
          <cell r="AT52">
            <v>1</v>
          </cell>
          <cell r="AU52">
            <v>0</v>
          </cell>
          <cell r="AV52">
            <v>61</v>
          </cell>
          <cell r="AW52">
            <v>1</v>
          </cell>
          <cell r="AX52">
            <v>57</v>
          </cell>
          <cell r="AY52">
            <v>0.98218435443183194</v>
          </cell>
          <cell r="AZ52">
            <v>54.835352507929173</v>
          </cell>
          <cell r="BA52">
            <v>50.906615090201846</v>
          </cell>
          <cell r="BB52">
            <v>2.81</v>
          </cell>
          <cell r="BC52">
            <v>0.89815</v>
          </cell>
          <cell r="BD52">
            <v>0</v>
          </cell>
          <cell r="BE52">
            <v>0</v>
          </cell>
          <cell r="BF52">
            <v>0</v>
          </cell>
          <cell r="BG52">
            <v>0</v>
          </cell>
          <cell r="BH52">
            <v>13.510881006452419</v>
          </cell>
          <cell r="BI52">
            <v>1.7481913176780817</v>
          </cell>
          <cell r="BJ52" t="b">
            <v>0</v>
          </cell>
          <cell r="BK52">
            <v>1.7481913176780817</v>
          </cell>
          <cell r="BL52">
            <v>1.0136350260633453</v>
          </cell>
          <cell r="BM52" t="b">
            <v>0</v>
          </cell>
          <cell r="BN52">
            <v>1.0136350260633453</v>
          </cell>
          <cell r="BO52">
            <v>2.1641766011014805</v>
          </cell>
          <cell r="BP52">
            <v>0</v>
          </cell>
          <cell r="BQ52">
            <v>2.1691369833107119</v>
          </cell>
          <cell r="BR52">
            <v>1.1461535446222766</v>
          </cell>
          <cell r="BS52">
            <v>0</v>
          </cell>
          <cell r="BT52">
            <v>1.1666818956112497</v>
          </cell>
          <cell r="BU52">
            <v>1.8105013495832738</v>
          </cell>
          <cell r="BV52">
            <v>0</v>
          </cell>
          <cell r="BW52">
            <v>1.819926075780814</v>
          </cell>
          <cell r="BX52">
            <v>0.15</v>
          </cell>
          <cell r="BY52">
            <v>0.8</v>
          </cell>
          <cell r="CA52">
            <v>1.8728113814884666</v>
          </cell>
          <cell r="CB52">
            <v>0</v>
          </cell>
          <cell r="CC52">
            <v>2.6404496067601548</v>
          </cell>
          <cell r="CD52">
            <v>0</v>
          </cell>
          <cell r="CE52">
            <v>2.9554117859154938</v>
          </cell>
          <cell r="CF52">
            <v>2.1790959045153997</v>
          </cell>
          <cell r="CG52">
            <v>0</v>
          </cell>
          <cell r="CH52">
            <v>2.2649868303075542</v>
          </cell>
          <cell r="CI52">
            <v>0</v>
          </cell>
          <cell r="CJ52">
            <v>0.77631588140009411</v>
          </cell>
          <cell r="CK52">
            <v>2.2894071734914636</v>
          </cell>
          <cell r="CL52">
            <v>0</v>
          </cell>
          <cell r="CM52">
            <v>2.2894071734914636</v>
          </cell>
          <cell r="CN52">
            <v>0</v>
          </cell>
          <cell r="CO52">
            <v>-1.5130912920913695</v>
          </cell>
        </row>
        <row r="53">
          <cell r="D53" t="str">
            <v>100/34 TEX NIM _S1</v>
          </cell>
          <cell r="E53" t="str">
            <v>100</v>
          </cell>
          <cell r="F53" t="str">
            <v>34</v>
          </cell>
          <cell r="G53" t="str">
            <v>TEX</v>
          </cell>
          <cell r="H53" t="str">
            <v>NIM</v>
          </cell>
          <cell r="I53" t="str">
            <v xml:space="preserve"> </v>
          </cell>
          <cell r="J53" t="str">
            <v xml:space="preserve"> </v>
          </cell>
          <cell r="K53" t="str">
            <v>S1</v>
          </cell>
          <cell r="L53">
            <v>2</v>
          </cell>
          <cell r="M53">
            <v>0.43470947063054477</v>
          </cell>
          <cell r="N53">
            <v>1.565290529369455</v>
          </cell>
          <cell r="O53">
            <v>850</v>
          </cell>
          <cell r="P53">
            <v>172</v>
          </cell>
          <cell r="Q53">
            <v>1.77</v>
          </cell>
          <cell r="R53">
            <v>0.97389999999999999</v>
          </cell>
          <cell r="S53">
            <v>0.97</v>
          </cell>
          <cell r="T53">
            <v>2.4799999999999999E-2</v>
          </cell>
          <cell r="U53">
            <v>2.7635864643400025</v>
          </cell>
          <cell r="V53">
            <v>6.4999999999999997E-3</v>
          </cell>
          <cell r="W53">
            <v>2.7456231523217927</v>
          </cell>
          <cell r="X53">
            <v>170.22863544395113</v>
          </cell>
          <cell r="Y53">
            <v>37</v>
          </cell>
          <cell r="Z53">
            <v>133.22863544395113</v>
          </cell>
          <cell r="AA53">
            <v>68.733011152416353</v>
          </cell>
          <cell r="AB53">
            <v>0.116865</v>
          </cell>
          <cell r="AC53">
            <v>68.616146152416349</v>
          </cell>
          <cell r="AD53">
            <v>1</v>
          </cell>
          <cell r="AE53">
            <v>0</v>
          </cell>
          <cell r="AF53">
            <v>0.34308073076208173</v>
          </cell>
          <cell r="AG53">
            <v>1.5581100000000001</v>
          </cell>
          <cell r="AH53">
            <v>90</v>
          </cell>
          <cell r="AI53">
            <v>43.86</v>
          </cell>
          <cell r="AJ53">
            <v>68.3387046</v>
          </cell>
          <cell r="AK53">
            <v>25.285320702</v>
          </cell>
          <cell r="AM53">
            <v>2.5999999999999999E-3</v>
          </cell>
          <cell r="AN53">
            <v>0.17768063196</v>
          </cell>
          <cell r="AO53">
            <v>2.38</v>
          </cell>
          <cell r="AP53">
            <v>1.4705882352941178</v>
          </cell>
          <cell r="AQ53">
            <v>1.6850639490410957</v>
          </cell>
          <cell r="AR53">
            <v>0.12984353873999999</v>
          </cell>
          <cell r="AS53" t="str">
            <v>150/34</v>
          </cell>
          <cell r="AT53">
            <v>1</v>
          </cell>
          <cell r="AU53">
            <v>9.8938056900000007</v>
          </cell>
          <cell r="AV53">
            <v>59</v>
          </cell>
          <cell r="AW53">
            <v>1</v>
          </cell>
          <cell r="AX53">
            <v>59</v>
          </cell>
          <cell r="AY53">
            <v>0.98218435443183194</v>
          </cell>
          <cell r="AZ53">
            <v>52.870983799065513</v>
          </cell>
          <cell r="BA53">
            <v>52.870983799065513</v>
          </cell>
          <cell r="BB53">
            <v>2.81</v>
          </cell>
          <cell r="BC53">
            <v>0.89815</v>
          </cell>
          <cell r="BD53">
            <v>0</v>
          </cell>
          <cell r="BE53">
            <v>0</v>
          </cell>
          <cell r="BF53">
            <v>0</v>
          </cell>
          <cell r="BG53">
            <v>15.810200135899271</v>
          </cell>
          <cell r="BH53">
            <v>10.693931622588753</v>
          </cell>
          <cell r="BI53">
            <v>1.4627386241487255</v>
          </cell>
          <cell r="BJ53" t="b">
            <v>0</v>
          </cell>
          <cell r="BK53">
            <v>1.4627386241487255</v>
          </cell>
          <cell r="BL53">
            <v>0.84812405165249871</v>
          </cell>
          <cell r="BM53" t="b">
            <v>0</v>
          </cell>
          <cell r="BN53">
            <v>0.84812405165249871</v>
          </cell>
          <cell r="BO53">
            <v>1.810799923268452</v>
          </cell>
          <cell r="BP53">
            <v>0</v>
          </cell>
          <cell r="BQ53">
            <v>1.8149503515279977</v>
          </cell>
          <cell r="BR53">
            <v>0.95900433892481696</v>
          </cell>
          <cell r="BS53">
            <v>0</v>
          </cell>
          <cell r="BT53">
            <v>0.97618072664508937</v>
          </cell>
          <cell r="BU53">
            <v>1.514874388362861</v>
          </cell>
          <cell r="BV53">
            <v>0</v>
          </cell>
          <cell r="BW53">
            <v>1.5227602020559978</v>
          </cell>
          <cell r="BX53">
            <v>0.15</v>
          </cell>
          <cell r="BY53">
            <v>0.8</v>
          </cell>
          <cell r="CA53">
            <v>1.5670101525769975</v>
          </cell>
          <cell r="CB53">
            <v>0</v>
          </cell>
          <cell r="CC53">
            <v>2.2093048889272695</v>
          </cell>
          <cell r="CD53">
            <v>7.4976486569649179</v>
          </cell>
          <cell r="CE53">
            <v>1.7313801436544005</v>
          </cell>
          <cell r="CF53">
            <v>1.8232831344183154</v>
          </cell>
          <cell r="CG53">
            <v>0</v>
          </cell>
          <cell r="CH53">
            <v>1.895149396050906</v>
          </cell>
          <cell r="CI53">
            <v>5.6743655225466023</v>
          </cell>
          <cell r="CJ53">
            <v>-9.1902990763914838E-2</v>
          </cell>
          <cell r="CK53">
            <v>1.915582273636361</v>
          </cell>
          <cell r="CL53">
            <v>0</v>
          </cell>
          <cell r="CM53">
            <v>1.915582273636361</v>
          </cell>
          <cell r="CN53">
            <v>3.7587832489102411</v>
          </cell>
          <cell r="CO53">
            <v>-2.0074852644002759</v>
          </cell>
        </row>
        <row r="54">
          <cell r="D54" t="str">
            <v>150/100 TEX SIM _S1</v>
          </cell>
          <cell r="E54" t="str">
            <v>150</v>
          </cell>
          <cell r="F54" t="str">
            <v>100</v>
          </cell>
          <cell r="G54" t="str">
            <v>TEX</v>
          </cell>
          <cell r="H54" t="str">
            <v>SIM</v>
          </cell>
          <cell r="I54" t="str">
            <v xml:space="preserve"> </v>
          </cell>
          <cell r="J54" t="str">
            <v xml:space="preserve"> </v>
          </cell>
          <cell r="K54" t="str">
            <v>S1</v>
          </cell>
          <cell r="L54">
            <v>1</v>
          </cell>
          <cell r="M54">
            <v>3.4529134687146017E-2</v>
          </cell>
          <cell r="N54">
            <v>0.96547086531285387</v>
          </cell>
          <cell r="O54">
            <v>550</v>
          </cell>
          <cell r="P54">
            <v>252</v>
          </cell>
          <cell r="Q54">
            <v>1.643</v>
          </cell>
          <cell r="R54">
            <v>0.97389999999999999</v>
          </cell>
          <cell r="S54">
            <v>0.97</v>
          </cell>
          <cell r="T54">
            <v>2.4799999999999999E-2</v>
          </cell>
          <cell r="U54">
            <v>2.8224393443178415</v>
          </cell>
          <cell r="V54">
            <v>7.0000000000000001E-3</v>
          </cell>
          <cell r="W54">
            <v>2.8026822689076165</v>
          </cell>
          <cell r="X54">
            <v>86.883150336136111</v>
          </cell>
          <cell r="Y54">
            <v>3</v>
          </cell>
          <cell r="Z54">
            <v>83.883150336136111</v>
          </cell>
          <cell r="AA54">
            <v>71.526022304832708</v>
          </cell>
          <cell r="AB54">
            <v>0.116865</v>
          </cell>
          <cell r="AC54">
            <v>71.409157304832704</v>
          </cell>
          <cell r="AD54">
            <v>1</v>
          </cell>
          <cell r="AE54">
            <v>0</v>
          </cell>
          <cell r="AF54">
            <v>0.35704578652416352</v>
          </cell>
          <cell r="AG54">
            <v>1.65</v>
          </cell>
          <cell r="AH54">
            <v>60</v>
          </cell>
          <cell r="AI54">
            <v>43.71</v>
          </cell>
          <cell r="AJ54">
            <v>72.121499999999997</v>
          </cell>
          <cell r="AK54">
            <v>2.1636449999999998</v>
          </cell>
          <cell r="AM54">
            <v>0.03</v>
          </cell>
          <cell r="AN54">
            <v>2.1636449999999998</v>
          </cell>
          <cell r="AO54">
            <v>4.7699999999999996</v>
          </cell>
          <cell r="AP54">
            <v>1.4705882352941178</v>
          </cell>
          <cell r="AQ54">
            <v>1.1855589041095891</v>
          </cell>
          <cell r="AR54">
            <v>0.13703084999999998</v>
          </cell>
          <cell r="AS54" t="str">
            <v>265/100</v>
          </cell>
          <cell r="AT54">
            <v>1</v>
          </cell>
          <cell r="AU54">
            <v>10.102725</v>
          </cell>
          <cell r="AV54">
            <v>57</v>
          </cell>
          <cell r="AW54">
            <v>1</v>
          </cell>
          <cell r="AX54">
            <v>57</v>
          </cell>
          <cell r="AY54">
            <v>0.98267890848743711</v>
          </cell>
          <cell r="AZ54">
            <v>50.932247826903861</v>
          </cell>
          <cell r="BA54">
            <v>50.932247826903861</v>
          </cell>
          <cell r="BB54">
            <v>2.81</v>
          </cell>
          <cell r="BC54">
            <v>0.89815</v>
          </cell>
          <cell r="BD54">
            <v>0.87345922190076775</v>
          </cell>
          <cell r="BE54">
            <v>0</v>
          </cell>
          <cell r="BF54">
            <v>0.87345922190076775</v>
          </cell>
          <cell r="BG54">
            <v>16.983544961791662</v>
          </cell>
          <cell r="BH54">
            <v>14.538254469503908</v>
          </cell>
          <cell r="BI54">
            <v>1.4329590895165603</v>
          </cell>
          <cell r="BJ54" t="b">
            <v>0</v>
          </cell>
          <cell r="BK54">
            <v>1.4329590895165603</v>
          </cell>
          <cell r="BL54">
            <v>0.83085730340945108</v>
          </cell>
          <cell r="BM54" t="b">
            <v>0</v>
          </cell>
          <cell r="BN54">
            <v>0.83085730340945108</v>
          </cell>
          <cell r="BO54">
            <v>1.7739342945521268</v>
          </cell>
          <cell r="BP54">
            <v>0</v>
          </cell>
          <cell r="BQ54">
            <v>1.778000225267099</v>
          </cell>
          <cell r="BR54">
            <v>0.93948020627943152</v>
          </cell>
          <cell r="BS54">
            <v>0</v>
          </cell>
          <cell r="BT54">
            <v>0.95630690416139186</v>
          </cell>
          <cell r="BU54">
            <v>1.4840334345746298</v>
          </cell>
          <cell r="BV54">
            <v>0</v>
          </cell>
          <cell r="BW54">
            <v>1.4917587029330766</v>
          </cell>
          <cell r="BX54">
            <v>0.15</v>
          </cell>
          <cell r="BY54">
            <v>0.8</v>
          </cell>
          <cell r="CA54">
            <v>1.5351077796327002</v>
          </cell>
          <cell r="CB54">
            <v>0</v>
          </cell>
          <cell r="CC54">
            <v>2.16432619596966</v>
          </cell>
          <cell r="CD54">
            <v>8.8371728538267629</v>
          </cell>
          <cell r="CE54">
            <v>5.7418823615390089</v>
          </cell>
          <cell r="CF54">
            <v>1.7861633630871576</v>
          </cell>
          <cell r="CG54">
            <v>0</v>
          </cell>
          <cell r="CH54">
            <v>1.8565665172364016</v>
          </cell>
          <cell r="CI54">
            <v>7.051009490739605</v>
          </cell>
          <cell r="CJ54">
            <v>3.955718998451851</v>
          </cell>
          <cell r="CK54">
            <v>1.8765834069101099</v>
          </cell>
          <cell r="CL54">
            <v>0</v>
          </cell>
          <cell r="CM54">
            <v>1.8765834069101099</v>
          </cell>
          <cell r="CN54">
            <v>5.1744260838294949</v>
          </cell>
          <cell r="CO54">
            <v>2.0791355915417409</v>
          </cell>
        </row>
        <row r="56">
          <cell r="D56" t="str">
            <v>75/34 TEX SIM _B2</v>
          </cell>
          <cell r="E56" t="str">
            <v>75</v>
          </cell>
          <cell r="F56" t="str">
            <v>34</v>
          </cell>
          <cell r="G56" t="str">
            <v>TEX</v>
          </cell>
          <cell r="H56" t="str">
            <v>SIM</v>
          </cell>
          <cell r="I56" t="str">
            <v xml:space="preserve"> </v>
          </cell>
          <cell r="J56" t="str">
            <v xml:space="preserve"> </v>
          </cell>
          <cell r="K56" t="str">
            <v>B2</v>
          </cell>
          <cell r="L56">
            <v>1</v>
          </cell>
          <cell r="M56">
            <v>0.63531283022945939</v>
          </cell>
          <cell r="N56">
            <v>0.36468716977054066</v>
          </cell>
          <cell r="O56">
            <v>950</v>
          </cell>
          <cell r="P56">
            <v>131</v>
          </cell>
          <cell r="Q56">
            <v>1.7749999999999999</v>
          </cell>
          <cell r="R56">
            <v>0.97389999999999999</v>
          </cell>
          <cell r="S56">
            <v>0.97</v>
          </cell>
          <cell r="T56">
            <v>2.4799999999999999E-2</v>
          </cell>
          <cell r="U56">
            <v>2.6064715251137973</v>
          </cell>
          <cell r="V56">
            <v>6.4999999999999997E-3</v>
          </cell>
          <cell r="W56">
            <v>2.5895294602005579</v>
          </cell>
          <cell r="X56">
            <v>80.275413266217299</v>
          </cell>
          <cell r="Y56">
            <v>51</v>
          </cell>
          <cell r="Z56">
            <v>29.275413266217299</v>
          </cell>
          <cell r="AA56">
            <v>72.443011152416361</v>
          </cell>
          <cell r="AB56">
            <v>0.116865</v>
          </cell>
          <cell r="AC56">
            <v>72.326146152416356</v>
          </cell>
          <cell r="AD56">
            <v>1</v>
          </cell>
          <cell r="AE56">
            <v>0</v>
          </cell>
          <cell r="AF56">
            <v>0.3616307307620818</v>
          </cell>
          <cell r="AG56">
            <v>1.75</v>
          </cell>
          <cell r="AH56">
            <v>90</v>
          </cell>
          <cell r="AI56">
            <v>43.86</v>
          </cell>
          <cell r="AJ56">
            <v>76.754999999999995</v>
          </cell>
          <cell r="AK56">
            <v>39.145049999999998</v>
          </cell>
          <cell r="AN56">
            <v>0</v>
          </cell>
          <cell r="AO56">
            <v>4.7699999999999996</v>
          </cell>
          <cell r="AP56">
            <v>1.4705882352941178</v>
          </cell>
          <cell r="AQ56">
            <v>1.8925890410958901</v>
          </cell>
          <cell r="AR56">
            <v>0.14583449999999998</v>
          </cell>
          <cell r="AS56" t="str">
            <v>140/34</v>
          </cell>
          <cell r="AT56">
            <v>1</v>
          </cell>
          <cell r="AU56">
            <v>10.797749999999999</v>
          </cell>
          <cell r="AV56">
            <v>61</v>
          </cell>
          <cell r="AW56">
            <v>1</v>
          </cell>
          <cell r="AX56">
            <v>61</v>
          </cell>
          <cell r="AY56">
            <v>0.98218435443183194</v>
          </cell>
          <cell r="AZ56">
            <v>54.835352507929173</v>
          </cell>
          <cell r="BA56">
            <v>54.835352507929173</v>
          </cell>
          <cell r="BB56">
            <v>2.81</v>
          </cell>
          <cell r="BC56">
            <v>0.89815</v>
          </cell>
          <cell r="BD56">
            <v>0</v>
          </cell>
          <cell r="BE56">
            <v>1.0495118813104305</v>
          </cell>
          <cell r="BF56">
            <v>1.0495118813104305</v>
          </cell>
          <cell r="BG56">
            <v>19.680723834370379</v>
          </cell>
          <cell r="BH56">
            <v>11.371501032414667</v>
          </cell>
          <cell r="BI56" t="b">
            <v>0</v>
          </cell>
          <cell r="BJ56">
            <v>1.8721263232531966</v>
          </cell>
          <cell r="BK56">
            <v>1.8721263232531966</v>
          </cell>
          <cell r="BL56" t="b">
            <v>0</v>
          </cell>
          <cell r="BM56">
            <v>1.1033444110427588</v>
          </cell>
          <cell r="BN56">
            <v>1.1033444110427588</v>
          </cell>
          <cell r="BO56">
            <v>0</v>
          </cell>
          <cell r="BP56">
            <v>1.9344118948443207</v>
          </cell>
          <cell r="BQ56">
            <v>1.9243533553327103</v>
          </cell>
          <cell r="BR56">
            <v>0</v>
          </cell>
          <cell r="BS56">
            <v>1.076650594646563</v>
          </cell>
          <cell r="BT56">
            <v>1.0350237157446691</v>
          </cell>
          <cell r="BU56">
            <v>0</v>
          </cell>
          <cell r="BV56">
            <v>1.6336615634471814</v>
          </cell>
          <cell r="BW56">
            <v>1.6145503383751223</v>
          </cell>
          <cell r="BX56">
            <v>0.15</v>
          </cell>
          <cell r="BY56">
            <v>0.8</v>
          </cell>
          <cell r="CA56">
            <v>0</v>
          </cell>
          <cell r="CB56">
            <v>3.8990767816043288</v>
          </cell>
          <cell r="CC56">
            <v>2.3424791054922527</v>
          </cell>
          <cell r="CD56">
            <v>8.0114522655320304</v>
          </cell>
          <cell r="CE56">
            <v>-0.9477705364236817</v>
          </cell>
          <cell r="CF56">
            <v>0</v>
          </cell>
          <cell r="CG56">
            <v>2.1835541812088142</v>
          </cell>
          <cell r="CH56">
            <v>2.0093867008962438</v>
          </cell>
          <cell r="CI56">
            <v>5.8278980843232162</v>
          </cell>
          <cell r="CJ56">
            <v>-3.1313247176324959</v>
          </cell>
          <cell r="CK56">
            <v>0</v>
          </cell>
          <cell r="CL56">
            <v>2.0310512475366349</v>
          </cell>
          <cell r="CM56">
            <v>2.0310512475366349</v>
          </cell>
          <cell r="CN56">
            <v>3.7968468367865813</v>
          </cell>
          <cell r="CO56">
            <v>-5.1623759651691312</v>
          </cell>
        </row>
        <row r="57">
          <cell r="D57" t="str">
            <v>80/34 TEX NIM _B2</v>
          </cell>
          <cell r="E57" t="str">
            <v>80</v>
          </cell>
          <cell r="F57" t="str">
            <v>34</v>
          </cell>
          <cell r="G57" t="str">
            <v>TEX</v>
          </cell>
          <cell r="H57" t="str">
            <v>NIM</v>
          </cell>
          <cell r="I57" t="str">
            <v xml:space="preserve"> </v>
          </cell>
          <cell r="J57" t="str">
            <v xml:space="preserve"> </v>
          </cell>
          <cell r="K57" t="str">
            <v>B2</v>
          </cell>
          <cell r="L57">
            <v>1</v>
          </cell>
          <cell r="M57">
            <v>0</v>
          </cell>
          <cell r="N57">
            <v>0.99999999999999989</v>
          </cell>
          <cell r="O57">
            <v>1000</v>
          </cell>
          <cell r="P57">
            <v>134</v>
          </cell>
          <cell r="Q57">
            <v>1.82</v>
          </cell>
          <cell r="R57">
            <v>0.97389999999999999</v>
          </cell>
          <cell r="S57">
            <v>0.97</v>
          </cell>
          <cell r="T57">
            <v>2.4799999999999999E-2</v>
          </cell>
          <cell r="U57">
            <v>2.7370948756873843</v>
          </cell>
          <cell r="V57">
            <v>6.4999999999999997E-3</v>
          </cell>
          <cell r="W57">
            <v>2.7193037589954163</v>
          </cell>
          <cell r="X57">
            <v>84.298416528857899</v>
          </cell>
          <cell r="Z57">
            <v>84.298416528857899</v>
          </cell>
          <cell r="AA57">
            <v>71.703011152416352</v>
          </cell>
          <cell r="AB57">
            <v>0.116865</v>
          </cell>
          <cell r="AC57">
            <v>71.586146152416347</v>
          </cell>
          <cell r="AD57">
            <v>1</v>
          </cell>
          <cell r="AE57">
            <v>0</v>
          </cell>
          <cell r="AF57">
            <v>0.35793073076208176</v>
          </cell>
          <cell r="AI57">
            <v>0</v>
          </cell>
          <cell r="AJ57">
            <v>0</v>
          </cell>
          <cell r="AK57">
            <v>0</v>
          </cell>
          <cell r="AN57">
            <v>0</v>
          </cell>
          <cell r="AP57">
            <v>0</v>
          </cell>
          <cell r="AQ57">
            <v>0</v>
          </cell>
          <cell r="AR57">
            <v>0</v>
          </cell>
          <cell r="AS57" t="str">
            <v>140/34</v>
          </cell>
          <cell r="AT57">
            <v>1</v>
          </cell>
          <cell r="AU57">
            <v>0</v>
          </cell>
          <cell r="AV57">
            <v>61</v>
          </cell>
          <cell r="AW57">
            <v>1</v>
          </cell>
          <cell r="AX57">
            <v>61</v>
          </cell>
          <cell r="AY57">
            <v>0.98218435443183194</v>
          </cell>
          <cell r="AZ57">
            <v>54.835352507929173</v>
          </cell>
          <cell r="BA57">
            <v>54.835352507929173</v>
          </cell>
          <cell r="BB57">
            <v>2.81</v>
          </cell>
          <cell r="BC57">
            <v>0.89815</v>
          </cell>
          <cell r="BD57">
            <v>0</v>
          </cell>
          <cell r="BE57">
            <v>0</v>
          </cell>
          <cell r="BF57">
            <v>0</v>
          </cell>
          <cell r="BG57">
            <v>0</v>
          </cell>
          <cell r="BH57">
            <v>11.684712913725097</v>
          </cell>
          <cell r="BI57" t="b">
            <v>0</v>
          </cell>
          <cell r="BJ57">
            <v>1.7827821740194481</v>
          </cell>
          <cell r="BK57">
            <v>1.7827821740194481</v>
          </cell>
          <cell r="BL57" t="b">
            <v>0</v>
          </cell>
          <cell r="BM57">
            <v>1.0506891139658348</v>
          </cell>
          <cell r="BN57">
            <v>1.0506891139658348</v>
          </cell>
          <cell r="BO57">
            <v>0</v>
          </cell>
          <cell r="BP57">
            <v>1.8420952691626813</v>
          </cell>
          <cell r="BQ57">
            <v>1.8325167569035254</v>
          </cell>
          <cell r="BR57">
            <v>0</v>
          </cell>
          <cell r="BS57">
            <v>1.0252692160473065</v>
          </cell>
          <cell r="BT57">
            <v>0.98562891146710851</v>
          </cell>
          <cell r="BU57">
            <v>0</v>
          </cell>
          <cell r="BV57">
            <v>1.5556977526139293</v>
          </cell>
          <cell r="BW57">
            <v>1.5374985793215334</v>
          </cell>
          <cell r="BX57">
            <v>0.15</v>
          </cell>
          <cell r="BY57">
            <v>0.8</v>
          </cell>
          <cell r="CA57">
            <v>0</v>
          </cell>
          <cell r="CB57">
            <v>3.7129997559663601</v>
          </cell>
          <cell r="CC57">
            <v>2.2306881434302697</v>
          </cell>
          <cell r="CD57">
            <v>0</v>
          </cell>
          <cell r="CE57">
            <v>-8.4820368050463113E-2</v>
          </cell>
          <cell r="CF57">
            <v>0</v>
          </cell>
          <cell r="CG57">
            <v>2.0793476497356114</v>
          </cell>
          <cell r="CH57">
            <v>1.9134920259251555</v>
          </cell>
          <cell r="CI57">
            <v>0</v>
          </cell>
          <cell r="CJ57">
            <v>-2.1641680177860745</v>
          </cell>
          <cell r="CK57">
            <v>0</v>
          </cell>
          <cell r="CL57">
            <v>1.9341226677141063</v>
          </cell>
          <cell r="CM57">
            <v>1.9341226677141063</v>
          </cell>
          <cell r="CN57">
            <v>0</v>
          </cell>
          <cell r="CO57">
            <v>-4.0982906855001806</v>
          </cell>
        </row>
        <row r="58">
          <cell r="D58" t="str">
            <v>80/34 ROTO IM _B2</v>
          </cell>
          <cell r="E58" t="str">
            <v>80</v>
          </cell>
          <cell r="F58" t="str">
            <v>34</v>
          </cell>
          <cell r="G58" t="str">
            <v>ROTO</v>
          </cell>
          <cell r="H58" t="str">
            <v>IM</v>
          </cell>
          <cell r="I58" t="str">
            <v xml:space="preserve"> </v>
          </cell>
          <cell r="J58" t="str">
            <v xml:space="preserve"> </v>
          </cell>
          <cell r="K58" t="str">
            <v>B2</v>
          </cell>
          <cell r="L58">
            <v>1</v>
          </cell>
          <cell r="M58">
            <v>0</v>
          </cell>
          <cell r="N58">
            <v>1</v>
          </cell>
          <cell r="O58">
            <v>900</v>
          </cell>
          <cell r="P58">
            <v>134</v>
          </cell>
          <cell r="Q58">
            <v>1.8</v>
          </cell>
          <cell r="R58">
            <v>0.97389999999999999</v>
          </cell>
          <cell r="S58">
            <v>0.97</v>
          </cell>
          <cell r="T58">
            <v>2.4799999999999999E-2</v>
          </cell>
          <cell r="U58">
            <v>2.4907563368755201</v>
          </cell>
          <cell r="V58">
            <v>6.4999999999999997E-3</v>
          </cell>
          <cell r="W58">
            <v>2.4745664206858295</v>
          </cell>
          <cell r="X58">
            <v>76.711559041260713</v>
          </cell>
          <cell r="Z58">
            <v>76.711559041260713</v>
          </cell>
          <cell r="AA58">
            <v>74.669516728624544</v>
          </cell>
          <cell r="AB58">
            <v>0.31474000000000008</v>
          </cell>
          <cell r="AC58">
            <v>74.354776728624543</v>
          </cell>
          <cell r="AD58">
            <v>1</v>
          </cell>
          <cell r="AE58">
            <v>0</v>
          </cell>
          <cell r="AF58">
            <v>0.37177388364312275</v>
          </cell>
          <cell r="AG58">
            <v>0</v>
          </cell>
          <cell r="AH58">
            <v>0</v>
          </cell>
          <cell r="AI58">
            <v>0</v>
          </cell>
          <cell r="AJ58">
            <v>0</v>
          </cell>
          <cell r="AK58">
            <v>0</v>
          </cell>
          <cell r="AN58">
            <v>0</v>
          </cell>
          <cell r="AP58">
            <v>0</v>
          </cell>
          <cell r="AQ58">
            <v>0</v>
          </cell>
          <cell r="AR58">
            <v>0</v>
          </cell>
          <cell r="AS58" t="str">
            <v>140/34</v>
          </cell>
          <cell r="AT58">
            <v>1</v>
          </cell>
          <cell r="AU58">
            <v>0</v>
          </cell>
          <cell r="AV58">
            <v>61</v>
          </cell>
          <cell r="AW58">
            <v>1</v>
          </cell>
          <cell r="AX58">
            <v>61</v>
          </cell>
          <cell r="AY58">
            <v>0.98218435443183194</v>
          </cell>
          <cell r="AZ58">
            <v>54.835352507929173</v>
          </cell>
          <cell r="BA58">
            <v>54.835352507929173</v>
          </cell>
          <cell r="BB58">
            <v>2.81</v>
          </cell>
          <cell r="BC58">
            <v>0.89815</v>
          </cell>
          <cell r="BD58">
            <v>0</v>
          </cell>
          <cell r="BE58">
            <v>3.2948098455938539</v>
          </cell>
          <cell r="BF58">
            <v>3.2948098455938539</v>
          </cell>
          <cell r="BG58">
            <v>0</v>
          </cell>
          <cell r="BH58">
            <v>11.144690491458388</v>
          </cell>
          <cell r="BI58" t="b">
            <v>0</v>
          </cell>
          <cell r="BJ58">
            <v>1.959101290131261</v>
          </cell>
          <cell r="BK58">
            <v>1.959101290131261</v>
          </cell>
          <cell r="BL58" t="b">
            <v>0</v>
          </cell>
          <cell r="BM58">
            <v>1.1546034219404773</v>
          </cell>
          <cell r="BN58">
            <v>1.1546034219404773</v>
          </cell>
          <cell r="BO58">
            <v>0</v>
          </cell>
          <cell r="BP58">
            <v>2.0242805155633854</v>
          </cell>
          <cell r="BQ58">
            <v>2.0137546779159612</v>
          </cell>
          <cell r="BR58">
            <v>0</v>
          </cell>
          <cell r="BS58">
            <v>1.1266694681838527</v>
          </cell>
          <cell r="BT58">
            <v>1.0831086939198993</v>
          </cell>
          <cell r="BU58">
            <v>0</v>
          </cell>
          <cell r="BV58">
            <v>1.7095579699054162</v>
          </cell>
          <cell r="BW58">
            <v>1.6895588783753113</v>
          </cell>
          <cell r="BX58">
            <v>0.15</v>
          </cell>
          <cell r="BY58">
            <v>0.8</v>
          </cell>
          <cell r="CA58">
            <v>0</v>
          </cell>
          <cell r="CB58">
            <v>4.0802195120509444</v>
          </cell>
          <cell r="CC58">
            <v>2.4513056521211749</v>
          </cell>
          <cell r="CD58">
            <v>0</v>
          </cell>
          <cell r="CE58">
            <v>-1.7097416863169492</v>
          </cell>
          <cell r="CF58">
            <v>0</v>
          </cell>
          <cell r="CG58">
            <v>2.2849974172918794</v>
          </cell>
          <cell r="CH58">
            <v>2.1027384900276429</v>
          </cell>
          <cell r="CI58">
            <v>0</v>
          </cell>
          <cell r="CJ58">
            <v>-3.9947391036088287</v>
          </cell>
          <cell r="CK58">
            <v>0</v>
          </cell>
          <cell r="CL58">
            <v>2.1254095249605558</v>
          </cell>
          <cell r="CM58">
            <v>2.1254095249605558</v>
          </cell>
          <cell r="CN58">
            <v>0</v>
          </cell>
          <cell r="CO58">
            <v>-6.1201486285693845</v>
          </cell>
        </row>
        <row r="59">
          <cell r="D59" t="str">
            <v>100/34 ROTO IM _B2</v>
          </cell>
          <cell r="E59" t="str">
            <v>100</v>
          </cell>
          <cell r="F59" t="str">
            <v>34</v>
          </cell>
          <cell r="G59" t="str">
            <v>ROTO</v>
          </cell>
          <cell r="H59" t="str">
            <v>IM</v>
          </cell>
          <cell r="I59" t="str">
            <v xml:space="preserve"> </v>
          </cell>
          <cell r="J59" t="str">
            <v xml:space="preserve"> </v>
          </cell>
          <cell r="K59" t="str">
            <v>B2</v>
          </cell>
          <cell r="L59">
            <v>0.5</v>
          </cell>
          <cell r="M59">
            <v>0</v>
          </cell>
          <cell r="N59">
            <v>0.5</v>
          </cell>
          <cell r="O59">
            <v>950</v>
          </cell>
          <cell r="P59">
            <v>172</v>
          </cell>
          <cell r="Q59">
            <v>1.77</v>
          </cell>
          <cell r="R59">
            <v>0.97389999999999999</v>
          </cell>
          <cell r="S59">
            <v>0.97</v>
          </cell>
          <cell r="T59">
            <v>2.4799999999999999E-2</v>
          </cell>
          <cell r="U59">
            <v>3.431904759637912</v>
          </cell>
          <cell r="V59">
            <v>6.4999999999999997E-3</v>
          </cell>
          <cell r="W59">
            <v>3.4095973787002656</v>
          </cell>
          <cell r="X59">
            <v>52.848759369854115</v>
          </cell>
          <cell r="Z59">
            <v>52.848759369854115</v>
          </cell>
          <cell r="AA59">
            <v>71.699516728624545</v>
          </cell>
          <cell r="AB59">
            <v>0.31474000000000008</v>
          </cell>
          <cell r="AC59">
            <v>71.384776728624544</v>
          </cell>
          <cell r="AD59">
            <v>1</v>
          </cell>
          <cell r="AE59">
            <v>0</v>
          </cell>
          <cell r="AF59">
            <v>0.35692388364312272</v>
          </cell>
          <cell r="AG59">
            <v>0</v>
          </cell>
          <cell r="AH59">
            <v>0</v>
          </cell>
          <cell r="AI59">
            <v>0</v>
          </cell>
          <cell r="AJ59">
            <v>0</v>
          </cell>
          <cell r="AK59">
            <v>0</v>
          </cell>
          <cell r="AN59">
            <v>0</v>
          </cell>
          <cell r="AP59">
            <v>0</v>
          </cell>
          <cell r="AQ59">
            <v>0</v>
          </cell>
          <cell r="AR59">
            <v>0</v>
          </cell>
          <cell r="AS59" t="str">
            <v>150/34</v>
          </cell>
          <cell r="AT59">
            <v>1</v>
          </cell>
          <cell r="AU59">
            <v>0</v>
          </cell>
          <cell r="AV59">
            <v>59</v>
          </cell>
          <cell r="AW59">
            <v>1</v>
          </cell>
          <cell r="AX59">
            <v>59</v>
          </cell>
          <cell r="AY59">
            <v>0.98218435443183194</v>
          </cell>
          <cell r="AZ59">
            <v>52.870983799065513</v>
          </cell>
          <cell r="BA59">
            <v>52.870983799065513</v>
          </cell>
          <cell r="BB59">
            <v>2.81</v>
          </cell>
          <cell r="BC59">
            <v>0.89815</v>
          </cell>
          <cell r="BD59">
            <v>0</v>
          </cell>
          <cell r="BE59">
            <v>2.3912576474233487</v>
          </cell>
          <cell r="BF59">
            <v>2.3912576474233487</v>
          </cell>
          <cell r="BG59">
            <v>0</v>
          </cell>
          <cell r="BH59">
            <v>11.057461398492563</v>
          </cell>
          <cell r="BI59" t="b">
            <v>0</v>
          </cell>
          <cell r="BJ59">
            <v>1.4218471358425109</v>
          </cell>
          <cell r="BK59">
            <v>1.4218471358425109</v>
          </cell>
          <cell r="BL59" t="b">
            <v>0</v>
          </cell>
          <cell r="BM59">
            <v>0.83797074545851435</v>
          </cell>
          <cell r="BN59">
            <v>0.83797074545851435</v>
          </cell>
          <cell r="BO59">
            <v>0</v>
          </cell>
          <cell r="BP59">
            <v>1.469151935989363</v>
          </cell>
          <cell r="BQ59">
            <v>1.4615126514935979</v>
          </cell>
          <cell r="BR59">
            <v>0</v>
          </cell>
          <cell r="BS59">
            <v>0.81769725968129203</v>
          </cell>
          <cell r="BT59">
            <v>0.78608237461420361</v>
          </cell>
          <cell r="BU59">
            <v>0</v>
          </cell>
          <cell r="BV59">
            <v>1.2407373295659936</v>
          </cell>
          <cell r="BW59">
            <v>1.2262226890240402</v>
          </cell>
          <cell r="BX59">
            <v>0.15</v>
          </cell>
          <cell r="BY59">
            <v>0.8</v>
          </cell>
          <cell r="CA59">
            <v>0</v>
          </cell>
          <cell r="CB59">
            <v>2.9612804891929101</v>
          </cell>
          <cell r="CC59">
            <v>1.7790718316098539</v>
          </cell>
          <cell r="CD59">
            <v>0</v>
          </cell>
          <cell r="CE59">
            <v>1.5087765027619802</v>
          </cell>
          <cell r="CF59">
            <v>0</v>
          </cell>
          <cell r="CG59">
            <v>1.658371136576769</v>
          </cell>
          <cell r="CH59">
            <v>1.5260939873462558</v>
          </cell>
          <cell r="CI59">
            <v>0</v>
          </cell>
          <cell r="CJ59">
            <v>-0.14959463381478888</v>
          </cell>
          <cell r="CK59">
            <v>0</v>
          </cell>
          <cell r="CL59">
            <v>1.5425478308755958</v>
          </cell>
          <cell r="CM59">
            <v>1.5425478308755958</v>
          </cell>
          <cell r="CN59">
            <v>0</v>
          </cell>
          <cell r="CO59">
            <v>-1.6921424646903847</v>
          </cell>
        </row>
        <row r="60">
          <cell r="D60" t="str">
            <v>150/48 ROTO IM _B2</v>
          </cell>
          <cell r="E60" t="str">
            <v>150</v>
          </cell>
          <cell r="F60" t="str">
            <v>48</v>
          </cell>
          <cell r="G60" t="str">
            <v>ROTO</v>
          </cell>
          <cell r="H60" t="str">
            <v>IM</v>
          </cell>
          <cell r="I60" t="str">
            <v xml:space="preserve"> </v>
          </cell>
          <cell r="J60" t="str">
            <v xml:space="preserve"> </v>
          </cell>
          <cell r="K60" t="str">
            <v>B2</v>
          </cell>
          <cell r="L60">
            <v>1</v>
          </cell>
          <cell r="M60">
            <v>0.37395819290026128</v>
          </cell>
          <cell r="N60">
            <v>0.62604180709973867</v>
          </cell>
          <cell r="O60">
            <v>825</v>
          </cell>
          <cell r="P60">
            <v>256</v>
          </cell>
          <cell r="Q60">
            <v>1.7549999999999999</v>
          </cell>
          <cell r="R60">
            <v>0.97389999999999999</v>
          </cell>
          <cell r="S60">
            <v>0.97</v>
          </cell>
          <cell r="T60">
            <v>2.4799999999999999E-2</v>
          </cell>
          <cell r="U60">
            <v>4.4737656873590161</v>
          </cell>
          <cell r="V60">
            <v>7.0000000000000001E-3</v>
          </cell>
          <cell r="W60">
            <v>4.4424493275475028</v>
          </cell>
          <cell r="X60">
            <v>137.71592915397258</v>
          </cell>
          <cell r="Y60">
            <v>51.5</v>
          </cell>
          <cell r="Z60">
            <v>86.215929153972581</v>
          </cell>
          <cell r="AA60">
            <v>63.543011152416355</v>
          </cell>
          <cell r="AB60">
            <v>0.31474000000000008</v>
          </cell>
          <cell r="AC60">
            <v>63.228271152416355</v>
          </cell>
          <cell r="AD60">
            <v>1</v>
          </cell>
          <cell r="AE60">
            <v>0</v>
          </cell>
          <cell r="AF60">
            <v>0.3161413557620818</v>
          </cell>
          <cell r="AG60">
            <v>1.4956799999999999</v>
          </cell>
          <cell r="AH60">
            <v>90</v>
          </cell>
          <cell r="AI60">
            <v>43.86</v>
          </cell>
          <cell r="AJ60">
            <v>65.600524799999988</v>
          </cell>
          <cell r="AK60">
            <v>33.784270271999993</v>
          </cell>
          <cell r="AM60">
            <v>1.37E-2</v>
          </cell>
          <cell r="AN60">
            <v>0.89872718975999988</v>
          </cell>
          <cell r="AO60">
            <v>5.0599999999999996</v>
          </cell>
          <cell r="AP60">
            <v>1.4705882352941178</v>
          </cell>
          <cell r="AQ60">
            <v>1.6175471868493148</v>
          </cell>
          <cell r="AR60">
            <v>0.12464099711999997</v>
          </cell>
          <cell r="AS60" t="str">
            <v>265/48</v>
          </cell>
          <cell r="AT60">
            <v>1</v>
          </cell>
          <cell r="AU60">
            <v>9.0810787199999972</v>
          </cell>
          <cell r="AV60">
            <v>54.5</v>
          </cell>
          <cell r="AW60">
            <v>1</v>
          </cell>
          <cell r="AX60">
            <v>54.5</v>
          </cell>
          <cell r="AY60">
            <v>0.98267890848743711</v>
          </cell>
          <cell r="AZ60">
            <v>48.475550555685274</v>
          </cell>
          <cell r="BA60">
            <v>48.475550555685274</v>
          </cell>
          <cell r="BB60">
            <v>2.81</v>
          </cell>
          <cell r="BC60">
            <v>0.89815</v>
          </cell>
          <cell r="BD60">
            <v>0</v>
          </cell>
          <cell r="BE60">
            <v>1.8352996748648747</v>
          </cell>
          <cell r="BF60">
            <v>1.8352996748648747</v>
          </cell>
          <cell r="BG60">
            <v>11.491099680426402</v>
          </cell>
          <cell r="BH60">
            <v>7.8931295661041219</v>
          </cell>
          <cell r="BI60" t="b">
            <v>0</v>
          </cell>
          <cell r="BJ60">
            <v>1.0912732841361301</v>
          </cell>
          <cell r="BK60">
            <v>1.0912732841361301</v>
          </cell>
          <cell r="BL60" t="b">
            <v>0</v>
          </cell>
          <cell r="BM60">
            <v>0.64314585186730122</v>
          </cell>
          <cell r="BN60">
            <v>0.64314585186730122</v>
          </cell>
          <cell r="BO60">
            <v>0</v>
          </cell>
          <cell r="BP60">
            <v>1.1275799048060586</v>
          </cell>
          <cell r="BQ60">
            <v>1.1217167238283061</v>
          </cell>
          <cell r="BR60">
            <v>0</v>
          </cell>
          <cell r="BS60">
            <v>0.62758587158018897</v>
          </cell>
          <cell r="BT60">
            <v>0.60332132261072124</v>
          </cell>
          <cell r="BU60">
            <v>0</v>
          </cell>
          <cell r="BV60">
            <v>0.95227079357126188</v>
          </cell>
          <cell r="BW60">
            <v>0.94113074971353228</v>
          </cell>
          <cell r="BX60">
            <v>0.15</v>
          </cell>
          <cell r="BY60">
            <v>0.8</v>
          </cell>
          <cell r="CA60">
            <v>0</v>
          </cell>
          <cell r="CB60">
            <v>2.2727944539375105</v>
          </cell>
          <cell r="CC60">
            <v>1.3654446469342594</v>
          </cell>
          <cell r="CD60">
            <v>4.6264495205279506</v>
          </cell>
          <cell r="CE60">
            <v>0.37847940620567</v>
          </cell>
          <cell r="CF60">
            <v>0</v>
          </cell>
          <cell r="CG60">
            <v>1.2728063874857714</v>
          </cell>
          <cell r="CH60">
            <v>1.1712831537863817</v>
          </cell>
          <cell r="CI60">
            <v>3.353643133042179</v>
          </cell>
          <cell r="CJ60">
            <v>-0.89432698128010135</v>
          </cell>
          <cell r="CK60">
            <v>0</v>
          </cell>
          <cell r="CL60">
            <v>1.1839115435846179</v>
          </cell>
          <cell r="CM60">
            <v>1.1839115435846179</v>
          </cell>
          <cell r="CN60">
            <v>2.1697315894575611</v>
          </cell>
          <cell r="CO60">
            <v>-2.0782385248647195</v>
          </cell>
        </row>
        <row r="61">
          <cell r="D61" t="str">
            <v>150/34 TEX NIM S _B2</v>
          </cell>
          <cell r="E61" t="str">
            <v>150</v>
          </cell>
          <cell r="F61" t="str">
            <v>34</v>
          </cell>
          <cell r="G61" t="str">
            <v>TEX</v>
          </cell>
          <cell r="H61" t="str">
            <v>NIM</v>
          </cell>
          <cell r="I61" t="str">
            <v>S</v>
          </cell>
          <cell r="J61" t="str">
            <v xml:space="preserve"> </v>
          </cell>
          <cell r="K61" t="str">
            <v>B2</v>
          </cell>
          <cell r="L61">
            <v>1.5</v>
          </cell>
          <cell r="M61">
            <v>0.2345734482945222</v>
          </cell>
          <cell r="N61">
            <v>1.2654265517054779</v>
          </cell>
          <cell r="O61">
            <v>875</v>
          </cell>
          <cell r="P61">
            <v>251</v>
          </cell>
          <cell r="Q61">
            <v>1.734</v>
          </cell>
          <cell r="R61">
            <v>0.97389999999999999</v>
          </cell>
          <cell r="S61">
            <v>0.97</v>
          </cell>
          <cell r="T61">
            <v>2.4799999999999999E-2</v>
          </cell>
          <cell r="U61">
            <v>4.7085709900866428</v>
          </cell>
          <cell r="V61">
            <v>7.0000000000000001E-3</v>
          </cell>
          <cell r="W61">
            <v>4.6756109931560363</v>
          </cell>
          <cell r="X61">
            <v>217.41591118175569</v>
          </cell>
          <cell r="Y61">
            <v>34</v>
          </cell>
          <cell r="Z61">
            <v>183.41591118175569</v>
          </cell>
          <cell r="AA61">
            <v>61.326505576208177</v>
          </cell>
          <cell r="AB61">
            <v>0.116865</v>
          </cell>
          <cell r="AC61">
            <v>61.20964057620818</v>
          </cell>
          <cell r="AD61">
            <v>1</v>
          </cell>
          <cell r="AE61">
            <v>0</v>
          </cell>
          <cell r="AF61">
            <v>0.3060482028810409</v>
          </cell>
          <cell r="AG61">
            <v>1.44</v>
          </cell>
          <cell r="AH61">
            <v>90</v>
          </cell>
          <cell r="AI61">
            <v>43.86</v>
          </cell>
          <cell r="AJ61">
            <v>63.1584</v>
          </cell>
          <cell r="AK61">
            <v>21.473856000000001</v>
          </cell>
          <cell r="AM61">
            <v>0.02</v>
          </cell>
          <cell r="AN61">
            <v>1.2631680000000001</v>
          </cell>
          <cell r="AO61">
            <v>5.21</v>
          </cell>
          <cell r="AP61">
            <v>1.4705882352941178</v>
          </cell>
          <cell r="AQ61">
            <v>1.5573304109589043</v>
          </cell>
          <cell r="AR61">
            <v>0.12000096</v>
          </cell>
          <cell r="AS61" t="str">
            <v>265/34</v>
          </cell>
          <cell r="AT61">
            <v>2</v>
          </cell>
          <cell r="AU61">
            <v>0</v>
          </cell>
          <cell r="AV61">
            <v>40</v>
          </cell>
          <cell r="AW61">
            <v>1</v>
          </cell>
          <cell r="AX61">
            <v>54</v>
          </cell>
          <cell r="AY61">
            <v>0.98267890848743711</v>
          </cell>
          <cell r="AZ61">
            <v>37.174743108079745</v>
          </cell>
          <cell r="BA61">
            <v>47.984211101441552</v>
          </cell>
          <cell r="BB61">
            <v>2.81</v>
          </cell>
          <cell r="BC61">
            <v>0.89815</v>
          </cell>
          <cell r="BD61">
            <v>0</v>
          </cell>
          <cell r="BE61">
            <v>0</v>
          </cell>
          <cell r="BF61">
            <v>0</v>
          </cell>
          <cell r="BG61">
            <v>12.654419285667235</v>
          </cell>
          <cell r="BH61">
            <v>8.211231271885584</v>
          </cell>
          <cell r="BI61" t="b">
            <v>0</v>
          </cell>
          <cell r="BJ61">
            <v>1.0368540655707452</v>
          </cell>
          <cell r="BK61">
            <v>1.0368540655707452</v>
          </cell>
          <cell r="BL61" t="b">
            <v>0</v>
          </cell>
          <cell r="BM61">
            <v>0.61107368883446977</v>
          </cell>
          <cell r="BN61">
            <v>0.61107368883446977</v>
          </cell>
          <cell r="BO61">
            <v>0</v>
          </cell>
          <cell r="BP61">
            <v>1.0713501609081753</v>
          </cell>
          <cell r="BQ61">
            <v>1.0657793629033727</v>
          </cell>
          <cell r="BR61">
            <v>0</v>
          </cell>
          <cell r="BS61">
            <v>0.59628964797557116</v>
          </cell>
          <cell r="BT61">
            <v>0.57323511469415844</v>
          </cell>
          <cell r="BU61">
            <v>0</v>
          </cell>
          <cell r="BV61">
            <v>0.90478330056458567</v>
          </cell>
          <cell r="BW61">
            <v>0.8941987843554613</v>
          </cell>
          <cell r="BX61">
            <v>0.15</v>
          </cell>
          <cell r="BY61">
            <v>0.8</v>
          </cell>
          <cell r="CA61">
            <v>0</v>
          </cell>
          <cell r="CB61">
            <v>2.1594555681231014</v>
          </cell>
          <cell r="CC61">
            <v>1.2973531507337708</v>
          </cell>
          <cell r="CD61">
            <v>6.1246128536905875</v>
          </cell>
          <cell r="CE61">
            <v>1.0314248399089352</v>
          </cell>
          <cell r="CF61">
            <v>0</v>
          </cell>
          <cell r="CG61">
            <v>1.2093345422578938</v>
          </cell>
          <cell r="CH61">
            <v>1.1128740321901243</v>
          </cell>
          <cell r="CI61">
            <v>4.9152783114326937</v>
          </cell>
          <cell r="CJ61">
            <v>-0.17790970234895864</v>
          </cell>
          <cell r="CK61">
            <v>0</v>
          </cell>
          <cell r="CL61">
            <v>1.1248726740466217</v>
          </cell>
          <cell r="CM61">
            <v>1.1248726740466217</v>
          </cell>
          <cell r="CN61">
            <v>3.7904056373860717</v>
          </cell>
          <cell r="CO61">
            <v>-1.3027823763955804</v>
          </cell>
        </row>
        <row r="62">
          <cell r="D62" t="str">
            <v>150/34 TEX NIM Z _B2</v>
          </cell>
          <cell r="E62" t="str">
            <v>150</v>
          </cell>
          <cell r="F62" t="str">
            <v>34</v>
          </cell>
          <cell r="G62" t="str">
            <v>TEX</v>
          </cell>
          <cell r="H62" t="str">
            <v>NIM</v>
          </cell>
          <cell r="I62" t="str">
            <v>Z</v>
          </cell>
          <cell r="J62" t="str">
            <v xml:space="preserve"> </v>
          </cell>
          <cell r="K62" t="str">
            <v>B2</v>
          </cell>
          <cell r="L62">
            <v>1</v>
          </cell>
          <cell r="M62">
            <v>0.2345734482945222</v>
          </cell>
          <cell r="N62">
            <v>0.7654265517054778</v>
          </cell>
          <cell r="O62">
            <v>875</v>
          </cell>
          <cell r="P62">
            <v>251</v>
          </cell>
          <cell r="Q62">
            <v>1.734</v>
          </cell>
          <cell r="R62">
            <v>0.97389999999999999</v>
          </cell>
          <cell r="S62">
            <v>0.97</v>
          </cell>
          <cell r="T62">
            <v>2.4799999999999999E-2</v>
          </cell>
          <cell r="U62">
            <v>4.7085709900866428</v>
          </cell>
          <cell r="V62">
            <v>7.0000000000000001E-3</v>
          </cell>
          <cell r="W62">
            <v>4.6756109931560363</v>
          </cell>
          <cell r="X62">
            <v>144.94394078783714</v>
          </cell>
          <cell r="Y62">
            <v>34</v>
          </cell>
          <cell r="Z62">
            <v>110.94394078783714</v>
          </cell>
          <cell r="AA62">
            <v>61.326505576208177</v>
          </cell>
          <cell r="AB62">
            <v>0.116865</v>
          </cell>
          <cell r="AC62">
            <v>61.20964057620818</v>
          </cell>
          <cell r="AD62">
            <v>1</v>
          </cell>
          <cell r="AE62">
            <v>0</v>
          </cell>
          <cell r="AF62">
            <v>0.3060482028810409</v>
          </cell>
          <cell r="AG62">
            <v>1.35</v>
          </cell>
          <cell r="AH62">
            <v>90</v>
          </cell>
          <cell r="AI62">
            <v>43.86</v>
          </cell>
          <cell r="AJ62">
            <v>59.211000000000006</v>
          </cell>
          <cell r="AK62">
            <v>20.131740000000001</v>
          </cell>
          <cell r="AN62">
            <v>0</v>
          </cell>
          <cell r="AO62">
            <v>5.64</v>
          </cell>
          <cell r="AP62">
            <v>1.4705882352941178</v>
          </cell>
          <cell r="AQ62">
            <v>1.459997260273973</v>
          </cell>
          <cell r="AR62">
            <v>0.11250090000000001</v>
          </cell>
          <cell r="AS62" t="str">
            <v>265/34</v>
          </cell>
          <cell r="AT62">
            <v>2</v>
          </cell>
          <cell r="AU62">
            <v>0</v>
          </cell>
          <cell r="AV62">
            <v>40</v>
          </cell>
          <cell r="AW62">
            <v>1</v>
          </cell>
          <cell r="AX62">
            <v>54</v>
          </cell>
          <cell r="AY62">
            <v>0.98267890848743711</v>
          </cell>
          <cell r="AZ62">
            <v>37.174743108079745</v>
          </cell>
          <cell r="BA62">
            <v>47.984211101441552</v>
          </cell>
          <cell r="BB62">
            <v>2.81</v>
          </cell>
          <cell r="BC62">
            <v>0.89815</v>
          </cell>
          <cell r="BD62">
            <v>0</v>
          </cell>
          <cell r="BE62">
            <v>0</v>
          </cell>
          <cell r="BF62">
            <v>0</v>
          </cell>
          <cell r="BG62">
            <v>9.6450204963521706</v>
          </cell>
          <cell r="BH62">
            <v>8.211231271885584</v>
          </cell>
          <cell r="BI62" t="b">
            <v>0</v>
          </cell>
          <cell r="BJ62">
            <v>1.0368540655707452</v>
          </cell>
          <cell r="BK62">
            <v>1.0368540655707452</v>
          </cell>
          <cell r="BL62" t="b">
            <v>0</v>
          </cell>
          <cell r="BM62">
            <v>0.61107368883446977</v>
          </cell>
          <cell r="BN62">
            <v>0.61107368883446977</v>
          </cell>
          <cell r="BO62">
            <v>0</v>
          </cell>
          <cell r="BP62">
            <v>1.0713501609081753</v>
          </cell>
          <cell r="BQ62">
            <v>1.0713501609081753</v>
          </cell>
          <cell r="BR62">
            <v>0</v>
          </cell>
          <cell r="BS62">
            <v>0.59628964797557116</v>
          </cell>
          <cell r="BT62">
            <v>0.59628964797557116</v>
          </cell>
          <cell r="BU62">
            <v>0</v>
          </cell>
          <cell r="BV62">
            <v>0.90478330056458567</v>
          </cell>
          <cell r="BW62">
            <v>0.90478330056458567</v>
          </cell>
          <cell r="BX62">
            <v>0.15</v>
          </cell>
          <cell r="BY62">
            <v>0.8</v>
          </cell>
          <cell r="CA62">
            <v>0</v>
          </cell>
          <cell r="CB62">
            <v>2.1594555681231014</v>
          </cell>
          <cell r="CC62">
            <v>2.1594555681231014</v>
          </cell>
          <cell r="CD62">
            <v>3.1152140643755213</v>
          </cell>
          <cell r="CE62">
            <v>1.0314248399089352</v>
          </cell>
          <cell r="CF62">
            <v>0</v>
          </cell>
          <cell r="CG62">
            <v>1.2093345422578938</v>
          </cell>
          <cell r="CH62">
            <v>1.2093345422578938</v>
          </cell>
          <cell r="CI62">
            <v>1.9058795221176275</v>
          </cell>
          <cell r="CJ62">
            <v>-0.17790970234895864</v>
          </cell>
          <cell r="CK62">
            <v>0</v>
          </cell>
          <cell r="CL62">
            <v>1.1248726740466217</v>
          </cell>
          <cell r="CM62">
            <v>1.1248726740466217</v>
          </cell>
          <cell r="CN62">
            <v>0.78100684807100573</v>
          </cell>
          <cell r="CO62">
            <v>-1.3027823763955804</v>
          </cell>
        </row>
        <row r="63">
          <cell r="AS63">
            <v>0</v>
          </cell>
          <cell r="AV63">
            <v>0</v>
          </cell>
        </row>
      </sheetData>
      <sheetData sheetId="1"/>
      <sheetData sheetId="2"/>
      <sheetData sheetId="3"/>
      <sheetData sheetId="4"/>
      <sheetData sheetId="5"/>
      <sheetData sheetId="6"/>
      <sheetData sheetId="7"/>
      <sheetData sheetId="8" refreshError="1"/>
      <sheetData sheetId="9" refreshError="1"/>
      <sheetData sheetId="1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YS"/>
      <sheetName val="BS"/>
      <sheetName val="GW"/>
      <sheetName val="Head office"/>
      <sheetName val="consolidated"/>
      <sheetName val="Consolidated excl pz&amp;gw"/>
      <sheetName val="Financials"/>
      <sheetName val="trial_HO"/>
      <sheetName val="trial_Plant"/>
      <sheetName val="U-4_Investments &amp; FD"/>
      <sheetName val="Stock St."/>
      <sheetName val="TOTAL GP"/>
      <sheetName val="Head_office"/>
      <sheetName val="Consolidated_excl_pz&amp;gw"/>
      <sheetName val="U-4_Investments_&amp;_FD"/>
      <sheetName val="TB   Rs  $  APR"/>
      <sheetName val="TB  Rupees "/>
      <sheetName val="P&amp;LSC"/>
      <sheetName val="dump"/>
      <sheetName val="MCCW"/>
      <sheetName val="PO"/>
      <sheetName val="A"/>
      <sheetName val="SUMMARY SHEET"/>
      <sheetName val="Sales inputs "/>
      <sheetName val="Grey Prodn"/>
      <sheetName val="Sales Budget"/>
      <sheetName val="Inputs"/>
      <sheetName val="KPMG-Balance Sheet_EXAMPLE"/>
      <sheetName val="ROIC - NWA"/>
      <sheetName val="43B"/>
      <sheetName val="INV"/>
      <sheetName val="Monat"/>
      <sheetName val="Ref"/>
      <sheetName val="sales "/>
      <sheetName val="Do not delete"/>
      <sheetName val="Financial Codes"/>
      <sheetName val="mgt9900_GE (1)"/>
      <sheetName val="V_Assum"/>
      <sheetName val="GraphData"/>
      <sheetName val="1-2-1"/>
      <sheetName val="FXRATES"/>
      <sheetName val="BALANCE SHEET"/>
      <sheetName val="Links"/>
      <sheetName val="Lead"/>
      <sheetName val="Sheet1"/>
      <sheetName val="COST"/>
      <sheetName val="Rules"/>
      <sheetName val="POP SALARY "/>
      <sheetName val="cell rel"/>
      <sheetName val="Contract Details"/>
      <sheetName val="rawmat break up"/>
      <sheetName val="General Model Upload"/>
      <sheetName val="coa_ramco_168"/>
      <sheetName val="Listing"/>
      <sheetName val="M2M Rates"/>
      <sheetName val="Licences"/>
      <sheetName val="Mexico"/>
      <sheetName val="Personal"/>
      <sheetName val="Improvements"/>
      <sheetName val="SCPC Profile"/>
      <sheetName val="MultipleSecurities"/>
      <sheetName val="FA(Apr 07)"/>
      <sheetName val="Reco O.S"/>
      <sheetName val="WTB"/>
      <sheetName val="Data"/>
      <sheetName val="Cover Page"/>
      <sheetName val="schedules"/>
      <sheetName val="Memphis"/>
      <sheetName val="Lookup"/>
      <sheetName val="Control"/>
      <sheetName val="DRS"/>
      <sheetName val="TB FOR MIS"/>
      <sheetName val="Production &amp; Revenue Schedules"/>
      <sheetName val="Parameter"/>
      <sheetName val="P&amp;L February"/>
      <sheetName val="P&amp;L Feb 2001 cumulative"/>
      <sheetName val="sEP2003"/>
      <sheetName val="TaxComputn"/>
      <sheetName val="(M+L)"/>
      <sheetName val="Performance Summary"/>
      <sheetName val="APR"/>
      <sheetName val="AUG"/>
      <sheetName val="DEC"/>
      <sheetName val="FEB"/>
      <sheetName val="JAN"/>
      <sheetName val="JUL"/>
      <sheetName val="JUN"/>
      <sheetName val="MAR"/>
      <sheetName val="MAY"/>
      <sheetName val="NOV"/>
      <sheetName val="OCT"/>
      <sheetName val="SEP"/>
      <sheetName val="MONTHLY"/>
      <sheetName val="15"/>
      <sheetName val="Profit and Loss"/>
      <sheetName val="Transaction Inputs"/>
      <sheetName val="Target 1"/>
      <sheetName val="Share Calculations"/>
      <sheetName val="Transaction Calculations"/>
      <sheetName val="Sheet3 (2)"/>
      <sheetName val="Set"/>
      <sheetName val="LBO"/>
      <sheetName val="FA"/>
      <sheetName val="F.01 - June 2005"/>
      <sheetName val="Form"/>
      <sheetName val="Challan"/>
      <sheetName val="FORM-16"/>
      <sheetName val="Intaccrual"/>
      <sheetName val="Cash Flow "/>
      <sheetName val="Design"/>
      <sheetName val="Assumptions"/>
      <sheetName val="Sch5TO10"/>
      <sheetName val="Temp"/>
      <sheetName val="Reference"/>
      <sheetName val="Power_Fuel"/>
      <sheetName val="Support"/>
      <sheetName val="N-LIABIL"/>
      <sheetName val="Master (2)"/>
      <sheetName val="Portfolio Summary"/>
      <sheetName val="Standalone"/>
      <sheetName val="entitlements"/>
      <sheetName val="RetailExpenses-Input"/>
      <sheetName val="2003-04"/>
      <sheetName val="INVENTORY"/>
      <sheetName val="lot no 86"/>
      <sheetName val="Users Authorisations"/>
      <sheetName val="Feuil1"/>
      <sheetName val="OFICIAL"/>
      <sheetName val="Revenue Assumptions"/>
    </sheetNames>
    <sheetDataSet>
      <sheetData sheetId="0" refreshError="1">
        <row r="7">
          <cell r="D7">
            <v>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ummary"/>
      <sheetName val="YARN PIVOT"/>
      <sheetName val="Sheet1"/>
      <sheetName val="Sheet2"/>
      <sheetName val="YARN CONSUMP-JULY-06"/>
      <sheetName val="Input"/>
    </sheetNames>
    <sheetDataSet>
      <sheetData sheetId="0" refreshError="1"/>
      <sheetData sheetId="1" refreshError="1"/>
      <sheetData sheetId="2" refreshError="1"/>
      <sheetData sheetId="3" refreshError="1"/>
      <sheetData sheetId="4" refreshError="1">
        <row r="2">
          <cell r="N2">
            <v>-2.2799999999999998</v>
          </cell>
        </row>
        <row r="3">
          <cell r="N3">
            <v>-2.1850000000000001</v>
          </cell>
        </row>
        <row r="4">
          <cell r="N4">
            <v>-2.415</v>
          </cell>
        </row>
        <row r="5">
          <cell r="N5">
            <v>-2.7069999999999999</v>
          </cell>
        </row>
        <row r="6">
          <cell r="N6">
            <v>-2.0299999999999998</v>
          </cell>
        </row>
        <row r="7">
          <cell r="N7">
            <v>-2.109</v>
          </cell>
        </row>
        <row r="8">
          <cell r="N8">
            <v>-2.1749999999999998</v>
          </cell>
        </row>
        <row r="9">
          <cell r="N9">
            <v>-1.9339999999999999</v>
          </cell>
        </row>
        <row r="10">
          <cell r="N10">
            <v>-1.958</v>
          </cell>
        </row>
        <row r="11">
          <cell r="N11">
            <v>-0.94299999999999995</v>
          </cell>
        </row>
        <row r="12">
          <cell r="N12">
            <v>-2.7559999999999998</v>
          </cell>
        </row>
        <row r="13">
          <cell r="N13">
            <v>-2.6829999999999998</v>
          </cell>
        </row>
        <row r="14">
          <cell r="N14">
            <v>-2.2719999999999998</v>
          </cell>
        </row>
        <row r="15">
          <cell r="N15">
            <v>-2.2719999999999998</v>
          </cell>
        </row>
        <row r="16">
          <cell r="N16">
            <v>-2.5310000000000001</v>
          </cell>
        </row>
        <row r="17">
          <cell r="N17">
            <v>-2.4169999999999998</v>
          </cell>
        </row>
        <row r="18">
          <cell r="N18">
            <v>-1.9339999999999999</v>
          </cell>
        </row>
        <row r="19">
          <cell r="N19">
            <v>-2.1749999999999998</v>
          </cell>
        </row>
        <row r="20">
          <cell r="N20">
            <v>-2.0059999999999998</v>
          </cell>
        </row>
        <row r="21">
          <cell r="N21">
            <v>-4.9649999999999999</v>
          </cell>
        </row>
        <row r="22">
          <cell r="N22">
            <v>-2.0550000000000002</v>
          </cell>
        </row>
        <row r="23">
          <cell r="N23">
            <v>-2.8039999999999998</v>
          </cell>
        </row>
        <row r="24">
          <cell r="N24">
            <v>-2.3199999999999998</v>
          </cell>
        </row>
        <row r="25">
          <cell r="N25">
            <v>-1.6919999999999999</v>
          </cell>
        </row>
        <row r="26">
          <cell r="N26">
            <v>-4.8120000000000003</v>
          </cell>
        </row>
        <row r="27">
          <cell r="N27">
            <v>-2.2240000000000002</v>
          </cell>
        </row>
        <row r="28">
          <cell r="N28">
            <v>-5.31</v>
          </cell>
        </row>
        <row r="29">
          <cell r="N29">
            <v>-6</v>
          </cell>
        </row>
        <row r="30">
          <cell r="N30">
            <v>-6.25</v>
          </cell>
        </row>
        <row r="31">
          <cell r="N31">
            <v>-5.6550000000000002</v>
          </cell>
        </row>
        <row r="32">
          <cell r="N32">
            <v>-5.444</v>
          </cell>
        </row>
        <row r="33">
          <cell r="N33">
            <v>-258.54199999999997</v>
          </cell>
        </row>
        <row r="34">
          <cell r="N34">
            <v>-116.458</v>
          </cell>
        </row>
        <row r="35">
          <cell r="N35">
            <v>-18.395</v>
          </cell>
        </row>
        <row r="36">
          <cell r="N36">
            <v>-0.69</v>
          </cell>
        </row>
        <row r="37">
          <cell r="N37">
            <v>-400.41300000000001</v>
          </cell>
        </row>
        <row r="38">
          <cell r="N38">
            <v>-566.61500000000001</v>
          </cell>
        </row>
        <row r="39">
          <cell r="N39">
            <v>-711</v>
          </cell>
        </row>
        <row r="40">
          <cell r="N40">
            <v>-1184.376</v>
          </cell>
        </row>
        <row r="41">
          <cell r="N41">
            <v>-1197.99</v>
          </cell>
        </row>
        <row r="42">
          <cell r="N42">
            <v>-485.62900000000002</v>
          </cell>
        </row>
        <row r="43">
          <cell r="N43">
            <v>-698.74699999999996</v>
          </cell>
        </row>
        <row r="44">
          <cell r="N44">
            <v>-39.624000000000002</v>
          </cell>
        </row>
        <row r="45">
          <cell r="N45">
            <v>-86.763000000000005</v>
          </cell>
        </row>
        <row r="46">
          <cell r="N46">
            <v>-38.457999999999998</v>
          </cell>
        </row>
        <row r="47">
          <cell r="N47">
            <v>-147</v>
          </cell>
        </row>
        <row r="48">
          <cell r="N48">
            <v>-1183.211</v>
          </cell>
        </row>
        <row r="49">
          <cell r="N49">
            <v>-111.511</v>
          </cell>
        </row>
        <row r="50">
          <cell r="N50">
            <v>-1184.376</v>
          </cell>
        </row>
        <row r="51">
          <cell r="N51">
            <v>-1192.508</v>
          </cell>
        </row>
        <row r="52">
          <cell r="N52">
            <v>-1775.981</v>
          </cell>
        </row>
        <row r="53">
          <cell r="N53">
            <v>-518.23699999999997</v>
          </cell>
        </row>
        <row r="54">
          <cell r="N54">
            <v>-1300</v>
          </cell>
        </row>
        <row r="55">
          <cell r="N55">
            <v>-477</v>
          </cell>
        </row>
        <row r="56">
          <cell r="N56">
            <v>-1194.4259999999999</v>
          </cell>
        </row>
        <row r="57">
          <cell r="N57">
            <v>-1184.376</v>
          </cell>
        </row>
        <row r="58">
          <cell r="N58">
            <v>-1187.8699999999999</v>
          </cell>
        </row>
        <row r="59">
          <cell r="N59">
            <v>-1187.8699999999999</v>
          </cell>
        </row>
        <row r="60">
          <cell r="N60">
            <v>-1067.9179999999999</v>
          </cell>
        </row>
        <row r="61">
          <cell r="N61">
            <v>-1124.9559999999999</v>
          </cell>
        </row>
        <row r="62">
          <cell r="N62">
            <v>-116.458</v>
          </cell>
        </row>
        <row r="63">
          <cell r="N63">
            <v>-1184.376</v>
          </cell>
        </row>
        <row r="64">
          <cell r="N64">
            <v>-1777.146</v>
          </cell>
        </row>
        <row r="65">
          <cell r="N65">
            <v>-1777.146</v>
          </cell>
        </row>
        <row r="66">
          <cell r="N66">
            <v>-37.86</v>
          </cell>
        </row>
        <row r="67">
          <cell r="N67">
            <v>-696</v>
          </cell>
        </row>
        <row r="68">
          <cell r="N68">
            <v>-440.91399999999999</v>
          </cell>
        </row>
        <row r="69">
          <cell r="N69">
            <v>-108.681</v>
          </cell>
        </row>
        <row r="70">
          <cell r="N70">
            <v>-222.624</v>
          </cell>
        </row>
        <row r="71">
          <cell r="N71">
            <v>-177</v>
          </cell>
        </row>
        <row r="72">
          <cell r="N72">
            <v>-229</v>
          </cell>
        </row>
        <row r="73">
          <cell r="N73">
            <v>-1184.376</v>
          </cell>
        </row>
        <row r="74">
          <cell r="N74">
            <v>-209.624</v>
          </cell>
        </row>
        <row r="75">
          <cell r="N75">
            <v>-974.75199999999995</v>
          </cell>
        </row>
        <row r="76">
          <cell r="N76">
            <v>-112.14</v>
          </cell>
        </row>
        <row r="77">
          <cell r="N77">
            <v>-964.27099999999996</v>
          </cell>
        </row>
        <row r="78">
          <cell r="N78">
            <v>-1169.319</v>
          </cell>
        </row>
        <row r="79">
          <cell r="N79">
            <v>-1048.1199999999999</v>
          </cell>
        </row>
        <row r="80">
          <cell r="N80">
            <v>-695</v>
          </cell>
        </row>
        <row r="81">
          <cell r="N81">
            <v>-692</v>
          </cell>
        </row>
        <row r="82">
          <cell r="N82">
            <v>-636</v>
          </cell>
        </row>
        <row r="83">
          <cell r="N83">
            <v>-656</v>
          </cell>
        </row>
        <row r="84">
          <cell r="N84">
            <v>-1169.319</v>
          </cell>
        </row>
        <row r="85">
          <cell r="N85">
            <v>-36.866999999999997</v>
          </cell>
        </row>
        <row r="86">
          <cell r="N86">
            <v>-45</v>
          </cell>
        </row>
        <row r="87">
          <cell r="N87">
            <v>-1.5269999999999999</v>
          </cell>
        </row>
        <row r="88">
          <cell r="N88">
            <v>-0.88700000000000001</v>
          </cell>
        </row>
        <row r="89">
          <cell r="N89">
            <v>-0.60799999999999998</v>
          </cell>
        </row>
        <row r="90">
          <cell r="N90">
            <v>-1.6359999999999999</v>
          </cell>
        </row>
        <row r="91">
          <cell r="N91">
            <v>-1.7949999999999999</v>
          </cell>
        </row>
        <row r="92">
          <cell r="N92">
            <v>-1.5720000000000001</v>
          </cell>
        </row>
        <row r="93">
          <cell r="N93">
            <v>-1.925</v>
          </cell>
        </row>
        <row r="94">
          <cell r="N94">
            <v>-1.161</v>
          </cell>
        </row>
        <row r="95">
          <cell r="N95">
            <v>-1.6679999999999999</v>
          </cell>
        </row>
        <row r="96">
          <cell r="N96">
            <v>-1.1830000000000001</v>
          </cell>
        </row>
        <row r="97">
          <cell r="N97">
            <v>-1.4710000000000001</v>
          </cell>
        </row>
        <row r="98">
          <cell r="N98">
            <v>-1.119</v>
          </cell>
        </row>
        <row r="99">
          <cell r="N99">
            <v>-1.837</v>
          </cell>
        </row>
        <row r="100">
          <cell r="N100">
            <v>-1.1399999999999999</v>
          </cell>
        </row>
        <row r="101">
          <cell r="N101">
            <v>-0.59</v>
          </cell>
        </row>
        <row r="102">
          <cell r="N102">
            <v>-1.31</v>
          </cell>
        </row>
        <row r="103">
          <cell r="N103">
            <v>-0.84499999999999997</v>
          </cell>
        </row>
        <row r="104">
          <cell r="N104">
            <v>-0.56000000000000005</v>
          </cell>
        </row>
        <row r="105">
          <cell r="N105">
            <v>-8.2910000000000004</v>
          </cell>
        </row>
        <row r="106">
          <cell r="N106">
            <v>-0.51</v>
          </cell>
        </row>
        <row r="107">
          <cell r="N107">
            <v>-0.69299999999999995</v>
          </cell>
        </row>
        <row r="108">
          <cell r="N108">
            <v>-1.4570000000000001</v>
          </cell>
        </row>
        <row r="109">
          <cell r="N109">
            <v>-0.5</v>
          </cell>
        </row>
        <row r="110">
          <cell r="N110">
            <v>-0.65100000000000002</v>
          </cell>
        </row>
        <row r="111">
          <cell r="N111">
            <v>-1.2729999999999999</v>
          </cell>
        </row>
        <row r="112">
          <cell r="N112">
            <v>-0.49</v>
          </cell>
        </row>
        <row r="113">
          <cell r="N113">
            <v>-0.4</v>
          </cell>
        </row>
        <row r="114">
          <cell r="N114">
            <v>-0.82</v>
          </cell>
        </row>
        <row r="115">
          <cell r="N115">
            <v>-0.54</v>
          </cell>
        </row>
        <row r="116">
          <cell r="N116">
            <v>-1.66</v>
          </cell>
        </row>
        <row r="117">
          <cell r="N117">
            <v>-2.718</v>
          </cell>
        </row>
        <row r="118">
          <cell r="N118">
            <v>-2.3740000000000001</v>
          </cell>
        </row>
        <row r="119">
          <cell r="N119">
            <v>-0.76600000000000001</v>
          </cell>
        </row>
        <row r="120">
          <cell r="N120">
            <v>-0.98</v>
          </cell>
        </row>
        <row r="121">
          <cell r="N121">
            <v>-1.903</v>
          </cell>
        </row>
        <row r="122">
          <cell r="N122">
            <v>-1.35</v>
          </cell>
        </row>
        <row r="123">
          <cell r="N123">
            <v>-2.0529999999999999</v>
          </cell>
        </row>
        <row r="124">
          <cell r="N124">
            <v>-2.1749999999999998</v>
          </cell>
        </row>
        <row r="125">
          <cell r="N125">
            <v>-1.9890000000000001</v>
          </cell>
        </row>
        <row r="126">
          <cell r="N126">
            <v>-1.6950000000000001</v>
          </cell>
        </row>
        <row r="127">
          <cell r="N127">
            <v>-1.6160000000000001</v>
          </cell>
        </row>
        <row r="128">
          <cell r="N128">
            <v>-0.92900000000000005</v>
          </cell>
        </row>
        <row r="129">
          <cell r="N129">
            <v>-2.2069999999999999</v>
          </cell>
        </row>
        <row r="130">
          <cell r="N130">
            <v>-1.726</v>
          </cell>
        </row>
        <row r="131">
          <cell r="N131">
            <v>-0.99399999999999999</v>
          </cell>
        </row>
        <row r="132">
          <cell r="N132">
            <v>-2.181</v>
          </cell>
        </row>
        <row r="133">
          <cell r="N133">
            <v>-0.77500000000000002</v>
          </cell>
        </row>
        <row r="134">
          <cell r="N134">
            <v>-2.181</v>
          </cell>
        </row>
        <row r="135">
          <cell r="N135">
            <v>-1.9510000000000001</v>
          </cell>
        </row>
        <row r="136">
          <cell r="N136">
            <v>-1.107</v>
          </cell>
        </row>
        <row r="137">
          <cell r="N137">
            <v>-1.35</v>
          </cell>
        </row>
        <row r="138">
          <cell r="N138">
            <v>-1.7589999999999999</v>
          </cell>
        </row>
        <row r="139">
          <cell r="N139">
            <v>-2.036</v>
          </cell>
        </row>
        <row r="140">
          <cell r="N140">
            <v>-2.2570000000000001</v>
          </cell>
        </row>
        <row r="141">
          <cell r="N141">
            <v>-1.5049999999999999</v>
          </cell>
        </row>
        <row r="142">
          <cell r="N142">
            <v>-2.5009999999999999</v>
          </cell>
        </row>
        <row r="143">
          <cell r="N143">
            <v>-1.3720000000000001</v>
          </cell>
        </row>
        <row r="144">
          <cell r="N144">
            <v>-2.5979999999999999</v>
          </cell>
        </row>
        <row r="145">
          <cell r="N145">
            <v>-1.3720000000000001</v>
          </cell>
        </row>
        <row r="146">
          <cell r="N146">
            <v>-0.66600000000000004</v>
          </cell>
        </row>
        <row r="147">
          <cell r="N147">
            <v>-0.97699999999999998</v>
          </cell>
        </row>
        <row r="148">
          <cell r="N148">
            <v>-0.216</v>
          </cell>
        </row>
        <row r="149">
          <cell r="N149">
            <v>-0.36499999999999999</v>
          </cell>
        </row>
        <row r="150">
          <cell r="N150">
            <v>-0.45100000000000001</v>
          </cell>
        </row>
        <row r="151">
          <cell r="N151">
            <v>-1.1579999999999999</v>
          </cell>
        </row>
        <row r="152">
          <cell r="N152">
            <v>-1.4890000000000001</v>
          </cell>
        </row>
        <row r="153">
          <cell r="N153">
            <v>-0.76900000000000002</v>
          </cell>
        </row>
        <row r="154">
          <cell r="N154">
            <v>-1.105</v>
          </cell>
        </row>
        <row r="155">
          <cell r="N155">
            <v>-1.4890000000000001</v>
          </cell>
        </row>
        <row r="156">
          <cell r="N156">
            <v>-1.681</v>
          </cell>
        </row>
        <row r="157">
          <cell r="N157">
            <v>-1.425</v>
          </cell>
        </row>
        <row r="158">
          <cell r="N158">
            <v>-1.073</v>
          </cell>
        </row>
        <row r="159">
          <cell r="N159">
            <v>-1.0569999999999999</v>
          </cell>
        </row>
        <row r="160">
          <cell r="N160">
            <v>-0.20200000000000001</v>
          </cell>
        </row>
        <row r="161">
          <cell r="N161">
            <v>-0.74199999999999999</v>
          </cell>
        </row>
        <row r="162">
          <cell r="N162">
            <v>-0.69699999999999995</v>
          </cell>
        </row>
        <row r="163">
          <cell r="N163">
            <v>-0.36499999999999999</v>
          </cell>
        </row>
        <row r="164">
          <cell r="N164">
            <v>-0.82099999999999995</v>
          </cell>
        </row>
        <row r="165">
          <cell r="N165">
            <v>-0.877</v>
          </cell>
        </row>
        <row r="166">
          <cell r="N166">
            <v>-48</v>
          </cell>
        </row>
        <row r="167">
          <cell r="N167">
            <v>-24.228999999999999</v>
          </cell>
        </row>
        <row r="168">
          <cell r="N168">
            <v>-31.021000000000001</v>
          </cell>
        </row>
        <row r="169">
          <cell r="N169">
            <v>-17.504999999999999</v>
          </cell>
        </row>
        <row r="170">
          <cell r="N170">
            <v>-49.341000000000001</v>
          </cell>
        </row>
        <row r="171">
          <cell r="N171">
            <v>-13.227</v>
          </cell>
        </row>
        <row r="172">
          <cell r="N172">
            <v>-8.0329999999999995</v>
          </cell>
        </row>
        <row r="173">
          <cell r="N173">
            <v>-1.5529999999999999</v>
          </cell>
        </row>
        <row r="174">
          <cell r="N174">
            <v>-17.026</v>
          </cell>
        </row>
        <row r="175">
          <cell r="N175">
            <v>-21.876999999999999</v>
          </cell>
        </row>
        <row r="176">
          <cell r="N176">
            <v>-2.641</v>
          </cell>
        </row>
        <row r="177">
          <cell r="N177">
            <v>-47.503</v>
          </cell>
        </row>
        <row r="178">
          <cell r="N178">
            <v>-42.615000000000002</v>
          </cell>
        </row>
        <row r="179">
          <cell r="N179">
            <v>-628.87199999999996</v>
          </cell>
        </row>
        <row r="180">
          <cell r="N180">
            <v>-43.213000000000001</v>
          </cell>
        </row>
        <row r="181">
          <cell r="N181">
            <v>-20.068999999999999</v>
          </cell>
        </row>
        <row r="182">
          <cell r="N182">
            <v>-16.981000000000002</v>
          </cell>
        </row>
        <row r="183">
          <cell r="N183">
            <v>-49.222999999999999</v>
          </cell>
        </row>
        <row r="184">
          <cell r="N184">
            <v>-71.980999999999995</v>
          </cell>
        </row>
        <row r="185">
          <cell r="N185">
            <v>-13.343</v>
          </cell>
        </row>
        <row r="186">
          <cell r="N186">
            <v>-15.135</v>
          </cell>
        </row>
        <row r="187">
          <cell r="N187">
            <v>-17.905000000000001</v>
          </cell>
        </row>
        <row r="188">
          <cell r="N188">
            <v>-24.016999999999999</v>
          </cell>
        </row>
        <row r="189">
          <cell r="N189">
            <v>-13.593999999999999</v>
          </cell>
        </row>
        <row r="190">
          <cell r="N190">
            <v>-65.86</v>
          </cell>
        </row>
        <row r="191">
          <cell r="N191">
            <v>-40.948999999999998</v>
          </cell>
        </row>
        <row r="192">
          <cell r="N192">
            <v>-9.8859999999999992</v>
          </cell>
        </row>
        <row r="193">
          <cell r="N193">
            <v>-29.911999999999999</v>
          </cell>
        </row>
        <row r="194">
          <cell r="N194">
            <v>-64.492999999999995</v>
          </cell>
        </row>
        <row r="195">
          <cell r="N195">
            <v>-35.752000000000002</v>
          </cell>
        </row>
        <row r="196">
          <cell r="N196">
            <v>-41.47</v>
          </cell>
        </row>
        <row r="197">
          <cell r="N197">
            <v>-628.87199999999996</v>
          </cell>
        </row>
        <row r="198">
          <cell r="N198">
            <v>-42.652999999999999</v>
          </cell>
        </row>
        <row r="199">
          <cell r="N199">
            <v>-13.994999999999999</v>
          </cell>
        </row>
        <row r="200">
          <cell r="N200">
            <v>-52.798999999999999</v>
          </cell>
        </row>
        <row r="201">
          <cell r="N201">
            <v>-20.018999999999998</v>
          </cell>
        </row>
        <row r="202">
          <cell r="N202">
            <v>-47.173000000000002</v>
          </cell>
        </row>
        <row r="203">
          <cell r="N203">
            <v>-48.88</v>
          </cell>
        </row>
        <row r="204">
          <cell r="N204">
            <v>-13.227</v>
          </cell>
        </row>
        <row r="205">
          <cell r="N205">
            <v>-9.8620000000000001</v>
          </cell>
        </row>
        <row r="206">
          <cell r="N206">
            <v>-53.42</v>
          </cell>
        </row>
        <row r="207">
          <cell r="N207">
            <v>-46.262999999999998</v>
          </cell>
        </row>
        <row r="208">
          <cell r="N208">
            <v>-4.8979999999999997</v>
          </cell>
        </row>
        <row r="209">
          <cell r="N209">
            <v>-21.446999999999999</v>
          </cell>
        </row>
        <row r="210">
          <cell r="N210">
            <v>-21.326000000000001</v>
          </cell>
        </row>
        <row r="211">
          <cell r="N211">
            <v>-43.448999999999998</v>
          </cell>
        </row>
        <row r="212">
          <cell r="N212">
            <v>-22.126999999999999</v>
          </cell>
        </row>
        <row r="213">
          <cell r="N213">
            <v>-17.696000000000002</v>
          </cell>
        </row>
        <row r="214">
          <cell r="N214">
            <v>-54</v>
          </cell>
        </row>
        <row r="215">
          <cell r="N215">
            <v>-46.418999999999997</v>
          </cell>
        </row>
        <row r="216">
          <cell r="N216">
            <v>-42.054000000000002</v>
          </cell>
        </row>
        <row r="217">
          <cell r="N217">
            <v>-18.206</v>
          </cell>
        </row>
        <row r="218">
          <cell r="N218">
            <v>-40.268000000000001</v>
          </cell>
        </row>
        <row r="219">
          <cell r="N219">
            <v>-44.844000000000001</v>
          </cell>
        </row>
        <row r="220">
          <cell r="N220">
            <v>-44.585000000000001</v>
          </cell>
        </row>
        <row r="221">
          <cell r="N221">
            <v>-41.283000000000001</v>
          </cell>
        </row>
        <row r="222">
          <cell r="N222">
            <v>-15.241</v>
          </cell>
        </row>
        <row r="223">
          <cell r="N223">
            <v>-43.762</v>
          </cell>
        </row>
        <row r="224">
          <cell r="N224">
            <v>-14.34</v>
          </cell>
        </row>
        <row r="225">
          <cell r="N225">
            <v>-10.263999999999999</v>
          </cell>
        </row>
        <row r="226">
          <cell r="N226">
            <v>-4.1539999999999999</v>
          </cell>
        </row>
        <row r="227">
          <cell r="N227">
            <v>-45.628</v>
          </cell>
        </row>
        <row r="228">
          <cell r="N228">
            <v>-17.026</v>
          </cell>
        </row>
        <row r="229">
          <cell r="N229">
            <v>-52.289000000000001</v>
          </cell>
        </row>
        <row r="230">
          <cell r="N230">
            <v>-32.929000000000002</v>
          </cell>
        </row>
        <row r="231">
          <cell r="N231">
            <v>-15.295999999999999</v>
          </cell>
        </row>
        <row r="232">
          <cell r="N232">
            <v>-18.469000000000001</v>
          </cell>
        </row>
        <row r="233">
          <cell r="N233">
            <v>-20.588999999999999</v>
          </cell>
        </row>
        <row r="234">
          <cell r="N234">
            <v>-46.841999999999999</v>
          </cell>
        </row>
        <row r="235">
          <cell r="N235">
            <v>-5.1790000000000003</v>
          </cell>
        </row>
        <row r="236">
          <cell r="N236">
            <v>-5.0819999999999999</v>
          </cell>
        </row>
        <row r="237">
          <cell r="N237">
            <v>-58.332999999999998</v>
          </cell>
        </row>
        <row r="238">
          <cell r="N238">
            <v>-41.636000000000003</v>
          </cell>
        </row>
        <row r="239">
          <cell r="N239">
            <v>-19.510999999999999</v>
          </cell>
        </row>
        <row r="240">
          <cell r="N240">
            <v>-6.9649999999999999</v>
          </cell>
        </row>
        <row r="241">
          <cell r="N241">
            <v>-7.2560000000000002</v>
          </cell>
        </row>
        <row r="242">
          <cell r="N242">
            <v>-43.222000000000001</v>
          </cell>
        </row>
        <row r="243">
          <cell r="N243">
            <v>-31.337</v>
          </cell>
        </row>
        <row r="244">
          <cell r="N244">
            <v>-14.643000000000001</v>
          </cell>
        </row>
        <row r="245">
          <cell r="N245">
            <v>-47.856999999999999</v>
          </cell>
        </row>
        <row r="246">
          <cell r="N246">
            <v>-39.35</v>
          </cell>
        </row>
        <row r="247">
          <cell r="N247">
            <v>-43.981000000000002</v>
          </cell>
        </row>
        <row r="248">
          <cell r="N248">
            <v>-52.87</v>
          </cell>
        </row>
        <row r="249">
          <cell r="N249">
            <v>-42.981000000000002</v>
          </cell>
        </row>
        <row r="250">
          <cell r="N250">
            <v>-46.573999999999998</v>
          </cell>
        </row>
        <row r="251">
          <cell r="N251">
            <v>-35.929000000000002</v>
          </cell>
        </row>
        <row r="252">
          <cell r="N252">
            <v>-19.696999999999999</v>
          </cell>
        </row>
        <row r="253">
          <cell r="N253">
            <v>-19.317</v>
          </cell>
        </row>
        <row r="254">
          <cell r="N254">
            <v>-18.603999999999999</v>
          </cell>
        </row>
        <row r="255">
          <cell r="N255">
            <v>-53.781999999999996</v>
          </cell>
        </row>
        <row r="256">
          <cell r="N256">
            <v>-50.494</v>
          </cell>
        </row>
        <row r="257">
          <cell r="N257">
            <v>-4.1340000000000003</v>
          </cell>
        </row>
        <row r="258">
          <cell r="N258">
            <v>-43.957999999999998</v>
          </cell>
        </row>
        <row r="259">
          <cell r="N259">
            <v>-14.56</v>
          </cell>
        </row>
        <row r="260">
          <cell r="N260">
            <v>-43.448999999999998</v>
          </cell>
        </row>
        <row r="261">
          <cell r="N261">
            <v>-17.623000000000001</v>
          </cell>
        </row>
        <row r="262">
          <cell r="N262">
            <v>-13.227</v>
          </cell>
        </row>
        <row r="263">
          <cell r="N263">
            <v>-34.509</v>
          </cell>
        </row>
        <row r="264">
          <cell r="N264">
            <v>-63.732999999999997</v>
          </cell>
        </row>
        <row r="265">
          <cell r="N265">
            <v>-9.36</v>
          </cell>
        </row>
        <row r="266">
          <cell r="N266">
            <v>-42.085000000000001</v>
          </cell>
        </row>
        <row r="267">
          <cell r="N267">
            <v>-48.768000000000001</v>
          </cell>
        </row>
        <row r="268">
          <cell r="N268">
            <v>-40.948999999999998</v>
          </cell>
        </row>
        <row r="269">
          <cell r="N269">
            <v>-52.750999999999998</v>
          </cell>
        </row>
        <row r="270">
          <cell r="N270">
            <v>-45.779000000000003</v>
          </cell>
        </row>
        <row r="271">
          <cell r="N271">
            <v>-5.42</v>
          </cell>
        </row>
        <row r="272">
          <cell r="N272">
            <v>-63.832000000000001</v>
          </cell>
        </row>
        <row r="273">
          <cell r="N273">
            <v>-16.13</v>
          </cell>
        </row>
        <row r="274">
          <cell r="N274">
            <v>-18.376999999999999</v>
          </cell>
        </row>
        <row r="275">
          <cell r="N275">
            <v>-43.606000000000002</v>
          </cell>
        </row>
        <row r="276">
          <cell r="N276">
            <v>-13.231999999999999</v>
          </cell>
        </row>
        <row r="277">
          <cell r="N277">
            <v>-16.477</v>
          </cell>
        </row>
        <row r="278">
          <cell r="N278">
            <v>-36.616</v>
          </cell>
        </row>
        <row r="279">
          <cell r="N279">
            <v>-44.075000000000003</v>
          </cell>
        </row>
        <row r="280">
          <cell r="N280">
            <v>-23.02</v>
          </cell>
        </row>
        <row r="281">
          <cell r="N281">
            <v>-67.231999999999999</v>
          </cell>
        </row>
        <row r="282">
          <cell r="N282">
            <v>-11.981999999999999</v>
          </cell>
        </row>
        <row r="283">
          <cell r="N283">
            <v>-45.731000000000002</v>
          </cell>
        </row>
        <row r="284">
          <cell r="N284">
            <v>-7.4329999999999998</v>
          </cell>
        </row>
        <row r="285">
          <cell r="N285">
            <v>-17.818999999999999</v>
          </cell>
        </row>
        <row r="286">
          <cell r="N286">
            <v>-45.567</v>
          </cell>
        </row>
        <row r="287">
          <cell r="N287">
            <v>-6.76</v>
          </cell>
        </row>
        <row r="288">
          <cell r="N288">
            <v>-4.9930000000000003</v>
          </cell>
        </row>
        <row r="289">
          <cell r="N289">
            <v>-45.637999999999998</v>
          </cell>
        </row>
        <row r="290">
          <cell r="N290">
            <v>-43.917999999999999</v>
          </cell>
        </row>
        <row r="291">
          <cell r="N291">
            <v>-13.807</v>
          </cell>
        </row>
        <row r="292">
          <cell r="N292">
            <v>-16.34</v>
          </cell>
        </row>
        <row r="293">
          <cell r="N293">
            <v>-38.460999999999999</v>
          </cell>
        </row>
        <row r="294">
          <cell r="N294">
            <v>-44.231000000000002</v>
          </cell>
        </row>
        <row r="295">
          <cell r="N295">
            <v>-51.503</v>
          </cell>
        </row>
        <row r="296">
          <cell r="N296">
            <v>-48.188000000000002</v>
          </cell>
        </row>
        <row r="297">
          <cell r="N297">
            <v>-44.390999999999998</v>
          </cell>
        </row>
        <row r="298">
          <cell r="N298">
            <v>-18.603999999999999</v>
          </cell>
        </row>
        <row r="299">
          <cell r="N299">
            <v>-21.802</v>
          </cell>
        </row>
        <row r="300">
          <cell r="N300">
            <v>-13.691000000000001</v>
          </cell>
        </row>
        <row r="301">
          <cell r="N301">
            <v>-20.530999999999999</v>
          </cell>
        </row>
        <row r="302">
          <cell r="N302">
            <v>-6.1029999999999998</v>
          </cell>
        </row>
        <row r="303">
          <cell r="N303">
            <v>-43.027999999999999</v>
          </cell>
        </row>
        <row r="304">
          <cell r="N304">
            <v>-19.23</v>
          </cell>
        </row>
        <row r="305">
          <cell r="N305">
            <v>-16.414000000000001</v>
          </cell>
        </row>
        <row r="306">
          <cell r="N306">
            <v>-19.460999999999999</v>
          </cell>
        </row>
        <row r="307">
          <cell r="N307">
            <v>-40.302</v>
          </cell>
        </row>
        <row r="308">
          <cell r="N308">
            <v>-11.254</v>
          </cell>
        </row>
        <row r="309">
          <cell r="N309">
            <v>-35.273000000000003</v>
          </cell>
        </row>
        <row r="310">
          <cell r="N310">
            <v>-35.585000000000001</v>
          </cell>
        </row>
        <row r="311">
          <cell r="N311">
            <v>-52.414000000000001</v>
          </cell>
        </row>
        <row r="312">
          <cell r="N312">
            <v>-46.262999999999998</v>
          </cell>
        </row>
        <row r="313">
          <cell r="N313">
            <v>-55.104999999999997</v>
          </cell>
        </row>
        <row r="314">
          <cell r="N314">
            <v>-16.414000000000001</v>
          </cell>
        </row>
        <row r="315">
          <cell r="N315">
            <v>-11.765000000000001</v>
          </cell>
        </row>
        <row r="316">
          <cell r="N316">
            <v>-14.861000000000001</v>
          </cell>
        </row>
        <row r="317">
          <cell r="N317">
            <v>-77.98</v>
          </cell>
        </row>
        <row r="318">
          <cell r="N318">
            <v>-39.948999999999998</v>
          </cell>
        </row>
        <row r="319">
          <cell r="N319">
            <v>-46.106000000000002</v>
          </cell>
        </row>
        <row r="320">
          <cell r="N320">
            <v>-21.693000000000001</v>
          </cell>
        </row>
        <row r="321">
          <cell r="N321">
            <v>-9.2910000000000004</v>
          </cell>
        </row>
        <row r="322">
          <cell r="N322">
            <v>-49.802</v>
          </cell>
        </row>
        <row r="323">
          <cell r="N323">
            <v>-13.888999999999999</v>
          </cell>
        </row>
        <row r="324">
          <cell r="N324">
            <v>-45.481000000000002</v>
          </cell>
        </row>
        <row r="325">
          <cell r="N325">
            <v>-41.97</v>
          </cell>
        </row>
        <row r="326">
          <cell r="N326">
            <v>-12.182</v>
          </cell>
        </row>
        <row r="327">
          <cell r="N327">
            <v>-18.206</v>
          </cell>
        </row>
        <row r="328">
          <cell r="N328">
            <v>-12.182</v>
          </cell>
        </row>
        <row r="329">
          <cell r="N329">
            <v>-41.104999999999997</v>
          </cell>
        </row>
        <row r="330">
          <cell r="N330">
            <v>-3.1520000000000001</v>
          </cell>
        </row>
        <row r="331">
          <cell r="N331">
            <v>-42.198999999999998</v>
          </cell>
        </row>
        <row r="332">
          <cell r="N332">
            <v>-3.5750000000000002</v>
          </cell>
        </row>
        <row r="333">
          <cell r="N333">
            <v>-43.417000000000002</v>
          </cell>
        </row>
        <row r="334">
          <cell r="N334">
            <v>-5.9219999999999997</v>
          </cell>
        </row>
        <row r="335">
          <cell r="N335">
            <v>-7.7080000000000002</v>
          </cell>
        </row>
        <row r="336">
          <cell r="N336">
            <v>-13.343999999999999</v>
          </cell>
        </row>
        <row r="337">
          <cell r="N337">
            <v>-41.081000000000003</v>
          </cell>
        </row>
        <row r="338">
          <cell r="N338">
            <v>-16.789000000000001</v>
          </cell>
        </row>
        <row r="339">
          <cell r="N339">
            <v>-14.18</v>
          </cell>
        </row>
        <row r="340">
          <cell r="N340">
            <v>-57.884</v>
          </cell>
        </row>
        <row r="341">
          <cell r="N341">
            <v>-35.878</v>
          </cell>
        </row>
        <row r="342">
          <cell r="N342">
            <v>-13.585000000000001</v>
          </cell>
        </row>
        <row r="343">
          <cell r="N343">
            <v>-65.25</v>
          </cell>
        </row>
        <row r="344">
          <cell r="N344">
            <v>-14.952999999999999</v>
          </cell>
        </row>
        <row r="345">
          <cell r="N345">
            <v>-11.846</v>
          </cell>
        </row>
        <row r="346">
          <cell r="N346">
            <v>-36.872999999999998</v>
          </cell>
        </row>
        <row r="347">
          <cell r="N347">
            <v>-11.164999999999999</v>
          </cell>
        </row>
        <row r="348">
          <cell r="N348">
            <v>-47.265999999999998</v>
          </cell>
        </row>
        <row r="349">
          <cell r="N349">
            <v>-12.496</v>
          </cell>
        </row>
        <row r="350">
          <cell r="N350">
            <v>-44.719000000000001</v>
          </cell>
        </row>
        <row r="351">
          <cell r="N351">
            <v>-5.681</v>
          </cell>
        </row>
        <row r="352">
          <cell r="N352">
            <v>-22.155999999999999</v>
          </cell>
        </row>
        <row r="353">
          <cell r="N353">
            <v>-20.111999999999998</v>
          </cell>
        </row>
        <row r="354">
          <cell r="N354">
            <v>-44.313000000000002</v>
          </cell>
        </row>
        <row r="355">
          <cell r="N355">
            <v>-37.304000000000002</v>
          </cell>
        </row>
        <row r="356">
          <cell r="N356">
            <v>-43.070999999999998</v>
          </cell>
        </row>
        <row r="357">
          <cell r="N357">
            <v>-55.335999999999999</v>
          </cell>
        </row>
        <row r="358">
          <cell r="N358">
            <v>-298</v>
          </cell>
        </row>
        <row r="359">
          <cell r="N359">
            <v>-30.896000000000001</v>
          </cell>
        </row>
        <row r="360">
          <cell r="N360">
            <v>-20.856000000000002</v>
          </cell>
        </row>
        <row r="361">
          <cell r="N361">
            <v>-52.289000000000001</v>
          </cell>
        </row>
        <row r="362">
          <cell r="N362">
            <v>-5.4960000000000004</v>
          </cell>
        </row>
        <row r="363">
          <cell r="N363">
            <v>-6.35</v>
          </cell>
        </row>
        <row r="364">
          <cell r="N364">
            <v>-37.51</v>
          </cell>
        </row>
        <row r="365">
          <cell r="N365">
            <v>-9.218</v>
          </cell>
        </row>
        <row r="366">
          <cell r="N366">
            <v>-12.266999999999999</v>
          </cell>
        </row>
        <row r="367">
          <cell r="N367">
            <v>-51.162999999999997</v>
          </cell>
        </row>
        <row r="368">
          <cell r="N368">
            <v>-5.24</v>
          </cell>
        </row>
        <row r="369">
          <cell r="N369">
            <v>-0.16200000000000001</v>
          </cell>
        </row>
        <row r="370">
          <cell r="N370">
            <v>-35.947000000000003</v>
          </cell>
        </row>
        <row r="371">
          <cell r="N371">
            <v>-41.86</v>
          </cell>
        </row>
        <row r="372">
          <cell r="N372">
            <v>-10.459</v>
          </cell>
        </row>
        <row r="373">
          <cell r="N373">
            <v>-3.5000000000000003E-2</v>
          </cell>
        </row>
        <row r="374">
          <cell r="N374">
            <v>-22.864999999999998</v>
          </cell>
        </row>
        <row r="375">
          <cell r="N375">
            <v>-58.112000000000002</v>
          </cell>
        </row>
        <row r="376">
          <cell r="N376">
            <v>-11.37</v>
          </cell>
        </row>
        <row r="377">
          <cell r="N377">
            <v>-5.34</v>
          </cell>
        </row>
        <row r="378">
          <cell r="N378">
            <v>-2.524</v>
          </cell>
        </row>
        <row r="379">
          <cell r="N379">
            <v>-45.168999999999997</v>
          </cell>
        </row>
        <row r="380">
          <cell r="N380">
            <v>-14.161</v>
          </cell>
        </row>
        <row r="381">
          <cell r="N381">
            <v>-1.988</v>
          </cell>
        </row>
        <row r="382">
          <cell r="N382">
            <v>-0.53</v>
          </cell>
        </row>
        <row r="383">
          <cell r="N383">
            <v>-6.9880000000000004</v>
          </cell>
        </row>
        <row r="384">
          <cell r="N384">
            <v>-0.81499999999999995</v>
          </cell>
        </row>
        <row r="385">
          <cell r="N385">
            <v>-6.0000000000000001E-3</v>
          </cell>
        </row>
        <row r="386">
          <cell r="N386">
            <v>-9.1229999999999993</v>
          </cell>
        </row>
        <row r="387">
          <cell r="N387">
            <v>-21.248999999999999</v>
          </cell>
        </row>
        <row r="388">
          <cell r="N388">
            <v>-6.4000000000000001E-2</v>
          </cell>
        </row>
        <row r="389">
          <cell r="N389">
            <v>-22.405000000000001</v>
          </cell>
        </row>
        <row r="390">
          <cell r="N390">
            <v>-16.241</v>
          </cell>
        </row>
        <row r="391">
          <cell r="N391">
            <v>-34.554000000000002</v>
          </cell>
        </row>
        <row r="392">
          <cell r="N392">
            <v>-11.677</v>
          </cell>
        </row>
        <row r="393">
          <cell r="N393">
            <v>-49.222999999999999</v>
          </cell>
        </row>
        <row r="394">
          <cell r="N394">
            <v>-67.911000000000001</v>
          </cell>
        </row>
        <row r="395">
          <cell r="N395">
            <v>-33.134</v>
          </cell>
        </row>
        <row r="396">
          <cell r="N396">
            <v>-43.234999999999999</v>
          </cell>
        </row>
        <row r="397">
          <cell r="N397">
            <v>-43.780999999999999</v>
          </cell>
        </row>
        <row r="398">
          <cell r="N398">
            <v>-10.586</v>
          </cell>
        </row>
        <row r="399">
          <cell r="N399">
            <v>-40.9</v>
          </cell>
        </row>
        <row r="400">
          <cell r="N400">
            <v>-32.491</v>
          </cell>
        </row>
        <row r="401">
          <cell r="N401">
            <v>-39.698</v>
          </cell>
        </row>
        <row r="402">
          <cell r="N402">
            <v>-37.932000000000002</v>
          </cell>
        </row>
        <row r="403">
          <cell r="N403">
            <v>-15.598000000000001</v>
          </cell>
        </row>
        <row r="404">
          <cell r="N404">
            <v>-4.5810000000000004</v>
          </cell>
        </row>
        <row r="405">
          <cell r="N405">
            <v>-51.274999999999999</v>
          </cell>
        </row>
        <row r="406">
          <cell r="N406">
            <v>-13.055</v>
          </cell>
        </row>
        <row r="407">
          <cell r="N407">
            <v>-36.103999999999999</v>
          </cell>
        </row>
        <row r="408">
          <cell r="N408">
            <v>-15.347</v>
          </cell>
        </row>
        <row r="409">
          <cell r="N409">
            <v>-40.692</v>
          </cell>
        </row>
        <row r="410">
          <cell r="N410">
            <v>-5.66</v>
          </cell>
        </row>
        <row r="411">
          <cell r="N411">
            <v>-36.796999999999997</v>
          </cell>
        </row>
        <row r="412">
          <cell r="N412">
            <v>-9.2590000000000003</v>
          </cell>
        </row>
        <row r="413">
          <cell r="N413">
            <v>-49.908000000000001</v>
          </cell>
        </row>
        <row r="414">
          <cell r="N414">
            <v>-10.906000000000001</v>
          </cell>
        </row>
        <row r="415">
          <cell r="N415">
            <v>-31.571000000000002</v>
          </cell>
        </row>
        <row r="416">
          <cell r="N416">
            <v>-49.741999999999997</v>
          </cell>
        </row>
        <row r="417">
          <cell r="N417">
            <v>-21.7</v>
          </cell>
        </row>
        <row r="418">
          <cell r="N418">
            <v>-14.756</v>
          </cell>
        </row>
        <row r="419">
          <cell r="N419">
            <v>-4.6779999999999999</v>
          </cell>
        </row>
        <row r="420">
          <cell r="N420">
            <v>-40.691000000000003</v>
          </cell>
        </row>
        <row r="421">
          <cell r="N421">
            <v>-10.856999999999999</v>
          </cell>
        </row>
        <row r="422">
          <cell r="N422">
            <v>-25.584</v>
          </cell>
        </row>
        <row r="423">
          <cell r="N423">
            <v>-43.664999999999999</v>
          </cell>
        </row>
        <row r="424">
          <cell r="N424">
            <v>-17.623000000000001</v>
          </cell>
        </row>
        <row r="425">
          <cell r="N425">
            <v>-13.843</v>
          </cell>
        </row>
        <row r="426">
          <cell r="N426">
            <v>-22.978999999999999</v>
          </cell>
        </row>
        <row r="427">
          <cell r="N427">
            <v>-59.716000000000001</v>
          </cell>
        </row>
        <row r="428">
          <cell r="N428">
            <v>-6.0430000000000001</v>
          </cell>
        </row>
        <row r="429">
          <cell r="N429">
            <v>-51.225999999999999</v>
          </cell>
        </row>
        <row r="430">
          <cell r="N430">
            <v>-11.834</v>
          </cell>
        </row>
        <row r="431">
          <cell r="N431">
            <v>-19.855</v>
          </cell>
        </row>
        <row r="432">
          <cell r="N432">
            <v>-51.58</v>
          </cell>
        </row>
        <row r="433">
          <cell r="N433">
            <v>-9.9659999999999993</v>
          </cell>
        </row>
        <row r="434">
          <cell r="N434">
            <v>-38.238999999999997</v>
          </cell>
        </row>
        <row r="435">
          <cell r="N435">
            <v>-14.56</v>
          </cell>
        </row>
        <row r="436">
          <cell r="N436">
            <v>-11.677</v>
          </cell>
        </row>
        <row r="437">
          <cell r="N437">
            <v>-17.117999999999999</v>
          </cell>
        </row>
        <row r="438">
          <cell r="N438">
            <v>-32.491</v>
          </cell>
        </row>
        <row r="439">
          <cell r="N439">
            <v>-62.021999999999998</v>
          </cell>
        </row>
        <row r="440">
          <cell r="N440">
            <v>-12.994999999999999</v>
          </cell>
        </row>
        <row r="441">
          <cell r="N441">
            <v>-45.99</v>
          </cell>
        </row>
        <row r="442">
          <cell r="N442">
            <v>-11.029</v>
          </cell>
        </row>
        <row r="443">
          <cell r="N443">
            <v>-5.8819999999999997</v>
          </cell>
        </row>
        <row r="444">
          <cell r="N444">
            <v>-2.9449999999999998</v>
          </cell>
        </row>
        <row r="445">
          <cell r="N445">
            <v>-42.042999999999999</v>
          </cell>
        </row>
        <row r="446">
          <cell r="N446">
            <v>-3.6259999999999999</v>
          </cell>
        </row>
        <row r="447">
          <cell r="N447">
            <v>-40.874000000000002</v>
          </cell>
        </row>
        <row r="448">
          <cell r="N448">
            <v>-12.994999999999999</v>
          </cell>
        </row>
        <row r="449">
          <cell r="N449">
            <v>-46.106000000000002</v>
          </cell>
        </row>
        <row r="450">
          <cell r="N450">
            <v>-16.657</v>
          </cell>
        </row>
        <row r="451">
          <cell r="N451">
            <v>-14.333</v>
          </cell>
        </row>
        <row r="452">
          <cell r="N452">
            <v>-10.993</v>
          </cell>
        </row>
        <row r="453">
          <cell r="N453">
            <v>-66.981999999999999</v>
          </cell>
        </row>
        <row r="454">
          <cell r="N454">
            <v>-23.923999999999999</v>
          </cell>
        </row>
        <row r="455">
          <cell r="N455">
            <v>-57.2</v>
          </cell>
        </row>
        <row r="456">
          <cell r="N456">
            <v>-2.3290000000000002</v>
          </cell>
        </row>
        <row r="457">
          <cell r="N457">
            <v>-5.8220000000000001</v>
          </cell>
        </row>
        <row r="458">
          <cell r="N458">
            <v>-13.071999999999999</v>
          </cell>
        </row>
        <row r="459">
          <cell r="N459">
            <v>-44.390999999999998</v>
          </cell>
        </row>
        <row r="460">
          <cell r="N460">
            <v>-15.199</v>
          </cell>
        </row>
        <row r="461">
          <cell r="N461">
            <v>-20.384</v>
          </cell>
        </row>
        <row r="462">
          <cell r="N462">
            <v>-60.390999999999998</v>
          </cell>
        </row>
        <row r="463">
          <cell r="N463">
            <v>-60.390999999999998</v>
          </cell>
        </row>
        <row r="464">
          <cell r="N464">
            <v>-3.0950000000000002</v>
          </cell>
        </row>
        <row r="465">
          <cell r="N465">
            <v>-36.520000000000003</v>
          </cell>
        </row>
        <row r="466">
          <cell r="N466">
            <v>-47.68</v>
          </cell>
        </row>
        <row r="467">
          <cell r="N467">
            <v>-5.0620000000000003</v>
          </cell>
        </row>
        <row r="468">
          <cell r="N468">
            <v>-12.214</v>
          </cell>
        </row>
        <row r="469">
          <cell r="N469">
            <v>-15.159000000000001</v>
          </cell>
        </row>
        <row r="470">
          <cell r="N470">
            <v>-42.249000000000002</v>
          </cell>
        </row>
        <row r="471">
          <cell r="N471">
            <v>-48.478999999999999</v>
          </cell>
        </row>
        <row r="472">
          <cell r="N472">
            <v>-77.78</v>
          </cell>
        </row>
        <row r="473">
          <cell r="N473">
            <v>-51.048000000000002</v>
          </cell>
        </row>
        <row r="474">
          <cell r="N474">
            <v>-10.558</v>
          </cell>
        </row>
        <row r="475">
          <cell r="N475">
            <v>-4.4370000000000003</v>
          </cell>
        </row>
        <row r="476">
          <cell r="N476">
            <v>-11.881</v>
          </cell>
        </row>
        <row r="477">
          <cell r="N477">
            <v>-45.481000000000002</v>
          </cell>
        </row>
        <row r="478">
          <cell r="N478">
            <v>-9.5679999999999996</v>
          </cell>
        </row>
        <row r="479">
          <cell r="N479">
            <v>-4.9749999999999996</v>
          </cell>
        </row>
        <row r="480">
          <cell r="N480">
            <v>-15.066000000000001</v>
          </cell>
        </row>
        <row r="481">
          <cell r="N481">
            <v>-10.348000000000001</v>
          </cell>
        </row>
        <row r="482">
          <cell r="N482">
            <v>-13.231999999999999</v>
          </cell>
        </row>
        <row r="483">
          <cell r="N483">
            <v>-46.106000000000002</v>
          </cell>
        </row>
        <row r="484">
          <cell r="N484">
            <v>-13.888999999999999</v>
          </cell>
        </row>
        <row r="485">
          <cell r="N485">
            <v>-18.141999999999999</v>
          </cell>
        </row>
        <row r="486">
          <cell r="N486">
            <v>-22.661000000000001</v>
          </cell>
        </row>
        <row r="487">
          <cell r="N487">
            <v>-46.262999999999998</v>
          </cell>
        </row>
        <row r="488">
          <cell r="N488">
            <v>-2.7949999999999999</v>
          </cell>
        </row>
        <row r="489">
          <cell r="N489">
            <v>-51.228999999999999</v>
          </cell>
        </row>
        <row r="490">
          <cell r="N490">
            <v>-18.66</v>
          </cell>
        </row>
        <row r="491">
          <cell r="N491">
            <v>-15.523</v>
          </cell>
        </row>
        <row r="492">
          <cell r="N492">
            <v>-42.198999999999998</v>
          </cell>
        </row>
        <row r="493">
          <cell r="N493">
            <v>-40.412999999999997</v>
          </cell>
        </row>
        <row r="494">
          <cell r="N494">
            <v>-15.199</v>
          </cell>
        </row>
        <row r="495">
          <cell r="N495">
            <v>-37.151000000000003</v>
          </cell>
        </row>
        <row r="496">
          <cell r="N496">
            <v>-37.381999999999998</v>
          </cell>
        </row>
        <row r="497">
          <cell r="N497">
            <v>-21.251999999999999</v>
          </cell>
        </row>
        <row r="498">
          <cell r="N498">
            <v>-1.4999999999999999E-2</v>
          </cell>
        </row>
        <row r="499">
          <cell r="N499">
            <v>-13.526</v>
          </cell>
        </row>
        <row r="500">
          <cell r="N500">
            <v>-5.5810000000000004</v>
          </cell>
        </row>
        <row r="501">
          <cell r="N501">
            <v>-15.377000000000001</v>
          </cell>
        </row>
        <row r="502">
          <cell r="N502">
            <v>-29.670999999999999</v>
          </cell>
        </row>
        <row r="503">
          <cell r="N503">
            <v>-47.41</v>
          </cell>
        </row>
        <row r="504">
          <cell r="N504">
            <v>-13.638999999999999</v>
          </cell>
        </row>
        <row r="505">
          <cell r="N505">
            <v>-47.866999999999997</v>
          </cell>
        </row>
        <row r="506">
          <cell r="N506">
            <v>-56.95</v>
          </cell>
        </row>
        <row r="507">
          <cell r="N507">
            <v>-12.417999999999999</v>
          </cell>
        </row>
        <row r="508">
          <cell r="N508">
            <v>-12.066000000000001</v>
          </cell>
        </row>
        <row r="509">
          <cell r="N509">
            <v>-5.28</v>
          </cell>
        </row>
        <row r="510">
          <cell r="N510">
            <v>-42.158999999999999</v>
          </cell>
        </row>
        <row r="511">
          <cell r="N511">
            <v>-4.8680000000000003</v>
          </cell>
        </row>
        <row r="512">
          <cell r="N512">
            <v>-20.462</v>
          </cell>
        </row>
        <row r="513">
          <cell r="N513">
            <v>-4.2160000000000002</v>
          </cell>
        </row>
        <row r="514">
          <cell r="N514">
            <v>-48.649000000000001</v>
          </cell>
        </row>
        <row r="515">
          <cell r="N515">
            <v>-54.643999999999998</v>
          </cell>
        </row>
        <row r="516">
          <cell r="N516">
            <v>-14.161</v>
          </cell>
        </row>
        <row r="517">
          <cell r="N517">
            <v>-9.8780000000000001</v>
          </cell>
        </row>
        <row r="518">
          <cell r="N518">
            <v>-25.76</v>
          </cell>
        </row>
        <row r="519">
          <cell r="N519">
            <v>-14.859</v>
          </cell>
        </row>
        <row r="520">
          <cell r="N520">
            <v>-3.9350000000000001</v>
          </cell>
        </row>
        <row r="521">
          <cell r="N521">
            <v>-3.1850000000000001</v>
          </cell>
        </row>
        <row r="522">
          <cell r="N522">
            <v>-45.35</v>
          </cell>
        </row>
        <row r="523">
          <cell r="N523">
            <v>-17.314</v>
          </cell>
        </row>
        <row r="524">
          <cell r="N524">
            <v>-60.162999999999997</v>
          </cell>
        </row>
        <row r="525">
          <cell r="N525">
            <v>-38.549999999999997</v>
          </cell>
        </row>
        <row r="526">
          <cell r="N526">
            <v>-65.483000000000004</v>
          </cell>
        </row>
        <row r="527">
          <cell r="N527">
            <v>-13.083</v>
          </cell>
        </row>
        <row r="528">
          <cell r="N528">
            <v>-48.606999999999999</v>
          </cell>
        </row>
        <row r="529">
          <cell r="N529">
            <v>-12.689</v>
          </cell>
        </row>
        <row r="530">
          <cell r="N530">
            <v>-13.343999999999999</v>
          </cell>
        </row>
        <row r="531">
          <cell r="N531">
            <v>-50.871000000000002</v>
          </cell>
        </row>
        <row r="532">
          <cell r="N532">
            <v>-13.459</v>
          </cell>
        </row>
        <row r="533">
          <cell r="N533">
            <v>-50.515999999999998</v>
          </cell>
        </row>
        <row r="534">
          <cell r="N534">
            <v>-6.4009999999999998</v>
          </cell>
        </row>
        <row r="535">
          <cell r="N535">
            <v>-22.318000000000001</v>
          </cell>
        </row>
        <row r="536">
          <cell r="N536">
            <v>-15.204000000000001</v>
          </cell>
        </row>
        <row r="537">
          <cell r="N537">
            <v>-2E-3</v>
          </cell>
        </row>
        <row r="538">
          <cell r="N538">
            <v>-43.603999999999999</v>
          </cell>
        </row>
        <row r="539">
          <cell r="N539">
            <v>-4.3170000000000002</v>
          </cell>
        </row>
        <row r="540">
          <cell r="N540">
            <v>-50.723999999999997</v>
          </cell>
        </row>
        <row r="541">
          <cell r="N541">
            <v>-14.734999999999999</v>
          </cell>
        </row>
        <row r="542">
          <cell r="N542">
            <v>-46.575000000000003</v>
          </cell>
        </row>
        <row r="543">
          <cell r="N543">
            <v>-46.08</v>
          </cell>
        </row>
        <row r="544">
          <cell r="N544">
            <v>-71.87</v>
          </cell>
        </row>
        <row r="545">
          <cell r="N545">
            <v>-13.247</v>
          </cell>
        </row>
        <row r="546">
          <cell r="N546">
            <v>-43.070999999999998</v>
          </cell>
        </row>
        <row r="547">
          <cell r="N547">
            <v>-44.231000000000002</v>
          </cell>
        </row>
        <row r="548">
          <cell r="N548">
            <v>-45.866</v>
          </cell>
        </row>
        <row r="549">
          <cell r="N549">
            <v>-21.347000000000001</v>
          </cell>
        </row>
        <row r="550">
          <cell r="N550">
            <v>-37.301000000000002</v>
          </cell>
        </row>
        <row r="551">
          <cell r="N551">
            <v>-11.621</v>
          </cell>
        </row>
        <row r="552">
          <cell r="N552">
            <v>-14.138</v>
          </cell>
        </row>
        <row r="553">
          <cell r="N553">
            <v>-38.679000000000002</v>
          </cell>
        </row>
        <row r="554">
          <cell r="N554">
            <v>-22.687999999999999</v>
          </cell>
        </row>
        <row r="555">
          <cell r="N555">
            <v>-53.521000000000001</v>
          </cell>
        </row>
        <row r="556">
          <cell r="N556">
            <v>-49.856999999999999</v>
          </cell>
        </row>
        <row r="557">
          <cell r="N557">
            <v>-41.47</v>
          </cell>
        </row>
        <row r="558">
          <cell r="N558">
            <v>-39.698</v>
          </cell>
        </row>
        <row r="559">
          <cell r="N559">
            <v>-34.939</v>
          </cell>
        </row>
        <row r="560">
          <cell r="N560">
            <v>-30.58</v>
          </cell>
        </row>
        <row r="561">
          <cell r="N561">
            <v>-7</v>
          </cell>
        </row>
        <row r="562">
          <cell r="N562">
            <v>-7</v>
          </cell>
        </row>
        <row r="563">
          <cell r="N563">
            <v>-7</v>
          </cell>
        </row>
        <row r="564">
          <cell r="N564">
            <v>-39.710999999999999</v>
          </cell>
        </row>
        <row r="565">
          <cell r="N565">
            <v>-37.991999999999997</v>
          </cell>
        </row>
        <row r="566">
          <cell r="N566">
            <v>-15.723000000000001</v>
          </cell>
        </row>
        <row r="567">
          <cell r="N567">
            <v>-15.494999999999999</v>
          </cell>
        </row>
        <row r="568">
          <cell r="N568">
            <v>-45.99</v>
          </cell>
        </row>
        <row r="569">
          <cell r="N569">
            <v>-9.5139999999999993</v>
          </cell>
        </row>
        <row r="570">
          <cell r="N570">
            <v>-15.244</v>
          </cell>
        </row>
        <row r="571">
          <cell r="N571">
            <v>-13.585000000000001</v>
          </cell>
        </row>
        <row r="572">
          <cell r="N572">
            <v>-18.297999999999998</v>
          </cell>
        </row>
        <row r="573">
          <cell r="N573">
            <v>-12.762</v>
          </cell>
        </row>
        <row r="574">
          <cell r="N574">
            <v>-44.231000000000002</v>
          </cell>
        </row>
        <row r="575">
          <cell r="N575">
            <v>-44.747999999999998</v>
          </cell>
        </row>
        <row r="576">
          <cell r="N576">
            <v>-5.0880000000000001</v>
          </cell>
        </row>
        <row r="577">
          <cell r="N577">
            <v>-53.326000000000001</v>
          </cell>
        </row>
        <row r="578">
          <cell r="N578">
            <v>-15.494999999999999</v>
          </cell>
        </row>
        <row r="579">
          <cell r="N579">
            <v>-9.843</v>
          </cell>
        </row>
        <row r="580">
          <cell r="N580">
            <v>-16.850999999999999</v>
          </cell>
        </row>
        <row r="581">
          <cell r="N581">
            <v>-13.753</v>
          </cell>
        </row>
        <row r="582">
          <cell r="N582">
            <v>-3.085</v>
          </cell>
        </row>
        <row r="583">
          <cell r="N583">
            <v>-44.075000000000003</v>
          </cell>
        </row>
        <row r="584">
          <cell r="N584">
            <v>-12.798999999999999</v>
          </cell>
        </row>
        <row r="585">
          <cell r="N585">
            <v>-45.354999999999997</v>
          </cell>
        </row>
        <row r="586">
          <cell r="N586">
            <v>-12.689</v>
          </cell>
        </row>
        <row r="587">
          <cell r="N587">
            <v>-35.683999999999997</v>
          </cell>
        </row>
        <row r="588">
          <cell r="N588">
            <v>-59.734000000000002</v>
          </cell>
        </row>
        <row r="589">
          <cell r="N589">
            <v>-63.914999999999999</v>
          </cell>
        </row>
        <row r="590">
          <cell r="N590">
            <v>-3.2749999999999999</v>
          </cell>
        </row>
        <row r="591">
          <cell r="N591">
            <v>-32.094000000000001</v>
          </cell>
        </row>
        <row r="592">
          <cell r="N592">
            <v>-2.3730000000000002</v>
          </cell>
        </row>
        <row r="593">
          <cell r="N593">
            <v>-4.407</v>
          </cell>
        </row>
        <row r="594">
          <cell r="N594">
            <v>-43.186</v>
          </cell>
        </row>
        <row r="595">
          <cell r="N595">
            <v>-0.75900000000000001</v>
          </cell>
        </row>
        <row r="596">
          <cell r="N596">
            <v>-42.942</v>
          </cell>
        </row>
        <row r="597">
          <cell r="N597">
            <v>-10.039999999999999</v>
          </cell>
        </row>
        <row r="598">
          <cell r="N598">
            <v>-15.775</v>
          </cell>
        </row>
        <row r="599">
          <cell r="N599">
            <v>-36.17</v>
          </cell>
        </row>
        <row r="600">
          <cell r="N600">
            <v>-6.0999999999999999E-2</v>
          </cell>
        </row>
        <row r="601">
          <cell r="N601">
            <v>-19.053999999999998</v>
          </cell>
        </row>
        <row r="602">
          <cell r="N602">
            <v>-20.337</v>
          </cell>
        </row>
        <row r="603">
          <cell r="N603">
            <v>-18.399999999999999</v>
          </cell>
        </row>
        <row r="604">
          <cell r="N604">
            <v>-5.1589999999999998</v>
          </cell>
        </row>
        <row r="605">
          <cell r="N605">
            <v>-14.643000000000001</v>
          </cell>
        </row>
        <row r="606">
          <cell r="N606">
            <v>-40.302</v>
          </cell>
        </row>
        <row r="607">
          <cell r="N607">
            <v>-3.3780000000000001</v>
          </cell>
        </row>
        <row r="608">
          <cell r="N608">
            <v>-4.6779999999999999</v>
          </cell>
        </row>
        <row r="609">
          <cell r="N609">
            <v>-14.271000000000001</v>
          </cell>
        </row>
        <row r="610">
          <cell r="N610">
            <v>-35.069000000000003</v>
          </cell>
        </row>
        <row r="611">
          <cell r="N611">
            <v>-18.876999999999999</v>
          </cell>
        </row>
        <row r="612">
          <cell r="N612">
            <v>-18.966000000000001</v>
          </cell>
        </row>
        <row r="613">
          <cell r="N613">
            <v>-70.924000000000007</v>
          </cell>
        </row>
        <row r="614">
          <cell r="N614">
            <v>-43.866</v>
          </cell>
        </row>
        <row r="615">
          <cell r="N615">
            <v>-19.562000000000001</v>
          </cell>
        </row>
        <row r="616">
          <cell r="N616">
            <v>-58.793999999999997</v>
          </cell>
        </row>
        <row r="617">
          <cell r="N617">
            <v>-43.780999999999999</v>
          </cell>
        </row>
        <row r="618">
          <cell r="N618">
            <v>-43.292999999999999</v>
          </cell>
        </row>
        <row r="619">
          <cell r="N619">
            <v>-42.249000000000002</v>
          </cell>
        </row>
        <row r="620">
          <cell r="N620">
            <v>-5.0289999999999999</v>
          </cell>
        </row>
        <row r="621">
          <cell r="N621">
            <v>-8.6850000000000005</v>
          </cell>
        </row>
        <row r="622">
          <cell r="N622">
            <v>-40.941000000000003</v>
          </cell>
        </row>
        <row r="623">
          <cell r="N623">
            <v>-22.466999999999999</v>
          </cell>
        </row>
        <row r="624">
          <cell r="N624">
            <v>-10.076000000000001</v>
          </cell>
        </row>
        <row r="625">
          <cell r="N625">
            <v>-23.436</v>
          </cell>
        </row>
        <row r="626">
          <cell r="N626">
            <v>-42.707999999999998</v>
          </cell>
        </row>
        <row r="627">
          <cell r="N627">
            <v>-43.298999999999999</v>
          </cell>
        </row>
        <row r="628">
          <cell r="N628">
            <v>-35.165999999999997</v>
          </cell>
        </row>
        <row r="629">
          <cell r="N629">
            <v>-45.375999999999998</v>
          </cell>
        </row>
        <row r="630">
          <cell r="N630">
            <v>-48.88</v>
          </cell>
        </row>
        <row r="631">
          <cell r="N631">
            <v>-16.931999999999999</v>
          </cell>
        </row>
        <row r="632">
          <cell r="N632">
            <v>-43.414999999999999</v>
          </cell>
        </row>
        <row r="633">
          <cell r="N633">
            <v>-10.997</v>
          </cell>
        </row>
        <row r="634">
          <cell r="N634">
            <v>-14.34</v>
          </cell>
        </row>
        <row r="635">
          <cell r="N635">
            <v>-32.548000000000002</v>
          </cell>
        </row>
        <row r="636">
          <cell r="N636">
            <v>-14.18</v>
          </cell>
        </row>
        <row r="637">
          <cell r="N637">
            <v>-40.768000000000001</v>
          </cell>
        </row>
        <row r="638">
          <cell r="N638">
            <v>-51.731000000000002</v>
          </cell>
        </row>
        <row r="639">
          <cell r="N639">
            <v>-39.195</v>
          </cell>
        </row>
        <row r="640">
          <cell r="N640">
            <v>-17.314</v>
          </cell>
        </row>
        <row r="641">
          <cell r="N641">
            <v>-14.861000000000001</v>
          </cell>
        </row>
        <row r="642">
          <cell r="N642">
            <v>-44.457000000000001</v>
          </cell>
        </row>
        <row r="643">
          <cell r="N643">
            <v>-13.574999999999999</v>
          </cell>
        </row>
        <row r="644">
          <cell r="N644">
            <v>-45.779000000000003</v>
          </cell>
        </row>
        <row r="645">
          <cell r="N645">
            <v>-45.122</v>
          </cell>
        </row>
        <row r="646">
          <cell r="N646">
            <v>-9.5679999999999996</v>
          </cell>
        </row>
        <row r="647">
          <cell r="N647">
            <v>-52.643999999999998</v>
          </cell>
        </row>
        <row r="648">
          <cell r="N648">
            <v>-19.367999999999999</v>
          </cell>
        </row>
        <row r="649">
          <cell r="N649">
            <v>-51.487000000000002</v>
          </cell>
        </row>
        <row r="650">
          <cell r="N650">
            <v>-162</v>
          </cell>
        </row>
        <row r="651">
          <cell r="N651">
            <v>-288</v>
          </cell>
        </row>
        <row r="652">
          <cell r="N652">
            <v>-7</v>
          </cell>
        </row>
        <row r="653">
          <cell r="N653">
            <v>-14.467000000000001</v>
          </cell>
        </row>
        <row r="654">
          <cell r="N654">
            <v>-13.835000000000001</v>
          </cell>
        </row>
        <row r="655">
          <cell r="N655">
            <v>-32.630000000000003</v>
          </cell>
        </row>
        <row r="656">
          <cell r="N656">
            <v>-2.3439999999999999</v>
          </cell>
        </row>
        <row r="657">
          <cell r="N657">
            <v>-42.576999999999998</v>
          </cell>
        </row>
        <row r="658">
          <cell r="N658">
            <v>-40.058999999999997</v>
          </cell>
        </row>
        <row r="659">
          <cell r="N659">
            <v>-32.978000000000002</v>
          </cell>
        </row>
        <row r="660">
          <cell r="N660">
            <v>-9.5679999999999996</v>
          </cell>
        </row>
        <row r="661">
          <cell r="N661">
            <v>-20.209</v>
          </cell>
        </row>
        <row r="662">
          <cell r="N662">
            <v>-50.161999999999999</v>
          </cell>
        </row>
        <row r="663">
          <cell r="N663">
            <v>-32.353000000000002</v>
          </cell>
        </row>
        <row r="664">
          <cell r="N664">
            <v>-43.298999999999999</v>
          </cell>
        </row>
        <row r="665">
          <cell r="N665">
            <v>-12.414</v>
          </cell>
        </row>
        <row r="666">
          <cell r="N666">
            <v>-4.6790000000000003</v>
          </cell>
        </row>
        <row r="667">
          <cell r="N667">
            <v>-43.292999999999999</v>
          </cell>
        </row>
        <row r="668">
          <cell r="N668">
            <v>-4.1340000000000003</v>
          </cell>
        </row>
        <row r="669">
          <cell r="N669">
            <v>-35.752000000000002</v>
          </cell>
        </row>
        <row r="670">
          <cell r="N670">
            <v>-35.4</v>
          </cell>
        </row>
        <row r="671">
          <cell r="N671">
            <v>-12.298</v>
          </cell>
        </row>
        <row r="672">
          <cell r="N672">
            <v>-41.932000000000002</v>
          </cell>
        </row>
        <row r="673">
          <cell r="N673">
            <v>-2.2440000000000002</v>
          </cell>
        </row>
        <row r="674">
          <cell r="N674">
            <v>-24.016999999999999</v>
          </cell>
        </row>
        <row r="675">
          <cell r="N675">
            <v>-10.79</v>
          </cell>
        </row>
        <row r="676">
          <cell r="N676">
            <v>-16.657</v>
          </cell>
        </row>
        <row r="677">
          <cell r="N677">
            <v>-22.855</v>
          </cell>
        </row>
        <row r="678">
          <cell r="N678">
            <v>-17.314</v>
          </cell>
        </row>
        <row r="679">
          <cell r="N679">
            <v>-29.52</v>
          </cell>
        </row>
        <row r="680">
          <cell r="N680">
            <v>-13.821999999999999</v>
          </cell>
        </row>
        <row r="681">
          <cell r="N681">
            <v>-46.930999999999997</v>
          </cell>
        </row>
        <row r="682">
          <cell r="N682">
            <v>-56.734999999999999</v>
          </cell>
        </row>
        <row r="683">
          <cell r="N683">
            <v>-73.930000000000007</v>
          </cell>
        </row>
        <row r="684">
          <cell r="N684">
            <v>-15.494999999999999</v>
          </cell>
        </row>
        <row r="685">
          <cell r="N685">
            <v>-8.7530000000000001</v>
          </cell>
        </row>
        <row r="686">
          <cell r="N686">
            <v>-54.412999999999997</v>
          </cell>
        </row>
        <row r="687">
          <cell r="N687">
            <v>-17.431999999999999</v>
          </cell>
        </row>
        <row r="688">
          <cell r="N688">
            <v>-15.811999999999999</v>
          </cell>
        </row>
        <row r="689">
          <cell r="N689">
            <v>-22.687999999999999</v>
          </cell>
        </row>
        <row r="690">
          <cell r="N690">
            <v>-11.066000000000001</v>
          </cell>
        </row>
        <row r="691">
          <cell r="N691">
            <v>-70.924000000000007</v>
          </cell>
        </row>
        <row r="692">
          <cell r="N692">
            <v>-61.984000000000002</v>
          </cell>
        </row>
        <row r="693">
          <cell r="N693">
            <v>-40.479999999999997</v>
          </cell>
        </row>
        <row r="694">
          <cell r="N694">
            <v>-35.585000000000001</v>
          </cell>
        </row>
        <row r="695">
          <cell r="N695">
            <v>-43.249000000000002</v>
          </cell>
        </row>
        <row r="696">
          <cell r="N696">
            <v>-49.11</v>
          </cell>
        </row>
        <row r="697">
          <cell r="N697">
            <v>-5.9039999999999999</v>
          </cell>
        </row>
        <row r="698">
          <cell r="N698">
            <v>-19.478999999999999</v>
          </cell>
        </row>
        <row r="699">
          <cell r="N699">
            <v>-34.21</v>
          </cell>
        </row>
        <row r="700">
          <cell r="N700">
            <v>-19.004999999999999</v>
          </cell>
        </row>
        <row r="701">
          <cell r="N701">
            <v>-1.6E-2</v>
          </cell>
        </row>
        <row r="702">
          <cell r="N702">
            <v>-15.723000000000001</v>
          </cell>
        </row>
        <row r="703">
          <cell r="N703">
            <v>-57.884</v>
          </cell>
        </row>
        <row r="704">
          <cell r="N704">
            <v>-43.664999999999999</v>
          </cell>
        </row>
        <row r="705">
          <cell r="N705">
            <v>-42.466999999999999</v>
          </cell>
        </row>
        <row r="706">
          <cell r="N706">
            <v>-43.345999999999997</v>
          </cell>
        </row>
        <row r="707">
          <cell r="N707">
            <v>-3.1909999999999998</v>
          </cell>
        </row>
        <row r="708">
          <cell r="N708">
            <v>-47.488</v>
          </cell>
        </row>
        <row r="709">
          <cell r="N709">
            <v>-298</v>
          </cell>
        </row>
        <row r="710">
          <cell r="N710">
            <v>-240</v>
          </cell>
        </row>
        <row r="711">
          <cell r="N711">
            <v>-8.5</v>
          </cell>
        </row>
        <row r="712">
          <cell r="N712">
            <v>-17.238</v>
          </cell>
        </row>
        <row r="713">
          <cell r="N713">
            <v>-12.35</v>
          </cell>
        </row>
        <row r="714">
          <cell r="N714">
            <v>-68.731999999999999</v>
          </cell>
        </row>
        <row r="715">
          <cell r="N715">
            <v>-45.637999999999998</v>
          </cell>
        </row>
        <row r="716">
          <cell r="N716">
            <v>-11.196</v>
          </cell>
        </row>
        <row r="717">
          <cell r="N717">
            <v>-18.701000000000001</v>
          </cell>
        </row>
        <row r="718">
          <cell r="N718">
            <v>-31.884</v>
          </cell>
        </row>
        <row r="719">
          <cell r="N719">
            <v>-58.984999999999999</v>
          </cell>
        </row>
        <row r="720">
          <cell r="N720">
            <v>-14.859</v>
          </cell>
        </row>
        <row r="721">
          <cell r="N721">
            <v>-13.111000000000001</v>
          </cell>
        </row>
        <row r="722">
          <cell r="N722">
            <v>-40.414999999999999</v>
          </cell>
        </row>
        <row r="723">
          <cell r="N723">
            <v>-4.5279999999999996</v>
          </cell>
        </row>
        <row r="724">
          <cell r="N724">
            <v>-27.863</v>
          </cell>
        </row>
        <row r="725">
          <cell r="N725">
            <v>-31.192</v>
          </cell>
        </row>
        <row r="726">
          <cell r="N726">
            <v>-37.088999999999999</v>
          </cell>
        </row>
        <row r="727">
          <cell r="N727">
            <v>-45.805999999999997</v>
          </cell>
        </row>
        <row r="728">
          <cell r="N728">
            <v>-10.789</v>
          </cell>
        </row>
        <row r="729">
          <cell r="N729">
            <v>-36.103999999999999</v>
          </cell>
        </row>
        <row r="730">
          <cell r="N730">
            <v>-20.068999999999999</v>
          </cell>
        </row>
        <row r="731">
          <cell r="N731">
            <v>-22.274000000000001</v>
          </cell>
        </row>
        <row r="732">
          <cell r="N732">
            <v>-43.387999999999998</v>
          </cell>
        </row>
        <row r="733">
          <cell r="N733">
            <v>-43.292999999999999</v>
          </cell>
        </row>
        <row r="734">
          <cell r="N734">
            <v>-36.573</v>
          </cell>
        </row>
        <row r="735">
          <cell r="N735">
            <v>-43.524000000000001</v>
          </cell>
        </row>
        <row r="736">
          <cell r="N736">
            <v>-54.238</v>
          </cell>
        </row>
        <row r="737">
          <cell r="N737">
            <v>-14.039</v>
          </cell>
        </row>
        <row r="738">
          <cell r="N738">
            <v>-17.431999999999999</v>
          </cell>
        </row>
        <row r="739">
          <cell r="N739">
            <v>-14.428000000000001</v>
          </cell>
        </row>
        <row r="740">
          <cell r="N740">
            <v>-17.117999999999999</v>
          </cell>
        </row>
        <row r="741">
          <cell r="N741">
            <v>-51.237000000000002</v>
          </cell>
        </row>
        <row r="742">
          <cell r="N742">
            <v>-37.040999999999997</v>
          </cell>
        </row>
        <row r="743">
          <cell r="N743">
            <v>-46.414999999999999</v>
          </cell>
        </row>
        <row r="744">
          <cell r="N744">
            <v>-0.88</v>
          </cell>
        </row>
        <row r="745">
          <cell r="N745">
            <v>-11.922000000000001</v>
          </cell>
        </row>
        <row r="746">
          <cell r="N746">
            <v>-42.843000000000004</v>
          </cell>
        </row>
        <row r="747">
          <cell r="N747">
            <v>-41.104999999999997</v>
          </cell>
        </row>
        <row r="748">
          <cell r="N748">
            <v>-39.386000000000003</v>
          </cell>
        </row>
        <row r="749">
          <cell r="N749">
            <v>-42.198999999999998</v>
          </cell>
        </row>
        <row r="750">
          <cell r="N750">
            <v>-54.238</v>
          </cell>
        </row>
        <row r="751">
          <cell r="N751">
            <v>-20.530999999999999</v>
          </cell>
        </row>
        <row r="752">
          <cell r="N752">
            <v>-32.082000000000001</v>
          </cell>
        </row>
        <row r="753">
          <cell r="N753">
            <v>-37.991999999999997</v>
          </cell>
        </row>
        <row r="754">
          <cell r="N754">
            <v>-80.703999999999994</v>
          </cell>
        </row>
        <row r="755">
          <cell r="N755">
            <v>-17.867000000000001</v>
          </cell>
        </row>
        <row r="756">
          <cell r="N756">
            <v>-52.485999999999997</v>
          </cell>
        </row>
        <row r="757">
          <cell r="N757">
            <v>-71.161000000000001</v>
          </cell>
        </row>
        <row r="758">
          <cell r="N758">
            <v>-48.667000000000002</v>
          </cell>
        </row>
        <row r="759">
          <cell r="N759">
            <v>-30</v>
          </cell>
        </row>
        <row r="760">
          <cell r="N760">
            <v>-18.297999999999998</v>
          </cell>
        </row>
        <row r="761">
          <cell r="N761">
            <v>-15.525</v>
          </cell>
        </row>
        <row r="762">
          <cell r="N762">
            <v>-18.314</v>
          </cell>
        </row>
        <row r="763">
          <cell r="N763">
            <v>-51.503</v>
          </cell>
        </row>
        <row r="764">
          <cell r="N764">
            <v>-10.993</v>
          </cell>
        </row>
        <row r="765">
          <cell r="N765">
            <v>-13.227</v>
          </cell>
        </row>
        <row r="766">
          <cell r="N766">
            <v>-16.248999999999999</v>
          </cell>
        </row>
        <row r="767">
          <cell r="N767">
            <v>-31.942</v>
          </cell>
        </row>
        <row r="768">
          <cell r="N768">
            <v>-11.372999999999999</v>
          </cell>
        </row>
        <row r="769">
          <cell r="N769">
            <v>-14.657</v>
          </cell>
        </row>
        <row r="770">
          <cell r="N770">
            <v>-14.039</v>
          </cell>
        </row>
        <row r="771">
          <cell r="N771">
            <v>-41.298999999999999</v>
          </cell>
        </row>
        <row r="772">
          <cell r="N772">
            <v>-43.292999999999999</v>
          </cell>
        </row>
        <row r="773">
          <cell r="N773">
            <v>-13.286</v>
          </cell>
        </row>
        <row r="774">
          <cell r="N774">
            <v>-21.498999999999999</v>
          </cell>
        </row>
        <row r="775">
          <cell r="N775">
            <v>-48.768000000000001</v>
          </cell>
        </row>
        <row r="776">
          <cell r="N776">
            <v>-162</v>
          </cell>
        </row>
        <row r="777">
          <cell r="N777">
            <v>-41.573999999999998</v>
          </cell>
        </row>
        <row r="778">
          <cell r="N778">
            <v>-63.482999999999997</v>
          </cell>
        </row>
        <row r="779">
          <cell r="N779">
            <v>-45.097000000000001</v>
          </cell>
        </row>
        <row r="780">
          <cell r="N780">
            <v>-22.855</v>
          </cell>
        </row>
        <row r="781">
          <cell r="N781">
            <v>-40.792000000000002</v>
          </cell>
        </row>
        <row r="782">
          <cell r="N782">
            <v>-21.885999999999999</v>
          </cell>
        </row>
        <row r="783">
          <cell r="N783">
            <v>-38.49</v>
          </cell>
        </row>
        <row r="784">
          <cell r="N784">
            <v>-30.477</v>
          </cell>
        </row>
        <row r="785">
          <cell r="N785">
            <v>-57.2</v>
          </cell>
        </row>
        <row r="786">
          <cell r="N786">
            <v>-46.945</v>
          </cell>
        </row>
        <row r="787">
          <cell r="N787">
            <v>-73.340999999999994</v>
          </cell>
        </row>
        <row r="788">
          <cell r="N788">
            <v>-9.9779999999999998</v>
          </cell>
        </row>
        <row r="789">
          <cell r="N789">
            <v>-40.414999999999999</v>
          </cell>
        </row>
        <row r="790">
          <cell r="N790">
            <v>-13.058999999999999</v>
          </cell>
        </row>
        <row r="791">
          <cell r="N791">
            <v>-8.8179999999999996</v>
          </cell>
        </row>
        <row r="792">
          <cell r="N792">
            <v>-40.052999999999997</v>
          </cell>
        </row>
        <row r="793">
          <cell r="N793">
            <v>-37.088999999999999</v>
          </cell>
        </row>
        <row r="794">
          <cell r="N794">
            <v>-11.117000000000001</v>
          </cell>
        </row>
        <row r="795">
          <cell r="N795">
            <v>-53.485999999999997</v>
          </cell>
        </row>
        <row r="796">
          <cell r="N796">
            <v>-41.73</v>
          </cell>
        </row>
        <row r="797">
          <cell r="N797">
            <v>-13.448</v>
          </cell>
        </row>
        <row r="798">
          <cell r="N798">
            <v>-17.818999999999999</v>
          </cell>
        </row>
        <row r="799">
          <cell r="N799">
            <v>-61.984000000000002</v>
          </cell>
        </row>
        <row r="800">
          <cell r="N800">
            <v>-45.234000000000002</v>
          </cell>
        </row>
        <row r="801">
          <cell r="N801">
            <v>-14.167999999999999</v>
          </cell>
        </row>
        <row r="802">
          <cell r="N802">
            <v>-48.103999999999999</v>
          </cell>
        </row>
        <row r="803">
          <cell r="N803">
            <v>-4.1879999999999997</v>
          </cell>
        </row>
        <row r="804">
          <cell r="N804">
            <v>-24.016999999999999</v>
          </cell>
        </row>
        <row r="805">
          <cell r="N805">
            <v>-45.325000000000003</v>
          </cell>
        </row>
        <row r="806">
          <cell r="N806">
            <v>-30.256</v>
          </cell>
        </row>
        <row r="807">
          <cell r="N807">
            <v>-47.597000000000001</v>
          </cell>
        </row>
        <row r="808">
          <cell r="N808">
            <v>-33.909999999999997</v>
          </cell>
        </row>
        <row r="809">
          <cell r="N809">
            <v>-13.728</v>
          </cell>
        </row>
        <row r="810">
          <cell r="N810">
            <v>-56.258000000000003</v>
          </cell>
        </row>
        <row r="811">
          <cell r="N811">
            <v>-43.058</v>
          </cell>
        </row>
        <row r="812">
          <cell r="N812">
            <v>-49.509</v>
          </cell>
        </row>
        <row r="813">
          <cell r="N813">
            <v>-44.7</v>
          </cell>
        </row>
        <row r="814">
          <cell r="N814">
            <v>-19.696999999999999</v>
          </cell>
        </row>
        <row r="815">
          <cell r="N815">
            <v>-12.977</v>
          </cell>
        </row>
        <row r="816">
          <cell r="N816">
            <v>-1.2E-2</v>
          </cell>
        </row>
        <row r="817">
          <cell r="N817">
            <v>-47.173000000000002</v>
          </cell>
        </row>
        <row r="818">
          <cell r="N818">
            <v>-14.387</v>
          </cell>
        </row>
        <row r="819">
          <cell r="N819">
            <v>-12.182</v>
          </cell>
        </row>
        <row r="820">
          <cell r="N820">
            <v>-53.722000000000001</v>
          </cell>
        </row>
        <row r="821">
          <cell r="N821">
            <v>-45.375999999999998</v>
          </cell>
        </row>
        <row r="822">
          <cell r="N822">
            <v>-40.954999999999998</v>
          </cell>
        </row>
        <row r="823">
          <cell r="N823">
            <v>-38.084000000000003</v>
          </cell>
        </row>
        <row r="824">
          <cell r="N824">
            <v>-40.143999999999998</v>
          </cell>
        </row>
        <row r="825">
          <cell r="N825">
            <v>-53.554000000000002</v>
          </cell>
        </row>
        <row r="826">
          <cell r="N826">
            <v>-38.917000000000002</v>
          </cell>
        </row>
        <row r="827">
          <cell r="N827">
            <v>-14.271000000000001</v>
          </cell>
        </row>
        <row r="828">
          <cell r="N828">
            <v>-9.9779999999999998</v>
          </cell>
        </row>
        <row r="829">
          <cell r="N829">
            <v>-45.325000000000003</v>
          </cell>
        </row>
        <row r="830">
          <cell r="N830">
            <v>-9.6839999999999993</v>
          </cell>
        </row>
        <row r="831">
          <cell r="N831">
            <v>-18.771000000000001</v>
          </cell>
        </row>
        <row r="832">
          <cell r="N832">
            <v>-15.301</v>
          </cell>
        </row>
        <row r="833">
          <cell r="N833">
            <v>-40.588000000000001</v>
          </cell>
        </row>
        <row r="834">
          <cell r="N834">
            <v>-13.994999999999999</v>
          </cell>
        </row>
        <row r="835">
          <cell r="N835">
            <v>-33.152999999999999</v>
          </cell>
        </row>
        <row r="836">
          <cell r="N836">
            <v>-15.083</v>
          </cell>
        </row>
        <row r="837">
          <cell r="N837">
            <v>-48.737000000000002</v>
          </cell>
        </row>
        <row r="838">
          <cell r="N838">
            <v>-9.1660000000000004</v>
          </cell>
        </row>
        <row r="839">
          <cell r="N839">
            <v>-40.549999999999997</v>
          </cell>
        </row>
        <row r="840">
          <cell r="N840">
            <v>-46.496000000000002</v>
          </cell>
        </row>
        <row r="841">
          <cell r="N841">
            <v>-40.323999999999998</v>
          </cell>
        </row>
        <row r="842">
          <cell r="N842">
            <v>-37.581000000000003</v>
          </cell>
        </row>
        <row r="843">
          <cell r="N843">
            <v>-21.498999999999999</v>
          </cell>
        </row>
        <row r="844">
          <cell r="N844">
            <v>-68.731999999999999</v>
          </cell>
        </row>
        <row r="845">
          <cell r="N845">
            <v>-43.448999999999998</v>
          </cell>
        </row>
        <row r="846">
          <cell r="N846">
            <v>-44.695999999999998</v>
          </cell>
        </row>
        <row r="847">
          <cell r="N847">
            <v>-13.752000000000001</v>
          </cell>
        </row>
        <row r="848">
          <cell r="N848">
            <v>-4.8730000000000002</v>
          </cell>
        </row>
        <row r="849">
          <cell r="N849">
            <v>-14.428000000000001</v>
          </cell>
        </row>
        <row r="850">
          <cell r="N850">
            <v>-39.073</v>
          </cell>
        </row>
        <row r="851">
          <cell r="N851">
            <v>-48.487000000000002</v>
          </cell>
        </row>
        <row r="852">
          <cell r="N852">
            <v>-45.097000000000001</v>
          </cell>
        </row>
        <row r="853">
          <cell r="N853">
            <v>-108</v>
          </cell>
        </row>
        <row r="854">
          <cell r="N854">
            <v>-3.57</v>
          </cell>
        </row>
        <row r="855">
          <cell r="N855">
            <v>-16.241</v>
          </cell>
        </row>
        <row r="856">
          <cell r="N856">
            <v>-52.414000000000001</v>
          </cell>
        </row>
        <row r="857">
          <cell r="N857">
            <v>-44.543999999999997</v>
          </cell>
        </row>
        <row r="858">
          <cell r="N858">
            <v>-39.835999999999999</v>
          </cell>
        </row>
        <row r="859">
          <cell r="N859">
            <v>-44.075000000000003</v>
          </cell>
        </row>
        <row r="860">
          <cell r="N860">
            <v>-59.484000000000002</v>
          </cell>
        </row>
        <row r="861">
          <cell r="N861">
            <v>-21.693000000000001</v>
          </cell>
        </row>
        <row r="862">
          <cell r="N862">
            <v>-12.994999999999999</v>
          </cell>
        </row>
        <row r="863">
          <cell r="N863">
            <v>-11.807</v>
          </cell>
        </row>
        <row r="864">
          <cell r="N864">
            <v>-53.485999999999997</v>
          </cell>
        </row>
        <row r="865">
          <cell r="N865">
            <v>-49.389000000000003</v>
          </cell>
        </row>
        <row r="866">
          <cell r="N866">
            <v>-12.214</v>
          </cell>
        </row>
        <row r="867">
          <cell r="N867">
            <v>-53.326000000000001</v>
          </cell>
        </row>
        <row r="868">
          <cell r="N868">
            <v>-6.8010000000000002</v>
          </cell>
        </row>
        <row r="869">
          <cell r="N869">
            <v>-9</v>
          </cell>
        </row>
        <row r="870">
          <cell r="N870">
            <v>-57.484999999999999</v>
          </cell>
        </row>
        <row r="871">
          <cell r="N871">
            <v>-19.524000000000001</v>
          </cell>
        </row>
        <row r="872">
          <cell r="N872">
            <v>-41.527000000000001</v>
          </cell>
        </row>
        <row r="873">
          <cell r="N873">
            <v>-100</v>
          </cell>
        </row>
        <row r="874">
          <cell r="N874">
            <v>-17.09</v>
          </cell>
        </row>
        <row r="875">
          <cell r="N875">
            <v>-13.192</v>
          </cell>
        </row>
        <row r="876">
          <cell r="N876">
            <v>-39.942</v>
          </cell>
        </row>
        <row r="877">
          <cell r="N877">
            <v>-40.011000000000003</v>
          </cell>
        </row>
        <row r="878">
          <cell r="N878">
            <v>-6.6340000000000003</v>
          </cell>
        </row>
        <row r="879">
          <cell r="N879">
            <v>-170.63800000000001</v>
          </cell>
        </row>
        <row r="880">
          <cell r="N880">
            <v>-22.661000000000001</v>
          </cell>
        </row>
        <row r="881">
          <cell r="N881">
            <v>-47.401000000000003</v>
          </cell>
        </row>
        <row r="882">
          <cell r="N882">
            <v>-8.7639999999999993</v>
          </cell>
        </row>
        <row r="883">
          <cell r="N883">
            <v>-440.74700000000001</v>
          </cell>
        </row>
        <row r="884">
          <cell r="N884">
            <v>-24.210999999999999</v>
          </cell>
        </row>
        <row r="885">
          <cell r="N885">
            <v>-39.229999999999997</v>
          </cell>
        </row>
        <row r="886">
          <cell r="N886">
            <v>-815.57899999999995</v>
          </cell>
        </row>
        <row r="887">
          <cell r="N887">
            <v>-29.187999999999999</v>
          </cell>
        </row>
        <row r="888">
          <cell r="N888">
            <v>-2000</v>
          </cell>
        </row>
        <row r="889">
          <cell r="N889">
            <v>-35.121000000000002</v>
          </cell>
        </row>
        <row r="890">
          <cell r="N890">
            <v>-54.692999999999998</v>
          </cell>
        </row>
        <row r="891">
          <cell r="N891">
            <v>-36.840000000000003</v>
          </cell>
        </row>
        <row r="892">
          <cell r="N892">
            <v>-10.442</v>
          </cell>
        </row>
        <row r="893">
          <cell r="N893">
            <v>-57.411000000000001</v>
          </cell>
        </row>
        <row r="894">
          <cell r="N894">
            <v>-48.996000000000002</v>
          </cell>
        </row>
        <row r="895">
          <cell r="N895">
            <v>-40.590000000000003</v>
          </cell>
        </row>
        <row r="896">
          <cell r="N896">
            <v>-42.354999999999997</v>
          </cell>
        </row>
        <row r="897">
          <cell r="N897">
            <v>-67.555999999999997</v>
          </cell>
        </row>
        <row r="898">
          <cell r="N898">
            <v>-10.586</v>
          </cell>
        </row>
        <row r="899">
          <cell r="N899">
            <v>-37.131999999999998</v>
          </cell>
        </row>
        <row r="900">
          <cell r="N900">
            <v>-11.95</v>
          </cell>
        </row>
        <row r="901">
          <cell r="N901">
            <v>-38.917000000000002</v>
          </cell>
        </row>
        <row r="902">
          <cell r="N902">
            <v>-13.558</v>
          </cell>
        </row>
        <row r="903">
          <cell r="N903">
            <v>-49.572000000000003</v>
          </cell>
        </row>
        <row r="904">
          <cell r="N904">
            <v>-40.792000000000002</v>
          </cell>
        </row>
        <row r="905">
          <cell r="N905">
            <v>-21</v>
          </cell>
        </row>
        <row r="906">
          <cell r="N906">
            <v>-49.223999999999997</v>
          </cell>
        </row>
        <row r="907">
          <cell r="N907">
            <v>-6.3810000000000002</v>
          </cell>
        </row>
        <row r="908">
          <cell r="N908">
            <v>-40.26</v>
          </cell>
        </row>
        <row r="909">
          <cell r="N909">
            <v>-60.984000000000002</v>
          </cell>
        </row>
        <row r="910">
          <cell r="N910">
            <v>-36.03</v>
          </cell>
        </row>
        <row r="911">
          <cell r="N911">
            <v>-49.109000000000002</v>
          </cell>
        </row>
        <row r="912">
          <cell r="N912">
            <v>-40.412999999999997</v>
          </cell>
        </row>
        <row r="913">
          <cell r="N913">
            <v>-30.256</v>
          </cell>
        </row>
        <row r="914">
          <cell r="N914">
            <v>-11.602</v>
          </cell>
        </row>
        <row r="915">
          <cell r="N915">
            <v>-15.199</v>
          </cell>
        </row>
        <row r="916">
          <cell r="N916">
            <v>-9.9749999999999996</v>
          </cell>
        </row>
        <row r="917">
          <cell r="N917">
            <v>-57.884</v>
          </cell>
        </row>
        <row r="918">
          <cell r="N918">
            <v>-38.761000000000003</v>
          </cell>
        </row>
        <row r="919">
          <cell r="N919">
            <v>-12.414</v>
          </cell>
        </row>
        <row r="920">
          <cell r="N920">
            <v>-53.235999999999997</v>
          </cell>
        </row>
        <row r="921">
          <cell r="N921">
            <v>-13.459</v>
          </cell>
        </row>
        <row r="922">
          <cell r="N922">
            <v>-2.0750000000000002</v>
          </cell>
        </row>
        <row r="923">
          <cell r="N923">
            <v>-53.985999999999997</v>
          </cell>
        </row>
        <row r="924">
          <cell r="N924">
            <v>-51.838999999999999</v>
          </cell>
        </row>
        <row r="925">
          <cell r="N925">
            <v>-20.614000000000001</v>
          </cell>
        </row>
        <row r="926">
          <cell r="N926">
            <v>-19.004999999999999</v>
          </cell>
        </row>
        <row r="927">
          <cell r="N927">
            <v>-158</v>
          </cell>
        </row>
        <row r="928">
          <cell r="N928">
            <v>-14.989000000000001</v>
          </cell>
        </row>
        <row r="929">
          <cell r="N929">
            <v>-46.414999999999999</v>
          </cell>
        </row>
        <row r="930">
          <cell r="N930">
            <v>-37.222999999999999</v>
          </cell>
        </row>
        <row r="931">
          <cell r="N931">
            <v>-10.586</v>
          </cell>
        </row>
        <row r="932">
          <cell r="N932">
            <v>-50.482999999999997</v>
          </cell>
        </row>
        <row r="933">
          <cell r="N933">
            <v>-19.292000000000002</v>
          </cell>
        </row>
        <row r="934">
          <cell r="N934">
            <v>-45.168999999999997</v>
          </cell>
        </row>
        <row r="935">
          <cell r="N935">
            <v>-27.401</v>
          </cell>
        </row>
        <row r="936">
          <cell r="N936">
            <v>-41.945999999999998</v>
          </cell>
        </row>
        <row r="937">
          <cell r="N937">
            <v>-53.722000000000001</v>
          </cell>
        </row>
        <row r="938">
          <cell r="N938">
            <v>-21.1</v>
          </cell>
        </row>
        <row r="939">
          <cell r="N939">
            <v>-3.8679999999999999</v>
          </cell>
        </row>
        <row r="940">
          <cell r="N940">
            <v>-66.861000000000004</v>
          </cell>
        </row>
        <row r="941">
          <cell r="N941">
            <v>-51.935000000000002</v>
          </cell>
        </row>
        <row r="942">
          <cell r="N942">
            <v>-56.95</v>
          </cell>
        </row>
        <row r="943">
          <cell r="N943">
            <v>-39.704000000000001</v>
          </cell>
        </row>
        <row r="944">
          <cell r="N944">
            <v>-38.335000000000001</v>
          </cell>
        </row>
        <row r="945">
          <cell r="N945">
            <v>-15.547000000000001</v>
          </cell>
        </row>
        <row r="946">
          <cell r="N946">
            <v>-42.512</v>
          </cell>
        </row>
        <row r="947">
          <cell r="N947">
            <v>-41.97</v>
          </cell>
        </row>
        <row r="948">
          <cell r="N948">
            <v>-21.943000000000001</v>
          </cell>
        </row>
        <row r="949">
          <cell r="N949">
            <v>-14.154999999999999</v>
          </cell>
        </row>
        <row r="950">
          <cell r="N950">
            <v>-53.985999999999997</v>
          </cell>
        </row>
        <row r="951">
          <cell r="N951">
            <v>-46.226999999999997</v>
          </cell>
        </row>
        <row r="952">
          <cell r="N952">
            <v>-23.18</v>
          </cell>
        </row>
        <row r="953">
          <cell r="N953">
            <v>-2.6539999999999999</v>
          </cell>
        </row>
        <row r="954">
          <cell r="N954">
            <v>-2.504</v>
          </cell>
        </row>
        <row r="955">
          <cell r="N955">
            <v>-43.137</v>
          </cell>
        </row>
        <row r="956">
          <cell r="N956">
            <v>-44.008000000000003</v>
          </cell>
        </row>
        <row r="957">
          <cell r="N957">
            <v>-44.868000000000002</v>
          </cell>
        </row>
        <row r="958">
          <cell r="N958">
            <v>-18.206</v>
          </cell>
        </row>
        <row r="959">
          <cell r="N959">
            <v>-45.908000000000001</v>
          </cell>
        </row>
        <row r="960">
          <cell r="N960">
            <v>-20.289000000000001</v>
          </cell>
        </row>
        <row r="961">
          <cell r="N961">
            <v>-15.083</v>
          </cell>
        </row>
        <row r="962">
          <cell r="N962">
            <v>-61.985999999999997</v>
          </cell>
        </row>
        <row r="963">
          <cell r="N963">
            <v>-13.558</v>
          </cell>
        </row>
        <row r="964">
          <cell r="N964">
            <v>-13.459</v>
          </cell>
        </row>
        <row r="965">
          <cell r="N965">
            <v>-50.987000000000002</v>
          </cell>
        </row>
        <row r="966">
          <cell r="N966">
            <v>-43.755000000000003</v>
          </cell>
        </row>
        <row r="967">
          <cell r="N967">
            <v>-7.1150000000000002</v>
          </cell>
        </row>
        <row r="968">
          <cell r="N968">
            <v>-15.083</v>
          </cell>
        </row>
        <row r="969">
          <cell r="N969">
            <v>-15.349</v>
          </cell>
        </row>
        <row r="970">
          <cell r="N970">
            <v>-13.477</v>
          </cell>
        </row>
        <row r="971">
          <cell r="N971">
            <v>-54.735999999999997</v>
          </cell>
        </row>
        <row r="972">
          <cell r="N972">
            <v>-53.485999999999997</v>
          </cell>
        </row>
        <row r="973">
          <cell r="N973">
            <v>-58.613999999999997</v>
          </cell>
        </row>
        <row r="974">
          <cell r="N974">
            <v>-5.6820000000000004</v>
          </cell>
        </row>
        <row r="975">
          <cell r="N975">
            <v>-34.031999999999996</v>
          </cell>
        </row>
        <row r="976">
          <cell r="N976">
            <v>-30.132999999999999</v>
          </cell>
        </row>
        <row r="977">
          <cell r="N977">
            <v>-11.486000000000001</v>
          </cell>
        </row>
        <row r="978">
          <cell r="N978">
            <v>-162</v>
          </cell>
        </row>
        <row r="979">
          <cell r="N979">
            <v>-15.077</v>
          </cell>
        </row>
        <row r="980">
          <cell r="N980">
            <v>-55.604999999999997</v>
          </cell>
        </row>
        <row r="981">
          <cell r="N981">
            <v>-96</v>
          </cell>
        </row>
        <row r="982">
          <cell r="N982">
            <v>-25</v>
          </cell>
        </row>
        <row r="983">
          <cell r="N983">
            <v>-9</v>
          </cell>
        </row>
        <row r="984">
          <cell r="N984">
            <v>-45.805999999999997</v>
          </cell>
        </row>
        <row r="985">
          <cell r="N985">
            <v>-628.87300000000005</v>
          </cell>
        </row>
        <row r="986">
          <cell r="N986">
            <v>-67.481999999999999</v>
          </cell>
        </row>
        <row r="987">
          <cell r="N987">
            <v>-39.386000000000003</v>
          </cell>
        </row>
        <row r="988">
          <cell r="N988">
            <v>-628.572</v>
          </cell>
        </row>
        <row r="989">
          <cell r="N989">
            <v>-100.873</v>
          </cell>
        </row>
        <row r="990">
          <cell r="N990">
            <v>-39.536000000000001</v>
          </cell>
        </row>
        <row r="991">
          <cell r="N991">
            <v>-46.844999999999999</v>
          </cell>
        </row>
        <row r="992">
          <cell r="N992">
            <v>-16.268999999999998</v>
          </cell>
        </row>
        <row r="993">
          <cell r="N993">
            <v>-42.198999999999998</v>
          </cell>
        </row>
        <row r="994">
          <cell r="N994">
            <v>-12.994999999999999</v>
          </cell>
        </row>
        <row r="995">
          <cell r="N995">
            <v>-13.231999999999999</v>
          </cell>
        </row>
        <row r="996">
          <cell r="N996">
            <v>-42.198999999999998</v>
          </cell>
        </row>
        <row r="997">
          <cell r="N997">
            <v>-10.997</v>
          </cell>
        </row>
        <row r="998">
          <cell r="N998">
            <v>-22.466999999999999</v>
          </cell>
        </row>
        <row r="999">
          <cell r="N999">
            <v>-49.338000000000001</v>
          </cell>
        </row>
        <row r="1000">
          <cell r="N1000">
            <v>-2.6539999999999999</v>
          </cell>
        </row>
        <row r="1001">
          <cell r="N1001">
            <v>-20.530999999999999</v>
          </cell>
        </row>
        <row r="1002">
          <cell r="N1002">
            <v>-36.484000000000002</v>
          </cell>
        </row>
        <row r="1003">
          <cell r="N1003">
            <v>-12.298</v>
          </cell>
        </row>
        <row r="1004">
          <cell r="N1004">
            <v>-5.7489999999999997</v>
          </cell>
        </row>
        <row r="1005">
          <cell r="N1005">
            <v>-14.851000000000001</v>
          </cell>
        </row>
        <row r="1006">
          <cell r="N1006">
            <v>-59.707000000000001</v>
          </cell>
        </row>
        <row r="1007">
          <cell r="N1007">
            <v>-50.338999999999999</v>
          </cell>
        </row>
        <row r="1008">
          <cell r="N1008">
            <v>-52.466000000000001</v>
          </cell>
        </row>
        <row r="1009">
          <cell r="N1009">
            <v>-2.7949999999999999</v>
          </cell>
        </row>
        <row r="1010">
          <cell r="N1010">
            <v>-16.931999999999999</v>
          </cell>
        </row>
        <row r="1011">
          <cell r="N1011">
            <v>-58.484999999999999</v>
          </cell>
        </row>
        <row r="1012">
          <cell r="N1012">
            <v>-2.4940000000000002</v>
          </cell>
        </row>
        <row r="1013">
          <cell r="N1013">
            <v>-13.691000000000001</v>
          </cell>
        </row>
        <row r="1014">
          <cell r="N1014">
            <v>-25.606000000000002</v>
          </cell>
        </row>
        <row r="1015">
          <cell r="N1015">
            <v>-19.058</v>
          </cell>
        </row>
        <row r="1016">
          <cell r="N1016">
            <v>-41.298999999999999</v>
          </cell>
        </row>
        <row r="1017">
          <cell r="N1017">
            <v>-54.643999999999998</v>
          </cell>
        </row>
        <row r="1018">
          <cell r="N1018">
            <v>-50.954999999999998</v>
          </cell>
        </row>
        <row r="1019">
          <cell r="N1019">
            <v>-43.606000000000002</v>
          </cell>
        </row>
        <row r="1020">
          <cell r="N1020">
            <v>-14.013999999999999</v>
          </cell>
        </row>
        <row r="1021">
          <cell r="N1021">
            <v>-18.594000000000001</v>
          </cell>
        </row>
        <row r="1022">
          <cell r="N1022">
            <v>-35.286000000000001</v>
          </cell>
        </row>
        <row r="1023">
          <cell r="N1023">
            <v>-42.981000000000002</v>
          </cell>
        </row>
        <row r="1024">
          <cell r="N1024">
            <v>-54.49</v>
          </cell>
        </row>
        <row r="1025">
          <cell r="N1025">
            <v>-16.949000000000002</v>
          </cell>
        </row>
        <row r="1026">
          <cell r="N1026">
            <v>-36.573</v>
          </cell>
        </row>
        <row r="1027">
          <cell r="N1027">
            <v>-53.781999999999996</v>
          </cell>
        </row>
        <row r="1028">
          <cell r="N1028">
            <v>-43.070999999999998</v>
          </cell>
        </row>
        <row r="1029">
          <cell r="N1029">
            <v>-36.374000000000002</v>
          </cell>
        </row>
        <row r="1030">
          <cell r="N1030">
            <v>-45.021999999999998</v>
          </cell>
        </row>
        <row r="1031">
          <cell r="N1031">
            <v>-35.634999999999998</v>
          </cell>
        </row>
        <row r="1032">
          <cell r="N1032">
            <v>-14.039</v>
          </cell>
        </row>
        <row r="1033">
          <cell r="N1033">
            <v>-14.686</v>
          </cell>
        </row>
        <row r="1034">
          <cell r="N1034">
            <v>-72.730999999999995</v>
          </cell>
        </row>
        <row r="1035">
          <cell r="N1035">
            <v>-15.882</v>
          </cell>
        </row>
        <row r="1036">
          <cell r="N1036">
            <v>-32.698999999999998</v>
          </cell>
        </row>
        <row r="1037">
          <cell r="N1037">
            <v>-43.781999999999996</v>
          </cell>
        </row>
        <row r="1038">
          <cell r="N1038">
            <v>-9.0500000000000007</v>
          </cell>
        </row>
        <row r="1039">
          <cell r="N1039">
            <v>-77</v>
          </cell>
        </row>
        <row r="1040">
          <cell r="N1040">
            <v>-298</v>
          </cell>
        </row>
        <row r="1041">
          <cell r="N1041">
            <v>-52.107999999999997</v>
          </cell>
        </row>
        <row r="1042">
          <cell r="N1042">
            <v>-16.850999999999999</v>
          </cell>
        </row>
        <row r="1043">
          <cell r="N1043">
            <v>-10.326000000000001</v>
          </cell>
        </row>
        <row r="1044">
          <cell r="N1044">
            <v>-36.273000000000003</v>
          </cell>
        </row>
        <row r="1045">
          <cell r="N1045">
            <v>-68.923000000000002</v>
          </cell>
        </row>
        <row r="1046">
          <cell r="N1046">
            <v>-55.984999999999999</v>
          </cell>
        </row>
        <row r="1047">
          <cell r="N1047">
            <v>-36.26</v>
          </cell>
        </row>
        <row r="1048">
          <cell r="N1048">
            <v>-37.040999999999997</v>
          </cell>
        </row>
        <row r="1049">
          <cell r="N1049">
            <v>-49.223999999999997</v>
          </cell>
        </row>
        <row r="1050">
          <cell r="N1050">
            <v>-11.948</v>
          </cell>
        </row>
        <row r="1051">
          <cell r="N1051">
            <v>-17.625</v>
          </cell>
        </row>
        <row r="1052">
          <cell r="N1052">
            <v>-12.994999999999999</v>
          </cell>
        </row>
        <row r="1053">
          <cell r="N1053">
            <v>-59.024999999999999</v>
          </cell>
        </row>
        <row r="1054">
          <cell r="N1054">
            <v>-40.792000000000002</v>
          </cell>
        </row>
        <row r="1055">
          <cell r="N1055">
            <v>-42.823999999999998</v>
          </cell>
        </row>
        <row r="1056">
          <cell r="N1056">
            <v>-64.233000000000004</v>
          </cell>
        </row>
        <row r="1057">
          <cell r="N1057">
            <v>-48.478000000000002</v>
          </cell>
        </row>
        <row r="1058">
          <cell r="N1058">
            <v>-50.064999999999998</v>
          </cell>
        </row>
        <row r="1059">
          <cell r="N1059">
            <v>-14.762</v>
          </cell>
        </row>
        <row r="1060">
          <cell r="N1060">
            <v>-13.111000000000001</v>
          </cell>
        </row>
        <row r="1061">
          <cell r="N1061">
            <v>-38.448</v>
          </cell>
        </row>
        <row r="1062">
          <cell r="N1062">
            <v>-15.55</v>
          </cell>
        </row>
        <row r="1063">
          <cell r="N1063">
            <v>-63.808999999999997</v>
          </cell>
        </row>
        <row r="1064">
          <cell r="N1064">
            <v>-45.578000000000003</v>
          </cell>
        </row>
        <row r="1065">
          <cell r="N1065">
            <v>-36.335999999999999</v>
          </cell>
        </row>
        <row r="1066">
          <cell r="N1066">
            <v>-71.480999999999995</v>
          </cell>
        </row>
        <row r="1067">
          <cell r="N1067">
            <v>-41.814</v>
          </cell>
        </row>
        <row r="1068">
          <cell r="N1068">
            <v>-48.88</v>
          </cell>
        </row>
        <row r="1069">
          <cell r="N1069">
            <v>-34.814999999999998</v>
          </cell>
        </row>
        <row r="1070">
          <cell r="N1070">
            <v>-26.524999999999999</v>
          </cell>
        </row>
        <row r="1071">
          <cell r="N1071">
            <v>-0.81399999999999995</v>
          </cell>
        </row>
        <row r="1072">
          <cell r="N1072">
            <v>-0.92800000000000005</v>
          </cell>
        </row>
        <row r="1073">
          <cell r="N1073">
            <v>-46.225000000000001</v>
          </cell>
        </row>
        <row r="1074">
          <cell r="N1074">
            <v>-38.134999999999998</v>
          </cell>
        </row>
        <row r="1075">
          <cell r="N1075">
            <v>-22.855</v>
          </cell>
        </row>
        <row r="1076">
          <cell r="N1076">
            <v>-20.724</v>
          </cell>
        </row>
        <row r="1077">
          <cell r="N1077">
            <v>-45.35</v>
          </cell>
        </row>
        <row r="1078">
          <cell r="N1078">
            <v>-15.779</v>
          </cell>
        </row>
        <row r="1079">
          <cell r="N1079">
            <v>-2.8050000000000002</v>
          </cell>
        </row>
        <row r="1080">
          <cell r="N1080">
            <v>-52.622999999999998</v>
          </cell>
        </row>
        <row r="1081">
          <cell r="N1081">
            <v>-41.085999999999999</v>
          </cell>
        </row>
        <row r="1082">
          <cell r="N1082">
            <v>-10.79</v>
          </cell>
        </row>
        <row r="1083">
          <cell r="N1083">
            <v>-35.585000000000001</v>
          </cell>
        </row>
        <row r="1084">
          <cell r="N1084">
            <v>-53.235999999999997</v>
          </cell>
        </row>
        <row r="1085">
          <cell r="N1085">
            <v>-43.762</v>
          </cell>
        </row>
        <row r="1086">
          <cell r="N1086">
            <v>-61.234000000000002</v>
          </cell>
        </row>
        <row r="1087">
          <cell r="N1087">
            <v>-13.172000000000001</v>
          </cell>
        </row>
        <row r="1088">
          <cell r="N1088">
            <v>-49.381</v>
          </cell>
        </row>
        <row r="1089">
          <cell r="N1089">
            <v>-18.66</v>
          </cell>
        </row>
        <row r="1090">
          <cell r="N1090">
            <v>-21.082000000000001</v>
          </cell>
        </row>
        <row r="1091">
          <cell r="N1091">
            <v>-15.199</v>
          </cell>
        </row>
        <row r="1092">
          <cell r="N1092">
            <v>-41.573999999999998</v>
          </cell>
        </row>
        <row r="1093">
          <cell r="N1093">
            <v>-14.539</v>
          </cell>
        </row>
        <row r="1094">
          <cell r="N1094">
            <v>-15.895</v>
          </cell>
        </row>
        <row r="1095">
          <cell r="N1095">
            <v>-48.085000000000001</v>
          </cell>
        </row>
        <row r="1096">
          <cell r="N1096">
            <v>-29.460999999999999</v>
          </cell>
        </row>
        <row r="1097">
          <cell r="N1097">
            <v>-36.03</v>
          </cell>
        </row>
        <row r="1098">
          <cell r="N1098">
            <v>-14.234</v>
          </cell>
        </row>
        <row r="1099">
          <cell r="N1099">
            <v>-18.074999999999999</v>
          </cell>
        </row>
        <row r="1100">
          <cell r="N1100">
            <v>-13.807</v>
          </cell>
        </row>
        <row r="1101">
          <cell r="N1101">
            <v>-2.194</v>
          </cell>
        </row>
        <row r="1102">
          <cell r="N1102">
            <v>-46.793999999999997</v>
          </cell>
        </row>
        <row r="1103">
          <cell r="N1103">
            <v>-8.6780000000000008</v>
          </cell>
        </row>
        <row r="1104">
          <cell r="N1104">
            <v>-15.723000000000001</v>
          </cell>
        </row>
        <row r="1105">
          <cell r="N1105">
            <v>-12.414</v>
          </cell>
        </row>
        <row r="1106">
          <cell r="N1106">
            <v>-45.021999999999998</v>
          </cell>
        </row>
        <row r="1107">
          <cell r="N1107">
            <v>-45.481999999999999</v>
          </cell>
        </row>
        <row r="1108">
          <cell r="N1108">
            <v>-2.6040000000000001</v>
          </cell>
        </row>
        <row r="1109">
          <cell r="N1109">
            <v>-1.482</v>
          </cell>
        </row>
        <row r="1110">
          <cell r="N1110">
            <v>-1.4930000000000001</v>
          </cell>
        </row>
        <row r="1111">
          <cell r="N1111">
            <v>-2.2309999999999999</v>
          </cell>
        </row>
        <row r="1112">
          <cell r="N1112">
            <v>-55.484999999999999</v>
          </cell>
        </row>
        <row r="1113">
          <cell r="N1113">
            <v>-4.1630000000000003</v>
          </cell>
        </row>
        <row r="1114">
          <cell r="N1114">
            <v>-5.2160000000000002</v>
          </cell>
        </row>
        <row r="1115">
          <cell r="N1115">
            <v>-7.7469999999999999</v>
          </cell>
        </row>
        <row r="1116">
          <cell r="N1116">
            <v>-7.827</v>
          </cell>
        </row>
        <row r="1117">
          <cell r="N1117">
            <v>-7.9349999999999996</v>
          </cell>
        </row>
        <row r="1118">
          <cell r="N1118">
            <v>-9.9320000000000004</v>
          </cell>
        </row>
        <row r="1119">
          <cell r="N1119">
            <v>-9.6920000000000002</v>
          </cell>
        </row>
        <row r="1120">
          <cell r="N1120">
            <v>-9.4770000000000003</v>
          </cell>
        </row>
        <row r="1121">
          <cell r="N1121">
            <v>-9.4550000000000001</v>
          </cell>
        </row>
        <row r="1122">
          <cell r="N1122">
            <v>-9.2720000000000002</v>
          </cell>
        </row>
        <row r="1123">
          <cell r="N1123">
            <v>-30.256</v>
          </cell>
        </row>
        <row r="1124">
          <cell r="N1124">
            <v>-9.2040000000000006</v>
          </cell>
        </row>
        <row r="1125">
          <cell r="N1125">
            <v>-8.5340000000000007</v>
          </cell>
        </row>
        <row r="1126">
          <cell r="N1126">
            <v>-36.26</v>
          </cell>
        </row>
        <row r="1127">
          <cell r="N1127">
            <v>-48.212000000000003</v>
          </cell>
        </row>
        <row r="1128">
          <cell r="N1128">
            <v>-1.022</v>
          </cell>
        </row>
        <row r="1129">
          <cell r="N1129">
            <v>-59.984000000000002</v>
          </cell>
        </row>
        <row r="1130">
          <cell r="N1130">
            <v>-8.8179999999999996</v>
          </cell>
        </row>
        <row r="1131">
          <cell r="N1131">
            <v>-3.0350000000000001</v>
          </cell>
        </row>
        <row r="1132">
          <cell r="N1132">
            <v>-40.954999999999998</v>
          </cell>
        </row>
        <row r="1133">
          <cell r="N1133">
            <v>-162</v>
          </cell>
        </row>
        <row r="1134">
          <cell r="N1134">
            <v>-81</v>
          </cell>
        </row>
        <row r="1135">
          <cell r="N1135">
            <v>-298</v>
          </cell>
        </row>
        <row r="1136">
          <cell r="N1136">
            <v>-298</v>
          </cell>
        </row>
        <row r="1137">
          <cell r="N1137">
            <v>-38.603999999999999</v>
          </cell>
        </row>
        <row r="1138">
          <cell r="N1138">
            <v>-7.4939999999999998</v>
          </cell>
        </row>
        <row r="1139">
          <cell r="N1139">
            <v>-49.076000000000001</v>
          </cell>
        </row>
        <row r="1140">
          <cell r="N1140">
            <v>-43.405999999999999</v>
          </cell>
        </row>
        <row r="1141">
          <cell r="N1141">
            <v>-56.289000000000001</v>
          </cell>
        </row>
        <row r="1142">
          <cell r="N1142">
            <v>-55.832999999999998</v>
          </cell>
        </row>
        <row r="1143">
          <cell r="N1143">
            <v>-56.484999999999999</v>
          </cell>
        </row>
        <row r="1144">
          <cell r="N1144">
            <v>-12.298</v>
          </cell>
        </row>
        <row r="1145">
          <cell r="N1145">
            <v>-47.447000000000003</v>
          </cell>
        </row>
        <row r="1146">
          <cell r="N1146">
            <v>-12.066000000000001</v>
          </cell>
        </row>
        <row r="1147">
          <cell r="N1147">
            <v>-19.178000000000001</v>
          </cell>
        </row>
        <row r="1148">
          <cell r="N1148">
            <v>-42.667999999999999</v>
          </cell>
        </row>
        <row r="1149">
          <cell r="N1149">
            <v>-52.735999999999997</v>
          </cell>
        </row>
        <row r="1150">
          <cell r="N1150">
            <v>-23.823</v>
          </cell>
        </row>
        <row r="1151">
          <cell r="N1151">
            <v>-3.1850000000000001</v>
          </cell>
        </row>
        <row r="1152">
          <cell r="N1152">
            <v>-31.975000000000001</v>
          </cell>
        </row>
        <row r="1153">
          <cell r="N1153">
            <v>-73.230999999999995</v>
          </cell>
        </row>
        <row r="1154">
          <cell r="N1154">
            <v>-3.9540000000000002</v>
          </cell>
        </row>
        <row r="1155">
          <cell r="N1155">
            <v>-60.265000000000001</v>
          </cell>
        </row>
        <row r="1156">
          <cell r="N1156">
            <v>-48.920999999999999</v>
          </cell>
        </row>
        <row r="1157">
          <cell r="N1157">
            <v>-14.039</v>
          </cell>
        </row>
        <row r="1158">
          <cell r="N1158">
            <v>-44.387</v>
          </cell>
        </row>
        <row r="1159">
          <cell r="N1159">
            <v>-23.242000000000001</v>
          </cell>
        </row>
        <row r="1160">
          <cell r="N1160">
            <v>-19.148</v>
          </cell>
        </row>
        <row r="1161">
          <cell r="N1161">
            <v>-56.542999999999999</v>
          </cell>
        </row>
        <row r="1162">
          <cell r="N1162">
            <v>-16.501000000000001</v>
          </cell>
        </row>
        <row r="1163">
          <cell r="N1163">
            <v>-45.012</v>
          </cell>
        </row>
        <row r="1164">
          <cell r="N1164">
            <v>-9.1660000000000004</v>
          </cell>
        </row>
        <row r="1165">
          <cell r="N1165">
            <v>-65.25</v>
          </cell>
        </row>
        <row r="1166">
          <cell r="N1166">
            <v>-63.866999999999997</v>
          </cell>
        </row>
        <row r="1167">
          <cell r="N1167">
            <v>-3.2149999999999999</v>
          </cell>
        </row>
        <row r="1168">
          <cell r="N1168">
            <v>-2.6949999999999998</v>
          </cell>
        </row>
        <row r="1169">
          <cell r="N1169">
            <v>-43.982999999999997</v>
          </cell>
        </row>
        <row r="1170">
          <cell r="N1170">
            <v>-29.065999999999999</v>
          </cell>
        </row>
        <row r="1171">
          <cell r="N1171">
            <v>-45.04</v>
          </cell>
        </row>
        <row r="1172">
          <cell r="N1172">
            <v>-43.386000000000003</v>
          </cell>
        </row>
        <row r="1173">
          <cell r="N1173">
            <v>-43.606000000000002</v>
          </cell>
        </row>
        <row r="1174">
          <cell r="N1174">
            <v>-40.479999999999997</v>
          </cell>
        </row>
        <row r="1175">
          <cell r="N1175">
            <v>-53.174999999999997</v>
          </cell>
        </row>
        <row r="1176">
          <cell r="N1176">
            <v>-13.477</v>
          </cell>
        </row>
        <row r="1177">
          <cell r="N1177">
            <v>-15.779</v>
          </cell>
        </row>
        <row r="1178">
          <cell r="N1178">
            <v>-18.373999999999999</v>
          </cell>
        </row>
        <row r="1179">
          <cell r="N1179">
            <v>-35.121000000000002</v>
          </cell>
        </row>
        <row r="1180">
          <cell r="N1180">
            <v>-45.805999999999997</v>
          </cell>
        </row>
        <row r="1181">
          <cell r="N1181">
            <v>-42.436</v>
          </cell>
        </row>
        <row r="1182">
          <cell r="N1182">
            <v>-12.53</v>
          </cell>
        </row>
        <row r="1183">
          <cell r="N1183">
            <v>-14.989000000000001</v>
          </cell>
        </row>
        <row r="1184">
          <cell r="N1184">
            <v>-62.442999999999998</v>
          </cell>
        </row>
        <row r="1185">
          <cell r="N1185">
            <v>-48.768000000000001</v>
          </cell>
        </row>
        <row r="1186">
          <cell r="N1186">
            <v>-54.412999999999997</v>
          </cell>
        </row>
        <row r="1187">
          <cell r="N1187">
            <v>-47.68</v>
          </cell>
        </row>
        <row r="1188">
          <cell r="N1188">
            <v>-59.255000000000003</v>
          </cell>
        </row>
        <row r="1189">
          <cell r="N1189">
            <v>-18.206</v>
          </cell>
        </row>
        <row r="1190">
          <cell r="N1190">
            <v>-16.827000000000002</v>
          </cell>
        </row>
        <row r="1191">
          <cell r="N1191">
            <v>-49.268000000000001</v>
          </cell>
        </row>
        <row r="1192">
          <cell r="N1192">
            <v>-38.238999999999997</v>
          </cell>
        </row>
        <row r="1193">
          <cell r="N1193">
            <v>-10.093999999999999</v>
          </cell>
        </row>
        <row r="1194">
          <cell r="N1194">
            <v>-40.167000000000002</v>
          </cell>
        </row>
        <row r="1195">
          <cell r="N1195">
            <v>-30.425000000000001</v>
          </cell>
        </row>
        <row r="1196">
          <cell r="N1196">
            <v>-4.8000000000000001E-2</v>
          </cell>
        </row>
        <row r="1197">
          <cell r="N1197">
            <v>-2.9249999999999998</v>
          </cell>
        </row>
        <row r="1198">
          <cell r="N1198">
            <v>-2.274</v>
          </cell>
        </row>
        <row r="1199">
          <cell r="N1199">
            <v>-22.466999999999999</v>
          </cell>
        </row>
        <row r="1200">
          <cell r="N1200">
            <v>-75.48</v>
          </cell>
        </row>
        <row r="1201">
          <cell r="N1201">
            <v>-56.72</v>
          </cell>
        </row>
        <row r="1202">
          <cell r="N1202">
            <v>-39.942</v>
          </cell>
        </row>
        <row r="1203">
          <cell r="N1203">
            <v>-2.9350000000000001</v>
          </cell>
        </row>
        <row r="1204">
          <cell r="N1204">
            <v>-0.11700000000000001</v>
          </cell>
        </row>
        <row r="1205">
          <cell r="N1205">
            <v>-47.619</v>
          </cell>
        </row>
        <row r="1206">
          <cell r="N1206">
            <v>-4.2590000000000003</v>
          </cell>
        </row>
        <row r="1207">
          <cell r="N1207">
            <v>-14.34</v>
          </cell>
        </row>
        <row r="1208">
          <cell r="N1208">
            <v>-8.9999999999999993E-3</v>
          </cell>
        </row>
        <row r="1209">
          <cell r="N1209">
            <v>-40.118000000000002</v>
          </cell>
        </row>
        <row r="1210">
          <cell r="N1210">
            <v>-44.078000000000003</v>
          </cell>
        </row>
        <row r="1211">
          <cell r="N1211">
            <v>-41.887</v>
          </cell>
        </row>
        <row r="1212">
          <cell r="N1212">
            <v>-34.213000000000001</v>
          </cell>
        </row>
        <row r="1213">
          <cell r="N1213">
            <v>-2.4E-2</v>
          </cell>
        </row>
        <row r="1214">
          <cell r="N1214">
            <v>-5.0000000000000001E-3</v>
          </cell>
        </row>
        <row r="1215">
          <cell r="N1215">
            <v>-63.125</v>
          </cell>
        </row>
        <row r="1216">
          <cell r="N1216">
            <v>-3.3000000000000002E-2</v>
          </cell>
        </row>
        <row r="1217">
          <cell r="N1217">
            <v>-13.638999999999999</v>
          </cell>
        </row>
        <row r="1218">
          <cell r="N1218">
            <v>-8.9999999999999993E-3</v>
          </cell>
        </row>
        <row r="1219">
          <cell r="N1219">
            <v>-5.0000000000000001E-3</v>
          </cell>
        </row>
        <row r="1220">
          <cell r="N1220">
            <v>-3.2210000000000001</v>
          </cell>
        </row>
        <row r="1221">
          <cell r="N1221">
            <v>-46.085000000000001</v>
          </cell>
        </row>
        <row r="1222">
          <cell r="N1222">
            <v>-3.0000000000000001E-3</v>
          </cell>
        </row>
        <row r="1223">
          <cell r="N1223">
            <v>-17.986999999999998</v>
          </cell>
        </row>
        <row r="1224">
          <cell r="N1224">
            <v>-6.0000000000000001E-3</v>
          </cell>
        </row>
        <row r="1225">
          <cell r="N1225">
            <v>-11.95</v>
          </cell>
        </row>
        <row r="1226">
          <cell r="N1226">
            <v>-40.636000000000003</v>
          </cell>
        </row>
        <row r="1227">
          <cell r="N1227">
            <v>-52.348999999999997</v>
          </cell>
        </row>
        <row r="1228">
          <cell r="N1228">
            <v>-15.032</v>
          </cell>
        </row>
        <row r="1229">
          <cell r="N1229">
            <v>-26.02</v>
          </cell>
        </row>
        <row r="1230">
          <cell r="N1230">
            <v>-53.235999999999997</v>
          </cell>
        </row>
        <row r="1231">
          <cell r="N1231">
            <v>-18.13</v>
          </cell>
        </row>
        <row r="1232">
          <cell r="N1232">
            <v>-12.785</v>
          </cell>
        </row>
        <row r="1233">
          <cell r="N1233">
            <v>-40.948999999999998</v>
          </cell>
        </row>
        <row r="1234">
          <cell r="N1234">
            <v>-600</v>
          </cell>
        </row>
        <row r="1235">
          <cell r="N1235">
            <v>-617.226</v>
          </cell>
        </row>
        <row r="1236">
          <cell r="N1236">
            <v>-16.242999999999999</v>
          </cell>
        </row>
        <row r="1237">
          <cell r="N1237">
            <v>-45.728000000000002</v>
          </cell>
        </row>
        <row r="1238">
          <cell r="N1238">
            <v>-22.855</v>
          </cell>
        </row>
        <row r="1239">
          <cell r="N1239">
            <v>-29.454000000000001</v>
          </cell>
        </row>
        <row r="1240">
          <cell r="N1240">
            <v>-19.148</v>
          </cell>
        </row>
        <row r="1241">
          <cell r="N1241">
            <v>-2.9049999999999998</v>
          </cell>
        </row>
        <row r="1242">
          <cell r="N1242">
            <v>-46.575000000000003</v>
          </cell>
        </row>
        <row r="1243">
          <cell r="N1243">
            <v>-41.887</v>
          </cell>
        </row>
        <row r="1244">
          <cell r="N1244">
            <v>-44.738</v>
          </cell>
        </row>
        <row r="1245">
          <cell r="N1245">
            <v>-2.895</v>
          </cell>
        </row>
        <row r="1246">
          <cell r="N1246">
            <v>-47.957999999999998</v>
          </cell>
        </row>
        <row r="1247">
          <cell r="N1247">
            <v>-36.9</v>
          </cell>
        </row>
        <row r="1248">
          <cell r="N1248">
            <v>-44.893999999999998</v>
          </cell>
        </row>
        <row r="1249">
          <cell r="N1249">
            <v>-12.879</v>
          </cell>
        </row>
        <row r="1250">
          <cell r="N1250">
            <v>-18.567</v>
          </cell>
        </row>
        <row r="1251">
          <cell r="N1251">
            <v>-54.466000000000001</v>
          </cell>
        </row>
        <row r="1252">
          <cell r="N1252">
            <v>-84.477999999999994</v>
          </cell>
        </row>
        <row r="1253">
          <cell r="N1253">
            <v>-298</v>
          </cell>
        </row>
        <row r="1254">
          <cell r="N1254">
            <v>-13.343</v>
          </cell>
        </row>
        <row r="1255">
          <cell r="N1255">
            <v>-298</v>
          </cell>
        </row>
        <row r="1256">
          <cell r="N1256">
            <v>-18.206</v>
          </cell>
        </row>
        <row r="1257">
          <cell r="N1257">
            <v>-298</v>
          </cell>
        </row>
        <row r="1258">
          <cell r="N1258">
            <v>-53.14</v>
          </cell>
        </row>
        <row r="1259">
          <cell r="N1259">
            <v>-2.5339999999999998</v>
          </cell>
        </row>
        <row r="1260">
          <cell r="N1260">
            <v>-5.7</v>
          </cell>
        </row>
        <row r="1261">
          <cell r="N1261">
            <v>-3.8119999999999998</v>
          </cell>
        </row>
        <row r="1262">
          <cell r="N1262">
            <v>-20.905999999999999</v>
          </cell>
        </row>
        <row r="1263">
          <cell r="N1263">
            <v>-39.542000000000002</v>
          </cell>
        </row>
        <row r="1264">
          <cell r="N1264">
            <v>-11.718</v>
          </cell>
        </row>
        <row r="1265">
          <cell r="N1265">
            <v>-61.073999999999998</v>
          </cell>
        </row>
        <row r="1266">
          <cell r="N1266">
            <v>-50.921999999999997</v>
          </cell>
        </row>
        <row r="1267">
          <cell r="N1267">
            <v>-2.835</v>
          </cell>
        </row>
        <row r="1268">
          <cell r="N1268">
            <v>-59.255000000000003</v>
          </cell>
        </row>
        <row r="1269">
          <cell r="N1269">
            <v>-2.8450000000000002</v>
          </cell>
        </row>
        <row r="1270">
          <cell r="N1270">
            <v>-5.6719999999999997</v>
          </cell>
        </row>
        <row r="1271">
          <cell r="N1271">
            <v>-23.823</v>
          </cell>
        </row>
        <row r="1272">
          <cell r="N1272">
            <v>-2.7850000000000001</v>
          </cell>
        </row>
        <row r="1273">
          <cell r="N1273">
            <v>-53.722000000000001</v>
          </cell>
        </row>
        <row r="1274">
          <cell r="N1274">
            <v>-18.832999999999998</v>
          </cell>
        </row>
        <row r="1275">
          <cell r="N1275">
            <v>-298</v>
          </cell>
        </row>
        <row r="1276">
          <cell r="N1276">
            <v>-16.440000000000001</v>
          </cell>
        </row>
        <row r="1277">
          <cell r="N1277">
            <v>-38.448</v>
          </cell>
        </row>
        <row r="1278">
          <cell r="N1278">
            <v>-42.981000000000002</v>
          </cell>
        </row>
        <row r="1279">
          <cell r="N1279">
            <v>-14.311999999999999</v>
          </cell>
        </row>
        <row r="1280">
          <cell r="N1280">
            <v>-2.3439999999999999</v>
          </cell>
        </row>
        <row r="1281">
          <cell r="N1281">
            <v>-11.138</v>
          </cell>
        </row>
        <row r="1282">
          <cell r="N1282">
            <v>-66.087999999999994</v>
          </cell>
        </row>
        <row r="1283">
          <cell r="N1283">
            <v>-11.718</v>
          </cell>
        </row>
        <row r="1284">
          <cell r="N1284">
            <v>-10.178000000000001</v>
          </cell>
        </row>
        <row r="1285">
          <cell r="N1285">
            <v>-54.01</v>
          </cell>
        </row>
        <row r="1286">
          <cell r="N1286">
            <v>-42.78</v>
          </cell>
        </row>
        <row r="1287">
          <cell r="N1287">
            <v>-39.386000000000003</v>
          </cell>
        </row>
        <row r="1288">
          <cell r="N1288">
            <v>-18.399999999999999</v>
          </cell>
        </row>
        <row r="1289">
          <cell r="N1289">
            <v>-10.586</v>
          </cell>
        </row>
        <row r="1290">
          <cell r="N1290">
            <v>-14.72</v>
          </cell>
        </row>
        <row r="1291">
          <cell r="N1291">
            <v>-100</v>
          </cell>
        </row>
        <row r="1292">
          <cell r="N1292">
            <v>-12.824999999999999</v>
          </cell>
        </row>
        <row r="1293">
          <cell r="N1293">
            <v>-14.513</v>
          </cell>
        </row>
        <row r="1294">
          <cell r="N1294">
            <v>-53.261000000000003</v>
          </cell>
        </row>
        <row r="1295">
          <cell r="N1295">
            <v>-60.845999999999997</v>
          </cell>
        </row>
        <row r="1296">
          <cell r="N1296">
            <v>-28.222000000000001</v>
          </cell>
        </row>
        <row r="1297">
          <cell r="N1297">
            <v>-15.723000000000001</v>
          </cell>
        </row>
        <row r="1298">
          <cell r="N1298">
            <v>-15.032</v>
          </cell>
        </row>
        <row r="1299">
          <cell r="N1299">
            <v>-1.7729999999999999</v>
          </cell>
        </row>
        <row r="1300">
          <cell r="N1300">
            <v>-12.182</v>
          </cell>
        </row>
        <row r="1301">
          <cell r="N1301">
            <v>-13.345000000000001</v>
          </cell>
        </row>
        <row r="1302">
          <cell r="N1302">
            <v>-60.408000000000001</v>
          </cell>
        </row>
        <row r="1303">
          <cell r="N1303">
            <v>-38.463000000000001</v>
          </cell>
        </row>
        <row r="1304">
          <cell r="N1304">
            <v>-51.744</v>
          </cell>
        </row>
        <row r="1305">
          <cell r="N1305">
            <v>-48.478000000000002</v>
          </cell>
        </row>
        <row r="1306">
          <cell r="N1306">
            <v>-162</v>
          </cell>
        </row>
        <row r="1307">
          <cell r="N1307">
            <v>-2.1840000000000002</v>
          </cell>
        </row>
        <row r="1308">
          <cell r="N1308">
            <v>-2.8149999999999999</v>
          </cell>
        </row>
        <row r="1309">
          <cell r="N1309">
            <v>-33.002000000000002</v>
          </cell>
        </row>
        <row r="1310">
          <cell r="N1310">
            <v>-37.978999999999999</v>
          </cell>
        </row>
        <row r="1311">
          <cell r="N1311">
            <v>-58.734999999999999</v>
          </cell>
        </row>
        <row r="1312">
          <cell r="N1312">
            <v>-38.761000000000003</v>
          </cell>
        </row>
        <row r="1313">
          <cell r="N1313">
            <v>-45.122</v>
          </cell>
        </row>
        <row r="1314">
          <cell r="N1314">
            <v>-42.354999999999997</v>
          </cell>
        </row>
        <row r="1315">
          <cell r="N1315">
            <v>-77.73</v>
          </cell>
        </row>
        <row r="1316">
          <cell r="N1316">
            <v>-65.483000000000004</v>
          </cell>
        </row>
        <row r="1317">
          <cell r="N1317">
            <v>-2.7450000000000001</v>
          </cell>
        </row>
        <row r="1318">
          <cell r="N1318">
            <v>-11.834</v>
          </cell>
        </row>
        <row r="1319">
          <cell r="N1319">
            <v>-14.526</v>
          </cell>
        </row>
        <row r="1320">
          <cell r="N1320">
            <v>-2.7149999999999999</v>
          </cell>
        </row>
        <row r="1321">
          <cell r="N1321">
            <v>-38.917000000000002</v>
          </cell>
        </row>
        <row r="1322">
          <cell r="N1322">
            <v>-23.823</v>
          </cell>
        </row>
        <row r="1323">
          <cell r="N1323">
            <v>-43.780999999999999</v>
          </cell>
        </row>
        <row r="1324">
          <cell r="N1324">
            <v>-2.7450000000000001</v>
          </cell>
        </row>
        <row r="1325">
          <cell r="N1325">
            <v>-58.484999999999999</v>
          </cell>
        </row>
        <row r="1326">
          <cell r="N1326">
            <v>-57.655999999999999</v>
          </cell>
        </row>
        <row r="1327">
          <cell r="N1327">
            <v>-44.008000000000003</v>
          </cell>
        </row>
        <row r="1328">
          <cell r="N1328">
            <v>-2.3740000000000001</v>
          </cell>
        </row>
        <row r="1329">
          <cell r="N1329">
            <v>-16.068000000000001</v>
          </cell>
        </row>
        <row r="1330">
          <cell r="N1330">
            <v>-29.852</v>
          </cell>
        </row>
        <row r="1331">
          <cell r="N1331">
            <v>-39.542000000000002</v>
          </cell>
        </row>
        <row r="1332">
          <cell r="N1332">
            <v>-298</v>
          </cell>
        </row>
        <row r="1333">
          <cell r="N1333">
            <v>-34.228000000000002</v>
          </cell>
        </row>
        <row r="1334">
          <cell r="N1334">
            <v>-35.322000000000003</v>
          </cell>
        </row>
        <row r="1335">
          <cell r="N1335">
            <v>-10.586</v>
          </cell>
        </row>
        <row r="1336">
          <cell r="N1336">
            <v>-38.448</v>
          </cell>
        </row>
        <row r="1337">
          <cell r="N1337">
            <v>-9.8620000000000001</v>
          </cell>
        </row>
        <row r="1338">
          <cell r="N1338">
            <v>-52.985999999999997</v>
          </cell>
        </row>
        <row r="1339">
          <cell r="N1339">
            <v>-3.2210000000000001</v>
          </cell>
        </row>
        <row r="1340">
          <cell r="N1340">
            <v>-40.235999999999997</v>
          </cell>
        </row>
        <row r="1341">
          <cell r="N1341">
            <v>-55.377000000000002</v>
          </cell>
        </row>
        <row r="1342">
          <cell r="N1342">
            <v>-48.994</v>
          </cell>
        </row>
        <row r="1343">
          <cell r="N1343">
            <v>-27.946999999999999</v>
          </cell>
        </row>
        <row r="1344">
          <cell r="N1344">
            <v>-59.234000000000002</v>
          </cell>
        </row>
        <row r="1345">
          <cell r="N1345">
            <v>-25.734999999999999</v>
          </cell>
        </row>
        <row r="1346">
          <cell r="N1346">
            <v>-17.105</v>
          </cell>
        </row>
        <row r="1347">
          <cell r="N1347">
            <v>-44.351999999999997</v>
          </cell>
        </row>
        <row r="1348">
          <cell r="N1348">
            <v>-53.235999999999997</v>
          </cell>
        </row>
        <row r="1349">
          <cell r="N1349">
            <v>-48.643000000000001</v>
          </cell>
        </row>
        <row r="1350">
          <cell r="N1350">
            <v>-20.724</v>
          </cell>
        </row>
        <row r="1351">
          <cell r="N1351">
            <v>-13.574999999999999</v>
          </cell>
        </row>
        <row r="1352">
          <cell r="N1352">
            <v>-2.3639999999999999</v>
          </cell>
        </row>
        <row r="1353">
          <cell r="N1353">
            <v>-18.66</v>
          </cell>
        </row>
        <row r="1354">
          <cell r="N1354">
            <v>-19.350999999999999</v>
          </cell>
        </row>
        <row r="1355">
          <cell r="N1355">
            <v>-27.672000000000001</v>
          </cell>
        </row>
        <row r="1356">
          <cell r="N1356">
            <v>-12.762</v>
          </cell>
        </row>
        <row r="1357">
          <cell r="N1357">
            <v>-15.675000000000001</v>
          </cell>
        </row>
        <row r="1358">
          <cell r="N1358">
            <v>-64.983000000000004</v>
          </cell>
        </row>
        <row r="1359">
          <cell r="N1359">
            <v>-42.354999999999997</v>
          </cell>
        </row>
        <row r="1360">
          <cell r="N1360">
            <v>-38.905999999999999</v>
          </cell>
        </row>
        <row r="1361">
          <cell r="N1361">
            <v>-37.51</v>
          </cell>
        </row>
        <row r="1362">
          <cell r="N1362">
            <v>-36.698</v>
          </cell>
        </row>
        <row r="1363">
          <cell r="N1363">
            <v>-39.698</v>
          </cell>
        </row>
        <row r="1364">
          <cell r="N1364">
            <v>-52.338000000000001</v>
          </cell>
        </row>
        <row r="1365">
          <cell r="N1365">
            <v>-59.947000000000003</v>
          </cell>
        </row>
        <row r="1366">
          <cell r="N1366">
            <v>-37.51</v>
          </cell>
        </row>
        <row r="1367">
          <cell r="N1367">
            <v>-56.366</v>
          </cell>
        </row>
        <row r="1368">
          <cell r="N1368">
            <v>-43.527000000000001</v>
          </cell>
        </row>
        <row r="1369">
          <cell r="N1369">
            <v>-81.478999999999999</v>
          </cell>
        </row>
        <row r="1370">
          <cell r="N1370">
            <v>-61.1</v>
          </cell>
        </row>
        <row r="1371">
          <cell r="N1371">
            <v>-47.274999999999999</v>
          </cell>
        </row>
        <row r="1372">
          <cell r="N1372">
            <v>-4.1870000000000003</v>
          </cell>
        </row>
        <row r="1373">
          <cell r="N1373">
            <v>-2.8849999999999998</v>
          </cell>
        </row>
        <row r="1374">
          <cell r="N1374">
            <v>-20.77</v>
          </cell>
        </row>
        <row r="1375">
          <cell r="N1375">
            <v>-55.566000000000003</v>
          </cell>
        </row>
        <row r="1376">
          <cell r="N1376">
            <v>-65.983000000000004</v>
          </cell>
        </row>
        <row r="1377">
          <cell r="N1377">
            <v>-53.792000000000002</v>
          </cell>
        </row>
        <row r="1378">
          <cell r="N1378">
            <v>-35.273000000000003</v>
          </cell>
        </row>
        <row r="1379">
          <cell r="N1379">
            <v>-17.238</v>
          </cell>
        </row>
        <row r="1380">
          <cell r="N1380">
            <v>-2.5139999999999998</v>
          </cell>
        </row>
        <row r="1381">
          <cell r="N1381">
            <v>-2.4540000000000002</v>
          </cell>
        </row>
        <row r="1382">
          <cell r="N1382">
            <v>-2.5640000000000001</v>
          </cell>
        </row>
        <row r="1383">
          <cell r="N1383">
            <v>-10.210000000000001</v>
          </cell>
        </row>
        <row r="1384">
          <cell r="N1384">
            <v>-36.494999999999997</v>
          </cell>
        </row>
        <row r="1385">
          <cell r="N1385">
            <v>-55.734999999999999</v>
          </cell>
        </row>
        <row r="1386">
          <cell r="N1386">
            <v>-33.759</v>
          </cell>
        </row>
        <row r="1387">
          <cell r="N1387">
            <v>-11.403</v>
          </cell>
        </row>
        <row r="1388">
          <cell r="N1388">
            <v>-55.302</v>
          </cell>
        </row>
        <row r="1389">
          <cell r="N1389">
            <v>-11.749000000000001</v>
          </cell>
        </row>
        <row r="1390">
          <cell r="N1390">
            <v>-55.149000000000001</v>
          </cell>
        </row>
        <row r="1391">
          <cell r="N1391">
            <v>-15.377000000000001</v>
          </cell>
        </row>
        <row r="1392">
          <cell r="N1392">
            <v>-54.920999999999999</v>
          </cell>
        </row>
        <row r="1393">
          <cell r="N1393">
            <v>-18.594000000000001</v>
          </cell>
        </row>
        <row r="1394">
          <cell r="N1394">
            <v>-31.337</v>
          </cell>
        </row>
        <row r="1395">
          <cell r="N1395">
            <v>-13.945</v>
          </cell>
        </row>
        <row r="1396">
          <cell r="N1396">
            <v>-21.085999999999999</v>
          </cell>
        </row>
        <row r="1397">
          <cell r="N1397">
            <v>-0.02</v>
          </cell>
        </row>
        <row r="1398">
          <cell r="N1398">
            <v>-4.2229999999999999</v>
          </cell>
        </row>
        <row r="1399">
          <cell r="N1399">
            <v>-44.438000000000002</v>
          </cell>
        </row>
        <row r="1400">
          <cell r="N1400">
            <v>-2.8149999999999999</v>
          </cell>
        </row>
        <row r="1401">
          <cell r="N1401">
            <v>-3.105</v>
          </cell>
        </row>
        <row r="1402">
          <cell r="N1402">
            <v>-298</v>
          </cell>
        </row>
        <row r="1403">
          <cell r="N1403">
            <v>-9.1880000000000006</v>
          </cell>
        </row>
        <row r="1404">
          <cell r="N1404">
            <v>-11.576000000000001</v>
          </cell>
        </row>
        <row r="1405">
          <cell r="N1405">
            <v>-298</v>
          </cell>
        </row>
        <row r="1406">
          <cell r="N1406">
            <v>-26.946000000000002</v>
          </cell>
        </row>
        <row r="1407">
          <cell r="N1407">
            <v>-20.77</v>
          </cell>
        </row>
        <row r="1408">
          <cell r="N1408">
            <v>-298</v>
          </cell>
        </row>
        <row r="1409">
          <cell r="N1409">
            <v>-298</v>
          </cell>
        </row>
        <row r="1410">
          <cell r="N1410">
            <v>-162</v>
          </cell>
        </row>
        <row r="1411">
          <cell r="N1411">
            <v>-13.821999999999999</v>
          </cell>
        </row>
        <row r="1412">
          <cell r="N1412">
            <v>-16.068000000000001</v>
          </cell>
        </row>
        <row r="1413">
          <cell r="N1413">
            <v>-54.965000000000003</v>
          </cell>
        </row>
        <row r="1414">
          <cell r="N1414">
            <v>-59.485999999999997</v>
          </cell>
        </row>
        <row r="1415">
          <cell r="N1415">
            <v>-24.597999999999999</v>
          </cell>
        </row>
        <row r="1416">
          <cell r="N1416">
            <v>-44.665999999999997</v>
          </cell>
        </row>
        <row r="1417">
          <cell r="N1417">
            <v>-8.9570000000000007</v>
          </cell>
        </row>
        <row r="1418">
          <cell r="N1418">
            <v>-11.37</v>
          </cell>
        </row>
        <row r="1419">
          <cell r="N1419">
            <v>-3.0249999999999999</v>
          </cell>
        </row>
        <row r="1420">
          <cell r="N1420">
            <v>-13.131</v>
          </cell>
        </row>
        <row r="1421">
          <cell r="N1421">
            <v>-56.734999999999999</v>
          </cell>
        </row>
        <row r="1422">
          <cell r="N1422">
            <v>-63.982999999999997</v>
          </cell>
        </row>
        <row r="1423">
          <cell r="N1423">
            <v>-17.349</v>
          </cell>
        </row>
        <row r="1424">
          <cell r="N1424">
            <v>-56.517000000000003</v>
          </cell>
        </row>
        <row r="1425">
          <cell r="N1425">
            <v>-53.353000000000002</v>
          </cell>
        </row>
        <row r="1426">
          <cell r="N1426">
            <v>-49.223999999999997</v>
          </cell>
        </row>
        <row r="1427">
          <cell r="N1427">
            <v>-4.0000000000000001E-3</v>
          </cell>
        </row>
        <row r="1428">
          <cell r="N1428">
            <v>-14.917999999999999</v>
          </cell>
        </row>
        <row r="1429">
          <cell r="N1429">
            <v>-31.388999999999999</v>
          </cell>
        </row>
        <row r="1430">
          <cell r="N1430">
            <v>-15.438000000000001</v>
          </cell>
        </row>
        <row r="1431">
          <cell r="N1431">
            <v>-47.149000000000001</v>
          </cell>
        </row>
        <row r="1432">
          <cell r="N1432">
            <v>-277</v>
          </cell>
        </row>
        <row r="1433">
          <cell r="N1433">
            <v>-25</v>
          </cell>
        </row>
        <row r="1434">
          <cell r="N1434">
            <v>-44.665999999999997</v>
          </cell>
        </row>
        <row r="1435">
          <cell r="N1435">
            <v>-48.88</v>
          </cell>
        </row>
        <row r="1436">
          <cell r="N1436">
            <v>-29.974</v>
          </cell>
        </row>
        <row r="1437">
          <cell r="N1437">
            <v>-14.167999999999999</v>
          </cell>
        </row>
        <row r="1438">
          <cell r="N1438">
            <v>-2.294</v>
          </cell>
        </row>
        <row r="1439">
          <cell r="N1439">
            <v>-23.242000000000001</v>
          </cell>
        </row>
        <row r="1440">
          <cell r="N1440">
            <v>-49.11</v>
          </cell>
        </row>
        <row r="1441">
          <cell r="N1441">
            <v>-83.227999999999994</v>
          </cell>
        </row>
        <row r="1442">
          <cell r="N1442">
            <v>-18.309999999999999</v>
          </cell>
        </row>
        <row r="1443">
          <cell r="N1443">
            <v>-2.254</v>
          </cell>
        </row>
        <row r="1444">
          <cell r="N1444">
            <v>-42.043999999999997</v>
          </cell>
        </row>
        <row r="1445">
          <cell r="N1445">
            <v>-19.756</v>
          </cell>
        </row>
        <row r="1446">
          <cell r="N1446">
            <v>-2.0880000000000001</v>
          </cell>
        </row>
        <row r="1447">
          <cell r="N1447">
            <v>-15.265000000000001</v>
          </cell>
        </row>
        <row r="1448">
          <cell r="N1448">
            <v>-14.686</v>
          </cell>
        </row>
        <row r="1449">
          <cell r="N1449">
            <v>-15.55</v>
          </cell>
        </row>
        <row r="1450">
          <cell r="N1450">
            <v>-9.4220000000000006</v>
          </cell>
        </row>
        <row r="1451">
          <cell r="N1451">
            <v>-18.314</v>
          </cell>
        </row>
        <row r="1452">
          <cell r="N1452">
            <v>-14.526</v>
          </cell>
        </row>
        <row r="1453">
          <cell r="N1453">
            <v>-35.805</v>
          </cell>
        </row>
        <row r="1454">
          <cell r="N1454">
            <v>-31.728000000000002</v>
          </cell>
        </row>
        <row r="1455">
          <cell r="N1455">
            <v>-51.877000000000002</v>
          </cell>
        </row>
        <row r="1456">
          <cell r="N1456">
            <v>-59.478999999999999</v>
          </cell>
        </row>
        <row r="1457">
          <cell r="N1457">
            <v>-12.785</v>
          </cell>
        </row>
        <row r="1458">
          <cell r="N1458">
            <v>-63.482999999999997</v>
          </cell>
        </row>
        <row r="1459">
          <cell r="N1459">
            <v>-10.5</v>
          </cell>
        </row>
        <row r="1460">
          <cell r="N1460">
            <v>-51.959000000000003</v>
          </cell>
        </row>
        <row r="1461">
          <cell r="N1461">
            <v>-2.6040000000000001</v>
          </cell>
        </row>
        <row r="1462">
          <cell r="N1462">
            <v>-25</v>
          </cell>
        </row>
        <row r="1463">
          <cell r="N1463">
            <v>-10</v>
          </cell>
        </row>
        <row r="1464">
          <cell r="N1464">
            <v>-298</v>
          </cell>
        </row>
        <row r="1465">
          <cell r="N1465">
            <v>-2.544</v>
          </cell>
        </row>
        <row r="1466">
          <cell r="N1466">
            <v>-24.07</v>
          </cell>
        </row>
        <row r="1467">
          <cell r="N1467">
            <v>-37.4</v>
          </cell>
        </row>
        <row r="1468">
          <cell r="N1468">
            <v>-46.488999999999997</v>
          </cell>
        </row>
        <row r="1469">
          <cell r="N1469">
            <v>-20.337</v>
          </cell>
        </row>
        <row r="1470">
          <cell r="N1470">
            <v>-60.796999999999997</v>
          </cell>
        </row>
        <row r="1471">
          <cell r="N1471">
            <v>-3.1150000000000002</v>
          </cell>
        </row>
        <row r="1472">
          <cell r="N1472">
            <v>-93.724999999999994</v>
          </cell>
        </row>
        <row r="1473">
          <cell r="N1473">
            <v>-13.795999999999999</v>
          </cell>
        </row>
        <row r="1474">
          <cell r="N1474">
            <v>-14.005000000000001</v>
          </cell>
        </row>
        <row r="1475">
          <cell r="N1475">
            <v>-49.572000000000003</v>
          </cell>
        </row>
        <row r="1476">
          <cell r="N1476">
            <v>-13.994999999999999</v>
          </cell>
        </row>
        <row r="1477">
          <cell r="N1477">
            <v>-13.477</v>
          </cell>
        </row>
        <row r="1478">
          <cell r="N1478">
            <v>-8.8119999999999994</v>
          </cell>
        </row>
        <row r="1479">
          <cell r="N1479">
            <v>-24.015999999999998</v>
          </cell>
        </row>
        <row r="1480">
          <cell r="N1480">
            <v>-12.55</v>
          </cell>
        </row>
        <row r="1481">
          <cell r="N1481">
            <v>-27.620999999999999</v>
          </cell>
        </row>
        <row r="1482">
          <cell r="N1482">
            <v>-25.338000000000001</v>
          </cell>
        </row>
        <row r="1483">
          <cell r="N1483">
            <v>-15.55</v>
          </cell>
        </row>
        <row r="1484">
          <cell r="N1484">
            <v>-46.024000000000001</v>
          </cell>
        </row>
        <row r="1485">
          <cell r="N1485">
            <v>-54.412999999999997</v>
          </cell>
        </row>
        <row r="1486">
          <cell r="N1486">
            <v>-2.8650000000000002</v>
          </cell>
        </row>
        <row r="1487">
          <cell r="N1487">
            <v>-2.7349999999999999</v>
          </cell>
        </row>
        <row r="1488">
          <cell r="N1488">
            <v>-15.55</v>
          </cell>
        </row>
        <row r="1489">
          <cell r="N1489">
            <v>-56.517000000000003</v>
          </cell>
        </row>
        <row r="1490">
          <cell r="N1490">
            <v>-39.786999999999999</v>
          </cell>
        </row>
        <row r="1491">
          <cell r="N1491">
            <v>-18.907</v>
          </cell>
        </row>
        <row r="1492">
          <cell r="N1492">
            <v>-53.326000000000001</v>
          </cell>
        </row>
        <row r="1493">
          <cell r="N1493">
            <v>-31.728000000000002</v>
          </cell>
        </row>
        <row r="1494">
          <cell r="N1494">
            <v>-2.8650000000000002</v>
          </cell>
        </row>
        <row r="1495">
          <cell r="N1495">
            <v>-3.0150000000000001</v>
          </cell>
        </row>
        <row r="1496">
          <cell r="N1496">
            <v>-13.356999999999999</v>
          </cell>
        </row>
        <row r="1497">
          <cell r="N1497">
            <v>-11.749000000000001</v>
          </cell>
        </row>
        <row r="1498">
          <cell r="N1498">
            <v>-76.23</v>
          </cell>
        </row>
        <row r="1499">
          <cell r="N1499">
            <v>-10.473000000000001</v>
          </cell>
        </row>
        <row r="1500">
          <cell r="N1500">
            <v>-2.4740000000000002</v>
          </cell>
        </row>
        <row r="1501">
          <cell r="N1501">
            <v>-15.882</v>
          </cell>
        </row>
        <row r="1502">
          <cell r="N1502">
            <v>-13.994999999999999</v>
          </cell>
        </row>
        <row r="1503">
          <cell r="N1503">
            <v>-56.258000000000003</v>
          </cell>
        </row>
        <row r="1504">
          <cell r="N1504">
            <v>-16.076000000000001</v>
          </cell>
        </row>
        <row r="1505">
          <cell r="N1505">
            <v>-53.781999999999996</v>
          </cell>
        </row>
        <row r="1506">
          <cell r="N1506">
            <v>-35.793999999999997</v>
          </cell>
        </row>
        <row r="1507">
          <cell r="N1507">
            <v>-8.4659999999999993</v>
          </cell>
        </row>
        <row r="1508">
          <cell r="N1508">
            <v>-16.998999999999999</v>
          </cell>
        </row>
        <row r="1509">
          <cell r="N1509">
            <v>-63.982999999999997</v>
          </cell>
        </row>
        <row r="1510">
          <cell r="N1510">
            <v>-57.247999999999998</v>
          </cell>
        </row>
        <row r="1511">
          <cell r="N1511">
            <v>-84.227999999999994</v>
          </cell>
        </row>
        <row r="1512">
          <cell r="N1512">
            <v>-0.69799999999999995</v>
          </cell>
        </row>
        <row r="1513">
          <cell r="N1513">
            <v>-18.314</v>
          </cell>
        </row>
        <row r="1514">
          <cell r="N1514">
            <v>-2.9449999999999998</v>
          </cell>
        </row>
        <row r="1515">
          <cell r="N1515">
            <v>-13.877000000000001</v>
          </cell>
        </row>
        <row r="1516">
          <cell r="N1516">
            <v>-2.464</v>
          </cell>
        </row>
        <row r="1517">
          <cell r="N1517">
            <v>-48.567</v>
          </cell>
        </row>
        <row r="1518">
          <cell r="N1518">
            <v>-5.1890000000000001</v>
          </cell>
        </row>
        <row r="1519">
          <cell r="N1519">
            <v>-21.597000000000001</v>
          </cell>
        </row>
        <row r="1520">
          <cell r="N1520">
            <v>-60.639000000000003</v>
          </cell>
        </row>
        <row r="1521">
          <cell r="N1521">
            <v>-15.478</v>
          </cell>
        </row>
        <row r="1522">
          <cell r="N1522">
            <v>-52.338000000000001</v>
          </cell>
        </row>
        <row r="1523">
          <cell r="N1523">
            <v>-43.387999999999998</v>
          </cell>
        </row>
        <row r="1524">
          <cell r="N1524">
            <v>-50.591000000000001</v>
          </cell>
        </row>
        <row r="1525">
          <cell r="N1525">
            <v>-26.038</v>
          </cell>
        </row>
        <row r="1526">
          <cell r="N1526">
            <v>-12.266999999999999</v>
          </cell>
        </row>
        <row r="1527">
          <cell r="N1527">
            <v>-15.032</v>
          </cell>
        </row>
        <row r="1528">
          <cell r="N1528">
            <v>-54.920999999999999</v>
          </cell>
        </row>
        <row r="1529">
          <cell r="N1529">
            <v>-22.141999999999999</v>
          </cell>
        </row>
        <row r="1530">
          <cell r="N1530">
            <v>-70.481999999999999</v>
          </cell>
        </row>
        <row r="1531">
          <cell r="N1531">
            <v>-16.826000000000001</v>
          </cell>
        </row>
        <row r="1532">
          <cell r="N1532">
            <v>-298</v>
          </cell>
        </row>
        <row r="1533">
          <cell r="N1533">
            <v>-77.98</v>
          </cell>
        </row>
        <row r="1534">
          <cell r="N1534">
            <v>-13.304</v>
          </cell>
        </row>
        <row r="1535">
          <cell r="N1535">
            <v>-58.734999999999999</v>
          </cell>
        </row>
        <row r="1536">
          <cell r="N1536">
            <v>-45.552999999999997</v>
          </cell>
        </row>
        <row r="1537">
          <cell r="N1537">
            <v>-66.543999999999997</v>
          </cell>
        </row>
        <row r="1538">
          <cell r="N1538">
            <v>-10</v>
          </cell>
        </row>
        <row r="1539">
          <cell r="N1539">
            <v>-10</v>
          </cell>
        </row>
        <row r="1540">
          <cell r="N1540">
            <v>-11.016</v>
          </cell>
        </row>
        <row r="1541">
          <cell r="N1541">
            <v>-13.994999999999999</v>
          </cell>
        </row>
        <row r="1542">
          <cell r="N1542">
            <v>-16.664000000000001</v>
          </cell>
        </row>
        <row r="1543">
          <cell r="N1543">
            <v>-16.241</v>
          </cell>
        </row>
        <row r="1544">
          <cell r="N1544">
            <v>-2.6640000000000001</v>
          </cell>
        </row>
        <row r="1545">
          <cell r="N1545">
            <v>-6.6890000000000001</v>
          </cell>
        </row>
        <row r="1546">
          <cell r="N1546">
            <v>-13.648999999999999</v>
          </cell>
        </row>
        <row r="1547">
          <cell r="N1547">
            <v>-17</v>
          </cell>
        </row>
        <row r="1548">
          <cell r="N1548">
            <v>-41.301000000000002</v>
          </cell>
        </row>
        <row r="1549">
          <cell r="N1549">
            <v>-56.95</v>
          </cell>
        </row>
        <row r="1550">
          <cell r="N1550">
            <v>-324</v>
          </cell>
        </row>
        <row r="1551">
          <cell r="N1551">
            <v>-3.1949999999999998</v>
          </cell>
        </row>
        <row r="1552">
          <cell r="N1552">
            <v>-28.762</v>
          </cell>
        </row>
        <row r="1553">
          <cell r="N1553">
            <v>-51.186</v>
          </cell>
        </row>
        <row r="1554">
          <cell r="N1554">
            <v>-13.53</v>
          </cell>
        </row>
        <row r="1555">
          <cell r="N1555">
            <v>-25</v>
          </cell>
        </row>
        <row r="1556">
          <cell r="N1556">
            <v>-14.05</v>
          </cell>
        </row>
        <row r="1557">
          <cell r="N1557">
            <v>-45.569000000000003</v>
          </cell>
        </row>
        <row r="1558">
          <cell r="N1558">
            <v>-13.994999999999999</v>
          </cell>
        </row>
        <row r="1559">
          <cell r="N1559">
            <v>-9.4909999999999997</v>
          </cell>
        </row>
        <row r="1560">
          <cell r="N1560">
            <v>-3.5609999999999999</v>
          </cell>
        </row>
        <row r="1561">
          <cell r="N1561">
            <v>-49.341000000000001</v>
          </cell>
        </row>
        <row r="1562">
          <cell r="N1562">
            <v>-21.77</v>
          </cell>
        </row>
        <row r="1563">
          <cell r="N1563">
            <v>-55.149000000000001</v>
          </cell>
        </row>
        <row r="1564">
          <cell r="N1564">
            <v>-65.733000000000004</v>
          </cell>
        </row>
        <row r="1565">
          <cell r="N1565">
            <v>-16.207000000000001</v>
          </cell>
        </row>
        <row r="1566">
          <cell r="N1566">
            <v>-52.512</v>
          </cell>
        </row>
        <row r="1567">
          <cell r="N1567">
            <v>-50.694000000000003</v>
          </cell>
        </row>
        <row r="1568">
          <cell r="N1568">
            <v>-51.804000000000002</v>
          </cell>
        </row>
        <row r="1569">
          <cell r="N1569">
            <v>-45.805999999999997</v>
          </cell>
        </row>
        <row r="1570">
          <cell r="N1570">
            <v>-48.88</v>
          </cell>
        </row>
        <row r="1571">
          <cell r="N1571">
            <v>-27</v>
          </cell>
        </row>
        <row r="1572">
          <cell r="N1572">
            <v>-21.251999999999999</v>
          </cell>
        </row>
        <row r="1573">
          <cell r="N1573">
            <v>-56.734999999999999</v>
          </cell>
        </row>
        <row r="1574">
          <cell r="N1574">
            <v>-23.629000000000001</v>
          </cell>
        </row>
        <row r="1575">
          <cell r="N1575">
            <v>-75.203000000000003</v>
          </cell>
        </row>
        <row r="1576">
          <cell r="N1576">
            <v>-50.363</v>
          </cell>
        </row>
        <row r="1577">
          <cell r="N1577">
            <v>-16.068000000000001</v>
          </cell>
        </row>
        <row r="1578">
          <cell r="N1578">
            <v>-14.05</v>
          </cell>
        </row>
        <row r="1579">
          <cell r="N1579">
            <v>-69.731999999999999</v>
          </cell>
        </row>
        <row r="1580">
          <cell r="N1580">
            <v>-2.6440000000000001</v>
          </cell>
        </row>
        <row r="1581">
          <cell r="N1581">
            <v>-17.105</v>
          </cell>
        </row>
        <row r="1582">
          <cell r="N1582">
            <v>-15.723000000000001</v>
          </cell>
        </row>
        <row r="1583">
          <cell r="N1583">
            <v>-28.309000000000001</v>
          </cell>
        </row>
        <row r="1584">
          <cell r="N1584">
            <v>-47.326000000000001</v>
          </cell>
        </row>
        <row r="1585">
          <cell r="N1585">
            <v>-2.8650000000000002</v>
          </cell>
        </row>
        <row r="1586">
          <cell r="N1586">
            <v>-16.068000000000001</v>
          </cell>
        </row>
        <row r="1587">
          <cell r="N1587">
            <v>-30.817</v>
          </cell>
        </row>
        <row r="1588">
          <cell r="N1588">
            <v>-14.167999999999999</v>
          </cell>
        </row>
        <row r="1589">
          <cell r="N1589">
            <v>-12.785</v>
          </cell>
        </row>
        <row r="1590">
          <cell r="N1590">
            <v>-15.377000000000001</v>
          </cell>
        </row>
        <row r="1591">
          <cell r="N1591">
            <v>-12.316000000000001</v>
          </cell>
        </row>
        <row r="1592">
          <cell r="N1592">
            <v>-126</v>
          </cell>
        </row>
        <row r="1593">
          <cell r="N1593">
            <v>-10</v>
          </cell>
        </row>
        <row r="1594">
          <cell r="N1594">
            <v>-14.513</v>
          </cell>
        </row>
        <row r="1595">
          <cell r="N1595">
            <v>-15.032</v>
          </cell>
        </row>
        <row r="1596">
          <cell r="N1596">
            <v>-19.081</v>
          </cell>
        </row>
        <row r="1597">
          <cell r="N1597">
            <v>-2.4239999999999999</v>
          </cell>
        </row>
        <row r="1598">
          <cell r="N1598">
            <v>-2.7650000000000001</v>
          </cell>
        </row>
        <row r="1599">
          <cell r="N1599">
            <v>-2.7549999999999999</v>
          </cell>
        </row>
        <row r="1600">
          <cell r="N1600">
            <v>-34.831000000000003</v>
          </cell>
        </row>
        <row r="1601">
          <cell r="N1601">
            <v>-15.265000000000001</v>
          </cell>
        </row>
        <row r="1602">
          <cell r="N1602">
            <v>-2.5739999999999998</v>
          </cell>
        </row>
        <row r="1603">
          <cell r="N1603">
            <v>-15.895</v>
          </cell>
        </row>
        <row r="1604">
          <cell r="N1604">
            <v>-2.2240000000000002</v>
          </cell>
        </row>
        <row r="1605">
          <cell r="N1605">
            <v>-34.817999999999998</v>
          </cell>
        </row>
        <row r="1606">
          <cell r="N1606">
            <v>-2.9849999999999999</v>
          </cell>
        </row>
        <row r="1607">
          <cell r="N1607">
            <v>-42.387</v>
          </cell>
        </row>
        <row r="1608">
          <cell r="N1608">
            <v>-41.122</v>
          </cell>
        </row>
        <row r="1609">
          <cell r="N1609">
            <v>-52.569000000000003</v>
          </cell>
        </row>
        <row r="1610">
          <cell r="N1610">
            <v>-64.983000000000004</v>
          </cell>
        </row>
        <row r="1611">
          <cell r="N1611">
            <v>-17.346</v>
          </cell>
        </row>
        <row r="1612">
          <cell r="N1612">
            <v>-46.033999999999999</v>
          </cell>
        </row>
        <row r="1613">
          <cell r="N1613">
            <v>-10</v>
          </cell>
        </row>
        <row r="1614">
          <cell r="N1614">
            <v>-12.785</v>
          </cell>
        </row>
        <row r="1615">
          <cell r="N1615">
            <v>-19.756</v>
          </cell>
        </row>
        <row r="1616">
          <cell r="N1616">
            <v>-3.6680000000000001</v>
          </cell>
        </row>
        <row r="1617">
          <cell r="N1617">
            <v>-15.265000000000001</v>
          </cell>
        </row>
        <row r="1618">
          <cell r="N1618">
            <v>-43.640999999999998</v>
          </cell>
        </row>
        <row r="1619">
          <cell r="N1619">
            <v>-21.597000000000001</v>
          </cell>
        </row>
        <row r="1620">
          <cell r="N1620">
            <v>-15.204000000000001</v>
          </cell>
        </row>
        <row r="1621">
          <cell r="N1621">
            <v>-2.7149999999999999</v>
          </cell>
        </row>
        <row r="1622">
          <cell r="N1622">
            <v>-15.612</v>
          </cell>
        </row>
        <row r="1623">
          <cell r="N1623">
            <v>-60.484000000000002</v>
          </cell>
        </row>
        <row r="1624">
          <cell r="N1624">
            <v>-58.795000000000002</v>
          </cell>
        </row>
        <row r="1625">
          <cell r="N1625">
            <v>-2.3639999999999999</v>
          </cell>
        </row>
        <row r="1626">
          <cell r="N1626">
            <v>-13.994999999999999</v>
          </cell>
        </row>
        <row r="1627">
          <cell r="N1627">
            <v>-14.859</v>
          </cell>
        </row>
        <row r="1628">
          <cell r="N1628">
            <v>-52.308999999999997</v>
          </cell>
        </row>
        <row r="1629">
          <cell r="N1629">
            <v>-2.6640000000000001</v>
          </cell>
        </row>
        <row r="1630">
          <cell r="N1630">
            <v>-29.823</v>
          </cell>
        </row>
        <row r="1631">
          <cell r="N1631">
            <v>-12.266999999999999</v>
          </cell>
        </row>
        <row r="1632">
          <cell r="N1632">
            <v>-17.346</v>
          </cell>
        </row>
        <row r="1633">
          <cell r="N1633">
            <v>-75.48</v>
          </cell>
        </row>
        <row r="1634">
          <cell r="N1634">
            <v>-14.167999999999999</v>
          </cell>
        </row>
        <row r="1635">
          <cell r="N1635">
            <v>-2.8050000000000002</v>
          </cell>
        </row>
        <row r="1636">
          <cell r="N1636">
            <v>-63.732999999999997</v>
          </cell>
        </row>
        <row r="1637">
          <cell r="N1637">
            <v>-2.7650000000000001</v>
          </cell>
        </row>
        <row r="1638">
          <cell r="N1638">
            <v>-16.132000000000001</v>
          </cell>
        </row>
        <row r="1639">
          <cell r="N1639">
            <v>-17.277999999999999</v>
          </cell>
        </row>
        <row r="1640">
          <cell r="N1640">
            <v>-22.978999999999999</v>
          </cell>
        </row>
        <row r="1641">
          <cell r="N1641">
            <v>-7.1929999999999996</v>
          </cell>
        </row>
        <row r="1642">
          <cell r="N1642">
            <v>-15.032</v>
          </cell>
        </row>
        <row r="1643">
          <cell r="N1643">
            <v>-51.186</v>
          </cell>
        </row>
        <row r="1644">
          <cell r="N1644">
            <v>-20.122</v>
          </cell>
        </row>
        <row r="1645">
          <cell r="N1645">
            <v>-3.597</v>
          </cell>
        </row>
        <row r="1646">
          <cell r="N1646">
            <v>-47.034999999999997</v>
          </cell>
        </row>
        <row r="1647">
          <cell r="N1647">
            <v>-31.337</v>
          </cell>
        </row>
        <row r="1648">
          <cell r="N1648">
            <v>-14.526</v>
          </cell>
        </row>
        <row r="1649">
          <cell r="N1649">
            <v>-36.786000000000001</v>
          </cell>
        </row>
        <row r="1650">
          <cell r="N1650">
            <v>-54.920999999999999</v>
          </cell>
        </row>
        <row r="1651">
          <cell r="N1651">
            <v>-53.408000000000001</v>
          </cell>
        </row>
        <row r="1652">
          <cell r="N1652">
            <v>-56.542999999999999</v>
          </cell>
        </row>
        <row r="1653">
          <cell r="N1653">
            <v>-20.917999999999999</v>
          </cell>
        </row>
        <row r="1654">
          <cell r="N1654">
            <v>-2.3140000000000001</v>
          </cell>
        </row>
        <row r="1655">
          <cell r="N1655">
            <v>-12.836</v>
          </cell>
        </row>
        <row r="1656">
          <cell r="N1656">
            <v>-3.3820000000000001</v>
          </cell>
        </row>
        <row r="1657">
          <cell r="N1657">
            <v>-10</v>
          </cell>
        </row>
        <row r="1658">
          <cell r="N1658">
            <v>-31.337</v>
          </cell>
        </row>
        <row r="1659">
          <cell r="N1659">
            <v>-11.834</v>
          </cell>
        </row>
        <row r="1660">
          <cell r="N1660">
            <v>-21.498999999999999</v>
          </cell>
        </row>
        <row r="1661">
          <cell r="N1661">
            <v>-6.9459999999999997</v>
          </cell>
        </row>
        <row r="1662">
          <cell r="N1662">
            <v>-20.388000000000002</v>
          </cell>
        </row>
        <row r="1663">
          <cell r="N1663">
            <v>-38.170999999999999</v>
          </cell>
        </row>
        <row r="1664">
          <cell r="N1664">
            <v>-13.183</v>
          </cell>
        </row>
        <row r="1665">
          <cell r="N1665">
            <v>-40.954999999999998</v>
          </cell>
        </row>
        <row r="1666">
          <cell r="N1666">
            <v>-2.464</v>
          </cell>
        </row>
        <row r="1667">
          <cell r="N1667">
            <v>-47.957999999999998</v>
          </cell>
        </row>
        <row r="1668">
          <cell r="N1668">
            <v>-43.345999999999997</v>
          </cell>
        </row>
        <row r="1669">
          <cell r="N1669">
            <v>-11.449</v>
          </cell>
        </row>
        <row r="1670">
          <cell r="N1670">
            <v>-10.558</v>
          </cell>
        </row>
        <row r="1671">
          <cell r="N1671">
            <v>-40.564</v>
          </cell>
        </row>
        <row r="1672">
          <cell r="N1672">
            <v>-34.968000000000004</v>
          </cell>
        </row>
        <row r="1673">
          <cell r="N1673">
            <v>-3.0169999999999999</v>
          </cell>
        </row>
        <row r="1674">
          <cell r="N1674">
            <v>-50.161999999999999</v>
          </cell>
        </row>
        <row r="1675">
          <cell r="N1675">
            <v>-12.53</v>
          </cell>
        </row>
        <row r="1676">
          <cell r="N1676">
            <v>-18.66</v>
          </cell>
        </row>
        <row r="1677">
          <cell r="N1677">
            <v>-18.832999999999998</v>
          </cell>
        </row>
        <row r="1678">
          <cell r="N1678">
            <v>-19.869</v>
          </cell>
        </row>
        <row r="1679">
          <cell r="N1679">
            <v>-15.204000000000001</v>
          </cell>
        </row>
        <row r="1680">
          <cell r="N1680">
            <v>-16.826000000000001</v>
          </cell>
        </row>
        <row r="1681">
          <cell r="N1681">
            <v>-10.673999999999999</v>
          </cell>
        </row>
        <row r="1682">
          <cell r="N1682">
            <v>-58.137999999999998</v>
          </cell>
        </row>
        <row r="1683">
          <cell r="N1683">
            <v>-2.3639999999999999</v>
          </cell>
        </row>
        <row r="1684">
          <cell r="N1684">
            <v>-21.423999999999999</v>
          </cell>
        </row>
        <row r="1685">
          <cell r="N1685">
            <v>-14.167999999999999</v>
          </cell>
        </row>
        <row r="1686">
          <cell r="N1686">
            <v>-43.762</v>
          </cell>
        </row>
        <row r="1687">
          <cell r="N1687">
            <v>-57.427999999999997</v>
          </cell>
        </row>
        <row r="1688">
          <cell r="N1688">
            <v>-9.7460000000000004</v>
          </cell>
        </row>
        <row r="1689">
          <cell r="N1689">
            <v>-2.8149999999999999</v>
          </cell>
        </row>
        <row r="1690">
          <cell r="N1690">
            <v>-10.79</v>
          </cell>
        </row>
        <row r="1691">
          <cell r="N1691">
            <v>-13.356999999999999</v>
          </cell>
        </row>
        <row r="1692">
          <cell r="N1692">
            <v>-19.178000000000001</v>
          </cell>
        </row>
        <row r="1693">
          <cell r="N1693">
            <v>-80.978999999999999</v>
          </cell>
        </row>
        <row r="1694">
          <cell r="N1694">
            <v>-15.420999999999999</v>
          </cell>
        </row>
        <row r="1695">
          <cell r="N1695">
            <v>-40.792000000000002</v>
          </cell>
        </row>
        <row r="1696">
          <cell r="N1696">
            <v>-42.173000000000002</v>
          </cell>
        </row>
        <row r="1697">
          <cell r="N1697">
            <v>-16.652000000000001</v>
          </cell>
        </row>
        <row r="1698">
          <cell r="N1698">
            <v>-49.872999999999998</v>
          </cell>
        </row>
        <row r="1699">
          <cell r="N1699">
            <v>-19.367999999999999</v>
          </cell>
        </row>
        <row r="1700">
          <cell r="N1700">
            <v>-50.987000000000002</v>
          </cell>
        </row>
        <row r="1701">
          <cell r="N1701">
            <v>-13.131</v>
          </cell>
        </row>
        <row r="1702">
          <cell r="N1702">
            <v>-24.016999999999999</v>
          </cell>
        </row>
        <row r="1703">
          <cell r="N1703">
            <v>-45.805999999999997</v>
          </cell>
        </row>
        <row r="1704">
          <cell r="N1704">
            <v>-34.831000000000003</v>
          </cell>
        </row>
        <row r="1705">
          <cell r="N1705">
            <v>-15.977</v>
          </cell>
        </row>
        <row r="1706">
          <cell r="N1706">
            <v>-13.648999999999999</v>
          </cell>
        </row>
        <row r="1707">
          <cell r="N1707">
            <v>-15.106999999999999</v>
          </cell>
        </row>
        <row r="1708">
          <cell r="N1708">
            <v>-32.85</v>
          </cell>
        </row>
        <row r="1709">
          <cell r="N1709">
            <v>-4.008</v>
          </cell>
        </row>
        <row r="1710">
          <cell r="N1710">
            <v>-55.566000000000003</v>
          </cell>
        </row>
        <row r="1711">
          <cell r="N1711">
            <v>-16.998999999999999</v>
          </cell>
        </row>
        <row r="1712">
          <cell r="N1712">
            <v>-59.984000000000002</v>
          </cell>
        </row>
        <row r="1713">
          <cell r="N1713">
            <v>-46.488999999999997</v>
          </cell>
        </row>
        <row r="1714">
          <cell r="N1714">
            <v>-56.95</v>
          </cell>
        </row>
        <row r="1715">
          <cell r="N1715">
            <v>-49.237000000000002</v>
          </cell>
        </row>
        <row r="1716">
          <cell r="N1716">
            <v>-17.45</v>
          </cell>
        </row>
        <row r="1717">
          <cell r="N1717">
            <v>-15.032</v>
          </cell>
        </row>
        <row r="1718">
          <cell r="N1718">
            <v>-45.122</v>
          </cell>
        </row>
        <row r="1719">
          <cell r="N1719">
            <v>-2.3940000000000001</v>
          </cell>
        </row>
        <row r="1720">
          <cell r="N1720">
            <v>-25.565999999999999</v>
          </cell>
        </row>
        <row r="1721">
          <cell r="N1721">
            <v>-17.818999999999999</v>
          </cell>
        </row>
        <row r="1722">
          <cell r="N1722">
            <v>-11.602</v>
          </cell>
        </row>
        <row r="1723">
          <cell r="N1723">
            <v>-11.138</v>
          </cell>
        </row>
        <row r="1724">
          <cell r="N1724">
            <v>-18.486999999999998</v>
          </cell>
        </row>
        <row r="1725">
          <cell r="N1725">
            <v>-15.895</v>
          </cell>
        </row>
        <row r="1726">
          <cell r="N1726">
            <v>-2.3340000000000001</v>
          </cell>
        </row>
        <row r="1727">
          <cell r="N1727">
            <v>-13.131</v>
          </cell>
        </row>
        <row r="1728">
          <cell r="N1728">
            <v>-45.012</v>
          </cell>
        </row>
        <row r="1729">
          <cell r="N1729">
            <v>-56.258000000000003</v>
          </cell>
        </row>
        <row r="1730">
          <cell r="N1730">
            <v>-64.721000000000004</v>
          </cell>
        </row>
        <row r="1731">
          <cell r="N1731">
            <v>-23.629000000000001</v>
          </cell>
        </row>
        <row r="1732">
          <cell r="N1732">
            <v>-18.314</v>
          </cell>
        </row>
        <row r="1733">
          <cell r="N1733">
            <v>-11.95</v>
          </cell>
        </row>
        <row r="1734">
          <cell r="N1734">
            <v>-8.3539999999999992</v>
          </cell>
        </row>
        <row r="1735">
          <cell r="N1735">
            <v>-57.252000000000002</v>
          </cell>
        </row>
        <row r="1736">
          <cell r="N1736">
            <v>-14.744</v>
          </cell>
        </row>
        <row r="1737">
          <cell r="N1737">
            <v>-66.316000000000003</v>
          </cell>
        </row>
        <row r="1738">
          <cell r="N1738">
            <v>-37.584000000000003</v>
          </cell>
        </row>
        <row r="1739">
          <cell r="N1739">
            <v>-38.652999999999999</v>
          </cell>
        </row>
        <row r="1740">
          <cell r="N1740">
            <v>-17.227</v>
          </cell>
        </row>
        <row r="1741">
          <cell r="N1741">
            <v>-15.06</v>
          </cell>
        </row>
        <row r="1742">
          <cell r="N1742">
            <v>-48.487000000000002</v>
          </cell>
        </row>
        <row r="1743">
          <cell r="N1743">
            <v>-11.022</v>
          </cell>
        </row>
        <row r="1744">
          <cell r="N1744">
            <v>-45.35</v>
          </cell>
        </row>
        <row r="1745">
          <cell r="N1745">
            <v>-39.536000000000001</v>
          </cell>
        </row>
        <row r="1746">
          <cell r="N1746">
            <v>-25</v>
          </cell>
        </row>
        <row r="1747">
          <cell r="N1747">
            <v>-25</v>
          </cell>
        </row>
        <row r="1748">
          <cell r="N1748">
            <v>-11.254</v>
          </cell>
        </row>
        <row r="1749">
          <cell r="N1749">
            <v>-15.723000000000001</v>
          </cell>
        </row>
        <row r="1750">
          <cell r="N1750">
            <v>-12.298</v>
          </cell>
        </row>
        <row r="1751">
          <cell r="N1751">
            <v>-2.5539999999999998</v>
          </cell>
        </row>
        <row r="1752">
          <cell r="N1752">
            <v>-13.821999999999999</v>
          </cell>
        </row>
        <row r="1753">
          <cell r="N1753">
            <v>-8.673</v>
          </cell>
        </row>
        <row r="1754">
          <cell r="N1754">
            <v>-4.0259999999999998</v>
          </cell>
        </row>
        <row r="1755">
          <cell r="N1755">
            <v>-20.56</v>
          </cell>
        </row>
        <row r="1756">
          <cell r="N1756">
            <v>-34.968000000000004</v>
          </cell>
        </row>
        <row r="1757">
          <cell r="N1757">
            <v>-17.45</v>
          </cell>
        </row>
        <row r="1758">
          <cell r="N1758">
            <v>-2.0329999999999999</v>
          </cell>
        </row>
        <row r="1759">
          <cell r="N1759">
            <v>-10</v>
          </cell>
        </row>
        <row r="1760">
          <cell r="N1760">
            <v>-35.981999999999999</v>
          </cell>
        </row>
        <row r="1761">
          <cell r="N1761">
            <v>-17.783000000000001</v>
          </cell>
        </row>
        <row r="1762">
          <cell r="N1762">
            <v>-33.316000000000003</v>
          </cell>
        </row>
        <row r="1763">
          <cell r="N1763">
            <v>-10</v>
          </cell>
        </row>
        <row r="1764">
          <cell r="N1764">
            <v>-18.04</v>
          </cell>
        </row>
        <row r="1765">
          <cell r="N1765">
            <v>-33.447000000000003</v>
          </cell>
        </row>
        <row r="1766">
          <cell r="N1766">
            <v>-42.488999999999997</v>
          </cell>
        </row>
        <row r="1767">
          <cell r="N1767">
            <v>-23.67</v>
          </cell>
        </row>
        <row r="1768">
          <cell r="N1768">
            <v>-21.498999999999999</v>
          </cell>
        </row>
        <row r="1769">
          <cell r="N1769">
            <v>-16.268999999999998</v>
          </cell>
        </row>
        <row r="1770">
          <cell r="N1770">
            <v>-162</v>
          </cell>
        </row>
        <row r="1771">
          <cell r="N1771">
            <v>-17.366</v>
          </cell>
        </row>
        <row r="1772">
          <cell r="N1772">
            <v>-19.350999999999999</v>
          </cell>
        </row>
        <row r="1773">
          <cell r="N1773">
            <v>-14.167999999999999</v>
          </cell>
        </row>
        <row r="1774">
          <cell r="N1774">
            <v>-36.415999999999997</v>
          </cell>
        </row>
        <row r="1775">
          <cell r="N1775">
            <v>-50.723999999999997</v>
          </cell>
        </row>
        <row r="1776">
          <cell r="N1776">
            <v>-3.2749999999999999</v>
          </cell>
        </row>
        <row r="1777">
          <cell r="N1777">
            <v>-35.277000000000001</v>
          </cell>
        </row>
        <row r="1778">
          <cell r="N1778">
            <v>-42.512</v>
          </cell>
        </row>
        <row r="1779">
          <cell r="N1779">
            <v>-15.895</v>
          </cell>
        </row>
        <row r="1780">
          <cell r="N1780">
            <v>-56.972000000000001</v>
          </cell>
        </row>
        <row r="1781">
          <cell r="N1781">
            <v>-7</v>
          </cell>
        </row>
        <row r="1782">
          <cell r="N1782">
            <v>-7</v>
          </cell>
        </row>
        <row r="1783">
          <cell r="N1783">
            <v>-6</v>
          </cell>
        </row>
        <row r="1784">
          <cell r="N1784">
            <v>-45.405000000000001</v>
          </cell>
        </row>
        <row r="1785">
          <cell r="N1785">
            <v>-15</v>
          </cell>
        </row>
        <row r="1786">
          <cell r="N1786">
            <v>-15.723000000000001</v>
          </cell>
        </row>
        <row r="1787">
          <cell r="N1787">
            <v>-54.238999999999997</v>
          </cell>
        </row>
        <row r="1788">
          <cell r="N1788">
            <v>-40.75</v>
          </cell>
        </row>
        <row r="1789">
          <cell r="N1789">
            <v>-37.51</v>
          </cell>
        </row>
        <row r="1790">
          <cell r="N1790">
            <v>-53.781999999999996</v>
          </cell>
        </row>
        <row r="1791">
          <cell r="N1791">
            <v>-17.625</v>
          </cell>
        </row>
        <row r="1792">
          <cell r="N1792">
            <v>-40.590000000000003</v>
          </cell>
        </row>
        <row r="1793">
          <cell r="N1793">
            <v>-45.198999999999998</v>
          </cell>
        </row>
        <row r="1794">
          <cell r="N1794">
            <v>-16.038</v>
          </cell>
        </row>
        <row r="1795">
          <cell r="N1795">
            <v>-19.588999999999999</v>
          </cell>
        </row>
        <row r="1796">
          <cell r="N1796">
            <v>-26.725000000000001</v>
          </cell>
        </row>
        <row r="1797">
          <cell r="N1797">
            <v>-21.77</v>
          </cell>
        </row>
        <row r="1798">
          <cell r="N1798">
            <v>-19.562000000000001</v>
          </cell>
        </row>
        <row r="1799">
          <cell r="N1799">
            <v>-12.007999999999999</v>
          </cell>
        </row>
        <row r="1800">
          <cell r="N1800">
            <v>-21.411999999999999</v>
          </cell>
        </row>
        <row r="1801">
          <cell r="N1801">
            <v>-11.574</v>
          </cell>
        </row>
        <row r="1802">
          <cell r="N1802">
            <v>-15.420999999999999</v>
          </cell>
        </row>
        <row r="1803">
          <cell r="N1803">
            <v>-45.122</v>
          </cell>
        </row>
        <row r="1804">
          <cell r="N1804">
            <v>-79.728999999999999</v>
          </cell>
        </row>
        <row r="1805">
          <cell r="N1805">
            <v>-14.513</v>
          </cell>
        </row>
        <row r="1806">
          <cell r="N1806">
            <v>-51.093000000000004</v>
          </cell>
        </row>
        <row r="1807">
          <cell r="N1807">
            <v>-56.719000000000001</v>
          </cell>
        </row>
        <row r="1808">
          <cell r="N1808">
            <v>-48.567</v>
          </cell>
        </row>
        <row r="1809">
          <cell r="N1809">
            <v>-13.648999999999999</v>
          </cell>
        </row>
        <row r="1810">
          <cell r="N1810">
            <v>-45.578000000000003</v>
          </cell>
        </row>
        <row r="1811">
          <cell r="N1811">
            <v>-16.759</v>
          </cell>
        </row>
        <row r="1812">
          <cell r="N1812">
            <v>-17.975999999999999</v>
          </cell>
        </row>
        <row r="1813">
          <cell r="N1813">
            <v>-17.623000000000001</v>
          </cell>
        </row>
        <row r="1814">
          <cell r="N1814">
            <v>-14.781000000000001</v>
          </cell>
        </row>
        <row r="1815">
          <cell r="N1815">
            <v>-49.341000000000001</v>
          </cell>
        </row>
        <row r="1816">
          <cell r="N1816">
            <v>-37.445999999999998</v>
          </cell>
        </row>
        <row r="1817">
          <cell r="N1817">
            <v>-15.377000000000001</v>
          </cell>
        </row>
        <row r="1818">
          <cell r="N1818">
            <v>-21</v>
          </cell>
        </row>
        <row r="1819">
          <cell r="N1819">
            <v>-15</v>
          </cell>
        </row>
        <row r="1820">
          <cell r="N1820">
            <v>-25</v>
          </cell>
        </row>
        <row r="1821">
          <cell r="N1821">
            <v>-47.987000000000002</v>
          </cell>
        </row>
        <row r="1822">
          <cell r="N1822">
            <v>-50.954999999999998</v>
          </cell>
        </row>
        <row r="1823">
          <cell r="N1823">
            <v>-39.493000000000002</v>
          </cell>
        </row>
        <row r="1824">
          <cell r="N1824">
            <v>-14.223000000000001</v>
          </cell>
        </row>
        <row r="1825">
          <cell r="N1825">
            <v>-12.958</v>
          </cell>
        </row>
        <row r="1826">
          <cell r="N1826">
            <v>-35.277999999999999</v>
          </cell>
        </row>
        <row r="1827">
          <cell r="N1827">
            <v>-18.013000000000002</v>
          </cell>
        </row>
        <row r="1828">
          <cell r="N1828">
            <v>-19.135999999999999</v>
          </cell>
        </row>
        <row r="1829">
          <cell r="N1829">
            <v>-12.613</v>
          </cell>
        </row>
        <row r="1830">
          <cell r="N1830">
            <v>-36.323999999999998</v>
          </cell>
        </row>
        <row r="1831">
          <cell r="N1831">
            <v>-15.837999999999999</v>
          </cell>
        </row>
        <row r="1832">
          <cell r="N1832">
            <v>-14.34</v>
          </cell>
        </row>
        <row r="1833">
          <cell r="N1833">
            <v>-3.8290000000000002</v>
          </cell>
        </row>
        <row r="1834">
          <cell r="N1834">
            <v>-47.401000000000003</v>
          </cell>
        </row>
        <row r="1835">
          <cell r="N1835">
            <v>-51.58</v>
          </cell>
        </row>
        <row r="1836">
          <cell r="N1836">
            <v>-21.477</v>
          </cell>
        </row>
        <row r="1837">
          <cell r="N1837">
            <v>-3.794</v>
          </cell>
        </row>
        <row r="1838">
          <cell r="N1838">
            <v>-53.735999999999997</v>
          </cell>
        </row>
        <row r="1839">
          <cell r="N1839">
            <v>-42.018999999999998</v>
          </cell>
        </row>
        <row r="1840">
          <cell r="N1840">
            <v>-14.848000000000001</v>
          </cell>
        </row>
        <row r="1841">
          <cell r="N1841">
            <v>-34.872999999999998</v>
          </cell>
        </row>
        <row r="1842">
          <cell r="N1842">
            <v>-36.588000000000001</v>
          </cell>
        </row>
        <row r="1843">
          <cell r="N1843">
            <v>-15.757</v>
          </cell>
        </row>
        <row r="1844">
          <cell r="N1844">
            <v>-46.395000000000003</v>
          </cell>
        </row>
        <row r="1845">
          <cell r="N1845">
            <v>-13.148</v>
          </cell>
        </row>
        <row r="1846">
          <cell r="N1846">
            <v>-48.904000000000003</v>
          </cell>
        </row>
        <row r="1847">
          <cell r="N1847">
            <v>-16.587</v>
          </cell>
        </row>
        <row r="1848">
          <cell r="N1848">
            <v>-14.686</v>
          </cell>
        </row>
        <row r="1849">
          <cell r="N1849">
            <v>-53.554000000000002</v>
          </cell>
        </row>
        <row r="1850">
          <cell r="N1850">
            <v>-47.726999999999997</v>
          </cell>
        </row>
        <row r="1851">
          <cell r="N1851">
            <v>-19.696999999999999</v>
          </cell>
        </row>
        <row r="1852">
          <cell r="N1852">
            <v>-21.423999999999999</v>
          </cell>
        </row>
        <row r="1853">
          <cell r="N1853">
            <v>-14.686</v>
          </cell>
        </row>
        <row r="1854">
          <cell r="N1854">
            <v>-56.011000000000003</v>
          </cell>
        </row>
        <row r="1855">
          <cell r="N1855">
            <v>-3.1789999999999998</v>
          </cell>
        </row>
        <row r="1856">
          <cell r="N1856">
            <v>-43.426000000000002</v>
          </cell>
        </row>
        <row r="1857">
          <cell r="N1857">
            <v>-19.088999999999999</v>
          </cell>
        </row>
        <row r="1858">
          <cell r="N1858">
            <v>-3.9860000000000002</v>
          </cell>
        </row>
        <row r="1859">
          <cell r="N1859">
            <v>-19.175000000000001</v>
          </cell>
        </row>
        <row r="1860">
          <cell r="N1860">
            <v>-53.491</v>
          </cell>
        </row>
        <row r="1861">
          <cell r="N1861">
            <v>-13.666</v>
          </cell>
        </row>
        <row r="1862">
          <cell r="N1862">
            <v>-20.006</v>
          </cell>
        </row>
        <row r="1863">
          <cell r="N1863">
            <v>-45.097000000000001</v>
          </cell>
        </row>
        <row r="1864">
          <cell r="N1864">
            <v>-51.402999999999999</v>
          </cell>
        </row>
        <row r="1865">
          <cell r="N1865">
            <v>-31.802</v>
          </cell>
        </row>
        <row r="1866">
          <cell r="N1866">
            <v>-15.032</v>
          </cell>
        </row>
        <row r="1867">
          <cell r="N1867">
            <v>-45.883000000000003</v>
          </cell>
        </row>
        <row r="1868">
          <cell r="N1868">
            <v>-13.821999999999999</v>
          </cell>
        </row>
        <row r="1869">
          <cell r="N1869">
            <v>-12.411</v>
          </cell>
        </row>
        <row r="1870">
          <cell r="N1870">
            <v>-57.378</v>
          </cell>
        </row>
        <row r="1871">
          <cell r="N1871">
            <v>-47.265999999999998</v>
          </cell>
        </row>
        <row r="1872">
          <cell r="N1872">
            <v>-11.853</v>
          </cell>
        </row>
        <row r="1873">
          <cell r="N1873">
            <v>-32.351999999999997</v>
          </cell>
        </row>
        <row r="1874">
          <cell r="N1874">
            <v>-14.513</v>
          </cell>
        </row>
        <row r="1875">
          <cell r="N1875">
            <v>-21.943000000000001</v>
          </cell>
        </row>
        <row r="1876">
          <cell r="N1876">
            <v>-9.2029999999999994</v>
          </cell>
        </row>
        <row r="1877">
          <cell r="N1877">
            <v>-22.864999999999998</v>
          </cell>
        </row>
        <row r="1878">
          <cell r="N1878">
            <v>-53.305</v>
          </cell>
        </row>
        <row r="1879">
          <cell r="N1879">
            <v>-51.959000000000003</v>
          </cell>
        </row>
        <row r="1880">
          <cell r="N1880">
            <v>-15.170999999999999</v>
          </cell>
        </row>
        <row r="1881">
          <cell r="N1881">
            <v>-17.277999999999999</v>
          </cell>
        </row>
        <row r="1882">
          <cell r="N1882">
            <v>-13.821999999999999</v>
          </cell>
        </row>
        <row r="1883">
          <cell r="N1883">
            <v>-37.859000000000002</v>
          </cell>
        </row>
        <row r="1884">
          <cell r="N1884">
            <v>-18.141999999999999</v>
          </cell>
        </row>
        <row r="1885">
          <cell r="N1885">
            <v>-51.048000000000002</v>
          </cell>
        </row>
        <row r="1886">
          <cell r="N1886">
            <v>-14.513</v>
          </cell>
        </row>
        <row r="1887">
          <cell r="N1887">
            <v>-55.48</v>
          </cell>
        </row>
        <row r="1888">
          <cell r="N1888">
            <v>-52.938000000000002</v>
          </cell>
        </row>
        <row r="1889">
          <cell r="N1889">
            <v>-63.405999999999999</v>
          </cell>
        </row>
        <row r="1890">
          <cell r="N1890">
            <v>-17.105</v>
          </cell>
        </row>
        <row r="1891">
          <cell r="N1891">
            <v>-13.387</v>
          </cell>
        </row>
        <row r="1892">
          <cell r="N1892">
            <v>-18.963999999999999</v>
          </cell>
        </row>
        <row r="1893">
          <cell r="N1893">
            <v>-53.951999999999998</v>
          </cell>
        </row>
        <row r="1894">
          <cell r="N1894">
            <v>-40.247</v>
          </cell>
        </row>
        <row r="1895">
          <cell r="N1895">
            <v>-34.997</v>
          </cell>
        </row>
        <row r="1896">
          <cell r="N1896">
            <v>-12.613</v>
          </cell>
        </row>
        <row r="1897">
          <cell r="N1897">
            <v>-23.484999999999999</v>
          </cell>
        </row>
        <row r="1898">
          <cell r="N1898">
            <v>-10</v>
          </cell>
        </row>
        <row r="1899">
          <cell r="N1899">
            <v>-42.042999999999999</v>
          </cell>
        </row>
        <row r="1900">
          <cell r="N1900">
            <v>-43.11</v>
          </cell>
        </row>
        <row r="1901">
          <cell r="N1901">
            <v>-58.137999999999998</v>
          </cell>
        </row>
        <row r="1902">
          <cell r="N1902">
            <v>-46.768999999999998</v>
          </cell>
        </row>
        <row r="1903">
          <cell r="N1903">
            <v>-8.5670000000000002</v>
          </cell>
        </row>
        <row r="1904">
          <cell r="N1904">
            <v>-54.183</v>
          </cell>
        </row>
        <row r="1905">
          <cell r="N1905">
            <v>-11.433999999999999</v>
          </cell>
        </row>
        <row r="1906">
          <cell r="N1906">
            <v>-36.207000000000001</v>
          </cell>
        </row>
        <row r="1907">
          <cell r="N1907">
            <v>-43.429000000000002</v>
          </cell>
        </row>
        <row r="1908">
          <cell r="N1908">
            <v>-15.377000000000001</v>
          </cell>
        </row>
        <row r="1909">
          <cell r="N1909">
            <v>-29.396999999999998</v>
          </cell>
        </row>
        <row r="1910">
          <cell r="N1910">
            <v>-34.829000000000001</v>
          </cell>
        </row>
        <row r="1911">
          <cell r="N1911">
            <v>-51.58</v>
          </cell>
        </row>
        <row r="1912">
          <cell r="N1912">
            <v>-12.829000000000001</v>
          </cell>
        </row>
        <row r="1913">
          <cell r="N1913">
            <v>-11.503</v>
          </cell>
        </row>
        <row r="1914">
          <cell r="N1914">
            <v>-35.932000000000002</v>
          </cell>
        </row>
        <row r="1915">
          <cell r="N1915">
            <v>-33.040999999999997</v>
          </cell>
        </row>
        <row r="1916">
          <cell r="N1916">
            <v>-33.491</v>
          </cell>
        </row>
        <row r="1917">
          <cell r="N1917">
            <v>-2.98</v>
          </cell>
        </row>
        <row r="1918">
          <cell r="N1918">
            <v>-57.2</v>
          </cell>
        </row>
        <row r="1919">
          <cell r="N1919">
            <v>-14.513</v>
          </cell>
        </row>
        <row r="1920">
          <cell r="N1920">
            <v>-49.912999999999997</v>
          </cell>
        </row>
        <row r="1921">
          <cell r="N1921">
            <v>-29.873999999999999</v>
          </cell>
        </row>
        <row r="1922">
          <cell r="N1922">
            <v>-18.314</v>
          </cell>
        </row>
        <row r="1923">
          <cell r="N1923">
            <v>-29.599</v>
          </cell>
        </row>
        <row r="1924">
          <cell r="N1924">
            <v>-47.246000000000002</v>
          </cell>
        </row>
        <row r="1925">
          <cell r="N1925">
            <v>-47.61</v>
          </cell>
        </row>
        <row r="1926">
          <cell r="N1926">
            <v>-13.994999999999999</v>
          </cell>
        </row>
        <row r="1927">
          <cell r="N1927">
            <v>-17.152000000000001</v>
          </cell>
        </row>
        <row r="1928">
          <cell r="N1928">
            <v>-13.805</v>
          </cell>
        </row>
        <row r="1929">
          <cell r="N1929">
            <v>-6.9130000000000003</v>
          </cell>
        </row>
        <row r="1930">
          <cell r="N1930">
            <v>-17.105</v>
          </cell>
        </row>
        <row r="1931">
          <cell r="N1931">
            <v>-11.564</v>
          </cell>
        </row>
        <row r="1932">
          <cell r="N1932">
            <v>-51.402999999999999</v>
          </cell>
        </row>
        <row r="1933">
          <cell r="N1933">
            <v>-50.262999999999998</v>
          </cell>
        </row>
        <row r="1934">
          <cell r="N1934">
            <v>-52.569000000000003</v>
          </cell>
        </row>
        <row r="1935">
          <cell r="N1935">
            <v>-16.454000000000001</v>
          </cell>
        </row>
        <row r="1936">
          <cell r="N1936">
            <v>-13.131</v>
          </cell>
        </row>
        <row r="1937">
          <cell r="N1937">
            <v>-32.911999999999999</v>
          </cell>
        </row>
        <row r="1938">
          <cell r="N1938">
            <v>-31.388999999999999</v>
          </cell>
        </row>
        <row r="1939">
          <cell r="N1939">
            <v>-13.821999999999999</v>
          </cell>
        </row>
        <row r="1940">
          <cell r="N1940">
            <v>-19.350999999999999</v>
          </cell>
        </row>
        <row r="1941">
          <cell r="N1941">
            <v>-41.298999999999999</v>
          </cell>
        </row>
        <row r="1942">
          <cell r="N1942">
            <v>-16.594000000000001</v>
          </cell>
        </row>
        <row r="1943">
          <cell r="N1943">
            <v>-51.756999999999998</v>
          </cell>
        </row>
        <row r="1944">
          <cell r="N1944">
            <v>-14.686</v>
          </cell>
        </row>
        <row r="1945">
          <cell r="N1945">
            <v>-20.45</v>
          </cell>
        </row>
        <row r="1946">
          <cell r="N1946">
            <v>-15.032</v>
          </cell>
        </row>
        <row r="1947">
          <cell r="N1947">
            <v>-30.585999999999999</v>
          </cell>
        </row>
        <row r="1948">
          <cell r="N1948">
            <v>-40.167000000000002</v>
          </cell>
        </row>
        <row r="1949">
          <cell r="N1949">
            <v>-41.417999999999999</v>
          </cell>
        </row>
        <row r="1950">
          <cell r="N1950">
            <v>-25.15</v>
          </cell>
        </row>
        <row r="1951">
          <cell r="N1951">
            <v>-4</v>
          </cell>
        </row>
        <row r="1952">
          <cell r="N1952">
            <v>-3.5920000000000001</v>
          </cell>
        </row>
        <row r="1953">
          <cell r="N1953">
            <v>-8</v>
          </cell>
        </row>
        <row r="1954">
          <cell r="N1954">
            <v>-8</v>
          </cell>
        </row>
        <row r="1955">
          <cell r="N1955">
            <v>-5.0000000000000001E-3</v>
          </cell>
        </row>
        <row r="1956">
          <cell r="N1956">
            <v>-12.403</v>
          </cell>
        </row>
        <row r="1957">
          <cell r="N1957">
            <v>-4.1980000000000004</v>
          </cell>
        </row>
        <row r="1958">
          <cell r="N1958">
            <v>-0.48199999999999998</v>
          </cell>
        </row>
        <row r="1959">
          <cell r="N1959">
            <v>-3.1070000000000002</v>
          </cell>
        </row>
        <row r="1960">
          <cell r="N1960">
            <v>-1.593</v>
          </cell>
        </row>
        <row r="1961">
          <cell r="N1961">
            <v>-0.437</v>
          </cell>
        </row>
        <row r="1962">
          <cell r="N1962">
            <v>-4.4509999999999996</v>
          </cell>
        </row>
        <row r="1963">
          <cell r="N1963">
            <v>-1.208</v>
          </cell>
        </row>
        <row r="1964">
          <cell r="N1964">
            <v>-2.8290000000000002</v>
          </cell>
        </row>
        <row r="1965">
          <cell r="N1965">
            <v>-4.3150000000000004</v>
          </cell>
        </row>
        <row r="1966">
          <cell r="N1966">
            <v>-4.1399999999999997</v>
          </cell>
        </row>
        <row r="1967">
          <cell r="N1967">
            <v>-4.2949999999999999</v>
          </cell>
        </row>
        <row r="1968">
          <cell r="N1968">
            <v>-1.1819999999999999</v>
          </cell>
        </row>
        <row r="1969">
          <cell r="N1969">
            <v>-1.3620000000000001</v>
          </cell>
        </row>
        <row r="1970">
          <cell r="N1970">
            <v>-4.431</v>
          </cell>
        </row>
        <row r="1971">
          <cell r="N1971">
            <v>-0.42099999999999999</v>
          </cell>
        </row>
        <row r="1972">
          <cell r="N1972">
            <v>-4.3339999999999996</v>
          </cell>
        </row>
        <row r="1973">
          <cell r="N1973">
            <v>-1.208</v>
          </cell>
        </row>
        <row r="1974">
          <cell r="N1974">
            <v>-4.101</v>
          </cell>
        </row>
        <row r="1975">
          <cell r="N1975">
            <v>-1.4390000000000001</v>
          </cell>
        </row>
        <row r="1976">
          <cell r="N1976">
            <v>-2.34</v>
          </cell>
        </row>
        <row r="1977">
          <cell r="N1977">
            <v>-4.0229999999999997</v>
          </cell>
        </row>
        <row r="1978">
          <cell r="N1978">
            <v>-0.86499999999999999</v>
          </cell>
        </row>
        <row r="1979">
          <cell r="N1979">
            <v>-4.1790000000000003</v>
          </cell>
        </row>
        <row r="1980">
          <cell r="N1980">
            <v>-2.2349999999999999</v>
          </cell>
        </row>
        <row r="1981">
          <cell r="N1981">
            <v>-4.0620000000000003</v>
          </cell>
        </row>
        <row r="1982">
          <cell r="N1982">
            <v>-0.69399999999999995</v>
          </cell>
        </row>
        <row r="1983">
          <cell r="N1983">
            <v>-2.1789999999999998</v>
          </cell>
        </row>
        <row r="1984">
          <cell r="N1984">
            <v>-1.667</v>
          </cell>
        </row>
        <row r="1985">
          <cell r="N1985">
            <v>-3.673</v>
          </cell>
        </row>
        <row r="1986">
          <cell r="N1986">
            <v>-1.923</v>
          </cell>
        </row>
        <row r="1987">
          <cell r="N1987">
            <v>-1.5029999999999999</v>
          </cell>
        </row>
        <row r="1988">
          <cell r="N1988">
            <v>-1.506</v>
          </cell>
        </row>
        <row r="1989">
          <cell r="N1989">
            <v>-4.8390000000000004</v>
          </cell>
        </row>
        <row r="1990">
          <cell r="N1990">
            <v>-1.7310000000000001</v>
          </cell>
        </row>
        <row r="1991">
          <cell r="N1991">
            <v>-1.105</v>
          </cell>
        </row>
        <row r="1992">
          <cell r="N1992">
            <v>-0.95099999999999996</v>
          </cell>
        </row>
        <row r="1993">
          <cell r="N1993">
            <v>-4.431</v>
          </cell>
        </row>
        <row r="1994">
          <cell r="N1994">
            <v>-4.2169999999999996</v>
          </cell>
        </row>
        <row r="1995">
          <cell r="N1995">
            <v>-3.7320000000000002</v>
          </cell>
        </row>
        <row r="1996">
          <cell r="N1996">
            <v>-1.028</v>
          </cell>
        </row>
        <row r="1997">
          <cell r="N1997">
            <v>-2.1469999999999998</v>
          </cell>
        </row>
        <row r="1998">
          <cell r="N1998">
            <v>-3.056</v>
          </cell>
        </row>
        <row r="1999">
          <cell r="N1999">
            <v>-0.77100000000000002</v>
          </cell>
        </row>
        <row r="2000">
          <cell r="N2000">
            <v>-1.7090000000000001</v>
          </cell>
        </row>
        <row r="2001">
          <cell r="N2001">
            <v>-3.8479999999999999</v>
          </cell>
        </row>
        <row r="2002">
          <cell r="N2002">
            <v>-1.9550000000000001</v>
          </cell>
        </row>
        <row r="2003">
          <cell r="N2003">
            <v>-0.65500000000000003</v>
          </cell>
        </row>
        <row r="2004">
          <cell r="N2004">
            <v>-4.1399999999999997</v>
          </cell>
        </row>
        <row r="2005">
          <cell r="N2005">
            <v>-2.34</v>
          </cell>
        </row>
        <row r="2006">
          <cell r="N2006">
            <v>-1.298</v>
          </cell>
        </row>
        <row r="2007">
          <cell r="N2007">
            <v>-4.2169999999999996</v>
          </cell>
        </row>
        <row r="2008">
          <cell r="N2008">
            <v>-2.968</v>
          </cell>
        </row>
        <row r="2009">
          <cell r="N2009">
            <v>-1.028</v>
          </cell>
        </row>
        <row r="2010">
          <cell r="N2010">
            <v>-1.49</v>
          </cell>
        </row>
        <row r="2011">
          <cell r="N2011">
            <v>-1.5549999999999999</v>
          </cell>
        </row>
        <row r="2012">
          <cell r="N2012">
            <v>-1.1180000000000001</v>
          </cell>
        </row>
        <row r="2013">
          <cell r="N2013">
            <v>-2.88</v>
          </cell>
        </row>
        <row r="2014">
          <cell r="N2014">
            <v>-4.0229999999999997</v>
          </cell>
        </row>
        <row r="2015">
          <cell r="N2015">
            <v>-1.349</v>
          </cell>
        </row>
        <row r="2016">
          <cell r="N2016">
            <v>-1.2210000000000001</v>
          </cell>
        </row>
        <row r="2017">
          <cell r="N2017">
            <v>-1.105</v>
          </cell>
        </row>
        <row r="2018">
          <cell r="N2018">
            <v>-1.506</v>
          </cell>
        </row>
        <row r="2019">
          <cell r="N2019">
            <v>-1.593</v>
          </cell>
        </row>
        <row r="2020">
          <cell r="N2020">
            <v>-1.028</v>
          </cell>
        </row>
        <row r="2021">
          <cell r="N2021">
            <v>-1.1559999999999999</v>
          </cell>
        </row>
        <row r="2022">
          <cell r="N2022">
            <v>-1.5549999999999999</v>
          </cell>
        </row>
        <row r="2023">
          <cell r="N2023">
            <v>-1.506</v>
          </cell>
        </row>
        <row r="2024">
          <cell r="N2024">
            <v>-1.2849999999999999</v>
          </cell>
        </row>
        <row r="2025">
          <cell r="N2025">
            <v>-1.3779999999999999</v>
          </cell>
        </row>
        <row r="2026">
          <cell r="N2026">
            <v>-1.516</v>
          </cell>
        </row>
        <row r="2027">
          <cell r="N2027">
            <v>-1.143</v>
          </cell>
        </row>
        <row r="2028">
          <cell r="N2028">
            <v>-1.7629999999999999</v>
          </cell>
        </row>
        <row r="2029">
          <cell r="N2029">
            <v>-1.1559999999999999</v>
          </cell>
        </row>
        <row r="2030">
          <cell r="N2030">
            <v>-1.6990000000000001</v>
          </cell>
        </row>
        <row r="2031">
          <cell r="N2031">
            <v>-1.4770000000000001</v>
          </cell>
        </row>
        <row r="2032">
          <cell r="N2032">
            <v>-1.3620000000000001</v>
          </cell>
        </row>
        <row r="2033">
          <cell r="N2033">
            <v>-1.827</v>
          </cell>
        </row>
        <row r="2034">
          <cell r="N2034">
            <v>-1.452</v>
          </cell>
        </row>
        <row r="2035">
          <cell r="N2035">
            <v>-1.1819999999999999</v>
          </cell>
        </row>
        <row r="2036">
          <cell r="N2036">
            <v>-2.3069999999999999</v>
          </cell>
        </row>
        <row r="2037">
          <cell r="N2037">
            <v>-1.593</v>
          </cell>
        </row>
        <row r="2038">
          <cell r="N2038">
            <v>-1.516</v>
          </cell>
        </row>
        <row r="2039">
          <cell r="N2039">
            <v>-1.4259999999999999</v>
          </cell>
        </row>
        <row r="2040">
          <cell r="N2040">
            <v>-1.7310000000000001</v>
          </cell>
        </row>
        <row r="2041">
          <cell r="N2041">
            <v>-0.86099999999999999</v>
          </cell>
        </row>
        <row r="2042">
          <cell r="N2042">
            <v>-1.859</v>
          </cell>
        </row>
        <row r="2043">
          <cell r="N2043">
            <v>-1.4390000000000001</v>
          </cell>
        </row>
        <row r="2044">
          <cell r="N2044">
            <v>-1.375</v>
          </cell>
        </row>
        <row r="2045">
          <cell r="N2045">
            <v>-0.64200000000000002</v>
          </cell>
        </row>
        <row r="2046">
          <cell r="N2046">
            <v>-1.923</v>
          </cell>
        </row>
        <row r="2047">
          <cell r="N2047">
            <v>-1.4259999999999999</v>
          </cell>
        </row>
        <row r="2048">
          <cell r="N2048">
            <v>-0.91200000000000003</v>
          </cell>
        </row>
        <row r="2049">
          <cell r="N2049">
            <v>-1.0149999999999999</v>
          </cell>
        </row>
        <row r="2050">
          <cell r="N2050">
            <v>-26.922000000000001</v>
          </cell>
        </row>
        <row r="2051">
          <cell r="N2051">
            <v>-0.32100000000000001</v>
          </cell>
        </row>
        <row r="2052">
          <cell r="N2052">
            <v>-25</v>
          </cell>
        </row>
        <row r="2053">
          <cell r="N2053">
            <v>-1.57</v>
          </cell>
        </row>
        <row r="2054">
          <cell r="N2054">
            <v>-0.89900000000000002</v>
          </cell>
        </row>
        <row r="2055">
          <cell r="N2055">
            <v>-1.667</v>
          </cell>
        </row>
        <row r="2056">
          <cell r="N2056">
            <v>-1.5029999999999999</v>
          </cell>
        </row>
        <row r="2057">
          <cell r="N2057">
            <v>-1.6060000000000001</v>
          </cell>
        </row>
        <row r="2058">
          <cell r="N2058">
            <v>-1.667</v>
          </cell>
        </row>
        <row r="2059">
          <cell r="N2059">
            <v>-0.505</v>
          </cell>
        </row>
        <row r="2060">
          <cell r="N2060">
            <v>-1.208</v>
          </cell>
        </row>
        <row r="2061">
          <cell r="N2061">
            <v>-0.89900000000000002</v>
          </cell>
        </row>
        <row r="2062">
          <cell r="N2062">
            <v>-0.60899999999999999</v>
          </cell>
        </row>
        <row r="2063">
          <cell r="N2063">
            <v>-1.079</v>
          </cell>
        </row>
        <row r="2064">
          <cell r="N2064">
            <v>-1.49</v>
          </cell>
        </row>
        <row r="2065">
          <cell r="N2065">
            <v>-2.0830000000000002</v>
          </cell>
        </row>
        <row r="2066">
          <cell r="N2066">
            <v>-1.0529999999999999</v>
          </cell>
        </row>
        <row r="2067">
          <cell r="N2067">
            <v>-1.3620000000000001</v>
          </cell>
        </row>
        <row r="2068">
          <cell r="N2068">
            <v>-1.169</v>
          </cell>
        </row>
        <row r="2069">
          <cell r="N2069">
            <v>-1.2330000000000001</v>
          </cell>
        </row>
        <row r="2070">
          <cell r="N2070">
            <v>-1.1180000000000001</v>
          </cell>
        </row>
        <row r="2071">
          <cell r="N2071">
            <v>-1.452</v>
          </cell>
        </row>
        <row r="2072">
          <cell r="N2072">
            <v>-0.89900000000000002</v>
          </cell>
        </row>
        <row r="2073">
          <cell r="N2073">
            <v>-0.99199999999999999</v>
          </cell>
        </row>
        <row r="2074">
          <cell r="N2074">
            <v>-1.516</v>
          </cell>
        </row>
        <row r="2075">
          <cell r="N2075">
            <v>-1.375</v>
          </cell>
        </row>
        <row r="2076">
          <cell r="N2076">
            <v>-1.542</v>
          </cell>
        </row>
        <row r="2077">
          <cell r="N2077">
            <v>-1.208</v>
          </cell>
        </row>
        <row r="2078">
          <cell r="N2078">
            <v>-1.58</v>
          </cell>
        </row>
        <row r="2079">
          <cell r="N2079">
            <v>-1.49</v>
          </cell>
        </row>
        <row r="2080">
          <cell r="N2080">
            <v>-1.0660000000000001</v>
          </cell>
        </row>
        <row r="2081">
          <cell r="N2081">
            <v>-2.1469999999999998</v>
          </cell>
        </row>
        <row r="2082">
          <cell r="N2082">
            <v>-0.96099999999999997</v>
          </cell>
        </row>
        <row r="2083">
          <cell r="N2083">
            <v>-1.208</v>
          </cell>
        </row>
        <row r="2084">
          <cell r="N2084">
            <v>-0.89700000000000002</v>
          </cell>
        </row>
        <row r="2085">
          <cell r="N2085">
            <v>-1.516</v>
          </cell>
        </row>
        <row r="2086">
          <cell r="N2086">
            <v>-1.667</v>
          </cell>
        </row>
        <row r="2087">
          <cell r="N2087">
            <v>-1.58</v>
          </cell>
        </row>
        <row r="2088">
          <cell r="N2088">
            <v>-2.0190000000000001</v>
          </cell>
        </row>
        <row r="2089">
          <cell r="N2089">
            <v>-1.2210000000000001</v>
          </cell>
        </row>
        <row r="2090">
          <cell r="N2090">
            <v>-0.97599999999999998</v>
          </cell>
        </row>
        <row r="2091">
          <cell r="N2091">
            <v>-1.6020000000000001</v>
          </cell>
        </row>
        <row r="2092">
          <cell r="N2092">
            <v>-1.667</v>
          </cell>
        </row>
        <row r="2093">
          <cell r="N2093">
            <v>-1.375</v>
          </cell>
        </row>
        <row r="2094">
          <cell r="N2094">
            <v>-1.58</v>
          </cell>
        </row>
        <row r="2095">
          <cell r="N2095">
            <v>-2.468</v>
          </cell>
        </row>
        <row r="2096">
          <cell r="N2096">
            <v>-1.0609999999999999</v>
          </cell>
        </row>
        <row r="2097">
          <cell r="N2097">
            <v>-0.96399999999999997</v>
          </cell>
        </row>
        <row r="2098">
          <cell r="N2098">
            <v>-1.143</v>
          </cell>
        </row>
        <row r="2099">
          <cell r="N2099">
            <v>-1.198</v>
          </cell>
        </row>
        <row r="2100">
          <cell r="N2100">
            <v>-1.2330000000000001</v>
          </cell>
        </row>
        <row r="2101">
          <cell r="N2101">
            <v>-1.6319999999999999</v>
          </cell>
        </row>
        <row r="2102">
          <cell r="N2102">
            <v>-0.92500000000000004</v>
          </cell>
        </row>
        <row r="2103">
          <cell r="N2103">
            <v>-1.41</v>
          </cell>
        </row>
        <row r="2104">
          <cell r="N2104">
            <v>-1.31</v>
          </cell>
        </row>
        <row r="2105">
          <cell r="N2105">
            <v>-0.96399999999999997</v>
          </cell>
        </row>
        <row r="2106">
          <cell r="N2106">
            <v>-1.542</v>
          </cell>
        </row>
        <row r="2107">
          <cell r="N2107">
            <v>-0.20799999999999999</v>
          </cell>
        </row>
        <row r="2108">
          <cell r="N2108">
            <v>-0.752</v>
          </cell>
        </row>
        <row r="2109">
          <cell r="N2109">
            <v>-0.34399999999999997</v>
          </cell>
        </row>
        <row r="2110">
          <cell r="N2110">
            <v>-2.02</v>
          </cell>
        </row>
        <row r="2111">
          <cell r="N2111">
            <v>-0.95099999999999996</v>
          </cell>
        </row>
        <row r="2112">
          <cell r="N2112">
            <v>-0.878</v>
          </cell>
        </row>
        <row r="2113">
          <cell r="N2113">
            <v>-0.503</v>
          </cell>
        </row>
        <row r="2114">
          <cell r="N2114">
            <v>-0.61699999999999999</v>
          </cell>
        </row>
        <row r="2115">
          <cell r="N2115">
            <v>-1.248</v>
          </cell>
        </row>
        <row r="2116">
          <cell r="N2116">
            <v>-1.0529999999999999</v>
          </cell>
        </row>
        <row r="2117">
          <cell r="N2117">
            <v>-1.0660000000000001</v>
          </cell>
        </row>
        <row r="2118">
          <cell r="N2118">
            <v>-0.54800000000000004</v>
          </cell>
        </row>
        <row r="2119">
          <cell r="N2119">
            <v>-1.349</v>
          </cell>
        </row>
        <row r="2120">
          <cell r="N2120">
            <v>-0.439</v>
          </cell>
        </row>
        <row r="2121">
          <cell r="N2121">
            <v>-0.56999999999999995</v>
          </cell>
        </row>
        <row r="2122">
          <cell r="N2122">
            <v>-0.33</v>
          </cell>
        </row>
        <row r="2123">
          <cell r="N2123">
            <v>-0.63</v>
          </cell>
        </row>
        <row r="2124">
          <cell r="N2124">
            <v>-0.61099999999999999</v>
          </cell>
        </row>
        <row r="2125">
          <cell r="N2125">
            <v>-1.5669999999999999</v>
          </cell>
        </row>
        <row r="2126">
          <cell r="N2126">
            <v>-1.1299999999999999</v>
          </cell>
        </row>
        <row r="2127">
          <cell r="N2127">
            <v>-0.32100000000000001</v>
          </cell>
        </row>
        <row r="2128">
          <cell r="N2128">
            <v>-1.31</v>
          </cell>
        </row>
        <row r="2129">
          <cell r="N2129">
            <v>-0.96399999999999997</v>
          </cell>
        </row>
        <row r="2130">
          <cell r="N2130">
            <v>-1.3879999999999999</v>
          </cell>
        </row>
        <row r="2131">
          <cell r="N2131">
            <v>-1.2849999999999999</v>
          </cell>
        </row>
        <row r="2132">
          <cell r="N2132">
            <v>-1.087</v>
          </cell>
        </row>
        <row r="2133">
          <cell r="N2133">
            <v>-1.4259999999999999</v>
          </cell>
        </row>
        <row r="2134">
          <cell r="N2134">
            <v>-1.593</v>
          </cell>
        </row>
        <row r="2135">
          <cell r="N2135">
            <v>-1.002</v>
          </cell>
        </row>
        <row r="2136">
          <cell r="N2136">
            <v>-1.5669999999999999</v>
          </cell>
        </row>
        <row r="2137">
          <cell r="N2137">
            <v>-1.696</v>
          </cell>
        </row>
        <row r="2138">
          <cell r="N2138">
            <v>-1.1819999999999999</v>
          </cell>
        </row>
        <row r="2139">
          <cell r="N2139">
            <v>-0.79700000000000004</v>
          </cell>
        </row>
        <row r="2140">
          <cell r="N2140">
            <v>-1.4259999999999999</v>
          </cell>
        </row>
        <row r="2141">
          <cell r="N2141">
            <v>-1.169</v>
          </cell>
        </row>
        <row r="2142">
          <cell r="N2142">
            <v>-1.298</v>
          </cell>
        </row>
        <row r="2143">
          <cell r="N2143">
            <v>-1.079</v>
          </cell>
        </row>
        <row r="2144">
          <cell r="N2144">
            <v>-1.272</v>
          </cell>
        </row>
        <row r="2145">
          <cell r="N2145">
            <v>-1.1950000000000001</v>
          </cell>
        </row>
        <row r="2146">
          <cell r="N2146">
            <v>-1.571</v>
          </cell>
        </row>
        <row r="2147">
          <cell r="N2147">
            <v>-7.0999999999999994E-2</v>
          </cell>
        </row>
        <row r="2148">
          <cell r="N2148">
            <v>-3.5999999999999997E-2</v>
          </cell>
        </row>
        <row r="2149">
          <cell r="N2149">
            <v>-0.32</v>
          </cell>
        </row>
        <row r="2150">
          <cell r="N2150">
            <v>-22.145</v>
          </cell>
        </row>
        <row r="2151">
          <cell r="N2151">
            <v>-28.917000000000002</v>
          </cell>
        </row>
        <row r="2152">
          <cell r="N2152">
            <v>-253.39699999999999</v>
          </cell>
        </row>
        <row r="2153">
          <cell r="N2153">
            <v>-32.152000000000001</v>
          </cell>
        </row>
        <row r="2154">
          <cell r="N2154">
            <v>-48.85</v>
          </cell>
        </row>
        <row r="2155">
          <cell r="N2155">
            <v>-8.9999999999999993E-3</v>
          </cell>
        </row>
        <row r="2156">
          <cell r="N2156">
            <v>-47.767000000000003</v>
          </cell>
        </row>
        <row r="2157">
          <cell r="N2157">
            <v>-9.5169999999999995</v>
          </cell>
        </row>
        <row r="2158">
          <cell r="N2158">
            <v>-40.996000000000002</v>
          </cell>
        </row>
        <row r="2159">
          <cell r="N2159">
            <v>-15</v>
          </cell>
        </row>
        <row r="2160">
          <cell r="N2160">
            <v>-20.12</v>
          </cell>
        </row>
        <row r="2161">
          <cell r="N2161">
            <v>-7.2380000000000004</v>
          </cell>
        </row>
        <row r="2162">
          <cell r="N2162">
            <v>-12.16</v>
          </cell>
        </row>
        <row r="2163">
          <cell r="N2163">
            <v>-11.832000000000001</v>
          </cell>
        </row>
        <row r="2164">
          <cell r="N2164">
            <v>-16</v>
          </cell>
        </row>
        <row r="2165">
          <cell r="N2165">
            <v>-8</v>
          </cell>
        </row>
        <row r="2166">
          <cell r="N2166">
            <v>-16</v>
          </cell>
        </row>
        <row r="2167">
          <cell r="N2167">
            <v>-148.75</v>
          </cell>
        </row>
        <row r="2168">
          <cell r="N2168">
            <v>-604.976</v>
          </cell>
        </row>
        <row r="2169">
          <cell r="N2169">
            <v>-149.40100000000001</v>
          </cell>
        </row>
        <row r="2170">
          <cell r="N2170">
            <v>-80.935000000000002</v>
          </cell>
        </row>
        <row r="2171">
          <cell r="N2171">
            <v>-1426.89</v>
          </cell>
        </row>
        <row r="2172">
          <cell r="N2172">
            <v>-1176.1099999999999</v>
          </cell>
        </row>
        <row r="2173">
          <cell r="N2173">
            <v>-1.1759999999999999</v>
          </cell>
        </row>
        <row r="2174">
          <cell r="N2174">
            <v>-245</v>
          </cell>
        </row>
        <row r="2175">
          <cell r="N2175">
            <v>-32.689</v>
          </cell>
        </row>
        <row r="2176">
          <cell r="N2176">
            <v>-121.557</v>
          </cell>
        </row>
        <row r="2177">
          <cell r="N2177">
            <v>-180</v>
          </cell>
        </row>
        <row r="2178">
          <cell r="N2178">
            <v>-13.443</v>
          </cell>
        </row>
        <row r="2179">
          <cell r="N2179">
            <v>-1765.5989999999999</v>
          </cell>
        </row>
        <row r="2180">
          <cell r="N2180">
            <v>-1765.598</v>
          </cell>
        </row>
        <row r="2181">
          <cell r="N2181">
            <v>-716</v>
          </cell>
        </row>
        <row r="2182">
          <cell r="N2182">
            <v>-546.09699999999998</v>
          </cell>
        </row>
        <row r="2183">
          <cell r="N2183">
            <v>-716</v>
          </cell>
        </row>
        <row r="2184">
          <cell r="N2184">
            <v>-1431.25</v>
          </cell>
        </row>
        <row r="2185">
          <cell r="N2185">
            <v>-433.19299999999998</v>
          </cell>
        </row>
        <row r="2186">
          <cell r="N2186">
            <v>-48.706000000000003</v>
          </cell>
        </row>
        <row r="2187">
          <cell r="N2187">
            <v>-1172.8340000000001</v>
          </cell>
        </row>
        <row r="2188">
          <cell r="N2188">
            <v>-847.15300000000002</v>
          </cell>
        </row>
        <row r="2189">
          <cell r="N2189">
            <v>-396.75</v>
          </cell>
        </row>
        <row r="2190">
          <cell r="N2190">
            <v>-770</v>
          </cell>
        </row>
        <row r="2191">
          <cell r="N2191">
            <v>-1000</v>
          </cell>
        </row>
        <row r="2192">
          <cell r="N2192">
            <v>-1764.1659999999999</v>
          </cell>
        </row>
        <row r="2193">
          <cell r="N2193">
            <v>-1764.1659999999999</v>
          </cell>
        </row>
        <row r="2194">
          <cell r="N2194">
            <v>-29.355</v>
          </cell>
        </row>
        <row r="2195">
          <cell r="N2195">
            <v>-422</v>
          </cell>
        </row>
        <row r="2196">
          <cell r="N2196">
            <v>-217</v>
          </cell>
        </row>
        <row r="2197">
          <cell r="N2197">
            <v>-0.14099999999999999</v>
          </cell>
        </row>
        <row r="2198">
          <cell r="N2198">
            <v>-924</v>
          </cell>
        </row>
        <row r="2199">
          <cell r="N2199">
            <v>-351</v>
          </cell>
        </row>
        <row r="2200">
          <cell r="N2200">
            <v>-14.35</v>
          </cell>
        </row>
        <row r="2201">
          <cell r="N2201">
            <v>-989.89700000000005</v>
          </cell>
        </row>
        <row r="2202">
          <cell r="N2202">
            <v>-557.76099999999997</v>
          </cell>
        </row>
        <row r="2203">
          <cell r="N2203">
            <v>-186.22900000000001</v>
          </cell>
        </row>
        <row r="2204">
          <cell r="N2204">
            <v>-251.982</v>
          </cell>
        </row>
        <row r="2205">
          <cell r="N2205">
            <v>-589.48699999999997</v>
          </cell>
        </row>
        <row r="2206">
          <cell r="N2206">
            <v>-0.10100000000000001</v>
          </cell>
        </row>
        <row r="2207">
          <cell r="N2207">
            <v>-589.48800000000006</v>
          </cell>
        </row>
        <row r="2208">
          <cell r="N2208">
            <v>-589.48800000000006</v>
          </cell>
        </row>
        <row r="2209">
          <cell r="N2209">
            <v>-659.17200000000003</v>
          </cell>
        </row>
        <row r="2210">
          <cell r="N2210">
            <v>-659.17200000000003</v>
          </cell>
        </row>
        <row r="2211">
          <cell r="N2211">
            <v>-90.254999999999995</v>
          </cell>
        </row>
        <row r="2212">
          <cell r="N2212">
            <v>-392.96800000000002</v>
          </cell>
        </row>
        <row r="2213">
          <cell r="N2213">
            <v>-62.207000000000001</v>
          </cell>
        </row>
        <row r="2214">
          <cell r="N2214">
            <v>-1267.7929999999999</v>
          </cell>
        </row>
        <row r="2215">
          <cell r="N2215">
            <v>-1000.793</v>
          </cell>
        </row>
        <row r="2216">
          <cell r="N2216">
            <v>-267.79300000000001</v>
          </cell>
        </row>
        <row r="2217">
          <cell r="N2217">
            <v>-298</v>
          </cell>
        </row>
        <row r="2218">
          <cell r="N2218">
            <v>-117.20699999999999</v>
          </cell>
        </row>
        <row r="2219">
          <cell r="N2219">
            <v>-1296.443</v>
          </cell>
        </row>
        <row r="2220">
          <cell r="N2220">
            <v>-208.07</v>
          </cell>
        </row>
        <row r="2221">
          <cell r="N2221">
            <v>-240</v>
          </cell>
        </row>
        <row r="2222">
          <cell r="N2222">
            <v>-54.685000000000002</v>
          </cell>
        </row>
        <row r="2223">
          <cell r="N2223">
            <v>-71.206999999999994</v>
          </cell>
        </row>
        <row r="2224">
          <cell r="N2224">
            <v>-477.697</v>
          </cell>
        </row>
        <row r="2225">
          <cell r="N2225">
            <v>-211.55699999999999</v>
          </cell>
        </row>
        <row r="2226">
          <cell r="N2226">
            <v>-162</v>
          </cell>
        </row>
        <row r="2227">
          <cell r="N2227">
            <v>-298</v>
          </cell>
        </row>
        <row r="2228">
          <cell r="N2228">
            <v>-292</v>
          </cell>
        </row>
        <row r="2229">
          <cell r="N2229">
            <v>-1267.7929999999999</v>
          </cell>
        </row>
        <row r="2230">
          <cell r="N2230">
            <v>-429.2</v>
          </cell>
        </row>
        <row r="2231">
          <cell r="N2231">
            <v>-214.4</v>
          </cell>
        </row>
        <row r="2232">
          <cell r="N2232">
            <v>-261</v>
          </cell>
        </row>
        <row r="2233">
          <cell r="N2233">
            <v>-144.315</v>
          </cell>
        </row>
        <row r="2234">
          <cell r="N2234">
            <v>-1151.412</v>
          </cell>
        </row>
        <row r="2235">
          <cell r="N2235">
            <v>-64.95</v>
          </cell>
        </row>
        <row r="2236">
          <cell r="N2236">
            <v>-1294.2940000000001</v>
          </cell>
        </row>
        <row r="2237">
          <cell r="N2237">
            <v>-1294.2940000000001</v>
          </cell>
        </row>
        <row r="2238">
          <cell r="N2238">
            <v>-9.5939999999999994</v>
          </cell>
        </row>
        <row r="2239">
          <cell r="N2239">
            <v>-360</v>
          </cell>
        </row>
        <row r="2240">
          <cell r="N2240">
            <v>-1000</v>
          </cell>
        </row>
        <row r="2241">
          <cell r="N2241">
            <v>-199.03299999999999</v>
          </cell>
        </row>
        <row r="2242">
          <cell r="N2242">
            <v>-1267.7929999999999</v>
          </cell>
        </row>
        <row r="2243">
          <cell r="N2243">
            <v>-162</v>
          </cell>
        </row>
        <row r="2244">
          <cell r="N2244">
            <v>-1267.7929999999999</v>
          </cell>
        </row>
        <row r="2245">
          <cell r="N2245">
            <v>-1241.8520000000001</v>
          </cell>
        </row>
        <row r="2246">
          <cell r="N2246">
            <v>-20.405999999999999</v>
          </cell>
        </row>
        <row r="2247">
          <cell r="N2247">
            <v>-1296.443</v>
          </cell>
        </row>
        <row r="2248">
          <cell r="N2248">
            <v>-1275.672</v>
          </cell>
        </row>
        <row r="2249">
          <cell r="N2249">
            <v>-1941</v>
          </cell>
        </row>
        <row r="2250">
          <cell r="N2250">
            <v>-1942</v>
          </cell>
        </row>
        <row r="2251">
          <cell r="N2251">
            <v>-1318.3440000000001</v>
          </cell>
        </row>
        <row r="2252">
          <cell r="N2252">
            <v>-80.165999999999997</v>
          </cell>
        </row>
        <row r="2253">
          <cell r="N2253">
            <v>-128</v>
          </cell>
        </row>
        <row r="2254">
          <cell r="N2254">
            <v>-22.337</v>
          </cell>
        </row>
        <row r="2255">
          <cell r="N2255">
            <v>-40.680999999999997</v>
          </cell>
        </row>
        <row r="2256">
          <cell r="N2256">
            <v>-981.399</v>
          </cell>
        </row>
        <row r="2257">
          <cell r="N2257">
            <v>-364</v>
          </cell>
        </row>
        <row r="2258">
          <cell r="N2258">
            <v>-898.17</v>
          </cell>
        </row>
        <row r="2259">
          <cell r="N2259">
            <v>-280.66300000000001</v>
          </cell>
        </row>
        <row r="2260">
          <cell r="N2260">
            <v>-1223</v>
          </cell>
        </row>
        <row r="2261">
          <cell r="N2261">
            <v>-1262.0619999999999</v>
          </cell>
        </row>
        <row r="2262">
          <cell r="N2262">
            <v>-171.904</v>
          </cell>
        </row>
        <row r="2263">
          <cell r="N2263">
            <v>-1233.6279999999999</v>
          </cell>
        </row>
        <row r="2264">
          <cell r="N2264">
            <v>-156.69999999999999</v>
          </cell>
        </row>
        <row r="2265">
          <cell r="N2265">
            <v>-1880.201</v>
          </cell>
        </row>
        <row r="2266">
          <cell r="N2266">
            <v>-1248</v>
          </cell>
        </row>
        <row r="2267">
          <cell r="N2267">
            <v>-1880.201</v>
          </cell>
        </row>
        <row r="2268">
          <cell r="N2268">
            <v>-1251.318</v>
          </cell>
        </row>
        <row r="2269">
          <cell r="N2269">
            <v>-1235.432</v>
          </cell>
        </row>
        <row r="2270">
          <cell r="N2270">
            <v>-1226.2550000000001</v>
          </cell>
        </row>
        <row r="2271">
          <cell r="N2271">
            <v>-298</v>
          </cell>
        </row>
        <row r="2272">
          <cell r="N2272">
            <v>-1204.136</v>
          </cell>
        </row>
        <row r="2273">
          <cell r="N2273">
            <v>-227.31899999999999</v>
          </cell>
        </row>
        <row r="2274">
          <cell r="N2274">
            <v>-1272.0899999999999</v>
          </cell>
        </row>
        <row r="2275">
          <cell r="N2275">
            <v>-979.48299999999995</v>
          </cell>
        </row>
        <row r="2276">
          <cell r="N2276">
            <v>-673.29100000000005</v>
          </cell>
        </row>
        <row r="2277">
          <cell r="N2277">
            <v>-580.29999999999995</v>
          </cell>
        </row>
        <row r="2278">
          <cell r="N2278">
            <v>-634</v>
          </cell>
        </row>
        <row r="2279">
          <cell r="N2279">
            <v>-1208.076</v>
          </cell>
        </row>
        <row r="2280">
          <cell r="N2280">
            <v>-733</v>
          </cell>
        </row>
        <row r="2281">
          <cell r="N2281">
            <v>-1204</v>
          </cell>
        </row>
        <row r="2282">
          <cell r="N2282">
            <v>-298</v>
          </cell>
        </row>
        <row r="2283">
          <cell r="N2283">
            <v>-16</v>
          </cell>
        </row>
        <row r="2284">
          <cell r="N2284">
            <v>-298</v>
          </cell>
        </row>
        <row r="2285">
          <cell r="N2285">
            <v>-1403.924</v>
          </cell>
        </row>
        <row r="2286">
          <cell r="N2286">
            <v>-298</v>
          </cell>
        </row>
        <row r="2287">
          <cell r="N2287">
            <v>-198</v>
          </cell>
        </row>
        <row r="2288">
          <cell r="N2288">
            <v>-298</v>
          </cell>
        </row>
        <row r="2289">
          <cell r="N2289">
            <v>-1017</v>
          </cell>
        </row>
        <row r="2290">
          <cell r="N2290">
            <v>-1176.1099999999999</v>
          </cell>
        </row>
        <row r="2291">
          <cell r="N2291">
            <v>-12</v>
          </cell>
        </row>
        <row r="2292">
          <cell r="N2292">
            <v>-315.90600000000001</v>
          </cell>
        </row>
        <row r="2293">
          <cell r="N2293">
            <v>-1893.0940000000001</v>
          </cell>
        </row>
        <row r="2294">
          <cell r="N2294">
            <v>-286.89</v>
          </cell>
        </row>
        <row r="2295">
          <cell r="N2295">
            <v>-298</v>
          </cell>
        </row>
        <row r="2296">
          <cell r="N2296">
            <v>-730</v>
          </cell>
        </row>
        <row r="2297">
          <cell r="N2297">
            <v>-334.90600000000001</v>
          </cell>
        </row>
        <row r="2298">
          <cell r="N2298">
            <v>-1600.0029999999999</v>
          </cell>
        </row>
        <row r="2299">
          <cell r="N2299">
            <v>-917</v>
          </cell>
        </row>
        <row r="2300">
          <cell r="N2300">
            <v>-1893.0940000000001</v>
          </cell>
        </row>
        <row r="2301">
          <cell r="N2301">
            <v>-174.053</v>
          </cell>
        </row>
        <row r="2302">
          <cell r="N2302">
            <v>-11</v>
          </cell>
        </row>
        <row r="2303">
          <cell r="N2303">
            <v>-50</v>
          </cell>
        </row>
        <row r="2304">
          <cell r="N2304">
            <v>-1719.0409999999999</v>
          </cell>
        </row>
        <row r="2305">
          <cell r="N2305">
            <v>-298</v>
          </cell>
        </row>
        <row r="2306">
          <cell r="N2306">
            <v>-255</v>
          </cell>
        </row>
        <row r="2307">
          <cell r="N2307">
            <v>-695.91099999999994</v>
          </cell>
        </row>
        <row r="2308">
          <cell r="N2308">
            <v>-1243.903</v>
          </cell>
        </row>
        <row r="2309">
          <cell r="N2309">
            <v>-290.06700000000001</v>
          </cell>
        </row>
        <row r="2310">
          <cell r="N2310">
            <v>-50</v>
          </cell>
        </row>
        <row r="2311">
          <cell r="N2311">
            <v>-376.89</v>
          </cell>
        </row>
        <row r="2312">
          <cell r="N2312">
            <v>-324</v>
          </cell>
        </row>
        <row r="2313">
          <cell r="N2313">
            <v>-298</v>
          </cell>
        </row>
        <row r="2314">
          <cell r="N2314">
            <v>-298</v>
          </cell>
        </row>
        <row r="2315">
          <cell r="N2315">
            <v>-1176.1099999999999</v>
          </cell>
        </row>
        <row r="2316">
          <cell r="N2316">
            <v>-1893.0940000000001</v>
          </cell>
        </row>
        <row r="2317">
          <cell r="N2317">
            <v>-298</v>
          </cell>
        </row>
        <row r="2318">
          <cell r="N2318">
            <v>-298</v>
          </cell>
        </row>
        <row r="2319">
          <cell r="N2319">
            <v>-214.87</v>
          </cell>
        </row>
        <row r="2320">
          <cell r="N2320">
            <v>-174.053</v>
          </cell>
        </row>
        <row r="2321">
          <cell r="N2321">
            <v>-214.89</v>
          </cell>
        </row>
        <row r="2322">
          <cell r="N2322">
            <v>-732</v>
          </cell>
        </row>
        <row r="2323">
          <cell r="N2323">
            <v>-662.20600000000002</v>
          </cell>
        </row>
        <row r="2324">
          <cell r="N2324">
            <v>-1160.7850000000001</v>
          </cell>
        </row>
        <row r="2325">
          <cell r="N2325">
            <v>-1893.0940000000001</v>
          </cell>
        </row>
        <row r="2326">
          <cell r="N2326">
            <v>-9.15</v>
          </cell>
        </row>
        <row r="2327">
          <cell r="N2327">
            <v>-3.2280000000000002</v>
          </cell>
        </row>
        <row r="2328">
          <cell r="N2328">
            <v>-31</v>
          </cell>
        </row>
        <row r="2329">
          <cell r="N2329">
            <v>-105.642</v>
          </cell>
        </row>
        <row r="2330">
          <cell r="N2330">
            <v>-106.358</v>
          </cell>
        </row>
        <row r="2331">
          <cell r="N2331">
            <v>-151.38499999999999</v>
          </cell>
        </row>
        <row r="2332">
          <cell r="N2332">
            <v>-61.122</v>
          </cell>
        </row>
        <row r="2333">
          <cell r="N2333">
            <v>-0.4</v>
          </cell>
        </row>
        <row r="2334">
          <cell r="N2334">
            <v>-637.47799999999995</v>
          </cell>
        </row>
        <row r="2335">
          <cell r="N2335">
            <v>-15</v>
          </cell>
        </row>
        <row r="2336">
          <cell r="N2336">
            <v>-150</v>
          </cell>
        </row>
        <row r="2337">
          <cell r="N2337">
            <v>-6.1040000000000001</v>
          </cell>
        </row>
        <row r="2338">
          <cell r="N2338">
            <v>-126.4</v>
          </cell>
        </row>
        <row r="2339">
          <cell r="N2339">
            <v>-559.20699999999999</v>
          </cell>
        </row>
        <row r="2340">
          <cell r="N2340">
            <v>-600.89599999999996</v>
          </cell>
        </row>
        <row r="2341">
          <cell r="N2341">
            <v>-35</v>
          </cell>
        </row>
        <row r="2342">
          <cell r="N2342">
            <v>-1267.7929999999999</v>
          </cell>
        </row>
        <row r="2343">
          <cell r="N2343">
            <v>-300.83199999999999</v>
          </cell>
        </row>
        <row r="2344">
          <cell r="N2344">
            <v>-684.78300000000002</v>
          </cell>
        </row>
        <row r="2345">
          <cell r="N2345">
            <v>-1020</v>
          </cell>
        </row>
        <row r="2346">
          <cell r="N2346">
            <v>-1220</v>
          </cell>
        </row>
        <row r="2347">
          <cell r="N2347">
            <v>-33</v>
          </cell>
        </row>
        <row r="2348">
          <cell r="N2348">
            <v>-644.79999999999995</v>
          </cell>
        </row>
        <row r="2349">
          <cell r="N2349">
            <v>-178.15799999999999</v>
          </cell>
        </row>
        <row r="2350">
          <cell r="N2350">
            <v>-165.589</v>
          </cell>
        </row>
        <row r="2351">
          <cell r="N2351">
            <v>-616.64300000000003</v>
          </cell>
        </row>
        <row r="2352">
          <cell r="N2352">
            <v>-231.267</v>
          </cell>
        </row>
        <row r="2353">
          <cell r="N2353">
            <v>-458.411</v>
          </cell>
        </row>
        <row r="2354">
          <cell r="N2354">
            <v>-691.84199999999998</v>
          </cell>
        </row>
        <row r="2355">
          <cell r="N2355">
            <v>-54.09</v>
          </cell>
        </row>
        <row r="2356">
          <cell r="N2356">
            <v>-1218</v>
          </cell>
        </row>
        <row r="2357">
          <cell r="N2357">
            <v>-1178.7739999999999</v>
          </cell>
        </row>
        <row r="2358">
          <cell r="N2358">
            <v>-1269.2260000000001</v>
          </cell>
        </row>
        <row r="2359">
          <cell r="N2359">
            <v>-15</v>
          </cell>
        </row>
        <row r="2360">
          <cell r="N2360">
            <v>-11.161</v>
          </cell>
        </row>
        <row r="2361">
          <cell r="N2361">
            <v>-123</v>
          </cell>
        </row>
        <row r="2362">
          <cell r="N2362">
            <v>-2709</v>
          </cell>
        </row>
        <row r="2363">
          <cell r="N2363">
            <v>-6.585</v>
          </cell>
        </row>
        <row r="2364">
          <cell r="N2364">
            <v>-87.132000000000005</v>
          </cell>
        </row>
        <row r="2365">
          <cell r="N2365">
            <v>-1283.415</v>
          </cell>
        </row>
        <row r="2366">
          <cell r="N2366">
            <v>-188</v>
          </cell>
        </row>
        <row r="2367">
          <cell r="N2367">
            <v>-1410.16</v>
          </cell>
        </row>
        <row r="2368">
          <cell r="N2368">
            <v>-335.976</v>
          </cell>
        </row>
        <row r="2369">
          <cell r="N2369">
            <v>-940.73199999999997</v>
          </cell>
        </row>
        <row r="2370">
          <cell r="N2370">
            <v>-147.029</v>
          </cell>
        </row>
        <row r="2371">
          <cell r="N2371">
            <v>-736</v>
          </cell>
        </row>
        <row r="2372">
          <cell r="N2372">
            <v>-1018</v>
          </cell>
        </row>
        <row r="2373">
          <cell r="N2373">
            <v>-30</v>
          </cell>
        </row>
        <row r="2374">
          <cell r="N2374">
            <v>-1256.2929999999999</v>
          </cell>
        </row>
        <row r="2375">
          <cell r="N2375">
            <v>-1276.7070000000001</v>
          </cell>
        </row>
        <row r="2376">
          <cell r="N2376">
            <v>-0.59299999999999997</v>
          </cell>
        </row>
        <row r="2377">
          <cell r="N2377">
            <v>-366</v>
          </cell>
        </row>
        <row r="2378">
          <cell r="N2378">
            <v>-150.858</v>
          </cell>
        </row>
        <row r="2379">
          <cell r="N2379">
            <v>-400</v>
          </cell>
        </row>
        <row r="2380">
          <cell r="N2380">
            <v>-56.8</v>
          </cell>
        </row>
        <row r="2381">
          <cell r="N2381">
            <v>-50.601999999999997</v>
          </cell>
        </row>
        <row r="2382">
          <cell r="N2382">
            <v>-226.233</v>
          </cell>
        </row>
        <row r="2383">
          <cell r="N2383">
            <v>-1792.43</v>
          </cell>
        </row>
        <row r="2384">
          <cell r="N2384">
            <v>-1248.749</v>
          </cell>
        </row>
        <row r="2385">
          <cell r="N2385">
            <v>-158.71199999999999</v>
          </cell>
        </row>
        <row r="2386">
          <cell r="N2386">
            <v>-1250.54</v>
          </cell>
        </row>
        <row r="2387">
          <cell r="N2387">
            <v>-1276.7070000000001</v>
          </cell>
        </row>
        <row r="2388">
          <cell r="N2388">
            <v>-1263.268</v>
          </cell>
        </row>
        <row r="2389">
          <cell r="N2389">
            <v>-196.54599999999999</v>
          </cell>
        </row>
        <row r="2390">
          <cell r="N2390">
            <v>-1131.5989999999999</v>
          </cell>
        </row>
        <row r="2391">
          <cell r="N2391">
            <v>-937.37199999999996</v>
          </cell>
        </row>
        <row r="2392">
          <cell r="N2392">
            <v>-335.976</v>
          </cell>
        </row>
        <row r="2393">
          <cell r="N2393">
            <v>-1000.85</v>
          </cell>
        </row>
        <row r="2394">
          <cell r="N2394">
            <v>-282.85000000000002</v>
          </cell>
        </row>
        <row r="2395">
          <cell r="N2395">
            <v>-1280.067</v>
          </cell>
        </row>
        <row r="2396">
          <cell r="N2396">
            <v>-1282.8499999999999</v>
          </cell>
        </row>
        <row r="2397">
          <cell r="N2397">
            <v>-1341.5730000000001</v>
          </cell>
        </row>
        <row r="2398">
          <cell r="N2398">
            <v>-638.04399999999998</v>
          </cell>
        </row>
        <row r="2399">
          <cell r="N2399">
            <v>-638.04399999999998</v>
          </cell>
        </row>
        <row r="2400">
          <cell r="N2400">
            <v>-1274.7370000000001</v>
          </cell>
        </row>
        <row r="2401">
          <cell r="N2401">
            <v>-905.69200000000001</v>
          </cell>
        </row>
        <row r="2402">
          <cell r="N2402">
            <v>-351</v>
          </cell>
        </row>
        <row r="2403">
          <cell r="N2403">
            <v>-1268.308</v>
          </cell>
        </row>
        <row r="2404">
          <cell r="N2404">
            <v>-406</v>
          </cell>
        </row>
        <row r="2405">
          <cell r="N2405">
            <v>-320</v>
          </cell>
        </row>
        <row r="2406">
          <cell r="N2406">
            <v>-11.789</v>
          </cell>
        </row>
        <row r="2407">
          <cell r="N2407">
            <v>-150</v>
          </cell>
        </row>
        <row r="2408">
          <cell r="N2408">
            <v>-1264.211</v>
          </cell>
        </row>
        <row r="2409">
          <cell r="N2409">
            <v>-1051</v>
          </cell>
        </row>
        <row r="2410">
          <cell r="N2410">
            <v>-787.89400000000001</v>
          </cell>
        </row>
        <row r="2411">
          <cell r="N2411">
            <v>-218.20500000000001</v>
          </cell>
        </row>
        <row r="2412">
          <cell r="N2412">
            <v>-38.405000000000001</v>
          </cell>
        </row>
        <row r="2413">
          <cell r="N2413">
            <v>-75.594999999999999</v>
          </cell>
        </row>
        <row r="2414">
          <cell r="N2414">
            <v>-54.091999999999999</v>
          </cell>
        </row>
        <row r="2415">
          <cell r="N2415">
            <v>-31.908000000000001</v>
          </cell>
        </row>
        <row r="2416">
          <cell r="N2416">
            <v>-1.1479999999999999</v>
          </cell>
        </row>
        <row r="2417">
          <cell r="N2417">
            <v>-2.1989999999999998</v>
          </cell>
        </row>
        <row r="2418">
          <cell r="N2418">
            <v>-6.1989999999999998</v>
          </cell>
        </row>
        <row r="2419">
          <cell r="N2419">
            <v>-2.1139999999999999</v>
          </cell>
        </row>
        <row r="2420">
          <cell r="N2420">
            <v>-1.5509999999999999</v>
          </cell>
        </row>
        <row r="2421">
          <cell r="N2421">
            <v>-1.7729999999999999</v>
          </cell>
        </row>
        <row r="2422">
          <cell r="N2422">
            <v>-1.7649999999999999</v>
          </cell>
        </row>
        <row r="2423">
          <cell r="N2423">
            <v>-1.248</v>
          </cell>
        </row>
        <row r="2424">
          <cell r="N2424">
            <v>-6.2519999999999998</v>
          </cell>
        </row>
        <row r="2425">
          <cell r="N2425">
            <v>-3</v>
          </cell>
        </row>
        <row r="2426">
          <cell r="N2426">
            <v>-4.5019999999999998</v>
          </cell>
        </row>
        <row r="2427">
          <cell r="N2427">
            <v>-1.9119999999999999</v>
          </cell>
        </row>
        <row r="2428">
          <cell r="N2428">
            <v>-1.329</v>
          </cell>
        </row>
        <row r="2429">
          <cell r="N2429">
            <v>-7.391</v>
          </cell>
        </row>
        <row r="2430">
          <cell r="N2430">
            <v>-3.2850000000000001</v>
          </cell>
        </row>
        <row r="2431">
          <cell r="N2431">
            <v>-7.6369999999999996</v>
          </cell>
        </row>
        <row r="2432">
          <cell r="N2432">
            <v>-3.2069999999999999</v>
          </cell>
        </row>
        <row r="2433">
          <cell r="N2433">
            <v>-2.8879999999999999</v>
          </cell>
        </row>
        <row r="2434">
          <cell r="N2434">
            <v>-7.9210000000000003</v>
          </cell>
        </row>
        <row r="2435">
          <cell r="N2435">
            <v>-6.2880000000000003</v>
          </cell>
        </row>
        <row r="2436">
          <cell r="N2436">
            <v>-1.266</v>
          </cell>
        </row>
        <row r="2437">
          <cell r="N2437">
            <v>-1.9870000000000001</v>
          </cell>
        </row>
        <row r="2438">
          <cell r="N2438">
            <v>-5.7750000000000004</v>
          </cell>
        </row>
        <row r="2439">
          <cell r="N2439">
            <v>-1.845</v>
          </cell>
        </row>
        <row r="2440">
          <cell r="N2440">
            <v>-1.4239999999999999</v>
          </cell>
        </row>
        <row r="2441">
          <cell r="N2441">
            <v>-1.282</v>
          </cell>
        </row>
        <row r="2442">
          <cell r="N2442">
            <v>-8.1329999999999991</v>
          </cell>
        </row>
        <row r="2443">
          <cell r="N2443">
            <v>-7.6829999999999998</v>
          </cell>
        </row>
        <row r="2444">
          <cell r="N2444">
            <v>-0.82799999999999996</v>
          </cell>
        </row>
        <row r="2445">
          <cell r="N2445">
            <v>-0.44600000000000001</v>
          </cell>
        </row>
        <row r="2446">
          <cell r="N2446">
            <v>-0.82799999999999996</v>
          </cell>
        </row>
        <row r="2447">
          <cell r="N2447">
            <v>-0.79700000000000004</v>
          </cell>
        </row>
        <row r="2448">
          <cell r="N2448">
            <v>-2.04</v>
          </cell>
        </row>
        <row r="2449">
          <cell r="N2449">
            <v>-5.5369999999999999</v>
          </cell>
        </row>
        <row r="2450">
          <cell r="N2450">
            <v>-3.02</v>
          </cell>
        </row>
        <row r="2451">
          <cell r="N2451">
            <v>-7.391</v>
          </cell>
        </row>
        <row r="2452">
          <cell r="N2452">
            <v>-2.7290000000000001</v>
          </cell>
        </row>
        <row r="2453">
          <cell r="N2453">
            <v>-3.2589999999999999</v>
          </cell>
        </row>
        <row r="2454">
          <cell r="N2454">
            <v>-1.96</v>
          </cell>
        </row>
        <row r="2455">
          <cell r="N2455">
            <v>-5.484</v>
          </cell>
        </row>
        <row r="2456">
          <cell r="N2456">
            <v>-1.9870000000000001</v>
          </cell>
        </row>
        <row r="2457">
          <cell r="N2457">
            <v>-3.206</v>
          </cell>
        </row>
        <row r="2458">
          <cell r="N2458">
            <v>-0.78100000000000003</v>
          </cell>
        </row>
        <row r="2459">
          <cell r="N2459">
            <v>-2.04</v>
          </cell>
        </row>
        <row r="2460">
          <cell r="N2460">
            <v>-2.835</v>
          </cell>
        </row>
        <row r="2461">
          <cell r="N2461">
            <v>-2.1989999999999998</v>
          </cell>
        </row>
        <row r="2462">
          <cell r="N2462">
            <v>-2.8610000000000002</v>
          </cell>
        </row>
        <row r="2463">
          <cell r="N2463">
            <v>-2.1720000000000002</v>
          </cell>
        </row>
        <row r="2464">
          <cell r="N2464">
            <v>-1.02</v>
          </cell>
        </row>
        <row r="2465">
          <cell r="N2465">
            <v>-2.8079999999999998</v>
          </cell>
        </row>
        <row r="2466">
          <cell r="N2466">
            <v>-1.8540000000000001</v>
          </cell>
        </row>
        <row r="2467">
          <cell r="N2467">
            <v>-1.179</v>
          </cell>
        </row>
        <row r="2468">
          <cell r="N2468">
            <v>-1.714</v>
          </cell>
        </row>
        <row r="2469">
          <cell r="N2469">
            <v>-1.6240000000000001</v>
          </cell>
        </row>
        <row r="2470">
          <cell r="N2470">
            <v>-2.331</v>
          </cell>
        </row>
        <row r="2471">
          <cell r="N2471">
            <v>-0.61699999999999999</v>
          </cell>
        </row>
        <row r="2472">
          <cell r="N2472">
            <v>-2.1429999999999998</v>
          </cell>
        </row>
        <row r="2473">
          <cell r="N2473">
            <v>-1.75</v>
          </cell>
        </row>
        <row r="2474">
          <cell r="N2474">
            <v>-2.464</v>
          </cell>
        </row>
        <row r="2475">
          <cell r="N2475">
            <v>-1.804</v>
          </cell>
        </row>
        <row r="2476">
          <cell r="N2476">
            <v>-1.7569999999999999</v>
          </cell>
        </row>
        <row r="2477">
          <cell r="N2477">
            <v>-2.8610000000000002</v>
          </cell>
        </row>
        <row r="2478">
          <cell r="N2478">
            <v>-1.964</v>
          </cell>
        </row>
        <row r="2479">
          <cell r="N2479">
            <v>-1.992</v>
          </cell>
        </row>
        <row r="2480">
          <cell r="N2480">
            <v>-1.8140000000000001</v>
          </cell>
        </row>
        <row r="2481">
          <cell r="N2481">
            <v>-1.488</v>
          </cell>
        </row>
        <row r="2482">
          <cell r="N2482">
            <v>-2.464</v>
          </cell>
        </row>
        <row r="2483">
          <cell r="N2483">
            <v>-2.3180000000000001</v>
          </cell>
        </row>
        <row r="2484">
          <cell r="N2484">
            <v>-1.488</v>
          </cell>
        </row>
        <row r="2485">
          <cell r="N2485">
            <v>-3.0470000000000002</v>
          </cell>
        </row>
        <row r="2486">
          <cell r="N2486">
            <v>-2.4990000000000001</v>
          </cell>
        </row>
        <row r="2487">
          <cell r="N2487">
            <v>-2.3050000000000002</v>
          </cell>
        </row>
        <row r="2488">
          <cell r="N2488">
            <v>-1.536</v>
          </cell>
        </row>
        <row r="2489">
          <cell r="N2489">
            <v>-2.214</v>
          </cell>
        </row>
        <row r="2490">
          <cell r="N2490">
            <v>-2.9689999999999999</v>
          </cell>
        </row>
        <row r="2491">
          <cell r="N2491">
            <v>-1.857</v>
          </cell>
        </row>
        <row r="2492">
          <cell r="N2492">
            <v>-1.583</v>
          </cell>
        </row>
        <row r="2493">
          <cell r="N2493">
            <v>-2.2090000000000001</v>
          </cell>
        </row>
        <row r="2494">
          <cell r="N2494">
            <v>-1.6779999999999999</v>
          </cell>
        </row>
        <row r="2495">
          <cell r="N2495">
            <v>-1.714</v>
          </cell>
        </row>
        <row r="2496">
          <cell r="N2496">
            <v>-1.266</v>
          </cell>
        </row>
        <row r="2497">
          <cell r="N2497">
            <v>-2.8610000000000002</v>
          </cell>
        </row>
        <row r="2498">
          <cell r="N2498">
            <v>-3</v>
          </cell>
        </row>
        <row r="2499">
          <cell r="N2499">
            <v>-2.1779999999999999</v>
          </cell>
        </row>
        <row r="2500">
          <cell r="N2500">
            <v>-1.345</v>
          </cell>
        </row>
        <row r="2501">
          <cell r="N2501">
            <v>-1.3140000000000001</v>
          </cell>
        </row>
        <row r="2502">
          <cell r="N2502">
            <v>-3</v>
          </cell>
        </row>
        <row r="2503">
          <cell r="N2503">
            <v>-2.2090000000000001</v>
          </cell>
        </row>
        <row r="2504">
          <cell r="N2504">
            <v>-3</v>
          </cell>
        </row>
        <row r="2505">
          <cell r="N2505">
            <v>-3</v>
          </cell>
        </row>
        <row r="2506">
          <cell r="N2506">
            <v>-3</v>
          </cell>
        </row>
        <row r="2507">
          <cell r="N2507">
            <v>-3</v>
          </cell>
        </row>
        <row r="2508">
          <cell r="N2508">
            <v>-4.3449999999999998</v>
          </cell>
        </row>
        <row r="2509">
          <cell r="N2509">
            <v>-1.4239999999999999</v>
          </cell>
        </row>
        <row r="2510">
          <cell r="N2510">
            <v>-3</v>
          </cell>
        </row>
        <row r="2511">
          <cell r="N2511">
            <v>-3</v>
          </cell>
        </row>
        <row r="2512">
          <cell r="N2512">
            <v>-3</v>
          </cell>
        </row>
        <row r="2513">
          <cell r="N2513">
            <v>-3</v>
          </cell>
        </row>
        <row r="2514">
          <cell r="N2514">
            <v>-3</v>
          </cell>
        </row>
        <row r="2515">
          <cell r="N2515">
            <v>-3</v>
          </cell>
        </row>
        <row r="2516">
          <cell r="N2516">
            <v>-1.1080000000000001</v>
          </cell>
        </row>
        <row r="2517">
          <cell r="N2517">
            <v>-2.0640000000000001</v>
          </cell>
        </row>
        <row r="2518">
          <cell r="N2518">
            <v>-1.6850000000000001</v>
          </cell>
        </row>
        <row r="2519">
          <cell r="N2519">
            <v>-1.8360000000000001</v>
          </cell>
        </row>
        <row r="2520">
          <cell r="N2520">
            <v>-1.5189999999999999</v>
          </cell>
        </row>
        <row r="2521">
          <cell r="N2521">
            <v>-2.464</v>
          </cell>
        </row>
        <row r="2522">
          <cell r="N2522">
            <v>-2.0710000000000002</v>
          </cell>
        </row>
        <row r="2523">
          <cell r="N2523">
            <v>-2.3210000000000002</v>
          </cell>
        </row>
        <row r="2524">
          <cell r="N2524">
            <v>-2.75</v>
          </cell>
        </row>
        <row r="2525">
          <cell r="N2525">
            <v>-1.607</v>
          </cell>
        </row>
        <row r="2526">
          <cell r="N2526">
            <v>-1.393</v>
          </cell>
        </row>
        <row r="2527">
          <cell r="N2527">
            <v>-1.4850000000000001</v>
          </cell>
        </row>
        <row r="2528">
          <cell r="N2528">
            <v>-1.456</v>
          </cell>
        </row>
        <row r="2529">
          <cell r="N2529">
            <v>-2.5710000000000002</v>
          </cell>
        </row>
        <row r="2530">
          <cell r="N2530">
            <v>-162</v>
          </cell>
        </row>
        <row r="2531">
          <cell r="N2531">
            <v>-4.2110000000000003</v>
          </cell>
        </row>
        <row r="2532">
          <cell r="N2532">
            <v>-2.6429999999999998</v>
          </cell>
        </row>
        <row r="2533">
          <cell r="N2533">
            <v>-1.714</v>
          </cell>
        </row>
        <row r="2534">
          <cell r="N2534">
            <v>-1.446</v>
          </cell>
        </row>
        <row r="2535">
          <cell r="N2535">
            <v>-0.33600000000000002</v>
          </cell>
        </row>
        <row r="2536">
          <cell r="N2536">
            <v>-1.857</v>
          </cell>
        </row>
        <row r="2537">
          <cell r="N2537">
            <v>-1.857</v>
          </cell>
        </row>
        <row r="2538">
          <cell r="N2538">
            <v>-2.8570000000000002</v>
          </cell>
        </row>
        <row r="2539">
          <cell r="N2539">
            <v>-3.694</v>
          </cell>
        </row>
        <row r="2540">
          <cell r="N2540">
            <v>-2.1779999999999999</v>
          </cell>
        </row>
        <row r="2541">
          <cell r="N2541">
            <v>-2.286</v>
          </cell>
        </row>
        <row r="2542">
          <cell r="N2542">
            <v>-2.1779999999999999</v>
          </cell>
        </row>
        <row r="2543">
          <cell r="N2543">
            <v>-2.4279999999999999</v>
          </cell>
        </row>
        <row r="2544">
          <cell r="N2544">
            <v>-0.82199999999999995</v>
          </cell>
        </row>
        <row r="2545">
          <cell r="N2545">
            <v>-1.893</v>
          </cell>
        </row>
        <row r="2546">
          <cell r="N2546">
            <v>-5.2510000000000003</v>
          </cell>
        </row>
        <row r="2547">
          <cell r="N2547">
            <v>-3.476</v>
          </cell>
        </row>
        <row r="2548">
          <cell r="N2548">
            <v>-1.75</v>
          </cell>
        </row>
        <row r="2549">
          <cell r="N2549">
            <v>-2.2090000000000001</v>
          </cell>
        </row>
        <row r="2550">
          <cell r="N2550">
            <v>-1.821</v>
          </cell>
        </row>
        <row r="2551">
          <cell r="N2551">
            <v>-2.3010000000000002</v>
          </cell>
        </row>
        <row r="2552">
          <cell r="N2552">
            <v>-1.4279999999999999</v>
          </cell>
        </row>
        <row r="2553">
          <cell r="N2553">
            <v>-1.464</v>
          </cell>
        </row>
        <row r="2554">
          <cell r="N2554">
            <v>-3.657</v>
          </cell>
        </row>
        <row r="2555">
          <cell r="N2555">
            <v>-1.847</v>
          </cell>
        </row>
        <row r="2556">
          <cell r="N2556">
            <v>-1.821</v>
          </cell>
        </row>
        <row r="2557">
          <cell r="N2557">
            <v>-1.714</v>
          </cell>
        </row>
        <row r="2558">
          <cell r="N2558">
            <v>-2.0640000000000001</v>
          </cell>
        </row>
        <row r="2559">
          <cell r="N2559">
            <v>-1.008</v>
          </cell>
        </row>
        <row r="2560">
          <cell r="N2560">
            <v>-2.6890000000000001</v>
          </cell>
        </row>
        <row r="2561">
          <cell r="N2561">
            <v>-2.39</v>
          </cell>
        </row>
        <row r="2562">
          <cell r="N2562">
            <v>-1.665</v>
          </cell>
        </row>
        <row r="2563">
          <cell r="N2563">
            <v>-2.6509999999999998</v>
          </cell>
        </row>
        <row r="2564">
          <cell r="N2564">
            <v>-2.4319999999999999</v>
          </cell>
        </row>
        <row r="2565">
          <cell r="N2565">
            <v>-3.694</v>
          </cell>
        </row>
        <row r="2566">
          <cell r="N2566">
            <v>-3.0419999999999998</v>
          </cell>
        </row>
        <row r="2567">
          <cell r="N2567">
            <v>-1.492</v>
          </cell>
        </row>
        <row r="2568">
          <cell r="N2568">
            <v>-2.4990000000000001</v>
          </cell>
        </row>
        <row r="2569">
          <cell r="N2569">
            <v>-1.607</v>
          </cell>
        </row>
        <row r="2570">
          <cell r="N2570">
            <v>-2.5350000000000001</v>
          </cell>
        </row>
        <row r="2571">
          <cell r="N2571">
            <v>-2.028</v>
          </cell>
        </row>
        <row r="2572">
          <cell r="N2572">
            <v>-2.5710000000000002</v>
          </cell>
        </row>
        <row r="2573">
          <cell r="N2573">
            <v>-2</v>
          </cell>
        </row>
        <row r="2574">
          <cell r="N2574">
            <v>-2.8969999999999998</v>
          </cell>
        </row>
        <row r="2575">
          <cell r="N2575">
            <v>-2.6070000000000002</v>
          </cell>
        </row>
        <row r="2576">
          <cell r="N2576">
            <v>-2.1240000000000001</v>
          </cell>
        </row>
        <row r="2577">
          <cell r="N2577">
            <v>-5.4690000000000003</v>
          </cell>
        </row>
        <row r="2578">
          <cell r="N2578">
            <v>-2.125</v>
          </cell>
        </row>
        <row r="2579">
          <cell r="N2579">
            <v>-2.8610000000000002</v>
          </cell>
        </row>
        <row r="2580">
          <cell r="N2580">
            <v>-2.4260000000000002</v>
          </cell>
        </row>
        <row r="2581">
          <cell r="N2581">
            <v>-1.5</v>
          </cell>
        </row>
        <row r="2582">
          <cell r="N2582">
            <v>-162</v>
          </cell>
        </row>
        <row r="2583">
          <cell r="N2583">
            <v>-1.571</v>
          </cell>
        </row>
        <row r="2584">
          <cell r="N2584">
            <v>-2.7610000000000001</v>
          </cell>
        </row>
        <row r="2585">
          <cell r="N2585">
            <v>-1.599</v>
          </cell>
        </row>
        <row r="2586">
          <cell r="N2586">
            <v>-1.4279999999999999</v>
          </cell>
        </row>
        <row r="2587">
          <cell r="N2587">
            <v>-3.476</v>
          </cell>
        </row>
        <row r="2588">
          <cell r="N2588">
            <v>-162</v>
          </cell>
        </row>
        <row r="2589">
          <cell r="N2589">
            <v>-2.9329999999999998</v>
          </cell>
        </row>
        <row r="2590">
          <cell r="N2590">
            <v>-2.9580000000000002</v>
          </cell>
        </row>
        <row r="2591">
          <cell r="N2591">
            <v>-3.4039999999999999</v>
          </cell>
        </row>
        <row r="2592">
          <cell r="N2592">
            <v>-4.9489999999999998</v>
          </cell>
        </row>
        <row r="2593">
          <cell r="N2593">
            <v>-3.7999999999999999E-2</v>
          </cell>
        </row>
        <row r="2594">
          <cell r="N2594">
            <v>-3.7999999999999999E-2</v>
          </cell>
        </row>
        <row r="2595">
          <cell r="N2595">
            <v>-4.3999999999999997E-2</v>
          </cell>
        </row>
        <row r="2596">
          <cell r="N2596">
            <v>-4.2000000000000003E-2</v>
          </cell>
        </row>
        <row r="2597">
          <cell r="N2597">
            <v>-3.7999999999999999E-2</v>
          </cell>
        </row>
        <row r="2598">
          <cell r="N2598">
            <v>-4.2000000000000003E-2</v>
          </cell>
        </row>
        <row r="2599">
          <cell r="N2599">
            <v>-3.7999999999999999E-2</v>
          </cell>
        </row>
        <row r="2600">
          <cell r="N2600">
            <v>-4.2000000000000003E-2</v>
          </cell>
        </row>
        <row r="2601">
          <cell r="N2601">
            <v>-4.2000000000000003E-2</v>
          </cell>
        </row>
        <row r="2602">
          <cell r="N2602">
            <v>-4.2000000000000003E-2</v>
          </cell>
        </row>
        <row r="2603">
          <cell r="N2603">
            <v>-1.556</v>
          </cell>
        </row>
        <row r="2604">
          <cell r="N2604">
            <v>-4.2000000000000003E-2</v>
          </cell>
        </row>
        <row r="2605">
          <cell r="N2605">
            <v>-5.3999999999999999E-2</v>
          </cell>
        </row>
        <row r="2606">
          <cell r="N2606">
            <v>-3.7999999999999999E-2</v>
          </cell>
        </row>
        <row r="2607">
          <cell r="N2607">
            <v>-5.3999999999999999E-2</v>
          </cell>
        </row>
        <row r="2608">
          <cell r="N2608">
            <v>-2.6429999999999998</v>
          </cell>
        </row>
        <row r="2609">
          <cell r="N2609">
            <v>-2.39</v>
          </cell>
        </row>
        <row r="2610">
          <cell r="N2610">
            <v>-3.7999999999999999E-2</v>
          </cell>
        </row>
        <row r="2611">
          <cell r="N2611">
            <v>-3.7999999999999999E-2</v>
          </cell>
        </row>
        <row r="2612">
          <cell r="N2612">
            <v>-2.8610000000000002</v>
          </cell>
        </row>
        <row r="2613">
          <cell r="N2613">
            <v>-2.1360000000000001</v>
          </cell>
        </row>
        <row r="2614">
          <cell r="N2614">
            <v>-0.114</v>
          </cell>
        </row>
        <row r="2615">
          <cell r="N2615">
            <v>-3.44</v>
          </cell>
        </row>
        <row r="2616">
          <cell r="N2616">
            <v>-3.0059999999999998</v>
          </cell>
        </row>
        <row r="2617">
          <cell r="N2617">
            <v>-162</v>
          </cell>
        </row>
        <row r="2618">
          <cell r="N2618">
            <v>-2.39</v>
          </cell>
        </row>
        <row r="2619">
          <cell r="N2619">
            <v>-4.7640000000000002</v>
          </cell>
        </row>
        <row r="2620">
          <cell r="N2620">
            <v>-178</v>
          </cell>
        </row>
        <row r="2621">
          <cell r="N2621">
            <v>-19.699000000000002</v>
          </cell>
        </row>
        <row r="2622">
          <cell r="N2622">
            <v>-1.54</v>
          </cell>
        </row>
        <row r="2623">
          <cell r="N2623">
            <v>-12.483000000000001</v>
          </cell>
        </row>
        <row r="2624">
          <cell r="N2624">
            <v>-10.207000000000001</v>
          </cell>
        </row>
        <row r="2625">
          <cell r="N2625">
            <v>-40.756999999999998</v>
          </cell>
        </row>
        <row r="2626">
          <cell r="N2626">
            <v>-20.283999999999999</v>
          </cell>
        </row>
        <row r="2627">
          <cell r="N2627">
            <v>-41.515999999999998</v>
          </cell>
        </row>
        <row r="2628">
          <cell r="N2628">
            <v>-21.356000000000002</v>
          </cell>
        </row>
        <row r="2629">
          <cell r="N2629">
            <v>-2.6360000000000001</v>
          </cell>
        </row>
        <row r="2630">
          <cell r="N2630">
            <v>-10.576000000000001</v>
          </cell>
        </row>
        <row r="2631">
          <cell r="N2631">
            <v>-41.718000000000004</v>
          </cell>
        </row>
        <row r="2632">
          <cell r="N2632">
            <v>-2.0579999999999998</v>
          </cell>
        </row>
        <row r="2633">
          <cell r="N2633">
            <v>-13.523</v>
          </cell>
        </row>
        <row r="2634">
          <cell r="N2634">
            <v>-30.382000000000001</v>
          </cell>
        </row>
        <row r="2635">
          <cell r="N2635">
            <v>-32.238999999999997</v>
          </cell>
        </row>
        <row r="2636">
          <cell r="N2636">
            <v>-9.7460000000000004</v>
          </cell>
        </row>
        <row r="2637">
          <cell r="N2637">
            <v>-20.283999999999999</v>
          </cell>
        </row>
        <row r="2638">
          <cell r="N2638">
            <v>-37.65</v>
          </cell>
        </row>
        <row r="2639">
          <cell r="N2639">
            <v>-21.064</v>
          </cell>
        </row>
        <row r="2640">
          <cell r="N2640">
            <v>-31.588000000000001</v>
          </cell>
        </row>
        <row r="2641">
          <cell r="N2641">
            <v>-11.208</v>
          </cell>
        </row>
        <row r="2642">
          <cell r="N2642">
            <v>-11.682</v>
          </cell>
        </row>
        <row r="2643">
          <cell r="N2643">
            <v>-37.384</v>
          </cell>
        </row>
        <row r="2644">
          <cell r="N2644">
            <v>-39.270000000000003</v>
          </cell>
        </row>
        <row r="2645">
          <cell r="N2645">
            <v>-50.177</v>
          </cell>
        </row>
        <row r="2646">
          <cell r="N2646">
            <v>-31.347000000000001</v>
          </cell>
        </row>
        <row r="2647">
          <cell r="N2647">
            <v>-38.862000000000002</v>
          </cell>
        </row>
        <row r="2648">
          <cell r="N2648">
            <v>-10.358000000000001</v>
          </cell>
        </row>
        <row r="2649">
          <cell r="N2649">
            <v>-23.891999999999999</v>
          </cell>
        </row>
        <row r="2650">
          <cell r="N2650">
            <v>-45.99</v>
          </cell>
        </row>
        <row r="2651">
          <cell r="N2651">
            <v>-18.431000000000001</v>
          </cell>
        </row>
        <row r="2652">
          <cell r="N2652">
            <v>-30.503</v>
          </cell>
        </row>
        <row r="2653">
          <cell r="N2653">
            <v>-34.24</v>
          </cell>
        </row>
        <row r="2654">
          <cell r="N2654">
            <v>-11.734999999999999</v>
          </cell>
        </row>
        <row r="2655">
          <cell r="N2655">
            <v>-43.953000000000003</v>
          </cell>
        </row>
        <row r="2656">
          <cell r="N2656">
            <v>-38.322000000000003</v>
          </cell>
        </row>
        <row r="2657">
          <cell r="N2657">
            <v>-40.47</v>
          </cell>
        </row>
        <row r="2658">
          <cell r="N2658">
            <v>-12.005000000000001</v>
          </cell>
        </row>
        <row r="2659">
          <cell r="N2659">
            <v>-18.550999999999998</v>
          </cell>
        </row>
        <row r="2660">
          <cell r="N2660">
            <v>-39.331000000000003</v>
          </cell>
        </row>
        <row r="2661">
          <cell r="N2661">
            <v>-14.151</v>
          </cell>
        </row>
        <row r="2662">
          <cell r="N2662">
            <v>-19.600999999999999</v>
          </cell>
        </row>
        <row r="2663">
          <cell r="N2663">
            <v>-36.640999999999998</v>
          </cell>
        </row>
        <row r="2664">
          <cell r="N2664">
            <v>-44.985999999999997</v>
          </cell>
        </row>
        <row r="2665">
          <cell r="N2665">
            <v>-10.207000000000001</v>
          </cell>
        </row>
        <row r="2666">
          <cell r="N2666">
            <v>-46.332000000000001</v>
          </cell>
        </row>
        <row r="2667">
          <cell r="N2667">
            <v>-1.885</v>
          </cell>
        </row>
        <row r="2668">
          <cell r="N2668">
            <v>-1.85</v>
          </cell>
        </row>
        <row r="2669">
          <cell r="N2669">
            <v>-41.347999999999999</v>
          </cell>
        </row>
        <row r="2670">
          <cell r="N2670">
            <v>-40.338999999999999</v>
          </cell>
        </row>
        <row r="2671">
          <cell r="N2671">
            <v>-27.489000000000001</v>
          </cell>
        </row>
        <row r="2672">
          <cell r="N2672">
            <v>-16.471</v>
          </cell>
        </row>
        <row r="2673">
          <cell r="N2673">
            <v>-4.5919999999999996</v>
          </cell>
        </row>
        <row r="2674">
          <cell r="N2674">
            <v>-20.576000000000001</v>
          </cell>
        </row>
        <row r="2675">
          <cell r="N2675">
            <v>-43.256</v>
          </cell>
        </row>
        <row r="2676">
          <cell r="N2676">
            <v>-34.811</v>
          </cell>
        </row>
        <row r="2677">
          <cell r="N2677">
            <v>-4.1870000000000003</v>
          </cell>
        </row>
        <row r="2678">
          <cell r="N2678">
            <v>-8.5440000000000005</v>
          </cell>
        </row>
        <row r="2679">
          <cell r="N2679">
            <v>-47.677999999999997</v>
          </cell>
        </row>
        <row r="2680">
          <cell r="N2680">
            <v>-39.441000000000003</v>
          </cell>
        </row>
        <row r="2681">
          <cell r="N2681">
            <v>-20.088999999999999</v>
          </cell>
        </row>
        <row r="2682">
          <cell r="N2682">
            <v>-40.948999999999998</v>
          </cell>
        </row>
        <row r="2683">
          <cell r="N2683">
            <v>-11.709</v>
          </cell>
        </row>
        <row r="2684">
          <cell r="N2684">
            <v>-19.600999999999999</v>
          </cell>
        </row>
        <row r="2685">
          <cell r="N2685">
            <v>-1.8320000000000001</v>
          </cell>
        </row>
        <row r="2686">
          <cell r="N2686">
            <v>-12.456</v>
          </cell>
        </row>
        <row r="2687">
          <cell r="N2687">
            <v>-20.673999999999999</v>
          </cell>
        </row>
        <row r="2688">
          <cell r="N2688">
            <v>-22.917000000000002</v>
          </cell>
        </row>
        <row r="2689">
          <cell r="N2689">
            <v>-9.3450000000000006</v>
          </cell>
        </row>
        <row r="2690">
          <cell r="N2690">
            <v>-48.255000000000003</v>
          </cell>
        </row>
        <row r="2691">
          <cell r="N2691">
            <v>-46.39</v>
          </cell>
        </row>
        <row r="2692">
          <cell r="N2692">
            <v>-41.526000000000003</v>
          </cell>
        </row>
        <row r="2693">
          <cell r="N2693">
            <v>-28.693999999999999</v>
          </cell>
        </row>
        <row r="2694">
          <cell r="N2694">
            <v>-1.921</v>
          </cell>
        </row>
        <row r="2695">
          <cell r="N2695">
            <v>-36.526000000000003</v>
          </cell>
        </row>
        <row r="2696">
          <cell r="N2696">
            <v>-13.766999999999999</v>
          </cell>
        </row>
        <row r="2697">
          <cell r="N2697">
            <v>-18.204999999999998</v>
          </cell>
        </row>
        <row r="2698">
          <cell r="N2698">
            <v>-12.324999999999999</v>
          </cell>
        </row>
        <row r="2699">
          <cell r="N2699">
            <v>-36.354999999999997</v>
          </cell>
        </row>
        <row r="2700">
          <cell r="N2700">
            <v>-24.867000000000001</v>
          </cell>
        </row>
        <row r="2701">
          <cell r="N2701">
            <v>-7.1779999999999999</v>
          </cell>
        </row>
        <row r="2702">
          <cell r="N2702">
            <v>-26.765000000000001</v>
          </cell>
        </row>
        <row r="2703">
          <cell r="N2703">
            <v>-43.274999999999999</v>
          </cell>
        </row>
        <row r="2704">
          <cell r="N2704">
            <v>-44.540999999999997</v>
          </cell>
        </row>
        <row r="2705">
          <cell r="N2705">
            <v>-32.552999999999997</v>
          </cell>
        </row>
        <row r="2706">
          <cell r="N2706">
            <v>-9.907</v>
          </cell>
        </row>
        <row r="2707">
          <cell r="N2707">
            <v>-13.003</v>
          </cell>
        </row>
        <row r="2708">
          <cell r="N2708">
            <v>-9.1069999999999993</v>
          </cell>
        </row>
        <row r="2709">
          <cell r="N2709">
            <v>-57.866999999999997</v>
          </cell>
        </row>
        <row r="2710">
          <cell r="N2710">
            <v>-28.003</v>
          </cell>
        </row>
        <row r="2711">
          <cell r="N2711">
            <v>-35.746000000000002</v>
          </cell>
        </row>
        <row r="2712">
          <cell r="N2712">
            <v>-30.140999999999998</v>
          </cell>
        </row>
        <row r="2713">
          <cell r="N2713">
            <v>-22.137</v>
          </cell>
        </row>
        <row r="2714">
          <cell r="N2714">
            <v>-20.506</v>
          </cell>
        </row>
        <row r="2715">
          <cell r="N2715">
            <v>-11.79</v>
          </cell>
        </row>
        <row r="2716">
          <cell r="N2716">
            <v>-10.814</v>
          </cell>
        </row>
        <row r="2717">
          <cell r="N2717">
            <v>-24.38</v>
          </cell>
        </row>
        <row r="2718">
          <cell r="N2718">
            <v>-37.384</v>
          </cell>
        </row>
        <row r="2719">
          <cell r="N2719">
            <v>-14.819000000000001</v>
          </cell>
        </row>
        <row r="2720">
          <cell r="N2720">
            <v>-491.596</v>
          </cell>
        </row>
        <row r="2721">
          <cell r="N2721">
            <v>-2.2480000000000002</v>
          </cell>
        </row>
        <row r="2722">
          <cell r="N2722">
            <v>-4.8550000000000004</v>
          </cell>
        </row>
        <row r="2723">
          <cell r="N2723">
            <v>-0.46899999999999997</v>
          </cell>
        </row>
        <row r="2724">
          <cell r="N2724">
            <v>-31.382000000000001</v>
          </cell>
        </row>
        <row r="2725">
          <cell r="N2725">
            <v>-36.901000000000003</v>
          </cell>
        </row>
        <row r="2726">
          <cell r="N2726">
            <v>-40.18</v>
          </cell>
        </row>
        <row r="2727">
          <cell r="N2727">
            <v>-37.103999999999999</v>
          </cell>
        </row>
        <row r="2728">
          <cell r="N2728">
            <v>-327.95600000000002</v>
          </cell>
        </row>
        <row r="2729">
          <cell r="N2729">
            <v>-1.4850000000000001</v>
          </cell>
        </row>
        <row r="2730">
          <cell r="N2730">
            <v>-15.430999999999999</v>
          </cell>
        </row>
        <row r="2731">
          <cell r="N2731">
            <v>-36.284999999999997</v>
          </cell>
        </row>
        <row r="2732">
          <cell r="N2732">
            <v>-24.696000000000002</v>
          </cell>
        </row>
        <row r="2733">
          <cell r="N2733">
            <v>-987.49800000000005</v>
          </cell>
        </row>
        <row r="2734">
          <cell r="N2734">
            <v>-12.209</v>
          </cell>
        </row>
        <row r="2735">
          <cell r="N2735">
            <v>-14.417999999999999</v>
          </cell>
        </row>
        <row r="2736">
          <cell r="N2736">
            <v>-7.0000000000000001E-3</v>
          </cell>
        </row>
        <row r="2737">
          <cell r="N2737">
            <v>-20.673999999999999</v>
          </cell>
        </row>
        <row r="2738">
          <cell r="N2738">
            <v>-41.347999999999999</v>
          </cell>
        </row>
        <row r="2739">
          <cell r="N2739">
            <v>-29.245999999999999</v>
          </cell>
        </row>
        <row r="2740">
          <cell r="N2740">
            <v>-29.297000000000001</v>
          </cell>
        </row>
        <row r="2741">
          <cell r="N2741">
            <v>-5</v>
          </cell>
        </row>
        <row r="2742">
          <cell r="N2742">
            <v>-32.311</v>
          </cell>
        </row>
        <row r="2743">
          <cell r="N2743">
            <v>-43.042999999999999</v>
          </cell>
        </row>
        <row r="2744">
          <cell r="N2744">
            <v>-14.91</v>
          </cell>
        </row>
        <row r="2745">
          <cell r="N2745">
            <v>-40.39</v>
          </cell>
        </row>
        <row r="2746">
          <cell r="N2746">
            <v>-8.8059999999999992</v>
          </cell>
        </row>
        <row r="2747">
          <cell r="N2747">
            <v>-1.7789999999999999</v>
          </cell>
        </row>
        <row r="2748">
          <cell r="N2748">
            <v>-28.405999999999999</v>
          </cell>
        </row>
        <row r="2749">
          <cell r="N2749">
            <v>-23.393000000000001</v>
          </cell>
        </row>
        <row r="2750">
          <cell r="N2750">
            <v>-14.409000000000001</v>
          </cell>
        </row>
        <row r="2751">
          <cell r="N2751">
            <v>-10.146000000000001</v>
          </cell>
        </row>
        <row r="2752">
          <cell r="N2752">
            <v>-43.027999999999999</v>
          </cell>
        </row>
        <row r="2753">
          <cell r="N2753">
            <v>-15.782</v>
          </cell>
        </row>
        <row r="2754">
          <cell r="N2754">
            <v>-22.039000000000001</v>
          </cell>
        </row>
        <row r="2755">
          <cell r="N2755">
            <v>-31.934999999999999</v>
          </cell>
        </row>
        <row r="2756">
          <cell r="N2756">
            <v>-38.000999999999998</v>
          </cell>
        </row>
        <row r="2757">
          <cell r="N2757">
            <v>-503.37599999999998</v>
          </cell>
        </row>
        <row r="2758">
          <cell r="N2758">
            <v>-9.6069999999999993</v>
          </cell>
        </row>
        <row r="2759">
          <cell r="N2759">
            <v>-4.2039999999999997</v>
          </cell>
        </row>
        <row r="2760">
          <cell r="N2760">
            <v>-1.673</v>
          </cell>
        </row>
        <row r="2761">
          <cell r="N2761">
            <v>-40.506999999999998</v>
          </cell>
        </row>
        <row r="2762">
          <cell r="N2762">
            <v>-40.027999999999999</v>
          </cell>
        </row>
        <row r="2763">
          <cell r="N2763">
            <v>-27.986999999999998</v>
          </cell>
        </row>
        <row r="2764">
          <cell r="N2764">
            <v>-44.024999999999999</v>
          </cell>
        </row>
        <row r="2765">
          <cell r="N2765">
            <v>-1.673</v>
          </cell>
        </row>
        <row r="2766">
          <cell r="N2766">
            <v>-11.108000000000001</v>
          </cell>
        </row>
        <row r="2767">
          <cell r="N2767">
            <v>-50.945999999999998</v>
          </cell>
        </row>
        <row r="2768">
          <cell r="N2768">
            <v>-52.869</v>
          </cell>
        </row>
        <row r="2769">
          <cell r="N2769">
            <v>-39.682000000000002</v>
          </cell>
        </row>
        <row r="2770">
          <cell r="N2770">
            <v>-27.175999999999998</v>
          </cell>
        </row>
        <row r="2771">
          <cell r="N2771">
            <v>-40.372</v>
          </cell>
        </row>
        <row r="2772">
          <cell r="N2772">
            <v>-30.984999999999999</v>
          </cell>
        </row>
        <row r="2773">
          <cell r="N2773">
            <v>-47.734999999999999</v>
          </cell>
        </row>
        <row r="2774">
          <cell r="N2774">
            <v>-2.6379999999999999</v>
          </cell>
        </row>
        <row r="2775">
          <cell r="N2775">
            <v>-11.096</v>
          </cell>
        </row>
        <row r="2776">
          <cell r="N2776">
            <v>-32.924999999999997</v>
          </cell>
        </row>
        <row r="2777">
          <cell r="N2777">
            <v>-22.623999999999999</v>
          </cell>
        </row>
        <row r="2778">
          <cell r="N2778">
            <v>-38.982999999999997</v>
          </cell>
        </row>
        <row r="2779">
          <cell r="N2779">
            <v>-37.384</v>
          </cell>
        </row>
        <row r="2780">
          <cell r="N2780">
            <v>-24.184000000000001</v>
          </cell>
        </row>
        <row r="2781">
          <cell r="N2781">
            <v>-14.552</v>
          </cell>
        </row>
        <row r="2782">
          <cell r="N2782">
            <v>-42.871000000000002</v>
          </cell>
        </row>
        <row r="2783">
          <cell r="N2783">
            <v>-42.356999999999999</v>
          </cell>
        </row>
        <row r="2784">
          <cell r="N2784">
            <v>-32.191000000000003</v>
          </cell>
        </row>
        <row r="2785">
          <cell r="N2785">
            <v>-9.7070000000000007</v>
          </cell>
        </row>
        <row r="2786">
          <cell r="N2786">
            <v>-26.039000000000001</v>
          </cell>
        </row>
        <row r="2787">
          <cell r="N2787">
            <v>-30.140999999999998</v>
          </cell>
        </row>
        <row r="2788">
          <cell r="N2788">
            <v>-23.989000000000001</v>
          </cell>
        </row>
        <row r="2789">
          <cell r="N2789">
            <v>-40.170999999999999</v>
          </cell>
        </row>
        <row r="2790">
          <cell r="N2790">
            <v>-33.856999999999999</v>
          </cell>
        </row>
        <row r="2791">
          <cell r="N2791">
            <v>-34.317</v>
          </cell>
        </row>
        <row r="2792">
          <cell r="N2792">
            <v>-18.204999999999998</v>
          </cell>
        </row>
        <row r="2793">
          <cell r="N2793">
            <v>-11.882</v>
          </cell>
        </row>
        <row r="2794">
          <cell r="N2794">
            <v>-32.651000000000003</v>
          </cell>
        </row>
        <row r="2795">
          <cell r="N2795">
            <v>-19.893999999999998</v>
          </cell>
        </row>
        <row r="2796">
          <cell r="N2796">
            <v>-15.430999999999999</v>
          </cell>
        </row>
        <row r="2797">
          <cell r="N2797">
            <v>-41.18</v>
          </cell>
        </row>
        <row r="2798">
          <cell r="N2798">
            <v>-20.381</v>
          </cell>
        </row>
        <row r="2799">
          <cell r="N2799">
            <v>-9.3620000000000001</v>
          </cell>
        </row>
        <row r="2800">
          <cell r="N2800">
            <v>-34.412999999999997</v>
          </cell>
        </row>
        <row r="2801">
          <cell r="N2801">
            <v>-1.992</v>
          </cell>
        </row>
        <row r="2802">
          <cell r="N2802">
            <v>-33.095999999999997</v>
          </cell>
        </row>
        <row r="2803">
          <cell r="N2803">
            <v>-10.775</v>
          </cell>
        </row>
        <row r="2804">
          <cell r="N2804">
            <v>-16.123999999999999</v>
          </cell>
        </row>
        <row r="2805">
          <cell r="N2805">
            <v>-9.8770000000000007</v>
          </cell>
        </row>
        <row r="2806">
          <cell r="N2806">
            <v>-25.72</v>
          </cell>
        </row>
        <row r="2807">
          <cell r="N2807">
            <v>-34.119999999999997</v>
          </cell>
        </row>
        <row r="2808">
          <cell r="N2808">
            <v>-31.834</v>
          </cell>
        </row>
        <row r="2809">
          <cell r="N2809">
            <v>-7.3049999999999997</v>
          </cell>
        </row>
        <row r="2810">
          <cell r="N2810">
            <v>-45.948</v>
          </cell>
        </row>
        <row r="2811">
          <cell r="N2811">
            <v>-25.062000000000001</v>
          </cell>
        </row>
        <row r="2812">
          <cell r="N2812">
            <v>-21.259</v>
          </cell>
        </row>
        <row r="2813">
          <cell r="N2813">
            <v>-2.0449999999999999</v>
          </cell>
        </row>
        <row r="2814">
          <cell r="N2814">
            <v>-1.5489999999999999</v>
          </cell>
        </row>
        <row r="2815">
          <cell r="N2815">
            <v>-19.795999999999999</v>
          </cell>
        </row>
        <row r="2816">
          <cell r="N2816">
            <v>-1.956</v>
          </cell>
        </row>
        <row r="2817">
          <cell r="N2817">
            <v>-13.217000000000001</v>
          </cell>
        </row>
        <row r="2818">
          <cell r="N2818">
            <v>-35.567</v>
          </cell>
        </row>
        <row r="2819">
          <cell r="N2819">
            <v>-46.893000000000001</v>
          </cell>
        </row>
        <row r="2820">
          <cell r="N2820">
            <v>-41.816000000000003</v>
          </cell>
        </row>
        <row r="2821">
          <cell r="N2821">
            <v>-28.047000000000001</v>
          </cell>
        </row>
        <row r="2822">
          <cell r="N2822">
            <v>-8.9060000000000006</v>
          </cell>
        </row>
        <row r="2823">
          <cell r="N2823">
            <v>-40.843000000000004</v>
          </cell>
        </row>
        <row r="2824">
          <cell r="N2824">
            <v>-32.863</v>
          </cell>
        </row>
        <row r="2825">
          <cell r="N2825">
            <v>-28.815000000000001</v>
          </cell>
        </row>
        <row r="2826">
          <cell r="N2826">
            <v>-9.8070000000000004</v>
          </cell>
        </row>
        <row r="2827">
          <cell r="N2827">
            <v>-46.716999999999999</v>
          </cell>
        </row>
        <row r="2828">
          <cell r="N2828">
            <v>-28.192</v>
          </cell>
        </row>
        <row r="2829">
          <cell r="N2829">
            <v>-35.317</v>
          </cell>
        </row>
        <row r="2830">
          <cell r="N2830">
            <v>-12.548999999999999</v>
          </cell>
        </row>
        <row r="2831">
          <cell r="N2831">
            <v>-15.951000000000001</v>
          </cell>
        </row>
        <row r="2832">
          <cell r="N2832">
            <v>-10.475</v>
          </cell>
        </row>
        <row r="2833">
          <cell r="N2833">
            <v>-49.968000000000004</v>
          </cell>
        </row>
        <row r="2834">
          <cell r="N2834">
            <v>-37.094999999999999</v>
          </cell>
        </row>
        <row r="2835">
          <cell r="N2835">
            <v>-12.416</v>
          </cell>
        </row>
        <row r="2836">
          <cell r="N2836">
            <v>-23.989000000000001</v>
          </cell>
        </row>
        <row r="2837">
          <cell r="N2837">
            <v>-10.407999999999999</v>
          </cell>
        </row>
        <row r="2838">
          <cell r="N2838">
            <v>-2.0179999999999998</v>
          </cell>
        </row>
        <row r="2839">
          <cell r="N2839">
            <v>-27.556999999999999</v>
          </cell>
        </row>
        <row r="2840">
          <cell r="N2840">
            <v>-34.601999999999997</v>
          </cell>
        </row>
        <row r="2841">
          <cell r="N2841">
            <v>-34.671999999999997</v>
          </cell>
        </row>
        <row r="2842">
          <cell r="N2842">
            <v>-48.061999999999998</v>
          </cell>
        </row>
        <row r="2843">
          <cell r="N2843">
            <v>-23.559000000000001</v>
          </cell>
        </row>
        <row r="2844">
          <cell r="N2844">
            <v>-42.679000000000002</v>
          </cell>
        </row>
        <row r="2845">
          <cell r="N2845">
            <v>-12.83</v>
          </cell>
        </row>
        <row r="2846">
          <cell r="N2846">
            <v>-31.382000000000001</v>
          </cell>
        </row>
        <row r="2847">
          <cell r="N2847">
            <v>-32.432000000000002</v>
          </cell>
        </row>
        <row r="2848">
          <cell r="N2848">
            <v>-16.968</v>
          </cell>
        </row>
        <row r="2849">
          <cell r="N2849">
            <v>-33.781999999999996</v>
          </cell>
        </row>
        <row r="2850">
          <cell r="N2850">
            <v>-18.146999999999998</v>
          </cell>
        </row>
        <row r="2851">
          <cell r="N2851">
            <v>-34.127000000000002</v>
          </cell>
        </row>
        <row r="2852">
          <cell r="N2852">
            <v>-19.795999999999999</v>
          </cell>
        </row>
        <row r="2853">
          <cell r="N2853">
            <v>-11.308</v>
          </cell>
        </row>
        <row r="2854">
          <cell r="N2854">
            <v>-16.286999999999999</v>
          </cell>
        </row>
        <row r="2855">
          <cell r="N2855">
            <v>-39.387999999999998</v>
          </cell>
        </row>
        <row r="2856">
          <cell r="N2856">
            <v>-30.763000000000002</v>
          </cell>
        </row>
        <row r="2857">
          <cell r="N2857">
            <v>-34.206000000000003</v>
          </cell>
        </row>
        <row r="2858">
          <cell r="N2858">
            <v>-33.429000000000002</v>
          </cell>
        </row>
        <row r="2859">
          <cell r="N2859">
            <v>-13.319000000000001</v>
          </cell>
        </row>
        <row r="2860">
          <cell r="N2860">
            <v>-3.1</v>
          </cell>
        </row>
        <row r="2861">
          <cell r="N2861">
            <v>-19.015999999999998</v>
          </cell>
        </row>
        <row r="2862">
          <cell r="N2862">
            <v>-41.515999999999998</v>
          </cell>
        </row>
        <row r="2863">
          <cell r="N2863">
            <v>-1.806</v>
          </cell>
        </row>
        <row r="2864">
          <cell r="N2864">
            <v>-12.483000000000001</v>
          </cell>
        </row>
        <row r="2865">
          <cell r="N2865">
            <v>-8.8059999999999992</v>
          </cell>
        </row>
        <row r="2866">
          <cell r="N2866">
            <v>-9.4280000000000008</v>
          </cell>
        </row>
        <row r="2867">
          <cell r="N2867">
            <v>-14.366</v>
          </cell>
        </row>
        <row r="2868">
          <cell r="N2868">
            <v>-43.832999999999998</v>
          </cell>
        </row>
        <row r="2869">
          <cell r="N2869">
            <v>-24.876999999999999</v>
          </cell>
        </row>
        <row r="2870">
          <cell r="N2870">
            <v>-1.8320000000000001</v>
          </cell>
        </row>
        <row r="2871">
          <cell r="N2871">
            <v>-8.1059999999999999</v>
          </cell>
        </row>
        <row r="2872">
          <cell r="N2872">
            <v>-41.411000000000001</v>
          </cell>
        </row>
        <row r="2873">
          <cell r="N2873">
            <v>-35.15</v>
          </cell>
        </row>
        <row r="2874">
          <cell r="N2874">
            <v>-31.599</v>
          </cell>
        </row>
        <row r="2875">
          <cell r="N2875">
            <v>-22.931000000000001</v>
          </cell>
        </row>
        <row r="2876">
          <cell r="N2876">
            <v>-16.991</v>
          </cell>
        </row>
        <row r="2877">
          <cell r="N2877">
            <v>-34.722999999999999</v>
          </cell>
        </row>
        <row r="2878">
          <cell r="N2878">
            <v>-24.696000000000002</v>
          </cell>
        </row>
        <row r="2879">
          <cell r="N2879">
            <v>-1.7609999999999999</v>
          </cell>
        </row>
        <row r="2880">
          <cell r="N2880">
            <v>-2.4159999999999999</v>
          </cell>
        </row>
        <row r="2881">
          <cell r="N2881">
            <v>-29.675999999999998</v>
          </cell>
        </row>
        <row r="2882">
          <cell r="N2882">
            <v>-25.988</v>
          </cell>
        </row>
        <row r="2883">
          <cell r="N2883">
            <v>-18.138000000000002</v>
          </cell>
        </row>
        <row r="2884">
          <cell r="N2884">
            <v>-11.096</v>
          </cell>
        </row>
        <row r="2885">
          <cell r="N2885">
            <v>-39.523000000000003</v>
          </cell>
        </row>
        <row r="2886">
          <cell r="N2886">
            <v>-37.771000000000001</v>
          </cell>
        </row>
        <row r="2887">
          <cell r="N2887">
            <v>-43.341000000000001</v>
          </cell>
        </row>
        <row r="2888">
          <cell r="N2888">
            <v>-41.758000000000003</v>
          </cell>
        </row>
        <row r="2889">
          <cell r="N2889">
            <v>-52.082000000000001</v>
          </cell>
        </row>
        <row r="2890">
          <cell r="N2890">
            <v>-35.084000000000003</v>
          </cell>
        </row>
        <row r="2891">
          <cell r="N2891">
            <v>-33.268000000000001</v>
          </cell>
        </row>
        <row r="2892">
          <cell r="N2892">
            <v>-15.62</v>
          </cell>
        </row>
        <row r="2893">
          <cell r="N2893">
            <v>-8.5060000000000002</v>
          </cell>
        </row>
        <row r="2894">
          <cell r="N2894">
            <v>-24.087</v>
          </cell>
        </row>
        <row r="2895">
          <cell r="N2895">
            <v>-49.6</v>
          </cell>
        </row>
        <row r="2896">
          <cell r="N2896">
            <v>-18.812000000000001</v>
          </cell>
        </row>
        <row r="2897">
          <cell r="N2897">
            <v>-29.760999999999999</v>
          </cell>
        </row>
        <row r="2898">
          <cell r="N2898">
            <v>-40.279000000000003</v>
          </cell>
        </row>
        <row r="2899">
          <cell r="N2899">
            <v>-14.39</v>
          </cell>
        </row>
        <row r="2900">
          <cell r="N2900">
            <v>-24.867000000000001</v>
          </cell>
        </row>
        <row r="2901">
          <cell r="N2901">
            <v>-15.308999999999999</v>
          </cell>
        </row>
        <row r="2902">
          <cell r="N2902">
            <v>-40.125</v>
          </cell>
        </row>
        <row r="2903">
          <cell r="N2903">
            <v>-20.576000000000001</v>
          </cell>
        </row>
        <row r="2904">
          <cell r="N2904">
            <v>-42.472999999999999</v>
          </cell>
        </row>
        <row r="2905">
          <cell r="N2905">
            <v>-11.962999999999999</v>
          </cell>
        </row>
        <row r="2906">
          <cell r="N2906">
            <v>-9.2070000000000007</v>
          </cell>
        </row>
        <row r="2907">
          <cell r="N2907">
            <v>-14.91</v>
          </cell>
        </row>
        <row r="2908">
          <cell r="N2908">
            <v>-32.238999999999997</v>
          </cell>
        </row>
        <row r="2909">
          <cell r="N2909">
            <v>-13.617000000000001</v>
          </cell>
        </row>
        <row r="2910">
          <cell r="N2910">
            <v>-12.122</v>
          </cell>
        </row>
        <row r="2911">
          <cell r="N2911">
            <v>-14.067</v>
          </cell>
        </row>
        <row r="2912">
          <cell r="N2912">
            <v>-15.084</v>
          </cell>
        </row>
        <row r="2913">
          <cell r="N2913">
            <v>-31.844000000000001</v>
          </cell>
        </row>
        <row r="2914">
          <cell r="N2914">
            <v>-32.07</v>
          </cell>
        </row>
        <row r="2915">
          <cell r="N2915">
            <v>-26.945</v>
          </cell>
        </row>
        <row r="2916">
          <cell r="N2916">
            <v>-6.9050000000000002</v>
          </cell>
        </row>
        <row r="2917">
          <cell r="N2917">
            <v>-40.564999999999998</v>
          </cell>
        </row>
        <row r="2918">
          <cell r="N2918">
            <v>-40.293999999999997</v>
          </cell>
        </row>
        <row r="2919">
          <cell r="N2919">
            <v>-7.61</v>
          </cell>
        </row>
        <row r="2920">
          <cell r="N2920">
            <v>-6.2750000000000004</v>
          </cell>
        </row>
        <row r="2921">
          <cell r="N2921">
            <v>-40.332000000000001</v>
          </cell>
        </row>
        <row r="2922">
          <cell r="N2922">
            <v>-2.39</v>
          </cell>
        </row>
        <row r="2923">
          <cell r="N2923">
            <v>-11.214</v>
          </cell>
        </row>
        <row r="2924">
          <cell r="N2924">
            <v>-2.2480000000000002</v>
          </cell>
        </row>
        <row r="2925">
          <cell r="N2925">
            <v>-19.600999999999999</v>
          </cell>
        </row>
        <row r="2926">
          <cell r="N2926">
            <v>-16.954999999999998</v>
          </cell>
        </row>
        <row r="2927">
          <cell r="N2927">
            <v>-34.488999999999997</v>
          </cell>
        </row>
        <row r="2928">
          <cell r="N2928">
            <v>-9.0069999999999997</v>
          </cell>
        </row>
        <row r="2929">
          <cell r="N2929">
            <v>-24.184000000000001</v>
          </cell>
        </row>
        <row r="2930">
          <cell r="N2930">
            <v>-20.283999999999999</v>
          </cell>
        </row>
        <row r="2931">
          <cell r="N2931">
            <v>-48.814999999999998</v>
          </cell>
        </row>
        <row r="2932">
          <cell r="N2932">
            <v>-31.588000000000001</v>
          </cell>
        </row>
        <row r="2933">
          <cell r="N2933">
            <v>-4.0000000000000001E-3</v>
          </cell>
        </row>
        <row r="2934">
          <cell r="N2934">
            <v>-32.753999999999998</v>
          </cell>
        </row>
        <row r="2935">
          <cell r="N2935">
            <v>-22.722000000000001</v>
          </cell>
        </row>
        <row r="2936">
          <cell r="N2936">
            <v>-1.956</v>
          </cell>
        </row>
        <row r="2937">
          <cell r="N2937">
            <v>-10.814</v>
          </cell>
        </row>
        <row r="2938">
          <cell r="N2938">
            <v>-8.7059999999999995</v>
          </cell>
        </row>
        <row r="2939">
          <cell r="N2939">
            <v>-21.161000000000001</v>
          </cell>
        </row>
        <row r="2940">
          <cell r="N2940">
            <v>-32.912999999999997</v>
          </cell>
        </row>
        <row r="2941">
          <cell r="N2941">
            <v>-14.067</v>
          </cell>
        </row>
        <row r="2942">
          <cell r="N2942">
            <v>-1.452</v>
          </cell>
        </row>
        <row r="2943">
          <cell r="N2943">
            <v>-35.686999999999998</v>
          </cell>
        </row>
        <row r="2944">
          <cell r="N2944">
            <v>-36.627000000000002</v>
          </cell>
        </row>
        <row r="2945">
          <cell r="N2945">
            <v>-10.176</v>
          </cell>
        </row>
        <row r="2946">
          <cell r="N2946">
            <v>-44.853000000000002</v>
          </cell>
        </row>
        <row r="2947">
          <cell r="N2947">
            <v>-11.081</v>
          </cell>
        </row>
        <row r="2948">
          <cell r="N2948">
            <v>-2.5489999999999999</v>
          </cell>
        </row>
        <row r="2949">
          <cell r="N2949">
            <v>-9.7460000000000004</v>
          </cell>
        </row>
        <row r="2950">
          <cell r="N2950">
            <v>-32.578000000000003</v>
          </cell>
        </row>
        <row r="2951">
          <cell r="N2951">
            <v>-16.064</v>
          </cell>
        </row>
        <row r="2952">
          <cell r="N2952">
            <v>-24.184000000000001</v>
          </cell>
        </row>
        <row r="2953">
          <cell r="N2953">
            <v>-15.218999999999999</v>
          </cell>
        </row>
        <row r="2954">
          <cell r="N2954">
            <v>-8.4060000000000006</v>
          </cell>
        </row>
        <row r="2955">
          <cell r="N2955">
            <v>-49.6</v>
          </cell>
        </row>
        <row r="2956">
          <cell r="N2956">
            <v>-38.655999999999999</v>
          </cell>
        </row>
        <row r="2957">
          <cell r="N2957">
            <v>-1.5580000000000001</v>
          </cell>
        </row>
        <row r="2958">
          <cell r="N2958">
            <v>-20.381</v>
          </cell>
        </row>
        <row r="2959">
          <cell r="N2959">
            <v>-20.283999999999999</v>
          </cell>
        </row>
        <row r="2960">
          <cell r="N2960">
            <v>-35.027999999999999</v>
          </cell>
        </row>
        <row r="2961">
          <cell r="N2961">
            <v>-10.608000000000001</v>
          </cell>
        </row>
        <row r="2962">
          <cell r="N2962">
            <v>-10.413</v>
          </cell>
        </row>
        <row r="2963">
          <cell r="N2963">
            <v>-14.151</v>
          </cell>
        </row>
        <row r="2964">
          <cell r="N2964">
            <v>-41.753999999999998</v>
          </cell>
        </row>
        <row r="2965">
          <cell r="N2965">
            <v>-26.036999999999999</v>
          </cell>
        </row>
        <row r="2966">
          <cell r="N2966">
            <v>-11.616</v>
          </cell>
        </row>
        <row r="2967">
          <cell r="N2967">
            <v>-30.01</v>
          </cell>
        </row>
        <row r="2968">
          <cell r="N2968">
            <v>-33.856999999999999</v>
          </cell>
        </row>
        <row r="2969">
          <cell r="N2969">
            <v>-37.844999999999999</v>
          </cell>
        </row>
        <row r="2970">
          <cell r="N2970">
            <v>-15.353</v>
          </cell>
        </row>
        <row r="2971">
          <cell r="N2971">
            <v>-8.3059999999999992</v>
          </cell>
        </row>
        <row r="2972">
          <cell r="N2972">
            <v>-40.18</v>
          </cell>
        </row>
        <row r="2973">
          <cell r="N2973">
            <v>-28.414000000000001</v>
          </cell>
        </row>
        <row r="2974">
          <cell r="N2974">
            <v>-35.884999999999998</v>
          </cell>
        </row>
        <row r="2975">
          <cell r="N2975">
            <v>-45.354999999999997</v>
          </cell>
        </row>
        <row r="2976">
          <cell r="N2976">
            <v>-19.532</v>
          </cell>
        </row>
        <row r="2977">
          <cell r="N2977">
            <v>-31.638999999999999</v>
          </cell>
        </row>
        <row r="2978">
          <cell r="N2978">
            <v>-11.615</v>
          </cell>
        </row>
        <row r="2979">
          <cell r="N2979">
            <v>-31.347000000000001</v>
          </cell>
        </row>
        <row r="2980">
          <cell r="N2980">
            <v>-12.683</v>
          </cell>
        </row>
        <row r="2981">
          <cell r="N2981">
            <v>-38.442999999999998</v>
          </cell>
        </row>
        <row r="2982">
          <cell r="N2982">
            <v>-32.578000000000003</v>
          </cell>
        </row>
        <row r="2983">
          <cell r="N2983">
            <v>-2.3010000000000002</v>
          </cell>
        </row>
        <row r="2984">
          <cell r="N2984">
            <v>-11.615</v>
          </cell>
        </row>
        <row r="2985">
          <cell r="N2985">
            <v>-37.228999999999999</v>
          </cell>
        </row>
        <row r="2986">
          <cell r="N2986">
            <v>-14.018000000000001</v>
          </cell>
        </row>
        <row r="2987">
          <cell r="N2987">
            <v>-30.524000000000001</v>
          </cell>
        </row>
        <row r="2988">
          <cell r="N2988">
            <v>-24.574999999999999</v>
          </cell>
        </row>
        <row r="2989">
          <cell r="N2989">
            <v>-21.454000000000001</v>
          </cell>
        </row>
        <row r="2990">
          <cell r="N2990">
            <v>-19.795999999999999</v>
          </cell>
        </row>
        <row r="2991">
          <cell r="N2991">
            <v>-1.6020000000000001</v>
          </cell>
        </row>
        <row r="2992">
          <cell r="N2992">
            <v>-15.086</v>
          </cell>
        </row>
        <row r="2993">
          <cell r="N2993">
            <v>-9.8789999999999996</v>
          </cell>
        </row>
        <row r="2994">
          <cell r="N2994">
            <v>-34.061999999999998</v>
          </cell>
        </row>
        <row r="2995">
          <cell r="N2995">
            <v>-12.122</v>
          </cell>
        </row>
        <row r="2996">
          <cell r="N2996">
            <v>-40.009</v>
          </cell>
        </row>
        <row r="2997">
          <cell r="N2997">
            <v>-35.326000000000001</v>
          </cell>
        </row>
        <row r="2998">
          <cell r="N2998">
            <v>-35.027999999999999</v>
          </cell>
        </row>
        <row r="2999">
          <cell r="N2999">
            <v>-9.8070000000000004</v>
          </cell>
        </row>
        <row r="3000">
          <cell r="N3000">
            <v>-11.108000000000001</v>
          </cell>
        </row>
        <row r="3001">
          <cell r="N3001">
            <v>-15.563000000000001</v>
          </cell>
        </row>
        <row r="3002">
          <cell r="N3002">
            <v>-39.206000000000003</v>
          </cell>
        </row>
        <row r="3003">
          <cell r="N3003">
            <v>-14.018000000000001</v>
          </cell>
        </row>
        <row r="3004">
          <cell r="N3004">
            <v>-13.35</v>
          </cell>
        </row>
        <row r="3005">
          <cell r="N3005">
            <v>-19.699000000000002</v>
          </cell>
        </row>
        <row r="3006">
          <cell r="N3006">
            <v>-3.5649999999999999</v>
          </cell>
        </row>
        <row r="3007">
          <cell r="N3007">
            <v>-17.844000000000001</v>
          </cell>
        </row>
        <row r="3008">
          <cell r="N3008">
            <v>-30.62</v>
          </cell>
        </row>
        <row r="3009">
          <cell r="N3009">
            <v>-33.781999999999996</v>
          </cell>
        </row>
        <row r="3010">
          <cell r="N3010">
            <v>-33.067999999999998</v>
          </cell>
        </row>
        <row r="3011">
          <cell r="N3011">
            <v>-24.77</v>
          </cell>
        </row>
        <row r="3012">
          <cell r="N3012">
            <v>-10.146000000000001</v>
          </cell>
        </row>
        <row r="3013">
          <cell r="N3013">
            <v>-30.140999999999998</v>
          </cell>
        </row>
        <row r="3014">
          <cell r="N3014">
            <v>-2.39</v>
          </cell>
        </row>
        <row r="3015">
          <cell r="N3015">
            <v>-13.468</v>
          </cell>
        </row>
        <row r="3016">
          <cell r="N3016">
            <v>-33.777000000000001</v>
          </cell>
        </row>
        <row r="3017">
          <cell r="N3017">
            <v>-11.208</v>
          </cell>
        </row>
        <row r="3018">
          <cell r="N3018">
            <v>-11.972</v>
          </cell>
        </row>
        <row r="3019">
          <cell r="N3019">
            <v>-26.524999999999999</v>
          </cell>
        </row>
        <row r="3020">
          <cell r="N3020">
            <v>-30.140999999999998</v>
          </cell>
        </row>
        <row r="3021">
          <cell r="N3021">
            <v>-32.067999999999998</v>
          </cell>
        </row>
        <row r="3022">
          <cell r="N3022">
            <v>-14.285</v>
          </cell>
        </row>
        <row r="3023">
          <cell r="N3023">
            <v>-1.9119999999999999</v>
          </cell>
        </row>
        <row r="3024">
          <cell r="N3024">
            <v>-11.007999999999999</v>
          </cell>
        </row>
        <row r="3025">
          <cell r="N3025">
            <v>-30.495999999999999</v>
          </cell>
        </row>
        <row r="3026">
          <cell r="N3026">
            <v>-22.527000000000001</v>
          </cell>
        </row>
        <row r="3027">
          <cell r="N3027">
            <v>-17.222000000000001</v>
          </cell>
        </row>
        <row r="3028">
          <cell r="N3028">
            <v>-25.55</v>
          </cell>
        </row>
        <row r="3029">
          <cell r="N3029">
            <v>-42.472999999999999</v>
          </cell>
        </row>
        <row r="3030">
          <cell r="N3030">
            <v>-37.363999999999997</v>
          </cell>
        </row>
        <row r="3031">
          <cell r="N3031">
            <v>-11.747999999999999</v>
          </cell>
        </row>
        <row r="3032">
          <cell r="N3032">
            <v>-51.720999999999997</v>
          </cell>
        </row>
        <row r="3033">
          <cell r="N3033">
            <v>-24.992000000000001</v>
          </cell>
        </row>
        <row r="3034">
          <cell r="N3034">
            <v>-34.127000000000002</v>
          </cell>
        </row>
        <row r="3035">
          <cell r="N3035">
            <v>-5.694</v>
          </cell>
        </row>
        <row r="3036">
          <cell r="N3036">
            <v>-32.209000000000003</v>
          </cell>
        </row>
        <row r="3037">
          <cell r="N3037">
            <v>-33.517000000000003</v>
          </cell>
        </row>
        <row r="3038">
          <cell r="N3038">
            <v>-24.77</v>
          </cell>
        </row>
        <row r="3039">
          <cell r="N3039">
            <v>-1.5580000000000001</v>
          </cell>
        </row>
        <row r="3040">
          <cell r="N3040">
            <v>-31.428999999999998</v>
          </cell>
        </row>
        <row r="3041">
          <cell r="N3041">
            <v>-19.600999999999999</v>
          </cell>
        </row>
        <row r="3042">
          <cell r="N3042">
            <v>-44.41</v>
          </cell>
        </row>
        <row r="3043">
          <cell r="N3043">
            <v>-41.328000000000003</v>
          </cell>
        </row>
        <row r="3044">
          <cell r="N3044">
            <v>-25.257000000000001</v>
          </cell>
        </row>
        <row r="3045">
          <cell r="N3045">
            <v>-2.31</v>
          </cell>
        </row>
        <row r="3046">
          <cell r="N3046">
            <v>-9.6069999999999993</v>
          </cell>
        </row>
        <row r="3047">
          <cell r="N3047">
            <v>-21.454000000000001</v>
          </cell>
        </row>
        <row r="3048">
          <cell r="N3048">
            <v>-27.765000000000001</v>
          </cell>
        </row>
        <row r="3049">
          <cell r="N3049">
            <v>-2.266</v>
          </cell>
        </row>
        <row r="3050">
          <cell r="N3050">
            <v>-30.382000000000001</v>
          </cell>
        </row>
        <row r="3051">
          <cell r="N3051">
            <v>-51.662999999999997</v>
          </cell>
        </row>
        <row r="3052">
          <cell r="N3052">
            <v>-29.43</v>
          </cell>
        </row>
        <row r="3053">
          <cell r="N3053">
            <v>-14.685</v>
          </cell>
        </row>
        <row r="3054">
          <cell r="N3054">
            <v>-27.579000000000001</v>
          </cell>
        </row>
        <row r="3055">
          <cell r="N3055">
            <v>-37.368000000000002</v>
          </cell>
        </row>
        <row r="3056">
          <cell r="N3056">
            <v>-2.54</v>
          </cell>
        </row>
        <row r="3057">
          <cell r="N3057">
            <v>-14.516</v>
          </cell>
        </row>
        <row r="3058">
          <cell r="N3058">
            <v>-30.864999999999998</v>
          </cell>
        </row>
        <row r="3059">
          <cell r="N3059">
            <v>-40.048000000000002</v>
          </cell>
        </row>
        <row r="3060">
          <cell r="N3060">
            <v>-29.43</v>
          </cell>
        </row>
        <row r="3061">
          <cell r="N3061">
            <v>-35.668999999999997</v>
          </cell>
        </row>
        <row r="3062">
          <cell r="N3062">
            <v>-10.547000000000001</v>
          </cell>
        </row>
        <row r="3063">
          <cell r="N3063">
            <v>-33.878999999999998</v>
          </cell>
        </row>
        <row r="3064">
          <cell r="N3064">
            <v>-23.891999999999999</v>
          </cell>
        </row>
        <row r="3065">
          <cell r="N3065">
            <v>-31.347000000000001</v>
          </cell>
        </row>
        <row r="3066">
          <cell r="N3066">
            <v>-12.416</v>
          </cell>
        </row>
        <row r="3067">
          <cell r="N3067">
            <v>-2.16</v>
          </cell>
        </row>
        <row r="3068">
          <cell r="N3068">
            <v>-24.672000000000001</v>
          </cell>
        </row>
        <row r="3069">
          <cell r="N3069">
            <v>-12.148999999999999</v>
          </cell>
        </row>
        <row r="3070">
          <cell r="N3070">
            <v>-10.814</v>
          </cell>
        </row>
        <row r="3071">
          <cell r="N3071">
            <v>-12.502000000000001</v>
          </cell>
        </row>
        <row r="3072">
          <cell r="N3072">
            <v>-31.783999999999999</v>
          </cell>
        </row>
        <row r="3073">
          <cell r="N3073">
            <v>-1.974</v>
          </cell>
        </row>
        <row r="3074">
          <cell r="N3074">
            <v>-14.151</v>
          </cell>
        </row>
        <row r="3075">
          <cell r="N3075">
            <v>-33.453000000000003</v>
          </cell>
        </row>
        <row r="3076">
          <cell r="N3076">
            <v>-12.148999999999999</v>
          </cell>
        </row>
        <row r="3077">
          <cell r="N3077">
            <v>-13.169</v>
          </cell>
        </row>
        <row r="3078">
          <cell r="N3078">
            <v>-23.989000000000001</v>
          </cell>
        </row>
        <row r="3079">
          <cell r="N3079">
            <v>-33.758000000000003</v>
          </cell>
        </row>
        <row r="3080">
          <cell r="N3080">
            <v>-22.623000000000001</v>
          </cell>
        </row>
        <row r="3081">
          <cell r="N3081">
            <v>-18.332999999999998</v>
          </cell>
        </row>
        <row r="3082">
          <cell r="N3082">
            <v>-21.064</v>
          </cell>
        </row>
        <row r="3083">
          <cell r="N3083">
            <v>-27.652999999999999</v>
          </cell>
        </row>
        <row r="3084">
          <cell r="N3084">
            <v>-33.585000000000001</v>
          </cell>
        </row>
        <row r="3085">
          <cell r="N3085">
            <v>-26.036999999999999</v>
          </cell>
        </row>
        <row r="3086">
          <cell r="N3086">
            <v>-25.16</v>
          </cell>
        </row>
        <row r="3087">
          <cell r="N3087">
            <v>-13.884</v>
          </cell>
        </row>
        <row r="3088">
          <cell r="N3088">
            <v>-30.984999999999999</v>
          </cell>
        </row>
        <row r="3089">
          <cell r="N3089">
            <v>-6.4420000000000002</v>
          </cell>
        </row>
        <row r="3090">
          <cell r="N3090">
            <v>-33.034999999999997</v>
          </cell>
        </row>
        <row r="3091">
          <cell r="N3091">
            <v>-19.015999999999998</v>
          </cell>
        </row>
        <row r="3092">
          <cell r="N3092">
            <v>-29.074000000000002</v>
          </cell>
        </row>
        <row r="3093">
          <cell r="N3093">
            <v>-11.821999999999999</v>
          </cell>
        </row>
        <row r="3094">
          <cell r="N3094">
            <v>-33.396000000000001</v>
          </cell>
        </row>
        <row r="3095">
          <cell r="N3095">
            <v>-9.8789999999999996</v>
          </cell>
        </row>
        <row r="3096">
          <cell r="N3096">
            <v>-1.8680000000000001</v>
          </cell>
        </row>
        <row r="3097">
          <cell r="N3097">
            <v>-12.683</v>
          </cell>
        </row>
        <row r="3098">
          <cell r="N3098">
            <v>-24.477</v>
          </cell>
        </row>
        <row r="3099">
          <cell r="N3099">
            <v>-10.413</v>
          </cell>
        </row>
        <row r="3100">
          <cell r="N3100">
            <v>-18.041</v>
          </cell>
        </row>
        <row r="3101">
          <cell r="N3101">
            <v>-33.587000000000003</v>
          </cell>
        </row>
        <row r="3102">
          <cell r="N3102">
            <v>-10.814</v>
          </cell>
        </row>
        <row r="3103">
          <cell r="N3103">
            <v>-0.749</v>
          </cell>
        </row>
        <row r="3104">
          <cell r="N3104">
            <v>-2.1709999999999998</v>
          </cell>
        </row>
        <row r="3105">
          <cell r="N3105">
            <v>-2.7469999999999999</v>
          </cell>
        </row>
        <row r="3106">
          <cell r="N3106">
            <v>-0.63500000000000001</v>
          </cell>
        </row>
        <row r="3107">
          <cell r="N3107">
            <v>-1.19</v>
          </cell>
        </row>
        <row r="3108">
          <cell r="N3108">
            <v>-0.17799999999999999</v>
          </cell>
        </row>
        <row r="3109">
          <cell r="N3109">
            <v>-2.5209999999999999</v>
          </cell>
        </row>
        <row r="3110">
          <cell r="N3110">
            <v>-7.798</v>
          </cell>
        </row>
        <row r="3111">
          <cell r="N3111">
            <v>-29.9</v>
          </cell>
        </row>
        <row r="3112">
          <cell r="N3112">
            <v>-13.217000000000001</v>
          </cell>
        </row>
        <row r="3113">
          <cell r="N3113">
            <v>-5.0410000000000004</v>
          </cell>
        </row>
        <row r="3114">
          <cell r="N3114">
            <v>-31.096</v>
          </cell>
        </row>
        <row r="3115">
          <cell r="N3115">
            <v>-8.5500000000000007</v>
          </cell>
        </row>
        <row r="3116">
          <cell r="N3116">
            <v>-1.8320000000000001</v>
          </cell>
        </row>
        <row r="3117">
          <cell r="N3117">
            <v>-8.0980000000000008</v>
          </cell>
        </row>
        <row r="3118">
          <cell r="N3118">
            <v>-13.019</v>
          </cell>
        </row>
        <row r="3119">
          <cell r="N3119">
            <v>-24.321999999999999</v>
          </cell>
        </row>
        <row r="3120">
          <cell r="N3120">
            <v>-2.2869999999999999</v>
          </cell>
        </row>
        <row r="3121">
          <cell r="N3121">
            <v>-1.143</v>
          </cell>
        </row>
        <row r="3122">
          <cell r="N3122">
            <v>-2.1150000000000002</v>
          </cell>
        </row>
        <row r="3123">
          <cell r="N3123">
            <v>-9.6120000000000001</v>
          </cell>
        </row>
        <row r="3124">
          <cell r="N3124">
            <v>-33.31</v>
          </cell>
        </row>
        <row r="3125">
          <cell r="N3125">
            <v>-10.946999999999999</v>
          </cell>
        </row>
        <row r="3126">
          <cell r="N3126">
            <v>-19.991</v>
          </cell>
        </row>
        <row r="3127">
          <cell r="N3127">
            <v>-12.683</v>
          </cell>
        </row>
        <row r="3128">
          <cell r="N3128">
            <v>-12.72</v>
          </cell>
        </row>
        <row r="3129">
          <cell r="N3129">
            <v>-4.3739999999999997</v>
          </cell>
        </row>
        <row r="3130">
          <cell r="N3130">
            <v>-2.5209999999999999</v>
          </cell>
        </row>
        <row r="3131">
          <cell r="N3131">
            <v>-1.5580000000000001</v>
          </cell>
        </row>
        <row r="3132">
          <cell r="N3132">
            <v>-30.03</v>
          </cell>
        </row>
        <row r="3133">
          <cell r="N3133">
            <v>-3.7160000000000002</v>
          </cell>
        </row>
        <row r="3134">
          <cell r="N3134">
            <v>-20.367999999999999</v>
          </cell>
        </row>
        <row r="3135">
          <cell r="N3135">
            <v>-13.750999999999999</v>
          </cell>
        </row>
        <row r="3136">
          <cell r="N3136">
            <v>-14.151</v>
          </cell>
        </row>
        <row r="3137">
          <cell r="N3137">
            <v>-32.921999999999997</v>
          </cell>
        </row>
        <row r="3138">
          <cell r="N3138">
            <v>-28.875</v>
          </cell>
        </row>
        <row r="3139">
          <cell r="N3139">
            <v>-2.496</v>
          </cell>
        </row>
        <row r="3140">
          <cell r="N3140">
            <v>-2.2869999999999999</v>
          </cell>
        </row>
        <row r="3141">
          <cell r="N3141">
            <v>-28.73</v>
          </cell>
        </row>
        <row r="3142">
          <cell r="N3142">
            <v>-20.402999999999999</v>
          </cell>
        </row>
        <row r="3143">
          <cell r="N3143">
            <v>-35.317</v>
          </cell>
        </row>
        <row r="3144">
          <cell r="N3144">
            <v>-1.6459999999999999</v>
          </cell>
        </row>
        <row r="3145">
          <cell r="N3145">
            <v>-0.20399999999999999</v>
          </cell>
        </row>
        <row r="3146">
          <cell r="N3146">
            <v>-33.448999999999998</v>
          </cell>
        </row>
        <row r="3147">
          <cell r="N3147">
            <v>-3.0710000000000002</v>
          </cell>
        </row>
        <row r="3148">
          <cell r="N3148">
            <v>-3.1230000000000002</v>
          </cell>
        </row>
        <row r="3149">
          <cell r="N3149">
            <v>-12.816000000000001</v>
          </cell>
        </row>
        <row r="3150">
          <cell r="N3150">
            <v>-16.02</v>
          </cell>
        </row>
        <row r="3151">
          <cell r="N3151">
            <v>-34.837000000000003</v>
          </cell>
        </row>
        <row r="3152">
          <cell r="N3152">
            <v>-12.015000000000001</v>
          </cell>
        </row>
        <row r="3153">
          <cell r="N3153">
            <v>-35.058999999999997</v>
          </cell>
        </row>
        <row r="3154">
          <cell r="N3154">
            <v>-11.523</v>
          </cell>
        </row>
        <row r="3155">
          <cell r="N3155">
            <v>-10.141999999999999</v>
          </cell>
        </row>
        <row r="3156">
          <cell r="N3156">
            <v>-25.062000000000001</v>
          </cell>
        </row>
        <row r="3157">
          <cell r="N3157">
            <v>-20.381</v>
          </cell>
        </row>
        <row r="3158">
          <cell r="N3158">
            <v>-33.585000000000001</v>
          </cell>
        </row>
        <row r="3159">
          <cell r="N3159">
            <v>-3.7170000000000001</v>
          </cell>
        </row>
        <row r="3160">
          <cell r="N3160">
            <v>-2.137</v>
          </cell>
        </row>
        <row r="3161">
          <cell r="N3161">
            <v>-4.0129999999999999</v>
          </cell>
        </row>
        <row r="3162">
          <cell r="N3162">
            <v>-33.651000000000003</v>
          </cell>
        </row>
        <row r="3163">
          <cell r="N3163">
            <v>-14.819000000000001</v>
          </cell>
        </row>
        <row r="3164">
          <cell r="N3164">
            <v>-1.0999999999999999E-2</v>
          </cell>
        </row>
        <row r="3165">
          <cell r="N3165">
            <v>-15.407999999999999</v>
          </cell>
        </row>
        <row r="3166">
          <cell r="N3166">
            <v>-12.72</v>
          </cell>
        </row>
        <row r="3167">
          <cell r="N3167">
            <v>-4.7320000000000002</v>
          </cell>
        </row>
        <row r="3168">
          <cell r="N3168">
            <v>-5.5739999999999998</v>
          </cell>
        </row>
        <row r="3169">
          <cell r="N3169">
            <v>-2.4430000000000001</v>
          </cell>
        </row>
        <row r="3170">
          <cell r="N3170">
            <v>-14.685</v>
          </cell>
        </row>
        <row r="3171">
          <cell r="N3171">
            <v>-35.65</v>
          </cell>
        </row>
        <row r="3172">
          <cell r="N3172">
            <v>-8.8109999999999999</v>
          </cell>
        </row>
        <row r="3173">
          <cell r="N3173">
            <v>-35.301000000000002</v>
          </cell>
        </row>
        <row r="3174">
          <cell r="N3174">
            <v>-29.875</v>
          </cell>
        </row>
        <row r="3175">
          <cell r="N3175">
            <v>-24.477</v>
          </cell>
        </row>
        <row r="3176">
          <cell r="N3176">
            <v>-2.319</v>
          </cell>
        </row>
        <row r="3177">
          <cell r="N3177">
            <v>-3.242</v>
          </cell>
        </row>
        <row r="3178">
          <cell r="N3178">
            <v>-10.837</v>
          </cell>
        </row>
        <row r="3179">
          <cell r="N3179">
            <v>-26.036999999999999</v>
          </cell>
        </row>
        <row r="3180">
          <cell r="N3180">
            <v>-25.21</v>
          </cell>
        </row>
        <row r="3181">
          <cell r="N3181">
            <v>-45.524000000000001</v>
          </cell>
        </row>
        <row r="3182">
          <cell r="N3182">
            <v>-12.148999999999999</v>
          </cell>
        </row>
        <row r="3183">
          <cell r="N3183">
            <v>-19.309000000000001</v>
          </cell>
        </row>
        <row r="3184">
          <cell r="N3184">
            <v>-43.997999999999998</v>
          </cell>
        </row>
        <row r="3185">
          <cell r="N3185">
            <v>-2.1640000000000001</v>
          </cell>
        </row>
        <row r="3186">
          <cell r="N3186">
            <v>-30.812000000000001</v>
          </cell>
        </row>
        <row r="3187">
          <cell r="N3187">
            <v>-1.4079999999999999</v>
          </cell>
        </row>
        <row r="3188">
          <cell r="N3188">
            <v>-11.615</v>
          </cell>
        </row>
        <row r="3189">
          <cell r="N3189">
            <v>-34.442999999999998</v>
          </cell>
        </row>
        <row r="3190">
          <cell r="N3190">
            <v>-21.649000000000001</v>
          </cell>
        </row>
        <row r="3191">
          <cell r="N3191">
            <v>-2.3540000000000001</v>
          </cell>
        </row>
        <row r="3192">
          <cell r="N3192">
            <v>-24.282</v>
          </cell>
        </row>
        <row r="3193">
          <cell r="N3193">
            <v>-9.4789999999999992</v>
          </cell>
        </row>
        <row r="3194">
          <cell r="N3194">
            <v>-32.311</v>
          </cell>
        </row>
        <row r="3195">
          <cell r="N3195">
            <v>-16.420999999999999</v>
          </cell>
        </row>
        <row r="3196">
          <cell r="N3196">
            <v>-45.941000000000003</v>
          </cell>
        </row>
        <row r="3197">
          <cell r="N3197">
            <v>-32.429000000000002</v>
          </cell>
        </row>
        <row r="3198">
          <cell r="N3198">
            <v>-16.954999999999998</v>
          </cell>
        </row>
        <row r="3199">
          <cell r="N3199">
            <v>-11.217000000000001</v>
          </cell>
        </row>
        <row r="3200">
          <cell r="N3200">
            <v>-21.454000000000001</v>
          </cell>
        </row>
        <row r="3201">
          <cell r="N3201">
            <v>-29.940999999999999</v>
          </cell>
        </row>
        <row r="3202">
          <cell r="N3202">
            <v>-8.1709999999999994</v>
          </cell>
        </row>
        <row r="3203">
          <cell r="N3203">
            <v>-32.207000000000001</v>
          </cell>
        </row>
        <row r="3204">
          <cell r="N3204">
            <v>-29.538</v>
          </cell>
        </row>
        <row r="3205">
          <cell r="N3205">
            <v>-35.084000000000003</v>
          </cell>
        </row>
        <row r="3206">
          <cell r="N3206">
            <v>-25.257000000000001</v>
          </cell>
        </row>
        <row r="3207">
          <cell r="N3207">
            <v>-6.327</v>
          </cell>
        </row>
        <row r="3208">
          <cell r="N3208">
            <v>-28.789000000000001</v>
          </cell>
        </row>
        <row r="3209">
          <cell r="N3209">
            <v>-32.54</v>
          </cell>
        </row>
        <row r="3210">
          <cell r="N3210">
            <v>-12.015000000000001</v>
          </cell>
        </row>
        <row r="3211">
          <cell r="N3211">
            <v>-11.615</v>
          </cell>
        </row>
        <row r="3212">
          <cell r="N3212">
            <v>-28.097999999999999</v>
          </cell>
        </row>
        <row r="3213">
          <cell r="N3213">
            <v>-0.80800000000000005</v>
          </cell>
        </row>
        <row r="3214">
          <cell r="N3214">
            <v>-1.6E-2</v>
          </cell>
        </row>
        <row r="3215">
          <cell r="N3215">
            <v>-30.327999999999999</v>
          </cell>
        </row>
        <row r="3216">
          <cell r="N3216">
            <v>-2.452</v>
          </cell>
        </row>
        <row r="3217">
          <cell r="N3217">
            <v>-22.645</v>
          </cell>
        </row>
        <row r="3218">
          <cell r="N3218">
            <v>-20.869</v>
          </cell>
        </row>
        <row r="3219">
          <cell r="N3219">
            <v>-27.402999999999999</v>
          </cell>
        </row>
        <row r="3220">
          <cell r="N3220">
            <v>-15.246</v>
          </cell>
        </row>
        <row r="3221">
          <cell r="N3221">
            <v>-32.095999999999997</v>
          </cell>
        </row>
        <row r="3222">
          <cell r="N3222">
            <v>-8.56</v>
          </cell>
        </row>
        <row r="3223">
          <cell r="N3223">
            <v>-15.114000000000001</v>
          </cell>
        </row>
        <row r="3224">
          <cell r="N3224">
            <v>-25.988</v>
          </cell>
        </row>
        <row r="3225">
          <cell r="N3225">
            <v>-12.282</v>
          </cell>
        </row>
        <row r="3226">
          <cell r="N3226">
            <v>-11.72</v>
          </cell>
        </row>
        <row r="3227">
          <cell r="N3227">
            <v>-12.891999999999999</v>
          </cell>
        </row>
        <row r="3228">
          <cell r="N3228">
            <v>-2.6640000000000001</v>
          </cell>
        </row>
        <row r="3229">
          <cell r="N3229">
            <v>-6</v>
          </cell>
        </row>
        <row r="3230">
          <cell r="N3230">
            <v>-15.114000000000001</v>
          </cell>
        </row>
        <row r="3231">
          <cell r="N3231">
            <v>-24.210999999999999</v>
          </cell>
        </row>
        <row r="3232">
          <cell r="N3232">
            <v>-40.944000000000003</v>
          </cell>
        </row>
        <row r="3233">
          <cell r="N3233">
            <v>-15.353</v>
          </cell>
        </row>
        <row r="3234">
          <cell r="N3234">
            <v>-13.884</v>
          </cell>
        </row>
        <row r="3235">
          <cell r="N3235">
            <v>-25.55</v>
          </cell>
        </row>
        <row r="3236">
          <cell r="N3236">
            <v>-19.657</v>
          </cell>
        </row>
        <row r="3237">
          <cell r="N3237">
            <v>-32.552999999999997</v>
          </cell>
        </row>
        <row r="3238">
          <cell r="N3238">
            <v>-12.074999999999999</v>
          </cell>
        </row>
        <row r="3239">
          <cell r="N3239">
            <v>-31.428999999999998</v>
          </cell>
        </row>
        <row r="3240">
          <cell r="N3240">
            <v>-2.496</v>
          </cell>
        </row>
        <row r="3241">
          <cell r="N3241">
            <v>-31.541</v>
          </cell>
        </row>
        <row r="3242">
          <cell r="N3242">
            <v>-24.477</v>
          </cell>
        </row>
        <row r="3243">
          <cell r="N3243">
            <v>-11.523</v>
          </cell>
        </row>
        <row r="3244">
          <cell r="N3244">
            <v>-30.873999999999999</v>
          </cell>
        </row>
        <row r="3245">
          <cell r="N3245">
            <v>-26.795999999999999</v>
          </cell>
        </row>
        <row r="3246">
          <cell r="N3246">
            <v>-20.125</v>
          </cell>
        </row>
        <row r="3247">
          <cell r="N3247">
            <v>-31.207000000000001</v>
          </cell>
        </row>
        <row r="3248">
          <cell r="N3248">
            <v>-27.402999999999999</v>
          </cell>
        </row>
        <row r="3249">
          <cell r="N3249">
            <v>-27.207999999999998</v>
          </cell>
        </row>
        <row r="3250">
          <cell r="N3250">
            <v>-22.722000000000001</v>
          </cell>
        </row>
        <row r="3251">
          <cell r="N3251">
            <v>-13.083</v>
          </cell>
        </row>
        <row r="3252">
          <cell r="N3252">
            <v>-25.55</v>
          </cell>
        </row>
        <row r="3253">
          <cell r="N3253">
            <v>-15.887</v>
          </cell>
        </row>
        <row r="3254">
          <cell r="N3254">
            <v>-38.029000000000003</v>
          </cell>
        </row>
        <row r="3255">
          <cell r="N3255">
            <v>-30.43</v>
          </cell>
        </row>
        <row r="3256">
          <cell r="N3256">
            <v>-11.214</v>
          </cell>
        </row>
        <row r="3257">
          <cell r="N3257">
            <v>-16.760999999999999</v>
          </cell>
        </row>
        <row r="3258">
          <cell r="N3258">
            <v>-26.21</v>
          </cell>
        </row>
        <row r="3259">
          <cell r="N3259">
            <v>-39.834000000000003</v>
          </cell>
        </row>
        <row r="3260">
          <cell r="N3260">
            <v>-30.43</v>
          </cell>
        </row>
        <row r="3261">
          <cell r="N3261">
            <v>-30.097000000000001</v>
          </cell>
        </row>
        <row r="3262">
          <cell r="N3262">
            <v>-21.064</v>
          </cell>
        </row>
        <row r="3263">
          <cell r="N3263">
            <v>-31.010999999999999</v>
          </cell>
        </row>
        <row r="3264">
          <cell r="N3264">
            <v>-21.356000000000002</v>
          </cell>
        </row>
        <row r="3265">
          <cell r="N3265">
            <v>-4</v>
          </cell>
        </row>
        <row r="3266">
          <cell r="N3266">
            <v>-5</v>
          </cell>
        </row>
        <row r="3267">
          <cell r="N3267">
            <v>-9.1809999999999992</v>
          </cell>
        </row>
        <row r="3268">
          <cell r="N3268">
            <v>-12.808999999999999</v>
          </cell>
        </row>
        <row r="3269">
          <cell r="N3269">
            <v>-20.771000000000001</v>
          </cell>
        </row>
        <row r="3270">
          <cell r="N3270">
            <v>-2.266</v>
          </cell>
        </row>
        <row r="3271">
          <cell r="N3271">
            <v>-2.2839999999999998</v>
          </cell>
        </row>
        <row r="3272">
          <cell r="N3272">
            <v>-28.815000000000001</v>
          </cell>
        </row>
        <row r="3273">
          <cell r="N3273">
            <v>-10.28</v>
          </cell>
        </row>
        <row r="3274">
          <cell r="N3274">
            <v>-29.353000000000002</v>
          </cell>
        </row>
        <row r="3275">
          <cell r="N3275">
            <v>-29.256</v>
          </cell>
        </row>
        <row r="3276">
          <cell r="N3276">
            <v>-22.645</v>
          </cell>
        </row>
        <row r="3277">
          <cell r="N3277">
            <v>-2.5230000000000001</v>
          </cell>
        </row>
        <row r="3278">
          <cell r="N3278">
            <v>-24.965</v>
          </cell>
        </row>
        <row r="3279">
          <cell r="N3279">
            <v>-26.321000000000002</v>
          </cell>
        </row>
        <row r="3280">
          <cell r="N3280">
            <v>-9.6120000000000001</v>
          </cell>
        </row>
        <row r="3281">
          <cell r="N3281">
            <v>-24.867000000000001</v>
          </cell>
        </row>
        <row r="3282">
          <cell r="N3282">
            <v>-18.597999999999999</v>
          </cell>
        </row>
        <row r="3283">
          <cell r="N3283">
            <v>-30.231000000000002</v>
          </cell>
        </row>
        <row r="3284">
          <cell r="N3284">
            <v>-2.2749999999999999</v>
          </cell>
        </row>
        <row r="3285">
          <cell r="N3285">
            <v>-39.834000000000003</v>
          </cell>
        </row>
        <row r="3286">
          <cell r="N3286">
            <v>-6.8570000000000002</v>
          </cell>
        </row>
        <row r="3287">
          <cell r="N3287">
            <v>-28.28</v>
          </cell>
        </row>
        <row r="3288">
          <cell r="N3288">
            <v>-25.745000000000001</v>
          </cell>
        </row>
        <row r="3289">
          <cell r="N3289">
            <v>-11.882</v>
          </cell>
        </row>
        <row r="3290">
          <cell r="N3290">
            <v>-33.585000000000001</v>
          </cell>
        </row>
        <row r="3291">
          <cell r="N3291">
            <v>-28.431000000000001</v>
          </cell>
        </row>
        <row r="3292">
          <cell r="N3292">
            <v>-11.747999999999999</v>
          </cell>
        </row>
        <row r="3293">
          <cell r="N3293">
            <v>-20.381</v>
          </cell>
        </row>
        <row r="3294">
          <cell r="N3294">
            <v>-34.427999999999997</v>
          </cell>
        </row>
        <row r="3295">
          <cell r="N3295">
            <v>-31.207000000000001</v>
          </cell>
        </row>
        <row r="3296">
          <cell r="N3296">
            <v>-29.437999999999999</v>
          </cell>
        </row>
        <row r="3297">
          <cell r="N3297">
            <v>-27.209</v>
          </cell>
        </row>
        <row r="3298">
          <cell r="N3298">
            <v>-19.600999999999999</v>
          </cell>
        </row>
        <row r="3299">
          <cell r="N3299">
            <v>-29.702000000000002</v>
          </cell>
        </row>
        <row r="3300">
          <cell r="N3300">
            <v>-27.876000000000001</v>
          </cell>
        </row>
        <row r="3301">
          <cell r="N3301">
            <v>-29.69</v>
          </cell>
        </row>
        <row r="3302">
          <cell r="N3302">
            <v>-0.46899999999999997</v>
          </cell>
        </row>
        <row r="3303">
          <cell r="N3303">
            <v>-33.54</v>
          </cell>
        </row>
        <row r="3304">
          <cell r="N3304">
            <v>-14.285</v>
          </cell>
        </row>
        <row r="3305">
          <cell r="N3305">
            <v>-9.8789999999999996</v>
          </cell>
        </row>
        <row r="3306">
          <cell r="N3306">
            <v>-10.923999999999999</v>
          </cell>
        </row>
        <row r="3307">
          <cell r="N3307">
            <v>-35.808999999999997</v>
          </cell>
        </row>
        <row r="3308">
          <cell r="N3308">
            <v>-13.653</v>
          </cell>
        </row>
        <row r="3309">
          <cell r="N3309">
            <v>-18.138000000000002</v>
          </cell>
        </row>
        <row r="3310">
          <cell r="N3310">
            <v>-32.793999999999997</v>
          </cell>
        </row>
        <row r="3311">
          <cell r="N3311">
            <v>-23.891999999999999</v>
          </cell>
        </row>
        <row r="3312">
          <cell r="N3312">
            <v>-9.0779999999999994</v>
          </cell>
        </row>
        <row r="3313">
          <cell r="N3313">
            <v>-2E-3</v>
          </cell>
        </row>
        <row r="3314">
          <cell r="N3314">
            <v>-31.984999999999999</v>
          </cell>
        </row>
        <row r="3315">
          <cell r="N3315">
            <v>-12.416</v>
          </cell>
        </row>
        <row r="3316">
          <cell r="N3316">
            <v>-9.7460000000000004</v>
          </cell>
        </row>
        <row r="3317">
          <cell r="N3317">
            <v>-2.4340000000000002</v>
          </cell>
        </row>
        <row r="3318">
          <cell r="N3318">
            <v>-29.251999999999999</v>
          </cell>
        </row>
        <row r="3319">
          <cell r="N3319">
            <v>-33.585000000000001</v>
          </cell>
        </row>
        <row r="3320">
          <cell r="N3320">
            <v>-22.818999999999999</v>
          </cell>
        </row>
        <row r="3321">
          <cell r="N3321">
            <v>-20.673999999999999</v>
          </cell>
        </row>
        <row r="3322">
          <cell r="N3322">
            <v>-10.814</v>
          </cell>
        </row>
        <row r="3323">
          <cell r="N3323">
            <v>-28.875</v>
          </cell>
        </row>
        <row r="3324">
          <cell r="N3324">
            <v>-25.431999999999999</v>
          </cell>
        </row>
        <row r="3325">
          <cell r="N3325">
            <v>-43.026000000000003</v>
          </cell>
        </row>
        <row r="3326">
          <cell r="N3326">
            <v>-9.8789999999999996</v>
          </cell>
        </row>
        <row r="3327">
          <cell r="N3327">
            <v>-33.83</v>
          </cell>
        </row>
        <row r="3328">
          <cell r="N3328">
            <v>-38.167999999999999</v>
          </cell>
        </row>
        <row r="3329">
          <cell r="N3329">
            <v>-15.414</v>
          </cell>
        </row>
        <row r="3330">
          <cell r="N3330">
            <v>-1.34</v>
          </cell>
        </row>
        <row r="3331">
          <cell r="N3331">
            <v>-11.523</v>
          </cell>
        </row>
        <row r="3332">
          <cell r="N3332">
            <v>-29.995000000000001</v>
          </cell>
        </row>
        <row r="3333">
          <cell r="N3333">
            <v>-24.574999999999999</v>
          </cell>
        </row>
        <row r="3334">
          <cell r="N3334">
            <v>-8.4109999999999996</v>
          </cell>
        </row>
        <row r="3335">
          <cell r="N3335">
            <v>-21.942</v>
          </cell>
        </row>
        <row r="3336">
          <cell r="N3336">
            <v>-12.542999999999999</v>
          </cell>
        </row>
        <row r="3337">
          <cell r="N3337">
            <v>-11.481</v>
          </cell>
        </row>
        <row r="3338">
          <cell r="N3338">
            <v>-13.884</v>
          </cell>
        </row>
        <row r="3339">
          <cell r="N3339">
            <v>-12.816000000000001</v>
          </cell>
        </row>
        <row r="3340">
          <cell r="N3340">
            <v>-19.603999999999999</v>
          </cell>
        </row>
        <row r="3341">
          <cell r="N3341">
            <v>-14.07</v>
          </cell>
        </row>
        <row r="3342">
          <cell r="N3342">
            <v>-14.018000000000001</v>
          </cell>
        </row>
        <row r="3343">
          <cell r="N3343">
            <v>-45.371000000000002</v>
          </cell>
        </row>
        <row r="3344">
          <cell r="N3344">
            <v>-11.973000000000001</v>
          </cell>
        </row>
        <row r="3345">
          <cell r="N3345">
            <v>-10.547000000000001</v>
          </cell>
        </row>
        <row r="3346">
          <cell r="N3346">
            <v>-15.510999999999999</v>
          </cell>
        </row>
        <row r="3347">
          <cell r="N3347">
            <v>-7.875</v>
          </cell>
        </row>
        <row r="3348">
          <cell r="N3348">
            <v>-21.443000000000001</v>
          </cell>
        </row>
        <row r="3349">
          <cell r="N3349">
            <v>-24.988</v>
          </cell>
        </row>
        <row r="3350">
          <cell r="N3350">
            <v>-6.3719999999999999</v>
          </cell>
        </row>
        <row r="3351">
          <cell r="N3351">
            <v>-33.048000000000002</v>
          </cell>
        </row>
        <row r="3352">
          <cell r="N3352">
            <v>-31.763000000000002</v>
          </cell>
        </row>
        <row r="3353">
          <cell r="N3353">
            <v>-30.318999999999999</v>
          </cell>
        </row>
        <row r="3354">
          <cell r="N3354">
            <v>-16.420999999999999</v>
          </cell>
        </row>
        <row r="3355">
          <cell r="N3355">
            <v>-27.431000000000001</v>
          </cell>
        </row>
        <row r="3356">
          <cell r="N3356">
            <v>-26.914999999999999</v>
          </cell>
        </row>
        <row r="3357">
          <cell r="N3357">
            <v>-34.688000000000002</v>
          </cell>
        </row>
        <row r="3358">
          <cell r="N3358">
            <v>-33.429000000000002</v>
          </cell>
        </row>
        <row r="3359">
          <cell r="N3359">
            <v>-16.154</v>
          </cell>
        </row>
        <row r="3360">
          <cell r="N3360">
            <v>-12.71</v>
          </cell>
        </row>
        <row r="3361">
          <cell r="N3361">
            <v>-31.763000000000002</v>
          </cell>
        </row>
        <row r="3362">
          <cell r="N3362">
            <v>-27.988</v>
          </cell>
        </row>
        <row r="3363">
          <cell r="N3363">
            <v>-33.341999999999999</v>
          </cell>
        </row>
        <row r="3364">
          <cell r="N3364">
            <v>-16.611000000000001</v>
          </cell>
        </row>
        <row r="3365">
          <cell r="N3365">
            <v>-28.768000000000001</v>
          </cell>
        </row>
        <row r="3366">
          <cell r="N3366">
            <v>-18.096</v>
          </cell>
        </row>
        <row r="3367">
          <cell r="N3367">
            <v>-40.33</v>
          </cell>
        </row>
        <row r="3368">
          <cell r="N3368">
            <v>-34.539000000000001</v>
          </cell>
        </row>
        <row r="3369">
          <cell r="N3369">
            <v>-9.4789999999999992</v>
          </cell>
        </row>
        <row r="3370">
          <cell r="N3370">
            <v>-26.135000000000002</v>
          </cell>
        </row>
        <row r="3371">
          <cell r="N3371">
            <v>-36.555</v>
          </cell>
        </row>
        <row r="3372">
          <cell r="N3372">
            <v>-28.209</v>
          </cell>
        </row>
        <row r="3373">
          <cell r="N3373">
            <v>-39.927</v>
          </cell>
        </row>
        <row r="3374">
          <cell r="N3374">
            <v>-9.3450000000000006</v>
          </cell>
        </row>
        <row r="3375">
          <cell r="N3375">
            <v>-12.015000000000001</v>
          </cell>
        </row>
        <row r="3376">
          <cell r="N3376">
            <v>-37.094999999999999</v>
          </cell>
        </row>
        <row r="3377">
          <cell r="N3377">
            <v>-34.075000000000003</v>
          </cell>
        </row>
        <row r="3378">
          <cell r="N3378">
            <v>-3.923</v>
          </cell>
        </row>
        <row r="3379">
          <cell r="N3379">
            <v>-39.698999999999998</v>
          </cell>
        </row>
        <row r="3380">
          <cell r="N3380">
            <v>-27.32</v>
          </cell>
        </row>
        <row r="3381">
          <cell r="N3381">
            <v>-31.791</v>
          </cell>
        </row>
        <row r="3382">
          <cell r="N3382">
            <v>-29.541</v>
          </cell>
        </row>
        <row r="3383">
          <cell r="N3383">
            <v>-18.256</v>
          </cell>
        </row>
        <row r="3384">
          <cell r="N3384">
            <v>-32.651000000000003</v>
          </cell>
        </row>
        <row r="3385">
          <cell r="N3385">
            <v>-35.427999999999997</v>
          </cell>
        </row>
        <row r="3386">
          <cell r="N3386">
            <v>-6.2709999999999999</v>
          </cell>
        </row>
        <row r="3387">
          <cell r="N3387">
            <v>-13.569000000000001</v>
          </cell>
        </row>
        <row r="3388">
          <cell r="N3388">
            <v>-4.9059999999999997</v>
          </cell>
        </row>
        <row r="3389">
          <cell r="N3389">
            <v>-6.2690000000000001</v>
          </cell>
        </row>
        <row r="3390">
          <cell r="N3390">
            <v>-36.482999999999997</v>
          </cell>
        </row>
        <row r="3391">
          <cell r="N3391">
            <v>-11.081</v>
          </cell>
        </row>
        <row r="3392">
          <cell r="N3392">
            <v>-5.2380000000000004</v>
          </cell>
        </row>
        <row r="3393">
          <cell r="N3393">
            <v>-42.49</v>
          </cell>
        </row>
        <row r="3394">
          <cell r="N3394">
            <v>-36.69</v>
          </cell>
        </row>
        <row r="3395">
          <cell r="N3395">
            <v>-15.486000000000001</v>
          </cell>
        </row>
        <row r="3396">
          <cell r="N3396">
            <v>-18.762</v>
          </cell>
        </row>
        <row r="3397">
          <cell r="N3397">
            <v>-8.6780000000000008</v>
          </cell>
        </row>
        <row r="3398">
          <cell r="N3398">
            <v>-25.062000000000001</v>
          </cell>
        </row>
        <row r="3399">
          <cell r="N3399">
            <v>-9.2119999999999997</v>
          </cell>
        </row>
        <row r="3400">
          <cell r="N3400">
            <v>-37.262</v>
          </cell>
        </row>
        <row r="3401">
          <cell r="N3401">
            <v>-33.585000000000001</v>
          </cell>
        </row>
        <row r="3402">
          <cell r="N3402">
            <v>-32.238999999999997</v>
          </cell>
        </row>
        <row r="3403">
          <cell r="N3403">
            <v>-9.6120000000000001</v>
          </cell>
        </row>
        <row r="3404">
          <cell r="N3404">
            <v>-41.045000000000002</v>
          </cell>
        </row>
        <row r="3405">
          <cell r="N3405">
            <v>-24.574999999999999</v>
          </cell>
        </row>
        <row r="3406">
          <cell r="N3406">
            <v>-33.094999999999999</v>
          </cell>
        </row>
        <row r="3407">
          <cell r="N3407">
            <v>-30.541</v>
          </cell>
        </row>
        <row r="3408">
          <cell r="N3408">
            <v>-26.876000000000001</v>
          </cell>
        </row>
        <row r="3409">
          <cell r="N3409">
            <v>-30.652000000000001</v>
          </cell>
        </row>
        <row r="3410">
          <cell r="N3410">
            <v>-3.8239999999999998</v>
          </cell>
        </row>
        <row r="3411">
          <cell r="N3411">
            <v>-29.318999999999999</v>
          </cell>
        </row>
        <row r="3412">
          <cell r="N3412">
            <v>-28.542000000000002</v>
          </cell>
        </row>
        <row r="3413">
          <cell r="N3413">
            <v>-14.685</v>
          </cell>
        </row>
        <row r="3414">
          <cell r="N3414">
            <v>-8.9450000000000003</v>
          </cell>
        </row>
        <row r="3415">
          <cell r="N3415">
            <v>-21.492999999999999</v>
          </cell>
        </row>
        <row r="3416">
          <cell r="N3416">
            <v>-23.794</v>
          </cell>
        </row>
        <row r="3417">
          <cell r="N3417">
            <v>-11.615</v>
          </cell>
        </row>
        <row r="3418">
          <cell r="N3418">
            <v>-25.035</v>
          </cell>
        </row>
        <row r="3419">
          <cell r="N3419">
            <v>-31.923999999999999</v>
          </cell>
        </row>
        <row r="3420">
          <cell r="N3420">
            <v>-31.763000000000002</v>
          </cell>
        </row>
        <row r="3421">
          <cell r="N3421">
            <v>-24.655000000000001</v>
          </cell>
        </row>
        <row r="3422">
          <cell r="N3422">
            <v>-5.1539999999999999</v>
          </cell>
        </row>
        <row r="3423">
          <cell r="N3423">
            <v>-30.097000000000001</v>
          </cell>
        </row>
        <row r="3424">
          <cell r="N3424">
            <v>-30.652000000000001</v>
          </cell>
        </row>
        <row r="3425">
          <cell r="N3425">
            <v>-26.21</v>
          </cell>
        </row>
        <row r="3426">
          <cell r="N3426">
            <v>-25.286000000000001</v>
          </cell>
        </row>
        <row r="3427">
          <cell r="N3427">
            <v>-25.79</v>
          </cell>
        </row>
        <row r="3428">
          <cell r="N3428">
            <v>-12.816000000000001</v>
          </cell>
        </row>
        <row r="3429">
          <cell r="N3429">
            <v>-14.417999999999999</v>
          </cell>
        </row>
        <row r="3430">
          <cell r="N3430">
            <v>-10.68</v>
          </cell>
        </row>
        <row r="3431">
          <cell r="N3431">
            <v>-29.541</v>
          </cell>
        </row>
        <row r="3432">
          <cell r="N3432">
            <v>-27.792999999999999</v>
          </cell>
        </row>
        <row r="3433">
          <cell r="N3433">
            <v>-36.649000000000001</v>
          </cell>
        </row>
        <row r="3434">
          <cell r="N3434">
            <v>-30.213999999999999</v>
          </cell>
        </row>
        <row r="3435">
          <cell r="N3435">
            <v>-7.29</v>
          </cell>
        </row>
        <row r="3436">
          <cell r="N3436">
            <v>-31.096</v>
          </cell>
        </row>
        <row r="3437">
          <cell r="N3437">
            <v>-7.7469999999999999</v>
          </cell>
        </row>
        <row r="3438">
          <cell r="N3438">
            <v>-34.566000000000003</v>
          </cell>
        </row>
        <row r="3439">
          <cell r="N3439">
            <v>-26.21</v>
          </cell>
        </row>
        <row r="3440">
          <cell r="N3440">
            <v>-25.654</v>
          </cell>
        </row>
        <row r="3441">
          <cell r="N3441">
            <v>-11.747999999999999</v>
          </cell>
        </row>
        <row r="3442">
          <cell r="N3442">
            <v>-27.32</v>
          </cell>
        </row>
        <row r="3443">
          <cell r="N3443">
            <v>-11.526999999999999</v>
          </cell>
        </row>
        <row r="3444">
          <cell r="N3444">
            <v>-10.090999999999999</v>
          </cell>
        </row>
        <row r="3445">
          <cell r="N3445">
            <v>-14.685</v>
          </cell>
        </row>
        <row r="3446">
          <cell r="N3446">
            <v>-31.207000000000001</v>
          </cell>
        </row>
        <row r="3447">
          <cell r="N3447">
            <v>-23.777000000000001</v>
          </cell>
        </row>
        <row r="3448">
          <cell r="N3448">
            <v>-9.4789999999999992</v>
          </cell>
        </row>
        <row r="3449">
          <cell r="N3449">
            <v>-25.876999999999999</v>
          </cell>
        </row>
        <row r="3450">
          <cell r="N3450">
            <v>-28.18</v>
          </cell>
        </row>
        <row r="3451">
          <cell r="N3451">
            <v>-28.32</v>
          </cell>
        </row>
        <row r="3452">
          <cell r="N3452">
            <v>-24.672000000000001</v>
          </cell>
        </row>
        <row r="3453">
          <cell r="N3453">
            <v>-22.545000000000002</v>
          </cell>
        </row>
        <row r="3454">
          <cell r="N3454">
            <v>-33.094999999999999</v>
          </cell>
        </row>
        <row r="3455">
          <cell r="N3455">
            <v>-1.365</v>
          </cell>
        </row>
        <row r="3456">
          <cell r="N3456">
            <v>-11.214</v>
          </cell>
        </row>
        <row r="3457">
          <cell r="N3457">
            <v>-11.615</v>
          </cell>
        </row>
        <row r="3458">
          <cell r="N3458">
            <v>-0.86699999999999999</v>
          </cell>
        </row>
        <row r="3459">
          <cell r="N3459">
            <v>-23.021999999999998</v>
          </cell>
        </row>
        <row r="3460">
          <cell r="N3460">
            <v>-25.452000000000002</v>
          </cell>
        </row>
        <row r="3461">
          <cell r="N3461">
            <v>-11.323</v>
          </cell>
        </row>
        <row r="3462">
          <cell r="N3462">
            <v>-0.504</v>
          </cell>
        </row>
        <row r="3463">
          <cell r="N3463">
            <v>-5.1619999999999999</v>
          </cell>
        </row>
        <row r="3464">
          <cell r="N3464">
            <v>-11.311999999999999</v>
          </cell>
        </row>
        <row r="3465">
          <cell r="N3465">
            <v>-34.32</v>
          </cell>
        </row>
        <row r="3466">
          <cell r="N3466">
            <v>-14.33</v>
          </cell>
        </row>
        <row r="3467">
          <cell r="N3467">
            <v>-14.151</v>
          </cell>
        </row>
        <row r="3468">
          <cell r="N3468">
            <v>-16.187999999999999</v>
          </cell>
        </row>
        <row r="3469">
          <cell r="N3469">
            <v>-10.881</v>
          </cell>
        </row>
        <row r="3470">
          <cell r="N3470">
            <v>-3.98</v>
          </cell>
        </row>
        <row r="3471">
          <cell r="N3471">
            <v>-5.9539999999999997</v>
          </cell>
        </row>
        <row r="3472">
          <cell r="N3472">
            <v>-15.218999999999999</v>
          </cell>
        </row>
        <row r="3473">
          <cell r="N3473">
            <v>-26.922000000000001</v>
          </cell>
        </row>
        <row r="3474">
          <cell r="N3474">
            <v>-6.4489999999999998</v>
          </cell>
        </row>
        <row r="3475">
          <cell r="N3475">
            <v>-11.96</v>
          </cell>
        </row>
        <row r="3476">
          <cell r="N3476">
            <v>-15.377000000000001</v>
          </cell>
        </row>
        <row r="3477">
          <cell r="N3477">
            <v>-22.917000000000002</v>
          </cell>
        </row>
        <row r="3478">
          <cell r="N3478">
            <v>-3.6949999999999998</v>
          </cell>
        </row>
        <row r="3479">
          <cell r="N3479">
            <v>-6.1440000000000001</v>
          </cell>
        </row>
        <row r="3480">
          <cell r="N3480">
            <v>-11.481</v>
          </cell>
        </row>
        <row r="3481">
          <cell r="N3481">
            <v>-26.67</v>
          </cell>
        </row>
        <row r="3482">
          <cell r="N3482">
            <v>-13.699</v>
          </cell>
        </row>
        <row r="3483">
          <cell r="N3483">
            <v>-34.32</v>
          </cell>
        </row>
        <row r="3484">
          <cell r="N3484">
            <v>-25.841999999999999</v>
          </cell>
        </row>
        <row r="3485">
          <cell r="N3485">
            <v>-22.917000000000002</v>
          </cell>
        </row>
        <row r="3486">
          <cell r="N3486">
            <v>-0.02</v>
          </cell>
        </row>
        <row r="3487">
          <cell r="N3487">
            <v>-8.9700000000000006</v>
          </cell>
        </row>
        <row r="3488">
          <cell r="N3488">
            <v>-2.5999999999999999E-2</v>
          </cell>
        </row>
        <row r="3489">
          <cell r="N3489">
            <v>-31.498000000000001</v>
          </cell>
        </row>
        <row r="3490">
          <cell r="N3490">
            <v>-9.7170000000000005</v>
          </cell>
        </row>
        <row r="3491">
          <cell r="N3491">
            <v>-10.714</v>
          </cell>
        </row>
        <row r="3492">
          <cell r="N3492">
            <v>-34.32</v>
          </cell>
        </row>
        <row r="3493">
          <cell r="N3493">
            <v>-14.433</v>
          </cell>
        </row>
        <row r="3494">
          <cell r="N3494">
            <v>-13.952999999999999</v>
          </cell>
        </row>
        <row r="3495">
          <cell r="N3495">
            <v>-14.285</v>
          </cell>
        </row>
        <row r="3496">
          <cell r="N3496">
            <v>-4.1929999999999996</v>
          </cell>
        </row>
        <row r="3497">
          <cell r="N3497">
            <v>-12.112</v>
          </cell>
        </row>
        <row r="3498">
          <cell r="N3498">
            <v>-5.5430000000000001</v>
          </cell>
        </row>
        <row r="3499">
          <cell r="N3499">
            <v>-23.599</v>
          </cell>
        </row>
        <row r="3500">
          <cell r="N3500">
            <v>-13.833</v>
          </cell>
        </row>
        <row r="3501">
          <cell r="N3501">
            <v>-9.593</v>
          </cell>
        </row>
        <row r="3502">
          <cell r="N3502">
            <v>-6.2770000000000001</v>
          </cell>
        </row>
        <row r="3503">
          <cell r="N3503">
            <v>-7.9729999999999999</v>
          </cell>
        </row>
        <row r="3504">
          <cell r="N3504">
            <v>-14.97</v>
          </cell>
        </row>
        <row r="3505">
          <cell r="N3505">
            <v>-14.022</v>
          </cell>
        </row>
        <row r="3506">
          <cell r="N3506">
            <v>-26.524999999999999</v>
          </cell>
        </row>
        <row r="3507">
          <cell r="N3507">
            <v>-11.882</v>
          </cell>
        </row>
        <row r="3508">
          <cell r="N3508">
            <v>-8.8450000000000006</v>
          </cell>
        </row>
        <row r="3509">
          <cell r="N3509">
            <v>-25.841999999999999</v>
          </cell>
        </row>
        <row r="3510">
          <cell r="N3510">
            <v>-13.138999999999999</v>
          </cell>
        </row>
        <row r="3511">
          <cell r="N3511">
            <v>-34.442999999999998</v>
          </cell>
        </row>
        <row r="3512">
          <cell r="N3512">
            <v>-2.8330000000000002</v>
          </cell>
        </row>
        <row r="3513">
          <cell r="N3513">
            <v>-5.2050000000000001</v>
          </cell>
        </row>
        <row r="3514">
          <cell r="N3514">
            <v>-11.337</v>
          </cell>
        </row>
        <row r="3515">
          <cell r="N3515">
            <v>-1.349</v>
          </cell>
        </row>
        <row r="3516">
          <cell r="N3516">
            <v>-31.401</v>
          </cell>
        </row>
        <row r="3517">
          <cell r="N3517">
            <v>-1664</v>
          </cell>
        </row>
        <row r="3518">
          <cell r="N3518">
            <v>-614</v>
          </cell>
        </row>
        <row r="3519">
          <cell r="N3519">
            <v>-41.72</v>
          </cell>
        </row>
        <row r="3520">
          <cell r="N3520">
            <v>-167</v>
          </cell>
        </row>
        <row r="3521">
          <cell r="N3521">
            <v>-61.320999999999998</v>
          </cell>
        </row>
        <row r="3522">
          <cell r="N3522">
            <v>-61.320999999999998</v>
          </cell>
        </row>
        <row r="3523">
          <cell r="N3523">
            <v>-16</v>
          </cell>
        </row>
        <row r="3524">
          <cell r="N3524">
            <v>-27.373000000000001</v>
          </cell>
        </row>
        <row r="3525">
          <cell r="N3525">
            <v>-8.5749999999999993</v>
          </cell>
        </row>
        <row r="3526">
          <cell r="N3526">
            <v>-14.263999999999999</v>
          </cell>
        </row>
        <row r="3527">
          <cell r="N3527">
            <v>-8.9540000000000006</v>
          </cell>
        </row>
        <row r="3528">
          <cell r="N3528">
            <v>-37.707000000000001</v>
          </cell>
        </row>
        <row r="3529">
          <cell r="N3529">
            <v>-26.317</v>
          </cell>
        </row>
        <row r="3530">
          <cell r="N3530">
            <v>-1.2999999999999999E-2</v>
          </cell>
        </row>
        <row r="3531">
          <cell r="N3531">
            <v>-37.140999999999998</v>
          </cell>
        </row>
        <row r="3532">
          <cell r="N3532">
            <v>-28.274000000000001</v>
          </cell>
        </row>
        <row r="3533">
          <cell r="N3533">
            <v>-27.995999999999999</v>
          </cell>
        </row>
        <row r="3534">
          <cell r="N3534">
            <v>-7.5670000000000002</v>
          </cell>
        </row>
        <row r="3535">
          <cell r="N3535">
            <v>-32.904000000000003</v>
          </cell>
        </row>
        <row r="3536">
          <cell r="N3536">
            <v>-7.7619999999999996</v>
          </cell>
        </row>
        <row r="3537">
          <cell r="N3537">
            <v>-12.196</v>
          </cell>
        </row>
        <row r="3538">
          <cell r="N3538">
            <v>-9.7100000000000009</v>
          </cell>
        </row>
        <row r="3539">
          <cell r="N3539">
            <v>-28.122</v>
          </cell>
        </row>
        <row r="3540">
          <cell r="N3540">
            <v>-28.943000000000001</v>
          </cell>
        </row>
        <row r="3541">
          <cell r="N3541">
            <v>-9.08</v>
          </cell>
        </row>
        <row r="3542">
          <cell r="N3542">
            <v>-29.774000000000001</v>
          </cell>
        </row>
        <row r="3543">
          <cell r="N3543">
            <v>-29.635999999999999</v>
          </cell>
        </row>
        <row r="3544">
          <cell r="N3544">
            <v>-9.2059999999999995</v>
          </cell>
        </row>
        <row r="3545">
          <cell r="N3545">
            <v>-8.3230000000000004</v>
          </cell>
        </row>
        <row r="3546">
          <cell r="N3546">
            <v>-27.87</v>
          </cell>
        </row>
        <row r="3547">
          <cell r="N3547">
            <v>-23.303000000000001</v>
          </cell>
        </row>
        <row r="3548">
          <cell r="N3548">
            <v>-25.096</v>
          </cell>
        </row>
        <row r="3549">
          <cell r="N3549">
            <v>-11.481</v>
          </cell>
        </row>
        <row r="3550">
          <cell r="N3550">
            <v>-9.734</v>
          </cell>
        </row>
        <row r="3551">
          <cell r="N3551">
            <v>-35.185000000000002</v>
          </cell>
        </row>
        <row r="3552">
          <cell r="N3552">
            <v>-34.805999999999997</v>
          </cell>
        </row>
        <row r="3553">
          <cell r="N3553">
            <v>-19.042999999999999</v>
          </cell>
        </row>
        <row r="3554">
          <cell r="N3554">
            <v>-7.819</v>
          </cell>
        </row>
        <row r="3555">
          <cell r="N3555">
            <v>-8.86</v>
          </cell>
        </row>
        <row r="3556">
          <cell r="N3556">
            <v>-37.959000000000003</v>
          </cell>
        </row>
        <row r="3557">
          <cell r="N3557">
            <v>-27.617999999999999</v>
          </cell>
        </row>
        <row r="3558">
          <cell r="N3558">
            <v>-36.552</v>
          </cell>
        </row>
        <row r="3559">
          <cell r="N3559">
            <v>-38.085000000000001</v>
          </cell>
        </row>
        <row r="3560">
          <cell r="N3560">
            <v>-16.260999999999999</v>
          </cell>
        </row>
        <row r="3561">
          <cell r="N3561">
            <v>-36.445999999999998</v>
          </cell>
        </row>
        <row r="3562">
          <cell r="N3562">
            <v>-8.8279999999999994</v>
          </cell>
        </row>
        <row r="3563">
          <cell r="N3563">
            <v>-31.581</v>
          </cell>
        </row>
        <row r="3564">
          <cell r="N3564">
            <v>-9.2059999999999995</v>
          </cell>
        </row>
        <row r="3565">
          <cell r="N3565">
            <v>-28.375</v>
          </cell>
        </row>
        <row r="3566">
          <cell r="N3566">
            <v>-7.3140000000000001</v>
          </cell>
        </row>
        <row r="3567">
          <cell r="N3567">
            <v>-31.905999999999999</v>
          </cell>
        </row>
        <row r="3568">
          <cell r="N3568">
            <v>-31.52</v>
          </cell>
        </row>
        <row r="3569">
          <cell r="N3569">
            <v>-36.445999999999998</v>
          </cell>
        </row>
        <row r="3570">
          <cell r="N3570">
            <v>-9.5839999999999996</v>
          </cell>
        </row>
        <row r="3571">
          <cell r="N3571">
            <v>-38.521999999999998</v>
          </cell>
        </row>
        <row r="3572">
          <cell r="N3572">
            <v>-31.274999999999999</v>
          </cell>
        </row>
        <row r="3573">
          <cell r="N3573">
            <v>-10.731999999999999</v>
          </cell>
        </row>
        <row r="3574">
          <cell r="N3574">
            <v>-11.615</v>
          </cell>
        </row>
        <row r="3575">
          <cell r="N3575">
            <v>-9.8369999999999997</v>
          </cell>
        </row>
        <row r="3576">
          <cell r="N3576">
            <v>-8.3230000000000004</v>
          </cell>
        </row>
        <row r="3577">
          <cell r="N3577">
            <v>-36.987000000000002</v>
          </cell>
        </row>
        <row r="3578">
          <cell r="N3578">
            <v>-5.5289999999999999</v>
          </cell>
        </row>
        <row r="3579">
          <cell r="N3579">
            <v>-27.789000000000001</v>
          </cell>
        </row>
        <row r="3580">
          <cell r="N3580">
            <v>-32.536000000000001</v>
          </cell>
        </row>
        <row r="3581">
          <cell r="N3581">
            <v>-7.5670000000000002</v>
          </cell>
        </row>
        <row r="3582">
          <cell r="N3582">
            <v>-31.141999999999999</v>
          </cell>
        </row>
        <row r="3583">
          <cell r="N3583">
            <v>-35.880000000000003</v>
          </cell>
        </row>
        <row r="3584">
          <cell r="N3584">
            <v>-8.5749999999999993</v>
          </cell>
        </row>
        <row r="3585">
          <cell r="N3585">
            <v>-30.995999999999999</v>
          </cell>
        </row>
        <row r="3586">
          <cell r="N3586">
            <v>-33.923000000000002</v>
          </cell>
        </row>
        <row r="3587">
          <cell r="N3587">
            <v>-40.670999999999999</v>
          </cell>
        </row>
        <row r="3588">
          <cell r="N3588">
            <v>-31.149000000000001</v>
          </cell>
        </row>
        <row r="3589">
          <cell r="N3589">
            <v>-29.257000000000001</v>
          </cell>
        </row>
        <row r="3590">
          <cell r="N3590">
            <v>-35.880000000000003</v>
          </cell>
        </row>
        <row r="3591">
          <cell r="N3591">
            <v>-39.976999999999997</v>
          </cell>
        </row>
        <row r="3592">
          <cell r="N3592">
            <v>-35.185000000000002</v>
          </cell>
        </row>
        <row r="3593">
          <cell r="N3593">
            <v>-37.328000000000003</v>
          </cell>
        </row>
        <row r="3594">
          <cell r="N3594">
            <v>-14.102</v>
          </cell>
        </row>
        <row r="3595">
          <cell r="N3595">
            <v>-7.508</v>
          </cell>
        </row>
        <row r="3596">
          <cell r="N3596">
            <v>-29.100999999999999</v>
          </cell>
        </row>
        <row r="3597">
          <cell r="N3597">
            <v>-13.067</v>
          </cell>
        </row>
        <row r="3598">
          <cell r="N3598">
            <v>-34.554000000000002</v>
          </cell>
        </row>
        <row r="3599">
          <cell r="N3599">
            <v>-32.997</v>
          </cell>
        </row>
        <row r="3600">
          <cell r="N3600">
            <v>-27.744</v>
          </cell>
        </row>
        <row r="3601">
          <cell r="N3601">
            <v>-25.638000000000002</v>
          </cell>
        </row>
        <row r="3602">
          <cell r="N3602">
            <v>-8.0709999999999997</v>
          </cell>
        </row>
        <row r="3603">
          <cell r="N3603">
            <v>-27.366</v>
          </cell>
        </row>
        <row r="3604">
          <cell r="N3604">
            <v>-13.852</v>
          </cell>
        </row>
        <row r="3605">
          <cell r="N3605">
            <v>-7.44</v>
          </cell>
        </row>
        <row r="3606">
          <cell r="N3606">
            <v>-30.289000000000001</v>
          </cell>
        </row>
        <row r="3607">
          <cell r="N3607">
            <v>-33.670999999999999</v>
          </cell>
        </row>
        <row r="3608">
          <cell r="N3608">
            <v>-31.023</v>
          </cell>
        </row>
        <row r="3609">
          <cell r="N3609">
            <v>-10.215</v>
          </cell>
        </row>
        <row r="3610">
          <cell r="N3610">
            <v>-29.382999999999999</v>
          </cell>
        </row>
        <row r="3611">
          <cell r="N3611">
            <v>-32.283999999999999</v>
          </cell>
        </row>
        <row r="3612">
          <cell r="N3612">
            <v>-34.427999999999997</v>
          </cell>
        </row>
        <row r="3613">
          <cell r="N3613">
            <v>-30.093</v>
          </cell>
        </row>
        <row r="3614">
          <cell r="N3614">
            <v>-34.838999999999999</v>
          </cell>
        </row>
        <row r="3615">
          <cell r="N3615">
            <v>-12.105</v>
          </cell>
        </row>
        <row r="3616">
          <cell r="N3616">
            <v>-32.536000000000001</v>
          </cell>
        </row>
        <row r="3617">
          <cell r="N3617">
            <v>-21.06</v>
          </cell>
        </row>
        <row r="3618">
          <cell r="N3618">
            <v>-9.9629999999999992</v>
          </cell>
        </row>
        <row r="3619">
          <cell r="N3619">
            <v>-28.375</v>
          </cell>
        </row>
        <row r="3620">
          <cell r="N3620">
            <v>-8.3230000000000004</v>
          </cell>
        </row>
        <row r="3621">
          <cell r="N3621">
            <v>-28.501000000000001</v>
          </cell>
        </row>
        <row r="3622">
          <cell r="N3622">
            <v>-30.965</v>
          </cell>
        </row>
        <row r="3623">
          <cell r="N3623">
            <v>-10.089</v>
          </cell>
        </row>
        <row r="3624">
          <cell r="N3624">
            <v>-34.103999999999999</v>
          </cell>
        </row>
        <row r="3625">
          <cell r="N3625">
            <v>-7.0620000000000003</v>
          </cell>
        </row>
        <row r="3626">
          <cell r="N3626">
            <v>-8.9540000000000006</v>
          </cell>
        </row>
        <row r="3627">
          <cell r="N3627">
            <v>-8.2059999999999995</v>
          </cell>
        </row>
        <row r="3628">
          <cell r="N3628">
            <v>-31.434999999999999</v>
          </cell>
        </row>
        <row r="3629">
          <cell r="N3629">
            <v>-41.006</v>
          </cell>
        </row>
        <row r="3630">
          <cell r="N3630">
            <v>-7.6820000000000004</v>
          </cell>
        </row>
        <row r="3631">
          <cell r="N3631">
            <v>-35.219000000000001</v>
          </cell>
        </row>
        <row r="3632">
          <cell r="N3632">
            <v>-8.8279999999999994</v>
          </cell>
        </row>
        <row r="3633">
          <cell r="N3633">
            <v>-10.718999999999999</v>
          </cell>
        </row>
        <row r="3634">
          <cell r="N3634">
            <v>-7.9450000000000003</v>
          </cell>
        </row>
        <row r="3635">
          <cell r="N3635">
            <v>-10.606999999999999</v>
          </cell>
        </row>
        <row r="3636">
          <cell r="N3636">
            <v>-28.248999999999999</v>
          </cell>
        </row>
        <row r="3637">
          <cell r="N3637">
            <v>-9.3320000000000007</v>
          </cell>
        </row>
        <row r="3638">
          <cell r="N3638">
            <v>-37.201999999999998</v>
          </cell>
        </row>
        <row r="3639">
          <cell r="N3639">
            <v>-38.463000000000001</v>
          </cell>
        </row>
        <row r="3640">
          <cell r="N3640">
            <v>-31.401</v>
          </cell>
        </row>
        <row r="3641">
          <cell r="N3641">
            <v>-37.137</v>
          </cell>
        </row>
        <row r="3642">
          <cell r="N3642">
            <v>-7.9450000000000003</v>
          </cell>
        </row>
        <row r="3643">
          <cell r="N3643">
            <v>-9.5839999999999996</v>
          </cell>
        </row>
        <row r="3644">
          <cell r="N3644">
            <v>-25.222000000000001</v>
          </cell>
        </row>
        <row r="3645">
          <cell r="N3645">
            <v>-29.28</v>
          </cell>
        </row>
        <row r="3646">
          <cell r="N3646">
            <v>-32.243000000000002</v>
          </cell>
        </row>
        <row r="3647">
          <cell r="N3647">
            <v>-27.744</v>
          </cell>
        </row>
        <row r="3648">
          <cell r="N3648">
            <v>-11.35</v>
          </cell>
        </row>
        <row r="3649">
          <cell r="N3649">
            <v>-40.207000000000001</v>
          </cell>
        </row>
        <row r="3650">
          <cell r="N3650">
            <v>-8.4489999999999998</v>
          </cell>
        </row>
        <row r="3651">
          <cell r="N3651">
            <v>-34.932000000000002</v>
          </cell>
        </row>
        <row r="3652">
          <cell r="N3652">
            <v>-22.43</v>
          </cell>
        </row>
        <row r="3653">
          <cell r="N3653">
            <v>-31.748000000000001</v>
          </cell>
        </row>
        <row r="3654">
          <cell r="N3654">
            <v>-29.620999999999999</v>
          </cell>
        </row>
        <row r="3655">
          <cell r="N3655">
            <v>-30.518000000000001</v>
          </cell>
        </row>
        <row r="3656">
          <cell r="N3656">
            <v>-35.814999999999998</v>
          </cell>
        </row>
        <row r="3657">
          <cell r="N3657">
            <v>-36.192999999999998</v>
          </cell>
        </row>
        <row r="3658">
          <cell r="N3658">
            <v>-31.155000000000001</v>
          </cell>
        </row>
        <row r="3659">
          <cell r="N3659">
            <v>-7.1879999999999997</v>
          </cell>
        </row>
        <row r="3660">
          <cell r="N3660">
            <v>-11.106999999999999</v>
          </cell>
        </row>
        <row r="3661">
          <cell r="N3661">
            <v>-41.284999999999997</v>
          </cell>
        </row>
        <row r="3662">
          <cell r="N3662">
            <v>-27.492000000000001</v>
          </cell>
        </row>
        <row r="3663">
          <cell r="N3663">
            <v>-33.040999999999997</v>
          </cell>
        </row>
        <row r="3664">
          <cell r="N3664">
            <v>-7.6929999999999996</v>
          </cell>
        </row>
        <row r="3665">
          <cell r="N3665">
            <v>-10.972</v>
          </cell>
        </row>
        <row r="3666">
          <cell r="N3666">
            <v>-28.122</v>
          </cell>
        </row>
        <row r="3667">
          <cell r="N3667">
            <v>-17.613</v>
          </cell>
        </row>
        <row r="3668">
          <cell r="N3668">
            <v>-34.932000000000002</v>
          </cell>
        </row>
        <row r="3669">
          <cell r="N3669">
            <v>-30.645</v>
          </cell>
        </row>
        <row r="3670">
          <cell r="N3670">
            <v>-31.085000000000001</v>
          </cell>
        </row>
        <row r="3671">
          <cell r="N3671">
            <v>-33.094000000000001</v>
          </cell>
        </row>
        <row r="3672">
          <cell r="N3672">
            <v>-34.991999999999997</v>
          </cell>
        </row>
        <row r="3673">
          <cell r="N3673">
            <v>-14.351000000000001</v>
          </cell>
        </row>
        <row r="3674">
          <cell r="N3674">
            <v>-11.76</v>
          </cell>
        </row>
        <row r="3675">
          <cell r="N3675">
            <v>-37.707000000000001</v>
          </cell>
        </row>
        <row r="3676">
          <cell r="N3676">
            <v>-1E-3</v>
          </cell>
        </row>
        <row r="3677">
          <cell r="N3677">
            <v>-10.856999999999999</v>
          </cell>
        </row>
        <row r="3678">
          <cell r="N3678">
            <v>-30.259</v>
          </cell>
        </row>
        <row r="3679">
          <cell r="N3679">
            <v>-11.231</v>
          </cell>
        </row>
        <row r="3680">
          <cell r="N3680">
            <v>-7.0709999999999997</v>
          </cell>
        </row>
        <row r="3681">
          <cell r="N3681">
            <v>-11.231</v>
          </cell>
        </row>
        <row r="3682">
          <cell r="N3682">
            <v>-8.1189999999999998</v>
          </cell>
        </row>
        <row r="3683">
          <cell r="N3683">
            <v>-34.685000000000002</v>
          </cell>
        </row>
        <row r="3684">
          <cell r="N3684">
            <v>-7.2380000000000004</v>
          </cell>
        </row>
        <row r="3685">
          <cell r="N3685">
            <v>-8.0709999999999997</v>
          </cell>
        </row>
        <row r="3686">
          <cell r="N3686">
            <v>-6.859</v>
          </cell>
        </row>
        <row r="3687">
          <cell r="N3687">
            <v>-41.112000000000002</v>
          </cell>
        </row>
        <row r="3688">
          <cell r="N3688">
            <v>-32.304000000000002</v>
          </cell>
        </row>
        <row r="3689">
          <cell r="N3689">
            <v>-10.467000000000001</v>
          </cell>
        </row>
        <row r="3690">
          <cell r="N3690">
            <v>-30.896999999999998</v>
          </cell>
        </row>
        <row r="3691">
          <cell r="N3691">
            <v>-872.48800000000006</v>
          </cell>
        </row>
        <row r="3692">
          <cell r="N3692">
            <v>-11.474</v>
          </cell>
        </row>
        <row r="3693">
          <cell r="N3693">
            <v>-981.78499999999997</v>
          </cell>
        </row>
        <row r="3694">
          <cell r="N3694">
            <v>-34.712000000000003</v>
          </cell>
        </row>
        <row r="3695">
          <cell r="N3695">
            <v>-31.07</v>
          </cell>
        </row>
        <row r="3696">
          <cell r="N3696">
            <v>-8.8279999999999994</v>
          </cell>
        </row>
        <row r="3697">
          <cell r="N3697">
            <v>-33.545000000000002</v>
          </cell>
        </row>
        <row r="3698">
          <cell r="N3698">
            <v>-167.09299999999999</v>
          </cell>
        </row>
        <row r="3699">
          <cell r="N3699">
            <v>-44.81</v>
          </cell>
        </row>
        <row r="3700">
          <cell r="N3700">
            <v>-33.796999999999997</v>
          </cell>
        </row>
        <row r="3701">
          <cell r="N3701">
            <v>-7.9450000000000003</v>
          </cell>
        </row>
        <row r="3702">
          <cell r="N3702">
            <v>-26.861000000000001</v>
          </cell>
        </row>
        <row r="3703">
          <cell r="N3703">
            <v>-8.9920000000000009</v>
          </cell>
        </row>
        <row r="3704">
          <cell r="N3704">
            <v>-14.476000000000001</v>
          </cell>
        </row>
        <row r="3705">
          <cell r="N3705">
            <v>-8.8279999999999994</v>
          </cell>
        </row>
        <row r="3706">
          <cell r="N3706">
            <v>-33.670999999999999</v>
          </cell>
        </row>
        <row r="3707">
          <cell r="N3707">
            <v>-33.767000000000003</v>
          </cell>
        </row>
        <row r="3708">
          <cell r="N3708">
            <v>-30.518000000000001</v>
          </cell>
        </row>
        <row r="3709">
          <cell r="N3709">
            <v>-32.409999999999997</v>
          </cell>
        </row>
        <row r="3710">
          <cell r="N3710">
            <v>-29.888000000000002</v>
          </cell>
        </row>
        <row r="3711">
          <cell r="N3711">
            <v>-8.5749999999999993</v>
          </cell>
        </row>
        <row r="3712">
          <cell r="N3712">
            <v>-11.606</v>
          </cell>
        </row>
        <row r="3713">
          <cell r="N3713">
            <v>-31.727</v>
          </cell>
        </row>
        <row r="3714">
          <cell r="N3714">
            <v>-9.609</v>
          </cell>
        </row>
        <row r="3715">
          <cell r="N3715">
            <v>-7.819</v>
          </cell>
        </row>
        <row r="3716">
          <cell r="N3716">
            <v>-46.66</v>
          </cell>
        </row>
        <row r="3717">
          <cell r="N3717">
            <v>-28.411999999999999</v>
          </cell>
        </row>
        <row r="3718">
          <cell r="N3718">
            <v>-7.819</v>
          </cell>
        </row>
        <row r="3719">
          <cell r="N3719">
            <v>-1.81</v>
          </cell>
        </row>
        <row r="3720">
          <cell r="N3720">
            <v>-34.932000000000002</v>
          </cell>
        </row>
        <row r="3721">
          <cell r="N3721">
            <v>-23.077000000000002</v>
          </cell>
        </row>
        <row r="3722">
          <cell r="N3722">
            <v>-26.786000000000001</v>
          </cell>
        </row>
        <row r="3723">
          <cell r="N3723">
            <v>-9.734</v>
          </cell>
        </row>
        <row r="3724">
          <cell r="N3724">
            <v>-33.418999999999997</v>
          </cell>
        </row>
        <row r="3725">
          <cell r="N3725">
            <v>-10.108000000000001</v>
          </cell>
        </row>
        <row r="3726">
          <cell r="N3726">
            <v>-39.914999999999999</v>
          </cell>
        </row>
        <row r="3727">
          <cell r="N3727">
            <v>-10.731999999999999</v>
          </cell>
        </row>
        <row r="3728">
          <cell r="N3728">
            <v>-35.146000000000001</v>
          </cell>
        </row>
        <row r="3729">
          <cell r="N3729">
            <v>-32.661999999999999</v>
          </cell>
        </row>
        <row r="3730">
          <cell r="N3730">
            <v>-36.552</v>
          </cell>
        </row>
        <row r="3731">
          <cell r="N3731">
            <v>-34.176000000000002</v>
          </cell>
        </row>
        <row r="3732">
          <cell r="N3732">
            <v>-31.527000000000001</v>
          </cell>
        </row>
        <row r="3733">
          <cell r="N3733">
            <v>-35.814999999999998</v>
          </cell>
        </row>
        <row r="3734">
          <cell r="N3734">
            <v>-40.228999999999999</v>
          </cell>
        </row>
        <row r="3735">
          <cell r="N3735">
            <v>-33.917999999999999</v>
          </cell>
        </row>
        <row r="3736">
          <cell r="N3736">
            <v>-30.896999999999998</v>
          </cell>
        </row>
        <row r="3737">
          <cell r="N3737">
            <v>-9.8369999999999997</v>
          </cell>
        </row>
        <row r="3738">
          <cell r="N3738">
            <v>-34.302</v>
          </cell>
        </row>
        <row r="3739">
          <cell r="N3739">
            <v>-27.24</v>
          </cell>
        </row>
        <row r="3740">
          <cell r="N3740">
            <v>-10.215</v>
          </cell>
        </row>
        <row r="3741">
          <cell r="N3741">
            <v>-26.138999999999999</v>
          </cell>
        </row>
        <row r="3742">
          <cell r="N3742">
            <v>-9.734</v>
          </cell>
        </row>
        <row r="3743">
          <cell r="N3743">
            <v>-30.013999999999999</v>
          </cell>
        </row>
        <row r="3744">
          <cell r="N3744">
            <v>-8.0709999999999997</v>
          </cell>
        </row>
        <row r="3745">
          <cell r="N3745">
            <v>-8.8279999999999994</v>
          </cell>
        </row>
        <row r="3746">
          <cell r="N3746">
            <v>-20.81</v>
          </cell>
        </row>
        <row r="3747">
          <cell r="N3747">
            <v>-8.8279999999999994</v>
          </cell>
        </row>
        <row r="3748">
          <cell r="N3748">
            <v>-29.841000000000001</v>
          </cell>
        </row>
        <row r="3749">
          <cell r="N3749">
            <v>-32.69</v>
          </cell>
        </row>
        <row r="3750">
          <cell r="N3750">
            <v>-11.855</v>
          </cell>
        </row>
        <row r="3751">
          <cell r="N3751">
            <v>-7.5949999999999998</v>
          </cell>
        </row>
        <row r="3752">
          <cell r="N3752">
            <v>-32.158000000000001</v>
          </cell>
        </row>
        <row r="3753">
          <cell r="N3753">
            <v>-8.4489999999999998</v>
          </cell>
        </row>
        <row r="3754">
          <cell r="N3754">
            <v>-33.292999999999999</v>
          </cell>
        </row>
        <row r="3755">
          <cell r="N3755">
            <v>-29.888000000000002</v>
          </cell>
        </row>
        <row r="3756">
          <cell r="N3756">
            <v>-8.8480000000000008</v>
          </cell>
        </row>
        <row r="3757">
          <cell r="N3757">
            <v>-10.108000000000001</v>
          </cell>
        </row>
        <row r="3758">
          <cell r="N3758">
            <v>-32.533000000000001</v>
          </cell>
        </row>
        <row r="3759">
          <cell r="N3759">
            <v>-8.9540000000000006</v>
          </cell>
        </row>
        <row r="3760">
          <cell r="N3760">
            <v>-13.977</v>
          </cell>
        </row>
        <row r="3761">
          <cell r="N3761">
            <v>-29.762</v>
          </cell>
        </row>
        <row r="3762">
          <cell r="N3762">
            <v>-33.92</v>
          </cell>
        </row>
        <row r="3763">
          <cell r="N3763">
            <v>-7.3330000000000002</v>
          </cell>
        </row>
        <row r="3764">
          <cell r="N3764">
            <v>-13.013</v>
          </cell>
        </row>
        <row r="3765">
          <cell r="N3765">
            <v>-32.661999999999999</v>
          </cell>
        </row>
        <row r="3766">
          <cell r="N3766">
            <v>-35.715000000000003</v>
          </cell>
        </row>
        <row r="3767">
          <cell r="N3767">
            <v>-39.75</v>
          </cell>
        </row>
        <row r="3768">
          <cell r="N3768">
            <v>-32.869999999999997</v>
          </cell>
        </row>
        <row r="3769">
          <cell r="N3769">
            <v>-10.093999999999999</v>
          </cell>
        </row>
        <row r="3770">
          <cell r="N3770">
            <v>-30.896999999999998</v>
          </cell>
        </row>
        <row r="3771">
          <cell r="N3771">
            <v>-9.4580000000000002</v>
          </cell>
        </row>
        <row r="3772">
          <cell r="N3772">
            <v>-7.0620000000000003</v>
          </cell>
        </row>
        <row r="3773">
          <cell r="N3773">
            <v>-24.672999999999998</v>
          </cell>
        </row>
        <row r="3774">
          <cell r="N3774">
            <v>-11.356</v>
          </cell>
        </row>
        <row r="3775">
          <cell r="N3775">
            <v>-33.418999999999997</v>
          </cell>
        </row>
        <row r="3776">
          <cell r="N3776">
            <v>-26.231000000000002</v>
          </cell>
        </row>
        <row r="3777">
          <cell r="N3777">
            <v>-8.702</v>
          </cell>
        </row>
        <row r="3778">
          <cell r="N3778">
            <v>-31.78</v>
          </cell>
        </row>
        <row r="3779">
          <cell r="N3779">
            <v>-39.850999999999999</v>
          </cell>
        </row>
        <row r="3780">
          <cell r="N3780">
            <v>-37.448</v>
          </cell>
        </row>
        <row r="3781">
          <cell r="N3781">
            <v>-10.981999999999999</v>
          </cell>
        </row>
        <row r="3782">
          <cell r="N3782">
            <v>-8.1189999999999998</v>
          </cell>
        </row>
        <row r="3783">
          <cell r="N3783">
            <v>-9.6530000000000005</v>
          </cell>
        </row>
        <row r="3784">
          <cell r="N3784">
            <v>-17.780999999999999</v>
          </cell>
        </row>
        <row r="3785">
          <cell r="N3785">
            <v>-39.22</v>
          </cell>
        </row>
        <row r="3786">
          <cell r="N3786">
            <v>-28.809000000000001</v>
          </cell>
        </row>
        <row r="3787">
          <cell r="N3787">
            <v>-39.976999999999997</v>
          </cell>
        </row>
        <row r="3788">
          <cell r="N3788">
            <v>-23.053000000000001</v>
          </cell>
        </row>
        <row r="3789">
          <cell r="N3789">
            <v>-24.792000000000002</v>
          </cell>
        </row>
        <row r="3790">
          <cell r="N3790">
            <v>-33.796999999999997</v>
          </cell>
        </row>
        <row r="3791">
          <cell r="N3791">
            <v>-9.734</v>
          </cell>
        </row>
        <row r="3792">
          <cell r="N3792">
            <v>-30.853999999999999</v>
          </cell>
        </row>
        <row r="3793">
          <cell r="N3793">
            <v>-15.599</v>
          </cell>
        </row>
        <row r="3794">
          <cell r="N3794">
            <v>-41.284999999999997</v>
          </cell>
        </row>
        <row r="3795">
          <cell r="N3795">
            <v>-30.391999999999999</v>
          </cell>
        </row>
        <row r="3796">
          <cell r="N3796">
            <v>-7.819</v>
          </cell>
        </row>
        <row r="3797">
          <cell r="N3797">
            <v>-3.738</v>
          </cell>
        </row>
        <row r="3798">
          <cell r="N3798">
            <v>-10.856999999999999</v>
          </cell>
        </row>
        <row r="3799">
          <cell r="N3799">
            <v>-9.5839999999999996</v>
          </cell>
        </row>
        <row r="3800">
          <cell r="N3800">
            <v>-6.2859999999999996</v>
          </cell>
        </row>
        <row r="3801">
          <cell r="N3801">
            <v>-33.292999999999999</v>
          </cell>
        </row>
        <row r="3802">
          <cell r="N3802">
            <v>-7.44</v>
          </cell>
        </row>
        <row r="3803">
          <cell r="N3803">
            <v>-37.859000000000002</v>
          </cell>
        </row>
        <row r="3804">
          <cell r="N3804">
            <v>-7.44</v>
          </cell>
        </row>
        <row r="3805">
          <cell r="N3805">
            <v>-11.481</v>
          </cell>
        </row>
        <row r="3806">
          <cell r="N3806">
            <v>-26.456</v>
          </cell>
        </row>
        <row r="3807">
          <cell r="N3807">
            <v>-1.0999999999999999E-2</v>
          </cell>
        </row>
        <row r="3808">
          <cell r="N3808">
            <v>-8.3460000000000001</v>
          </cell>
        </row>
        <row r="3809">
          <cell r="N3809">
            <v>-7.0709999999999997</v>
          </cell>
        </row>
        <row r="3810">
          <cell r="N3810">
            <v>-7.5949999999999998</v>
          </cell>
        </row>
        <row r="3811">
          <cell r="N3811">
            <v>-21.433</v>
          </cell>
        </row>
        <row r="3812">
          <cell r="N3812">
            <v>-11.356</v>
          </cell>
        </row>
        <row r="3813">
          <cell r="N3813">
            <v>-29.504000000000001</v>
          </cell>
        </row>
        <row r="3814">
          <cell r="N3814">
            <v>-13.353</v>
          </cell>
        </row>
        <row r="3815">
          <cell r="N3815">
            <v>-13.353</v>
          </cell>
        </row>
        <row r="3816">
          <cell r="N3816">
            <v>-33.304000000000002</v>
          </cell>
        </row>
        <row r="3817">
          <cell r="N3817">
            <v>-12.233000000000001</v>
          </cell>
        </row>
        <row r="3818">
          <cell r="N3818">
            <v>-33.545000000000002</v>
          </cell>
        </row>
        <row r="3819">
          <cell r="N3819">
            <v>-7.2380000000000004</v>
          </cell>
        </row>
        <row r="3820">
          <cell r="N3820">
            <v>-10.215</v>
          </cell>
        </row>
        <row r="3821">
          <cell r="N3821">
            <v>-7.9450000000000003</v>
          </cell>
        </row>
        <row r="3822">
          <cell r="N3822">
            <v>-8.3230000000000004</v>
          </cell>
        </row>
        <row r="3823">
          <cell r="N3823">
            <v>-28.501000000000001</v>
          </cell>
        </row>
        <row r="3824">
          <cell r="N3824">
            <v>-34.213000000000001</v>
          </cell>
        </row>
        <row r="3825">
          <cell r="N3825">
            <v>-21.988</v>
          </cell>
        </row>
        <row r="3826">
          <cell r="N3826">
            <v>-31.274999999999999</v>
          </cell>
        </row>
        <row r="3827">
          <cell r="N3827">
            <v>-31.401</v>
          </cell>
        </row>
        <row r="3828">
          <cell r="N3828">
            <v>-23.558</v>
          </cell>
        </row>
        <row r="3829">
          <cell r="N3829">
            <v>-30.187999999999999</v>
          </cell>
        </row>
        <row r="3830">
          <cell r="N3830">
            <v>-9.5839999999999996</v>
          </cell>
        </row>
        <row r="3831">
          <cell r="N3831">
            <v>-23.204000000000001</v>
          </cell>
        </row>
        <row r="3832">
          <cell r="N3832">
            <v>-1.2E-2</v>
          </cell>
        </row>
        <row r="3833">
          <cell r="N3833">
            <v>-7.601</v>
          </cell>
        </row>
        <row r="3834">
          <cell r="N3834">
            <v>-10.358000000000001</v>
          </cell>
        </row>
        <row r="3835">
          <cell r="N3835">
            <v>-34.176000000000002</v>
          </cell>
        </row>
        <row r="3836">
          <cell r="N3836">
            <v>-8.1</v>
          </cell>
        </row>
        <row r="3837">
          <cell r="N3837">
            <v>-31.274999999999999</v>
          </cell>
        </row>
        <row r="3838">
          <cell r="N3838">
            <v>-34.049999999999997</v>
          </cell>
        </row>
        <row r="3839">
          <cell r="N3839">
            <v>-31.149000000000001</v>
          </cell>
        </row>
        <row r="3840">
          <cell r="N3840">
            <v>-7.3140000000000001</v>
          </cell>
        </row>
        <row r="3841">
          <cell r="N3841">
            <v>-6.81</v>
          </cell>
        </row>
        <row r="3842">
          <cell r="N3842">
            <v>-11.356</v>
          </cell>
        </row>
        <row r="3843">
          <cell r="N3843">
            <v>-8.3490000000000002</v>
          </cell>
        </row>
        <row r="3844">
          <cell r="N3844">
            <v>-36.698</v>
          </cell>
        </row>
        <row r="3845">
          <cell r="N3845">
            <v>-31.187000000000001</v>
          </cell>
        </row>
        <row r="3846">
          <cell r="N3846">
            <v>-6.8090000000000002</v>
          </cell>
        </row>
        <row r="3847">
          <cell r="N3847">
            <v>-30.391999999999999</v>
          </cell>
        </row>
        <row r="3848">
          <cell r="N3848">
            <v>-31.527000000000001</v>
          </cell>
        </row>
        <row r="3849">
          <cell r="N3849">
            <v>-8.5749999999999993</v>
          </cell>
        </row>
        <row r="3850">
          <cell r="N3850">
            <v>-35.898000000000003</v>
          </cell>
        </row>
        <row r="3851">
          <cell r="N3851">
            <v>-34.070999999999998</v>
          </cell>
        </row>
        <row r="3852">
          <cell r="N3852">
            <v>-34.176000000000002</v>
          </cell>
        </row>
        <row r="3853">
          <cell r="N3853">
            <v>-9.9629999999999992</v>
          </cell>
        </row>
        <row r="3854">
          <cell r="N3854">
            <v>-35.058</v>
          </cell>
        </row>
        <row r="3855">
          <cell r="N3855">
            <v>-40.103000000000002</v>
          </cell>
        </row>
        <row r="3856">
          <cell r="N3856">
            <v>-32.787999999999997</v>
          </cell>
        </row>
        <row r="3857">
          <cell r="N3857">
            <v>-36.987000000000002</v>
          </cell>
        </row>
        <row r="3858">
          <cell r="N3858">
            <v>-33.92</v>
          </cell>
        </row>
        <row r="3859">
          <cell r="N3859">
            <v>-30.896999999999998</v>
          </cell>
        </row>
        <row r="3860">
          <cell r="N3860">
            <v>-7.1879999999999997</v>
          </cell>
        </row>
        <row r="3861">
          <cell r="N3861">
            <v>-33.418999999999997</v>
          </cell>
        </row>
        <row r="3862">
          <cell r="N3862">
            <v>-26.077999999999999</v>
          </cell>
        </row>
        <row r="3863">
          <cell r="N3863">
            <v>-36.502000000000002</v>
          </cell>
        </row>
        <row r="3864">
          <cell r="N3864">
            <v>-38.453000000000003</v>
          </cell>
        </row>
        <row r="3865">
          <cell r="N3865">
            <v>-31.401</v>
          </cell>
        </row>
        <row r="3866">
          <cell r="N3866">
            <v>-28.831</v>
          </cell>
        </row>
        <row r="3867">
          <cell r="N3867">
            <v>-8.9719999999999995</v>
          </cell>
        </row>
        <row r="3868">
          <cell r="N3868">
            <v>-37.600999999999999</v>
          </cell>
        </row>
        <row r="3869">
          <cell r="N3869">
            <v>-2.867</v>
          </cell>
        </row>
        <row r="3870">
          <cell r="N3870">
            <v>-7.9749999999999996</v>
          </cell>
        </row>
        <row r="3871">
          <cell r="N3871">
            <v>-8.8279999999999994</v>
          </cell>
        </row>
        <row r="3872">
          <cell r="N3872">
            <v>-30.847999999999999</v>
          </cell>
        </row>
        <row r="3873">
          <cell r="N3873">
            <v>-31.373000000000001</v>
          </cell>
        </row>
        <row r="3874">
          <cell r="N3874">
            <v>-8.6110000000000007</v>
          </cell>
        </row>
        <row r="3875">
          <cell r="N3875">
            <v>-2.9689999999999999</v>
          </cell>
        </row>
        <row r="3876">
          <cell r="N3876">
            <v>-9.8369999999999997</v>
          </cell>
        </row>
        <row r="3877">
          <cell r="N3877">
            <v>-26.105</v>
          </cell>
        </row>
        <row r="3878">
          <cell r="N3878">
            <v>-35.058</v>
          </cell>
        </row>
        <row r="3879">
          <cell r="N3879">
            <v>-34.359000000000002</v>
          </cell>
        </row>
        <row r="3880">
          <cell r="N3880">
            <v>-31.78</v>
          </cell>
        </row>
        <row r="3881">
          <cell r="N3881">
            <v>-10.738</v>
          </cell>
        </row>
        <row r="3882">
          <cell r="N3882">
            <v>-36.32</v>
          </cell>
        </row>
        <row r="3883">
          <cell r="N3883">
            <v>-36.445999999999998</v>
          </cell>
        </row>
        <row r="3884">
          <cell r="N3884">
            <v>-9.2059999999999995</v>
          </cell>
        </row>
        <row r="3885">
          <cell r="N3885">
            <v>-32.283999999999999</v>
          </cell>
        </row>
        <row r="3886">
          <cell r="N3886">
            <v>-8.5749999999999993</v>
          </cell>
        </row>
        <row r="3887">
          <cell r="N3887">
            <v>-8.032</v>
          </cell>
        </row>
        <row r="3888">
          <cell r="N3888">
            <v>-38.061999999999998</v>
          </cell>
        </row>
        <row r="3889">
          <cell r="N3889">
            <v>-10.483000000000001</v>
          </cell>
        </row>
        <row r="3890">
          <cell r="N3890">
            <v>-31.187000000000001</v>
          </cell>
        </row>
        <row r="3891">
          <cell r="N3891">
            <v>-11.98</v>
          </cell>
        </row>
        <row r="3892">
          <cell r="N3892">
            <v>-8.7230000000000008</v>
          </cell>
        </row>
        <row r="3893">
          <cell r="N3893">
            <v>-33.167000000000002</v>
          </cell>
        </row>
        <row r="3894">
          <cell r="N3894">
            <v>-11.481</v>
          </cell>
        </row>
        <row r="3895">
          <cell r="N3895">
            <v>-23.677</v>
          </cell>
        </row>
        <row r="3896">
          <cell r="N3896">
            <v>-31.023</v>
          </cell>
        </row>
        <row r="3897">
          <cell r="N3897">
            <v>-8.8279999999999994</v>
          </cell>
        </row>
        <row r="3898">
          <cell r="N3898">
            <v>-9.8369999999999997</v>
          </cell>
        </row>
        <row r="3899">
          <cell r="N3899">
            <v>-27.744</v>
          </cell>
        </row>
        <row r="3900">
          <cell r="N3900">
            <v>-8.5749999999999993</v>
          </cell>
        </row>
        <row r="3901">
          <cell r="N3901">
            <v>-6.9359999999999999</v>
          </cell>
        </row>
        <row r="3902">
          <cell r="N3902">
            <v>-1.7450000000000001</v>
          </cell>
        </row>
        <row r="3903">
          <cell r="N3903">
            <v>-26.609000000000002</v>
          </cell>
        </row>
        <row r="3904">
          <cell r="N3904">
            <v>-7.5670000000000002</v>
          </cell>
        </row>
        <row r="3905">
          <cell r="N3905">
            <v>-31.274999999999999</v>
          </cell>
        </row>
        <row r="3906">
          <cell r="N3906">
            <v>-26.138999999999999</v>
          </cell>
        </row>
        <row r="3907">
          <cell r="N3907">
            <v>-9.3320000000000007</v>
          </cell>
        </row>
        <row r="3908">
          <cell r="N3908">
            <v>-37.959000000000003</v>
          </cell>
        </row>
        <row r="3909">
          <cell r="N3909">
            <v>-13.727</v>
          </cell>
        </row>
        <row r="3910">
          <cell r="N3910">
            <v>-21.433</v>
          </cell>
        </row>
        <row r="3911">
          <cell r="N3911">
            <v>-11.356</v>
          </cell>
        </row>
        <row r="3912">
          <cell r="N3912">
            <v>-8.4489999999999998</v>
          </cell>
        </row>
        <row r="3913">
          <cell r="N3913">
            <v>-9.7100000000000009</v>
          </cell>
        </row>
        <row r="3914">
          <cell r="N3914">
            <v>-34.685000000000002</v>
          </cell>
        </row>
        <row r="3915">
          <cell r="N3915">
            <v>-28.375</v>
          </cell>
        </row>
        <row r="3916">
          <cell r="N3916">
            <v>-30.896999999999998</v>
          </cell>
        </row>
        <row r="3917">
          <cell r="N3917">
            <v>-10.856999999999999</v>
          </cell>
        </row>
        <row r="3918">
          <cell r="N3918">
            <v>-33.040999999999997</v>
          </cell>
        </row>
        <row r="3919">
          <cell r="N3919">
            <v>-27.341000000000001</v>
          </cell>
        </row>
        <row r="3920">
          <cell r="N3920">
            <v>-11.04</v>
          </cell>
        </row>
        <row r="3921">
          <cell r="N3921">
            <v>-25.638000000000002</v>
          </cell>
        </row>
        <row r="3922">
          <cell r="N3922">
            <v>-30.704000000000001</v>
          </cell>
        </row>
        <row r="3923">
          <cell r="N3923">
            <v>-32.031999999999996</v>
          </cell>
        </row>
        <row r="3924">
          <cell r="N3924">
            <v>-10.922000000000001</v>
          </cell>
        </row>
        <row r="3925">
          <cell r="N3925">
            <v>-10.127000000000001</v>
          </cell>
        </row>
        <row r="3926">
          <cell r="N3926">
            <v>-8.5549999999999997</v>
          </cell>
        </row>
        <row r="3927">
          <cell r="N3927">
            <v>-7.44</v>
          </cell>
        </row>
        <row r="3928">
          <cell r="N3928">
            <v>-8.1</v>
          </cell>
        </row>
        <row r="3929">
          <cell r="N3929">
            <v>-20.561</v>
          </cell>
        </row>
        <row r="3930">
          <cell r="N3930">
            <v>-7.44</v>
          </cell>
        </row>
        <row r="3931">
          <cell r="N3931">
            <v>-29.004999999999999</v>
          </cell>
        </row>
        <row r="3932">
          <cell r="N3932">
            <v>-5.17</v>
          </cell>
        </row>
        <row r="3933">
          <cell r="N3933">
            <v>-36.32</v>
          </cell>
        </row>
        <row r="3934">
          <cell r="N3934">
            <v>-9.11</v>
          </cell>
        </row>
        <row r="3935">
          <cell r="N3935">
            <v>-8.8480000000000008</v>
          </cell>
        </row>
        <row r="3936">
          <cell r="N3936">
            <v>-38.453000000000003</v>
          </cell>
        </row>
        <row r="3937">
          <cell r="N3937">
            <v>-8.9540000000000006</v>
          </cell>
        </row>
        <row r="3938">
          <cell r="N3938">
            <v>-8.4489999999999998</v>
          </cell>
        </row>
        <row r="3939">
          <cell r="N3939">
            <v>-28.501000000000001</v>
          </cell>
        </row>
        <row r="3940">
          <cell r="N3940">
            <v>-41.478999999999999</v>
          </cell>
        </row>
        <row r="3941">
          <cell r="N3941">
            <v>-9.08</v>
          </cell>
        </row>
        <row r="3942">
          <cell r="N3942">
            <v>-31.149000000000001</v>
          </cell>
        </row>
        <row r="3943">
          <cell r="N3943">
            <v>-25.474</v>
          </cell>
        </row>
        <row r="3944">
          <cell r="N3944">
            <v>-33.796999999999997</v>
          </cell>
        </row>
        <row r="3945">
          <cell r="N3945">
            <v>-28.248999999999999</v>
          </cell>
        </row>
        <row r="3946">
          <cell r="N3946">
            <v>-34.302</v>
          </cell>
        </row>
        <row r="3947">
          <cell r="N3947">
            <v>-15.35</v>
          </cell>
        </row>
        <row r="3948">
          <cell r="N3948">
            <v>-26.734999999999999</v>
          </cell>
        </row>
        <row r="3949">
          <cell r="N3949">
            <v>-7.9749999999999996</v>
          </cell>
        </row>
        <row r="3950">
          <cell r="N3950">
            <v>-9.98</v>
          </cell>
        </row>
        <row r="3951">
          <cell r="N3951">
            <v>-24.716999999999999</v>
          </cell>
        </row>
        <row r="3952">
          <cell r="N3952">
            <v>-9.7100000000000009</v>
          </cell>
        </row>
        <row r="3953">
          <cell r="N3953">
            <v>-32.844000000000001</v>
          </cell>
        </row>
        <row r="3954">
          <cell r="N3954">
            <v>-10.981999999999999</v>
          </cell>
        </row>
        <row r="3955">
          <cell r="N3955">
            <v>-35.814999999999998</v>
          </cell>
        </row>
        <row r="3956">
          <cell r="N3956">
            <v>-33.545000000000002</v>
          </cell>
        </row>
        <row r="3957">
          <cell r="N3957">
            <v>-30.317</v>
          </cell>
        </row>
        <row r="3958">
          <cell r="N3958">
            <v>-34.070999999999998</v>
          </cell>
        </row>
        <row r="3959">
          <cell r="N3959">
            <v>-28.079000000000001</v>
          </cell>
        </row>
        <row r="3960">
          <cell r="N3960">
            <v>-30.518000000000001</v>
          </cell>
        </row>
        <row r="3961">
          <cell r="N3961">
            <v>-26.356999999999999</v>
          </cell>
        </row>
        <row r="3962">
          <cell r="N3962">
            <v>-12.989000000000001</v>
          </cell>
        </row>
        <row r="3963">
          <cell r="N3963">
            <v>-23.178000000000001</v>
          </cell>
        </row>
        <row r="3964">
          <cell r="N3964">
            <v>-35.941000000000003</v>
          </cell>
        </row>
        <row r="3965">
          <cell r="N3965">
            <v>-7.819</v>
          </cell>
        </row>
        <row r="3966">
          <cell r="N3966">
            <v>-32.787999999999997</v>
          </cell>
        </row>
        <row r="3967">
          <cell r="N3967">
            <v>-9.859</v>
          </cell>
        </row>
        <row r="3968">
          <cell r="N3968">
            <v>-33.670999999999999</v>
          </cell>
        </row>
        <row r="3969">
          <cell r="N3969">
            <v>-5.99</v>
          </cell>
        </row>
        <row r="3970">
          <cell r="N3970">
            <v>-36.192999999999998</v>
          </cell>
        </row>
        <row r="3971">
          <cell r="N3971">
            <v>-8.702</v>
          </cell>
        </row>
        <row r="3972">
          <cell r="N3972">
            <v>-34.932000000000002</v>
          </cell>
        </row>
        <row r="3973">
          <cell r="N3973">
            <v>-16.434999999999999</v>
          </cell>
        </row>
        <row r="3974">
          <cell r="N3974">
            <v>-9.5839999999999996</v>
          </cell>
        </row>
        <row r="3975">
          <cell r="N3975">
            <v>-1.4530000000000001</v>
          </cell>
        </row>
        <row r="3976">
          <cell r="N3976">
            <v>-37.448</v>
          </cell>
        </row>
        <row r="3977">
          <cell r="N3977">
            <v>-1.7390000000000001</v>
          </cell>
        </row>
        <row r="3978">
          <cell r="N3978">
            <v>-6.984</v>
          </cell>
        </row>
        <row r="3979">
          <cell r="N3979">
            <v>-0.84199999999999997</v>
          </cell>
        </row>
        <row r="3980">
          <cell r="N3980">
            <v>-1.4530000000000001</v>
          </cell>
        </row>
        <row r="3981">
          <cell r="N3981">
            <v>-7.77</v>
          </cell>
        </row>
        <row r="3982">
          <cell r="N3982">
            <v>-1.4530000000000001</v>
          </cell>
        </row>
        <row r="3983">
          <cell r="N3983">
            <v>-34.651000000000003</v>
          </cell>
        </row>
        <row r="3984">
          <cell r="N3984">
            <v>-7.2279999999999998</v>
          </cell>
        </row>
        <row r="3985">
          <cell r="N3985">
            <v>-29.382999999999999</v>
          </cell>
        </row>
        <row r="3986">
          <cell r="N3986">
            <v>-1.744</v>
          </cell>
        </row>
        <row r="3987">
          <cell r="N3987">
            <v>-7.1589999999999998</v>
          </cell>
        </row>
        <row r="3988">
          <cell r="N3988">
            <v>-8.4860000000000007</v>
          </cell>
        </row>
        <row r="3989">
          <cell r="N3989">
            <v>-27.492000000000001</v>
          </cell>
        </row>
        <row r="3990">
          <cell r="N3990">
            <v>-1.4530000000000001</v>
          </cell>
        </row>
        <row r="3991">
          <cell r="N3991">
            <v>-27.779</v>
          </cell>
        </row>
        <row r="3992">
          <cell r="N3992">
            <v>-2.4929999999999999</v>
          </cell>
        </row>
        <row r="3993">
          <cell r="N3993">
            <v>-8.1969999999999992</v>
          </cell>
        </row>
        <row r="3994">
          <cell r="N3994">
            <v>-1.45</v>
          </cell>
        </row>
        <row r="3995">
          <cell r="N3995">
            <v>-1.45</v>
          </cell>
        </row>
        <row r="3996">
          <cell r="N3996">
            <v>-1.45</v>
          </cell>
        </row>
        <row r="3997">
          <cell r="N3997">
            <v>-8.5749999999999993</v>
          </cell>
        </row>
        <row r="3998">
          <cell r="N3998">
            <v>-4.9180000000000001</v>
          </cell>
        </row>
        <row r="3999">
          <cell r="N3999">
            <v>-4.1580000000000004</v>
          </cell>
        </row>
        <row r="4000">
          <cell r="N4000">
            <v>-8.2240000000000002</v>
          </cell>
        </row>
        <row r="4001">
          <cell r="N4001">
            <v>-40.5</v>
          </cell>
        </row>
        <row r="4002">
          <cell r="N4002">
            <v>-9.2059999999999995</v>
          </cell>
        </row>
        <row r="4003">
          <cell r="N4003">
            <v>-35.689</v>
          </cell>
        </row>
        <row r="4004">
          <cell r="N4004">
            <v>-9.984</v>
          </cell>
        </row>
        <row r="4005">
          <cell r="N4005">
            <v>-38.463000000000001</v>
          </cell>
        </row>
        <row r="4006">
          <cell r="N4006">
            <v>-39.597000000000001</v>
          </cell>
        </row>
        <row r="4007">
          <cell r="N4007">
            <v>-8.4740000000000002</v>
          </cell>
        </row>
        <row r="4008">
          <cell r="N4008">
            <v>-29.131</v>
          </cell>
        </row>
        <row r="4009">
          <cell r="N4009">
            <v>-1.744</v>
          </cell>
        </row>
        <row r="4010">
          <cell r="N4010">
            <v>-22.265000000000001</v>
          </cell>
        </row>
        <row r="4011">
          <cell r="N4011">
            <v>-9.36</v>
          </cell>
        </row>
        <row r="4012">
          <cell r="N4012">
            <v>-30.265999999999998</v>
          </cell>
        </row>
        <row r="4013">
          <cell r="N4013">
            <v>-9.2210000000000001</v>
          </cell>
        </row>
        <row r="4014">
          <cell r="N4014">
            <v>-27.24</v>
          </cell>
        </row>
        <row r="4015">
          <cell r="N4015">
            <v>-30.013999999999999</v>
          </cell>
        </row>
        <row r="4016">
          <cell r="N4016">
            <v>-25.978999999999999</v>
          </cell>
        </row>
        <row r="4017">
          <cell r="N4017">
            <v>-30.645</v>
          </cell>
        </row>
        <row r="4018">
          <cell r="N4018">
            <v>-9.36</v>
          </cell>
        </row>
        <row r="4019">
          <cell r="N4019">
            <v>-19.295000000000002</v>
          </cell>
        </row>
        <row r="4020">
          <cell r="N4020">
            <v>-35.941000000000003</v>
          </cell>
        </row>
        <row r="4021">
          <cell r="N4021">
            <v>-24.338999999999999</v>
          </cell>
        </row>
        <row r="4022">
          <cell r="N4022">
            <v>-25.971</v>
          </cell>
        </row>
        <row r="4023">
          <cell r="N4023">
            <v>-10.981999999999999</v>
          </cell>
        </row>
        <row r="4024">
          <cell r="N4024">
            <v>-28.375</v>
          </cell>
        </row>
        <row r="4025">
          <cell r="N4025">
            <v>-7.9450000000000003</v>
          </cell>
        </row>
        <row r="4026">
          <cell r="N4026">
            <v>-36.823999999999998</v>
          </cell>
        </row>
        <row r="4027">
          <cell r="N4027">
            <v>-31.527000000000001</v>
          </cell>
        </row>
        <row r="4028">
          <cell r="N4028">
            <v>-14.509</v>
          </cell>
        </row>
        <row r="4029">
          <cell r="N4029">
            <v>-12.355</v>
          </cell>
        </row>
        <row r="4030">
          <cell r="N4030">
            <v>-10.981999999999999</v>
          </cell>
        </row>
        <row r="4031">
          <cell r="N4031">
            <v>-31.274999999999999</v>
          </cell>
        </row>
        <row r="4032">
          <cell r="N4032">
            <v>-25.047000000000001</v>
          </cell>
        </row>
        <row r="4033">
          <cell r="N4033">
            <v>-8.1969999999999992</v>
          </cell>
        </row>
        <row r="4034">
          <cell r="N4034">
            <v>-6.5579999999999998</v>
          </cell>
        </row>
        <row r="4035">
          <cell r="N4035">
            <v>-8.032</v>
          </cell>
        </row>
        <row r="4036">
          <cell r="N4036">
            <v>-31.652999999999999</v>
          </cell>
        </row>
        <row r="4037">
          <cell r="N4037">
            <v>-26.356999999999999</v>
          </cell>
        </row>
        <row r="4038">
          <cell r="N4038">
            <v>-31.309000000000001</v>
          </cell>
        </row>
        <row r="4039">
          <cell r="N4039">
            <v>-29.762</v>
          </cell>
        </row>
        <row r="4040">
          <cell r="N4040">
            <v>-8.032</v>
          </cell>
        </row>
        <row r="4041">
          <cell r="N4041">
            <v>-29.131</v>
          </cell>
        </row>
        <row r="4042">
          <cell r="N4042">
            <v>-8.8279999999999994</v>
          </cell>
        </row>
        <row r="4043">
          <cell r="N4043">
            <v>-10.718999999999999</v>
          </cell>
        </row>
        <row r="4044">
          <cell r="N4044">
            <v>-39.668999999999997</v>
          </cell>
        </row>
        <row r="4045">
          <cell r="N4045">
            <v>-7.44</v>
          </cell>
        </row>
        <row r="4046">
          <cell r="N4046">
            <v>-3.9089999999999998</v>
          </cell>
        </row>
        <row r="4047">
          <cell r="N4047">
            <v>-10.606999999999999</v>
          </cell>
        </row>
        <row r="4048">
          <cell r="N4048">
            <v>-9.984</v>
          </cell>
        </row>
        <row r="4049">
          <cell r="N4049">
            <v>-10.089</v>
          </cell>
        </row>
        <row r="4050">
          <cell r="N4050">
            <v>-8.5980000000000008</v>
          </cell>
        </row>
        <row r="4051">
          <cell r="N4051">
            <v>-42.665999999999997</v>
          </cell>
        </row>
        <row r="4052">
          <cell r="N4052">
            <v>-27.744</v>
          </cell>
        </row>
        <row r="4053">
          <cell r="N4053">
            <v>-7.1589999999999998</v>
          </cell>
        </row>
        <row r="4054">
          <cell r="N4054">
            <v>-18.411999999999999</v>
          </cell>
        </row>
        <row r="4055">
          <cell r="N4055">
            <v>-24.175000000000001</v>
          </cell>
        </row>
        <row r="4056">
          <cell r="N4056">
            <v>-27.995999999999999</v>
          </cell>
        </row>
        <row r="4057">
          <cell r="N4057">
            <v>-33.923000000000002</v>
          </cell>
        </row>
        <row r="4058">
          <cell r="N4058">
            <v>-8.3490000000000002</v>
          </cell>
        </row>
        <row r="4059">
          <cell r="N4059">
            <v>-41.377000000000002</v>
          </cell>
        </row>
        <row r="4060">
          <cell r="N4060">
            <v>-33.481999999999999</v>
          </cell>
        </row>
        <row r="4061">
          <cell r="N4061">
            <v>-8.8279999999999994</v>
          </cell>
        </row>
        <row r="4062">
          <cell r="N4062">
            <v>-9.2349999999999994</v>
          </cell>
        </row>
        <row r="4063">
          <cell r="N4063">
            <v>-33.545000000000002</v>
          </cell>
        </row>
        <row r="4064">
          <cell r="N4064">
            <v>-36.192999999999998</v>
          </cell>
        </row>
        <row r="4065">
          <cell r="N4065">
            <v>-9.7100000000000009</v>
          </cell>
        </row>
        <row r="4066">
          <cell r="N4066">
            <v>-46.408000000000001</v>
          </cell>
        </row>
        <row r="4067">
          <cell r="N4067">
            <v>-20.65</v>
          </cell>
        </row>
        <row r="4068">
          <cell r="N4068">
            <v>-8.9719999999999995</v>
          </cell>
        </row>
        <row r="4069">
          <cell r="N4069">
            <v>-22.056999999999999</v>
          </cell>
        </row>
        <row r="4070">
          <cell r="N4070">
            <v>-7.726</v>
          </cell>
        </row>
        <row r="4071">
          <cell r="N4071">
            <v>-39.475999999999999</v>
          </cell>
        </row>
        <row r="4072">
          <cell r="N4072">
            <v>-6.6050000000000004</v>
          </cell>
        </row>
        <row r="4073">
          <cell r="N4073">
            <v>-29.51</v>
          </cell>
        </row>
        <row r="4074">
          <cell r="N4074">
            <v>-7.44</v>
          </cell>
        </row>
        <row r="4075">
          <cell r="N4075">
            <v>-8.3610000000000007</v>
          </cell>
        </row>
        <row r="4076">
          <cell r="N4076">
            <v>-34.823</v>
          </cell>
        </row>
        <row r="4077">
          <cell r="N4077">
            <v>-8.9540000000000006</v>
          </cell>
        </row>
        <row r="4078">
          <cell r="N4078">
            <v>-7.5670000000000002</v>
          </cell>
        </row>
        <row r="4079">
          <cell r="N4079">
            <v>-28.248999999999999</v>
          </cell>
        </row>
        <row r="4080">
          <cell r="N4080">
            <v>-9.7100000000000009</v>
          </cell>
        </row>
        <row r="4081">
          <cell r="N4081">
            <v>-9.984</v>
          </cell>
        </row>
        <row r="4082">
          <cell r="N4082">
            <v>-24.716999999999999</v>
          </cell>
        </row>
        <row r="4083">
          <cell r="N4083">
            <v>-5.6619999999999999</v>
          </cell>
        </row>
        <row r="4084">
          <cell r="N4084">
            <v>-9.2059999999999995</v>
          </cell>
        </row>
        <row r="4085">
          <cell r="N4085">
            <v>-7.944</v>
          </cell>
        </row>
        <row r="4086">
          <cell r="N4086">
            <v>-18.913</v>
          </cell>
        </row>
        <row r="4087">
          <cell r="N4087">
            <v>-33.923000000000002</v>
          </cell>
        </row>
        <row r="4088">
          <cell r="N4088">
            <v>-10.856999999999999</v>
          </cell>
        </row>
        <row r="4089">
          <cell r="N4089">
            <v>-8.5549999999999997</v>
          </cell>
        </row>
        <row r="4090">
          <cell r="N4090">
            <v>-28.122</v>
          </cell>
        </row>
        <row r="4091">
          <cell r="N4091">
            <v>-9.2059999999999995</v>
          </cell>
        </row>
        <row r="4092">
          <cell r="N4092">
            <v>-31.78</v>
          </cell>
        </row>
        <row r="4093">
          <cell r="N4093">
            <v>-8.86</v>
          </cell>
        </row>
        <row r="4094">
          <cell r="N4094">
            <v>-20.934000000000001</v>
          </cell>
        </row>
        <row r="4095">
          <cell r="N4095">
            <v>-31.401</v>
          </cell>
        </row>
        <row r="4096">
          <cell r="N4096">
            <v>-30.388000000000002</v>
          </cell>
        </row>
        <row r="4097">
          <cell r="N4097">
            <v>-35.436999999999998</v>
          </cell>
        </row>
        <row r="4098">
          <cell r="N4098">
            <v>-29.928000000000001</v>
          </cell>
        </row>
        <row r="4099">
          <cell r="N4099">
            <v>-31.78</v>
          </cell>
        </row>
        <row r="4100">
          <cell r="N4100">
            <v>-31.149000000000001</v>
          </cell>
        </row>
        <row r="4101">
          <cell r="N4101">
            <v>-11.853999999999999</v>
          </cell>
        </row>
        <row r="4102">
          <cell r="N4102">
            <v>-32.787999999999997</v>
          </cell>
        </row>
        <row r="4103">
          <cell r="N4103">
            <v>-27.931000000000001</v>
          </cell>
        </row>
        <row r="4104">
          <cell r="N4104">
            <v>-39.668999999999997</v>
          </cell>
        </row>
        <row r="4105">
          <cell r="N4105">
            <v>-27.24</v>
          </cell>
        </row>
        <row r="4106">
          <cell r="N4106">
            <v>-31.401</v>
          </cell>
        </row>
        <row r="4107">
          <cell r="N4107">
            <v>-23.158999999999999</v>
          </cell>
        </row>
        <row r="4108">
          <cell r="N4108">
            <v>-16.116</v>
          </cell>
        </row>
        <row r="4109">
          <cell r="N4109">
            <v>-8.702</v>
          </cell>
        </row>
        <row r="4110">
          <cell r="N4110">
            <v>-8.5749999999999993</v>
          </cell>
        </row>
        <row r="4111">
          <cell r="N4111">
            <v>-10.981999999999999</v>
          </cell>
        </row>
        <row r="4112">
          <cell r="N4112">
            <v>-10.233000000000001</v>
          </cell>
        </row>
        <row r="4113">
          <cell r="N4113">
            <v>-28.661000000000001</v>
          </cell>
        </row>
        <row r="4114">
          <cell r="N4114">
            <v>-4.2880000000000003</v>
          </cell>
        </row>
        <row r="4115">
          <cell r="N4115">
            <v>-31.023</v>
          </cell>
        </row>
        <row r="4116">
          <cell r="N4116">
            <v>-32.283999999999999</v>
          </cell>
        </row>
        <row r="4117">
          <cell r="N4117">
            <v>-28.501000000000001</v>
          </cell>
        </row>
        <row r="4118">
          <cell r="N4118">
            <v>-10.731999999999999</v>
          </cell>
        </row>
        <row r="4119">
          <cell r="N4119">
            <v>-11.602</v>
          </cell>
        </row>
        <row r="4120">
          <cell r="N4120">
            <v>-10.731999999999999</v>
          </cell>
        </row>
        <row r="4121">
          <cell r="N4121">
            <v>-8.8279999999999994</v>
          </cell>
        </row>
        <row r="4122">
          <cell r="N4122">
            <v>-42.499000000000002</v>
          </cell>
        </row>
        <row r="4123">
          <cell r="N4123">
            <v>-9.5839999999999996</v>
          </cell>
        </row>
        <row r="4124">
          <cell r="N4124">
            <v>-42.625</v>
          </cell>
        </row>
        <row r="4125">
          <cell r="N4125">
            <v>-10.593</v>
          </cell>
        </row>
        <row r="4126">
          <cell r="N4126">
            <v>-14.85</v>
          </cell>
        </row>
        <row r="4127">
          <cell r="N4127">
            <v>-7.5949999999999998</v>
          </cell>
        </row>
        <row r="4128">
          <cell r="N4128">
            <v>-40.732999999999997</v>
          </cell>
        </row>
        <row r="4129">
          <cell r="N4129">
            <v>-14.601000000000001</v>
          </cell>
        </row>
        <row r="4130">
          <cell r="N4130">
            <v>-16.552</v>
          </cell>
        </row>
        <row r="4131">
          <cell r="N4131">
            <v>-26.734999999999999</v>
          </cell>
        </row>
        <row r="4132">
          <cell r="N4132">
            <v>-7.8570000000000002</v>
          </cell>
        </row>
        <row r="4133">
          <cell r="N4133">
            <v>-31.527000000000001</v>
          </cell>
        </row>
        <row r="4134">
          <cell r="N4134">
            <v>-29.762</v>
          </cell>
        </row>
        <row r="4135">
          <cell r="N4135">
            <v>-24.465</v>
          </cell>
        </row>
        <row r="4136">
          <cell r="N4136">
            <v>-8.4489999999999998</v>
          </cell>
        </row>
        <row r="4137">
          <cell r="N4137">
            <v>-7.1589999999999998</v>
          </cell>
        </row>
        <row r="4138">
          <cell r="N4138">
            <v>-31.274999999999999</v>
          </cell>
        </row>
        <row r="4139">
          <cell r="N4139">
            <v>-33.484999999999999</v>
          </cell>
        </row>
        <row r="4140">
          <cell r="N4140">
            <v>-36.067</v>
          </cell>
        </row>
        <row r="4141">
          <cell r="N4141">
            <v>-20.81</v>
          </cell>
        </row>
        <row r="4142">
          <cell r="N4142">
            <v>-42.665999999999997</v>
          </cell>
        </row>
        <row r="4143">
          <cell r="N4143">
            <v>-23.582000000000001</v>
          </cell>
        </row>
        <row r="4144">
          <cell r="N4144">
            <v>-33.923000000000002</v>
          </cell>
        </row>
        <row r="4145">
          <cell r="N4145">
            <v>-23.183</v>
          </cell>
        </row>
        <row r="4146">
          <cell r="N4146">
            <v>-8.5749999999999993</v>
          </cell>
        </row>
        <row r="4147">
          <cell r="N4147">
            <v>-38.453000000000003</v>
          </cell>
        </row>
        <row r="4148">
          <cell r="N4148">
            <v>-26.861000000000001</v>
          </cell>
        </row>
        <row r="4149">
          <cell r="N4149">
            <v>-7.617</v>
          </cell>
        </row>
        <row r="4150">
          <cell r="N4150">
            <v>-35.295000000000002</v>
          </cell>
        </row>
        <row r="4151">
          <cell r="N4151">
            <v>-10.233000000000001</v>
          </cell>
        </row>
        <row r="4152">
          <cell r="N4152">
            <v>-26.356999999999999</v>
          </cell>
        </row>
        <row r="4153">
          <cell r="N4153">
            <v>-30.265999999999998</v>
          </cell>
        </row>
        <row r="4154">
          <cell r="N4154">
            <v>-11.204000000000001</v>
          </cell>
        </row>
        <row r="4155">
          <cell r="N4155">
            <v>-40.646000000000001</v>
          </cell>
        </row>
        <row r="4156">
          <cell r="N4156">
            <v>-13.648</v>
          </cell>
        </row>
        <row r="4157">
          <cell r="N4157">
            <v>-26.986999999999998</v>
          </cell>
        </row>
        <row r="4158">
          <cell r="N4158">
            <v>-7.5949999999999998</v>
          </cell>
        </row>
        <row r="4159">
          <cell r="N4159">
            <v>-9.734</v>
          </cell>
        </row>
        <row r="4160">
          <cell r="N4160">
            <v>-36.067</v>
          </cell>
        </row>
        <row r="4161">
          <cell r="N4161">
            <v>-23.021000000000001</v>
          </cell>
        </row>
        <row r="4162">
          <cell r="N4162">
            <v>-26.356999999999999</v>
          </cell>
        </row>
        <row r="4163">
          <cell r="N4163">
            <v>-36.572000000000003</v>
          </cell>
        </row>
        <row r="4164">
          <cell r="N4164">
            <v>-8.2059999999999995</v>
          </cell>
        </row>
        <row r="4165">
          <cell r="N4165">
            <v>-28.375</v>
          </cell>
        </row>
        <row r="4166">
          <cell r="N4166">
            <v>-26.861000000000001</v>
          </cell>
        </row>
        <row r="4167">
          <cell r="N4167">
            <v>-10.718999999999999</v>
          </cell>
        </row>
        <row r="4168">
          <cell r="N4168">
            <v>-10.981999999999999</v>
          </cell>
        </row>
        <row r="4169">
          <cell r="N4169">
            <v>-31.023</v>
          </cell>
        </row>
        <row r="4170">
          <cell r="N4170">
            <v>-10.233000000000001</v>
          </cell>
        </row>
        <row r="4171">
          <cell r="N4171">
            <v>-22.306000000000001</v>
          </cell>
        </row>
        <row r="4172">
          <cell r="N4172">
            <v>-35.436999999999998</v>
          </cell>
        </row>
        <row r="4173">
          <cell r="N4173">
            <v>-22.58</v>
          </cell>
        </row>
        <row r="4174">
          <cell r="N4174">
            <v>-12.611000000000001</v>
          </cell>
        </row>
        <row r="4175">
          <cell r="N4175">
            <v>-7.508</v>
          </cell>
        </row>
        <row r="4176">
          <cell r="N4176">
            <v>-31.023</v>
          </cell>
        </row>
        <row r="4177">
          <cell r="N4177">
            <v>-45.274999999999999</v>
          </cell>
        </row>
        <row r="4178">
          <cell r="N4178">
            <v>-7.9450000000000003</v>
          </cell>
        </row>
        <row r="4179">
          <cell r="N4179">
            <v>-13.648</v>
          </cell>
        </row>
        <row r="4180">
          <cell r="N4180">
            <v>-24.606999999999999</v>
          </cell>
        </row>
        <row r="4181">
          <cell r="N4181">
            <v>-37.832999999999998</v>
          </cell>
        </row>
        <row r="4182">
          <cell r="N4182">
            <v>-23.062000000000001</v>
          </cell>
        </row>
        <row r="4183">
          <cell r="N4183">
            <v>-8.9540000000000006</v>
          </cell>
        </row>
        <row r="4184">
          <cell r="N4184">
            <v>-32.283999999999999</v>
          </cell>
        </row>
        <row r="4185">
          <cell r="N4185">
            <v>-9.4580000000000002</v>
          </cell>
        </row>
        <row r="4186">
          <cell r="N4186">
            <v>-33.167000000000002</v>
          </cell>
        </row>
        <row r="4187">
          <cell r="N4187">
            <v>-8.3810000000000002</v>
          </cell>
        </row>
        <row r="4188">
          <cell r="N4188">
            <v>-9.734</v>
          </cell>
        </row>
        <row r="4189">
          <cell r="N4189">
            <v>-31.652999999999999</v>
          </cell>
        </row>
        <row r="4190">
          <cell r="N4190">
            <v>-11.098000000000001</v>
          </cell>
        </row>
        <row r="4191">
          <cell r="N4191">
            <v>-8.032</v>
          </cell>
        </row>
        <row r="4192">
          <cell r="N4192">
            <v>-10.215</v>
          </cell>
        </row>
        <row r="4193">
          <cell r="N4193">
            <v>-25.978999999999999</v>
          </cell>
        </row>
        <row r="4194">
          <cell r="N4194">
            <v>-36.32</v>
          </cell>
        </row>
        <row r="4195">
          <cell r="N4195">
            <v>-5.423</v>
          </cell>
        </row>
        <row r="4196">
          <cell r="N4196">
            <v>-34.805999999999997</v>
          </cell>
        </row>
        <row r="4197">
          <cell r="N4197">
            <v>-43.314999999999998</v>
          </cell>
        </row>
        <row r="4198">
          <cell r="N4198">
            <v>-11.481</v>
          </cell>
        </row>
        <row r="4199">
          <cell r="N4199">
            <v>-31.78</v>
          </cell>
        </row>
        <row r="4200">
          <cell r="N4200">
            <v>-34.554000000000002</v>
          </cell>
        </row>
        <row r="4201">
          <cell r="N4201">
            <v>-7.3630000000000004</v>
          </cell>
        </row>
        <row r="4202">
          <cell r="N4202">
            <v>-30.265999999999998</v>
          </cell>
        </row>
        <row r="4203">
          <cell r="N4203">
            <v>-7.8620000000000001</v>
          </cell>
        </row>
        <row r="4204">
          <cell r="N4204">
            <v>-7.6120000000000001</v>
          </cell>
        </row>
        <row r="4205">
          <cell r="N4205">
            <v>-37.137</v>
          </cell>
        </row>
        <row r="4206">
          <cell r="N4206">
            <v>-32.158000000000001</v>
          </cell>
        </row>
        <row r="4207">
          <cell r="N4207">
            <v>-22.58</v>
          </cell>
        </row>
        <row r="4208">
          <cell r="N4208">
            <v>-5.3659999999999997</v>
          </cell>
        </row>
        <row r="4209">
          <cell r="N4209">
            <v>-34.302</v>
          </cell>
        </row>
        <row r="4210">
          <cell r="N4210">
            <v>-11.615</v>
          </cell>
        </row>
        <row r="4211">
          <cell r="N4211">
            <v>-12.233000000000001</v>
          </cell>
        </row>
        <row r="4212">
          <cell r="N4212">
            <v>-9.4580000000000002</v>
          </cell>
        </row>
        <row r="4213">
          <cell r="N4213">
            <v>-30.391999999999999</v>
          </cell>
        </row>
        <row r="4214">
          <cell r="N4214">
            <v>-32.399000000000001</v>
          </cell>
        </row>
        <row r="4215">
          <cell r="N4215">
            <v>-25.477</v>
          </cell>
        </row>
        <row r="4216">
          <cell r="N4216">
            <v>-8.9540000000000006</v>
          </cell>
        </row>
        <row r="4217">
          <cell r="N4217">
            <v>-30.518000000000001</v>
          </cell>
        </row>
        <row r="4218">
          <cell r="N4218">
            <v>-9.2059999999999995</v>
          </cell>
        </row>
        <row r="4219">
          <cell r="N4219">
            <v>-29.004999999999999</v>
          </cell>
        </row>
        <row r="4220">
          <cell r="N4220">
            <v>-37.140999999999998</v>
          </cell>
        </row>
        <row r="4221">
          <cell r="N4221">
            <v>-22.952000000000002</v>
          </cell>
        </row>
        <row r="4222">
          <cell r="N4222">
            <v>-41.328000000000003</v>
          </cell>
        </row>
        <row r="4223">
          <cell r="N4223">
            <v>-32.031999999999996</v>
          </cell>
        </row>
        <row r="4224">
          <cell r="N4224">
            <v>-7.1879999999999997</v>
          </cell>
        </row>
        <row r="4225">
          <cell r="N4225">
            <v>-9.4580000000000002</v>
          </cell>
        </row>
        <row r="4226">
          <cell r="N4226">
            <v>-38.369</v>
          </cell>
        </row>
        <row r="4227">
          <cell r="N4227">
            <v>-32.158000000000001</v>
          </cell>
        </row>
        <row r="4228">
          <cell r="N4228">
            <v>-33.481999999999999</v>
          </cell>
        </row>
        <row r="4229">
          <cell r="N4229">
            <v>-9.484</v>
          </cell>
        </row>
        <row r="4230">
          <cell r="N4230">
            <v>-9.734</v>
          </cell>
        </row>
        <row r="4231">
          <cell r="N4231">
            <v>-28.753</v>
          </cell>
        </row>
        <row r="4232">
          <cell r="N4232">
            <v>-38.085000000000001</v>
          </cell>
        </row>
        <row r="4233">
          <cell r="N4233">
            <v>-23.456</v>
          </cell>
        </row>
        <row r="4234">
          <cell r="N4234">
            <v>-31.401</v>
          </cell>
        </row>
        <row r="4235">
          <cell r="N4235">
            <v>-11.606</v>
          </cell>
        </row>
        <row r="4236">
          <cell r="N4236">
            <v>-9.4580000000000002</v>
          </cell>
        </row>
        <row r="4237">
          <cell r="N4237">
            <v>-10.089</v>
          </cell>
        </row>
        <row r="4238">
          <cell r="N4238">
            <v>-28.501000000000001</v>
          </cell>
        </row>
        <row r="4239">
          <cell r="N4239">
            <v>-9.5839999999999996</v>
          </cell>
        </row>
        <row r="4240">
          <cell r="N4240">
            <v>-9.36</v>
          </cell>
        </row>
        <row r="4241">
          <cell r="N4241">
            <v>-28.753</v>
          </cell>
        </row>
        <row r="4242">
          <cell r="N4242">
            <v>-14.519</v>
          </cell>
        </row>
        <row r="4243">
          <cell r="N4243">
            <v>-31.023</v>
          </cell>
        </row>
        <row r="4244">
          <cell r="N4244">
            <v>-9.2059999999999995</v>
          </cell>
        </row>
        <row r="4245">
          <cell r="N4245">
            <v>-40.057000000000002</v>
          </cell>
        </row>
        <row r="4246">
          <cell r="N4246">
            <v>-32.409999999999997</v>
          </cell>
        </row>
        <row r="4247">
          <cell r="N4247">
            <v>-14.476000000000001</v>
          </cell>
        </row>
        <row r="4248">
          <cell r="N4248">
            <v>-30.896999999999998</v>
          </cell>
        </row>
        <row r="4249">
          <cell r="N4249">
            <v>-14.763999999999999</v>
          </cell>
        </row>
        <row r="4250">
          <cell r="N4250">
            <v>-12.989000000000001</v>
          </cell>
        </row>
        <row r="4251">
          <cell r="N4251">
            <v>-29.434999999999999</v>
          </cell>
        </row>
        <row r="4252">
          <cell r="N4252">
            <v>-16.007000000000001</v>
          </cell>
        </row>
        <row r="4253">
          <cell r="N4253">
            <v>-6.4320000000000004</v>
          </cell>
        </row>
        <row r="4254">
          <cell r="N4254">
            <v>-7.6929999999999996</v>
          </cell>
        </row>
        <row r="4255">
          <cell r="N4255">
            <v>-42.206000000000003</v>
          </cell>
        </row>
        <row r="4256">
          <cell r="N4256">
            <v>-24.591000000000001</v>
          </cell>
        </row>
        <row r="4257">
          <cell r="N4257">
            <v>-31.274999999999999</v>
          </cell>
        </row>
        <row r="4258">
          <cell r="N4258">
            <v>-36.834000000000003</v>
          </cell>
        </row>
        <row r="4259">
          <cell r="N4259">
            <v>-31.401</v>
          </cell>
        </row>
        <row r="4260">
          <cell r="N4260">
            <v>-28.626999999999999</v>
          </cell>
        </row>
        <row r="4261">
          <cell r="N4261">
            <v>-31.023</v>
          </cell>
        </row>
        <row r="4262">
          <cell r="N4262">
            <v>-34.302</v>
          </cell>
        </row>
        <row r="4263">
          <cell r="N4263">
            <v>-12.051</v>
          </cell>
        </row>
        <row r="4264">
          <cell r="N4264">
            <v>-8.6110000000000007</v>
          </cell>
        </row>
        <row r="4265">
          <cell r="N4265">
            <v>-29.51</v>
          </cell>
        </row>
        <row r="4266">
          <cell r="N4266">
            <v>-9.9629999999999992</v>
          </cell>
        </row>
        <row r="4267">
          <cell r="N4267">
            <v>-30.14</v>
          </cell>
        </row>
        <row r="4268">
          <cell r="N4268">
            <v>-9.36</v>
          </cell>
        </row>
        <row r="4269">
          <cell r="N4269">
            <v>-10.483000000000001</v>
          </cell>
        </row>
        <row r="4270">
          <cell r="N4270">
            <v>-30.896999999999998</v>
          </cell>
        </row>
        <row r="4271">
          <cell r="N4271">
            <v>-23.582000000000001</v>
          </cell>
        </row>
        <row r="4272">
          <cell r="N4272">
            <v>-11.106999999999999</v>
          </cell>
        </row>
        <row r="4273">
          <cell r="N4273">
            <v>-33.418999999999997</v>
          </cell>
        </row>
        <row r="4274">
          <cell r="N4274">
            <v>-33.023000000000003</v>
          </cell>
        </row>
        <row r="4275">
          <cell r="N4275">
            <v>-11.476000000000001</v>
          </cell>
        </row>
        <row r="4276">
          <cell r="N4276">
            <v>-9.859</v>
          </cell>
        </row>
        <row r="4277">
          <cell r="N4277">
            <v>-9.984</v>
          </cell>
        </row>
        <row r="4278">
          <cell r="N4278">
            <v>-13.727</v>
          </cell>
        </row>
        <row r="4279">
          <cell r="N4279">
            <v>-13.727</v>
          </cell>
        </row>
        <row r="4280">
          <cell r="N4280">
            <v>-0.34499999999999997</v>
          </cell>
        </row>
        <row r="4281">
          <cell r="N4281">
            <v>-33.457999999999998</v>
          </cell>
        </row>
        <row r="4282">
          <cell r="N4282">
            <v>-31.274999999999999</v>
          </cell>
        </row>
        <row r="4283">
          <cell r="N4283">
            <v>-13.067</v>
          </cell>
        </row>
        <row r="4284">
          <cell r="N4284">
            <v>-11.356</v>
          </cell>
        </row>
        <row r="4285">
          <cell r="N4285">
            <v>-42.253999999999998</v>
          </cell>
        </row>
        <row r="4286">
          <cell r="N4286">
            <v>-34.302</v>
          </cell>
        </row>
        <row r="4287">
          <cell r="N4287">
            <v>-34.176000000000002</v>
          </cell>
        </row>
        <row r="4288">
          <cell r="N4288">
            <v>-10.215</v>
          </cell>
        </row>
        <row r="4289">
          <cell r="N4289">
            <v>-25.347999999999999</v>
          </cell>
        </row>
        <row r="4290">
          <cell r="N4290">
            <v>-19.782</v>
          </cell>
        </row>
        <row r="4291">
          <cell r="N4291">
            <v>-11.224</v>
          </cell>
        </row>
        <row r="4292">
          <cell r="N4292">
            <v>-44.201000000000001</v>
          </cell>
        </row>
        <row r="4293">
          <cell r="N4293">
            <v>-10.467000000000001</v>
          </cell>
        </row>
        <row r="4294">
          <cell r="N4294">
            <v>-3.3450000000000002</v>
          </cell>
        </row>
        <row r="4295">
          <cell r="N4295">
            <v>-4.367</v>
          </cell>
        </row>
        <row r="4296">
          <cell r="N4296">
            <v>-5.2460000000000004</v>
          </cell>
        </row>
        <row r="4297">
          <cell r="N4297">
            <v>-5.4370000000000003</v>
          </cell>
        </row>
        <row r="4298">
          <cell r="N4298">
            <v>-9.8369999999999997</v>
          </cell>
        </row>
        <row r="4299">
          <cell r="N4299">
            <v>-23.077999999999999</v>
          </cell>
        </row>
        <row r="4300">
          <cell r="N4300">
            <v>-5.4420000000000002</v>
          </cell>
        </row>
        <row r="4301">
          <cell r="N4301">
            <v>-36.652000000000001</v>
          </cell>
        </row>
        <row r="4302">
          <cell r="N4302">
            <v>-8.9009999999999998</v>
          </cell>
        </row>
        <row r="4303">
          <cell r="N4303">
            <v>-10.692</v>
          </cell>
        </row>
        <row r="4304">
          <cell r="N4304">
            <v>-13.815</v>
          </cell>
        </row>
        <row r="4305">
          <cell r="N4305">
            <v>-14.614000000000001</v>
          </cell>
        </row>
        <row r="4306">
          <cell r="N4306">
            <v>-12.340999999999999</v>
          </cell>
        </row>
        <row r="4307">
          <cell r="N4307">
            <v>-34.838999999999999</v>
          </cell>
        </row>
        <row r="4308">
          <cell r="N4308">
            <v>-3.2389999999999999</v>
          </cell>
        </row>
        <row r="4309">
          <cell r="N4309">
            <v>-0.92200000000000004</v>
          </cell>
        </row>
        <row r="4310">
          <cell r="N4310">
            <v>-1.2869999999999999</v>
          </cell>
        </row>
        <row r="4311">
          <cell r="N4311">
            <v>-3.1890000000000001</v>
          </cell>
        </row>
        <row r="4312">
          <cell r="N4312">
            <v>-2.472</v>
          </cell>
        </row>
        <row r="4313">
          <cell r="N4313">
            <v>-29.51</v>
          </cell>
        </row>
        <row r="4314">
          <cell r="N4314">
            <v>-12.106999999999999</v>
          </cell>
        </row>
        <row r="4315">
          <cell r="N4315">
            <v>-2.9390000000000001</v>
          </cell>
        </row>
        <row r="4316">
          <cell r="N4316">
            <v>-6.4320000000000004</v>
          </cell>
        </row>
        <row r="4317">
          <cell r="N4317">
            <v>-38.215000000000003</v>
          </cell>
        </row>
        <row r="4318">
          <cell r="N4318">
            <v>-31.401</v>
          </cell>
        </row>
        <row r="4319">
          <cell r="N4319">
            <v>-35.311</v>
          </cell>
        </row>
        <row r="4320">
          <cell r="N4320">
            <v>-16.841999999999999</v>
          </cell>
        </row>
        <row r="4321">
          <cell r="N4321">
            <v>-10.981999999999999</v>
          </cell>
        </row>
        <row r="4322">
          <cell r="N4322">
            <v>-37.328000000000003</v>
          </cell>
        </row>
        <row r="4323">
          <cell r="N4323">
            <v>-45.735999999999997</v>
          </cell>
        </row>
        <row r="4324">
          <cell r="N4324">
            <v>-28.177</v>
          </cell>
        </row>
        <row r="4325">
          <cell r="N4325">
            <v>-37.448</v>
          </cell>
        </row>
        <row r="4326">
          <cell r="N4326">
            <v>-8.86</v>
          </cell>
        </row>
        <row r="4327">
          <cell r="N4327">
            <v>-8.702</v>
          </cell>
        </row>
        <row r="4328">
          <cell r="N4328">
            <v>-10.163</v>
          </cell>
        </row>
        <row r="4329">
          <cell r="N4329">
            <v>-35.814999999999998</v>
          </cell>
        </row>
        <row r="4330">
          <cell r="N4330">
            <v>-12.105</v>
          </cell>
        </row>
        <row r="4331">
          <cell r="N4331">
            <v>-25.474</v>
          </cell>
        </row>
        <row r="4332">
          <cell r="N4332">
            <v>-10.089</v>
          </cell>
        </row>
        <row r="4333">
          <cell r="N4333">
            <v>-33.796999999999997</v>
          </cell>
        </row>
        <row r="4334">
          <cell r="N4334">
            <v>-34.049999999999997</v>
          </cell>
        </row>
        <row r="4335">
          <cell r="N4335">
            <v>-11.962999999999999</v>
          </cell>
        </row>
        <row r="4336">
          <cell r="N4336">
            <v>-24.591000000000001</v>
          </cell>
        </row>
        <row r="4337">
          <cell r="N4337">
            <v>-35.814999999999998</v>
          </cell>
        </row>
        <row r="4338">
          <cell r="N4338">
            <v>-7.819</v>
          </cell>
        </row>
        <row r="4339">
          <cell r="N4339">
            <v>-36.200000000000003</v>
          </cell>
        </row>
        <row r="4340">
          <cell r="N4340">
            <v>-45.384999999999998</v>
          </cell>
        </row>
        <row r="4341">
          <cell r="N4341">
            <v>-37.600999999999999</v>
          </cell>
        </row>
        <row r="4342">
          <cell r="N4342">
            <v>-23.582000000000001</v>
          </cell>
        </row>
        <row r="4343">
          <cell r="N4343">
            <v>-37.283000000000001</v>
          </cell>
        </row>
        <row r="4344">
          <cell r="N4344">
            <v>-40.859000000000002</v>
          </cell>
        </row>
        <row r="4345">
          <cell r="N4345">
            <v>-39.29</v>
          </cell>
        </row>
        <row r="4346">
          <cell r="N4346">
            <v>-35.689</v>
          </cell>
        </row>
        <row r="4347">
          <cell r="N4347">
            <v>-13.727</v>
          </cell>
        </row>
        <row r="4348">
          <cell r="N4348">
            <v>-8.8480000000000008</v>
          </cell>
        </row>
        <row r="4349">
          <cell r="N4349">
            <v>-9.5839999999999996</v>
          </cell>
        </row>
        <row r="4350">
          <cell r="N4350">
            <v>-13.852</v>
          </cell>
        </row>
        <row r="4351">
          <cell r="N4351">
            <v>-12.989000000000001</v>
          </cell>
        </row>
        <row r="4352">
          <cell r="N4352">
            <v>-11.224</v>
          </cell>
        </row>
        <row r="4353">
          <cell r="N4353">
            <v>-36.387</v>
          </cell>
        </row>
        <row r="4354">
          <cell r="N4354">
            <v>-9.484</v>
          </cell>
        </row>
        <row r="4355">
          <cell r="N4355">
            <v>-13.938000000000001</v>
          </cell>
        </row>
        <row r="4356">
          <cell r="N4356">
            <v>-32.158000000000001</v>
          </cell>
        </row>
        <row r="4357">
          <cell r="N4357">
            <v>-36.262</v>
          </cell>
        </row>
        <row r="4358">
          <cell r="N4358">
            <v>-10.483000000000001</v>
          </cell>
        </row>
        <row r="4359">
          <cell r="N4359">
            <v>-8.5749999999999993</v>
          </cell>
        </row>
        <row r="4360">
          <cell r="N4360">
            <v>-10.981999999999999</v>
          </cell>
        </row>
        <row r="4361">
          <cell r="N4361">
            <v>-10.972</v>
          </cell>
        </row>
        <row r="4362">
          <cell r="N4362">
            <v>-7.601</v>
          </cell>
        </row>
        <row r="4363">
          <cell r="N4363">
            <v>-23.582000000000001</v>
          </cell>
        </row>
        <row r="4364">
          <cell r="N4364">
            <v>-9.5950000000000006</v>
          </cell>
        </row>
        <row r="4365">
          <cell r="N4365">
            <v>-50.707000000000001</v>
          </cell>
        </row>
        <row r="4366">
          <cell r="N4366">
            <v>-9.36</v>
          </cell>
        </row>
        <row r="4367">
          <cell r="N4367">
            <v>-32.283999999999999</v>
          </cell>
        </row>
        <row r="4368">
          <cell r="N4368">
            <v>-36.950000000000003</v>
          </cell>
        </row>
        <row r="4369">
          <cell r="N4369">
            <v>-23.709</v>
          </cell>
        </row>
        <row r="4370">
          <cell r="N4370">
            <v>-25.186</v>
          </cell>
        </row>
        <row r="4371">
          <cell r="N4371">
            <v>-36.262</v>
          </cell>
        </row>
        <row r="4372">
          <cell r="N4372">
            <v>-34.427999999999997</v>
          </cell>
        </row>
        <row r="4373">
          <cell r="N4373">
            <v>-40.363999999999997</v>
          </cell>
        </row>
        <row r="4374">
          <cell r="N4374">
            <v>-6.81</v>
          </cell>
        </row>
        <row r="4375">
          <cell r="N4375">
            <v>-40.000999999999998</v>
          </cell>
        </row>
        <row r="4376">
          <cell r="N4376">
            <v>-17.215</v>
          </cell>
        </row>
        <row r="4377">
          <cell r="N4377">
            <v>-8.2360000000000007</v>
          </cell>
        </row>
        <row r="4378">
          <cell r="N4378">
            <v>-35.941000000000003</v>
          </cell>
        </row>
        <row r="4379">
          <cell r="N4379">
            <v>-35.814999999999998</v>
          </cell>
        </row>
        <row r="4380">
          <cell r="N4380">
            <v>-35.143999999999998</v>
          </cell>
        </row>
        <row r="4381">
          <cell r="N4381">
            <v>-35.058</v>
          </cell>
        </row>
        <row r="4382">
          <cell r="N4382">
            <v>-36.387</v>
          </cell>
        </row>
        <row r="4383">
          <cell r="N4383">
            <v>-15.225</v>
          </cell>
        </row>
        <row r="4384">
          <cell r="N4384">
            <v>-37.755000000000003</v>
          </cell>
        </row>
        <row r="4385">
          <cell r="N4385">
            <v>-8.702</v>
          </cell>
        </row>
        <row r="4386">
          <cell r="N4386">
            <v>-10.981999999999999</v>
          </cell>
        </row>
        <row r="4387">
          <cell r="N4387">
            <v>-9.9629999999999992</v>
          </cell>
        </row>
        <row r="4388">
          <cell r="N4388">
            <v>-9.08</v>
          </cell>
        </row>
        <row r="4389">
          <cell r="N4389">
            <v>-25.667999999999999</v>
          </cell>
        </row>
        <row r="4390">
          <cell r="N4390">
            <v>-24.51</v>
          </cell>
        </row>
        <row r="4391">
          <cell r="N4391">
            <v>-9.4580000000000002</v>
          </cell>
        </row>
        <row r="4392">
          <cell r="N4392">
            <v>-32.997</v>
          </cell>
        </row>
        <row r="4393">
          <cell r="N4393">
            <v>-10.340999999999999</v>
          </cell>
        </row>
        <row r="4394">
          <cell r="N4394">
            <v>-9.4580000000000002</v>
          </cell>
        </row>
        <row r="4395">
          <cell r="N4395">
            <v>-9.2059999999999995</v>
          </cell>
        </row>
        <row r="4396">
          <cell r="N4396">
            <v>-35.563000000000002</v>
          </cell>
        </row>
        <row r="4397">
          <cell r="N4397">
            <v>-46.348999999999997</v>
          </cell>
        </row>
        <row r="4398">
          <cell r="N4398">
            <v>-7.601</v>
          </cell>
        </row>
        <row r="4399">
          <cell r="N4399">
            <v>-32.283999999999999</v>
          </cell>
        </row>
        <row r="4400">
          <cell r="N4400">
            <v>-12.355</v>
          </cell>
        </row>
        <row r="4401">
          <cell r="N4401">
            <v>-10.233000000000001</v>
          </cell>
        </row>
        <row r="4402">
          <cell r="N4402">
            <v>-36.761000000000003</v>
          </cell>
        </row>
        <row r="4403">
          <cell r="N4403">
            <v>-33.167000000000002</v>
          </cell>
        </row>
        <row r="4404">
          <cell r="N4404">
            <v>-14.351000000000001</v>
          </cell>
        </row>
        <row r="4405">
          <cell r="N4405">
            <v>-13.358000000000001</v>
          </cell>
        </row>
        <row r="4406">
          <cell r="N4406">
            <v>-32.787999999999997</v>
          </cell>
        </row>
        <row r="4407">
          <cell r="N4407">
            <v>-37.429000000000002</v>
          </cell>
        </row>
        <row r="4408">
          <cell r="N4408">
            <v>-27.87</v>
          </cell>
        </row>
        <row r="4409">
          <cell r="N4409">
            <v>-15.35</v>
          </cell>
        </row>
        <row r="4410">
          <cell r="N4410">
            <v>-36.698</v>
          </cell>
        </row>
        <row r="4411">
          <cell r="N4411">
            <v>-9.11</v>
          </cell>
        </row>
        <row r="4412">
          <cell r="N4412">
            <v>-9.5839999999999996</v>
          </cell>
        </row>
        <row r="4413">
          <cell r="N4413">
            <v>-1.6970000000000001</v>
          </cell>
        </row>
        <row r="4414">
          <cell r="N4414">
            <v>-36.387</v>
          </cell>
        </row>
        <row r="4415">
          <cell r="N4415">
            <v>-29.382999999999999</v>
          </cell>
        </row>
        <row r="4416">
          <cell r="N4416">
            <v>-7.4770000000000003</v>
          </cell>
        </row>
        <row r="4417">
          <cell r="N4417">
            <v>-37.832999999999998</v>
          </cell>
        </row>
        <row r="4418">
          <cell r="N4418">
            <v>-40.354999999999997</v>
          </cell>
        </row>
        <row r="4419">
          <cell r="N4419">
            <v>-19.798999999999999</v>
          </cell>
        </row>
        <row r="4420">
          <cell r="N4420">
            <v>-31.652999999999999</v>
          </cell>
        </row>
        <row r="4421">
          <cell r="N4421">
            <v>-6.9359999999999999</v>
          </cell>
        </row>
        <row r="4422">
          <cell r="N4422">
            <v>-9.4580000000000002</v>
          </cell>
        </row>
        <row r="4423">
          <cell r="N4423">
            <v>-10.343</v>
          </cell>
        </row>
        <row r="4424">
          <cell r="N4424">
            <v>-38.764000000000003</v>
          </cell>
        </row>
        <row r="4425">
          <cell r="N4425">
            <v>-27.617999999999999</v>
          </cell>
        </row>
        <row r="4426">
          <cell r="N4426">
            <v>-2.14</v>
          </cell>
        </row>
        <row r="4427">
          <cell r="N4427">
            <v>-42.665999999999997</v>
          </cell>
        </row>
        <row r="4428">
          <cell r="N4428">
            <v>-15.051</v>
          </cell>
        </row>
        <row r="4429">
          <cell r="N4429">
            <v>-12.728999999999999</v>
          </cell>
        </row>
        <row r="4430">
          <cell r="N4430">
            <v>-10.972</v>
          </cell>
        </row>
        <row r="4431">
          <cell r="N4431">
            <v>-38.841999999999999</v>
          </cell>
        </row>
        <row r="4432">
          <cell r="N4432">
            <v>-30.14</v>
          </cell>
        </row>
        <row r="4433">
          <cell r="N4433">
            <v>-11.481</v>
          </cell>
        </row>
        <row r="4434">
          <cell r="N4434">
            <v>-33.040999999999997</v>
          </cell>
        </row>
        <row r="4435">
          <cell r="N4435">
            <v>-24.465</v>
          </cell>
        </row>
        <row r="4436">
          <cell r="N4436">
            <v>-28.879000000000001</v>
          </cell>
        </row>
        <row r="4437">
          <cell r="N4437">
            <v>-8.4489999999999998</v>
          </cell>
        </row>
        <row r="4438">
          <cell r="N4438">
            <v>-31.922999999999998</v>
          </cell>
        </row>
        <row r="4439">
          <cell r="N4439">
            <v>-33.646000000000001</v>
          </cell>
        </row>
        <row r="4440">
          <cell r="N4440">
            <v>-9.4710000000000001</v>
          </cell>
        </row>
        <row r="4441">
          <cell r="N4441">
            <v>-32.787999999999997</v>
          </cell>
        </row>
        <row r="4442">
          <cell r="N4442">
            <v>-11.855</v>
          </cell>
        </row>
        <row r="4443">
          <cell r="N4443">
            <v>-39.767000000000003</v>
          </cell>
        </row>
        <row r="4444">
          <cell r="N4444">
            <v>-32.076000000000001</v>
          </cell>
        </row>
        <row r="4445">
          <cell r="N4445">
            <v>-43.587000000000003</v>
          </cell>
        </row>
        <row r="4446">
          <cell r="N4446">
            <v>-9.6630000000000003</v>
          </cell>
        </row>
        <row r="4447">
          <cell r="N4447">
            <v>-1.8420000000000001</v>
          </cell>
        </row>
        <row r="4448">
          <cell r="N4448">
            <v>-37.959000000000003</v>
          </cell>
        </row>
        <row r="4449">
          <cell r="N4449">
            <v>-32.914999999999999</v>
          </cell>
        </row>
        <row r="4450">
          <cell r="N4450">
            <v>-46.042000000000002</v>
          </cell>
        </row>
        <row r="4451">
          <cell r="N4451">
            <v>-12.23</v>
          </cell>
        </row>
        <row r="4452">
          <cell r="N4452">
            <v>-9.3320000000000007</v>
          </cell>
        </row>
        <row r="4453">
          <cell r="N4453">
            <v>-23.835000000000001</v>
          </cell>
        </row>
        <row r="4454">
          <cell r="N4454">
            <v>-33.670999999999999</v>
          </cell>
        </row>
        <row r="4455">
          <cell r="N4455">
            <v>-10.468</v>
          </cell>
        </row>
        <row r="4456">
          <cell r="N4456">
            <v>-34.805999999999997</v>
          </cell>
        </row>
        <row r="4457">
          <cell r="N4457">
            <v>-8.5470000000000006</v>
          </cell>
        </row>
        <row r="4458">
          <cell r="N4458">
            <v>-36.067</v>
          </cell>
        </row>
        <row r="4459">
          <cell r="N4459">
            <v>-32.229999999999997</v>
          </cell>
        </row>
        <row r="4460">
          <cell r="N4460">
            <v>-16.329000000000001</v>
          </cell>
        </row>
        <row r="4461">
          <cell r="N4461">
            <v>-35.436999999999998</v>
          </cell>
        </row>
        <row r="4462">
          <cell r="N4462">
            <v>-9.0220000000000002</v>
          </cell>
        </row>
        <row r="4463">
          <cell r="N4463">
            <v>-40.210999999999999</v>
          </cell>
        </row>
        <row r="4464">
          <cell r="N4464">
            <v>-12.853999999999999</v>
          </cell>
        </row>
        <row r="4465">
          <cell r="N4465">
            <v>-13.603</v>
          </cell>
        </row>
        <row r="4466">
          <cell r="N4466">
            <v>-32.158000000000001</v>
          </cell>
        </row>
        <row r="4467">
          <cell r="N4467">
            <v>-9.7100000000000009</v>
          </cell>
        </row>
        <row r="4468">
          <cell r="N4468">
            <v>-14.975</v>
          </cell>
        </row>
        <row r="4469">
          <cell r="N4469">
            <v>-38.755000000000003</v>
          </cell>
        </row>
        <row r="4470">
          <cell r="N4470">
            <v>-38.15</v>
          </cell>
        </row>
        <row r="4471">
          <cell r="N4471">
            <v>-35.912999999999997</v>
          </cell>
        </row>
        <row r="4472">
          <cell r="N4472">
            <v>-7.4770000000000003</v>
          </cell>
        </row>
        <row r="4473">
          <cell r="N4473">
            <v>-16.132000000000001</v>
          </cell>
        </row>
        <row r="4474">
          <cell r="N4474">
            <v>-24.896000000000001</v>
          </cell>
        </row>
        <row r="4475">
          <cell r="N4475">
            <v>-2.778</v>
          </cell>
        </row>
        <row r="4476">
          <cell r="N4476">
            <v>-22.097999999999999</v>
          </cell>
        </row>
        <row r="4477">
          <cell r="N4477">
            <v>-6.6840000000000002</v>
          </cell>
        </row>
        <row r="4478">
          <cell r="N4478">
            <v>-32.750999999999998</v>
          </cell>
        </row>
        <row r="4479">
          <cell r="N4479">
            <v>-36.761000000000003</v>
          </cell>
        </row>
        <row r="4480">
          <cell r="N4480">
            <v>-5.0910000000000002</v>
          </cell>
        </row>
        <row r="4481">
          <cell r="N4481">
            <v>-32.311999999999998</v>
          </cell>
        </row>
        <row r="4482">
          <cell r="N4482">
            <v>-38.462000000000003</v>
          </cell>
        </row>
        <row r="4483">
          <cell r="N4483">
            <v>-37.959000000000003</v>
          </cell>
        </row>
        <row r="4484">
          <cell r="N4484">
            <v>-39.128999999999998</v>
          </cell>
        </row>
        <row r="4485">
          <cell r="N4485">
            <v>-33.936999999999998</v>
          </cell>
        </row>
        <row r="4486">
          <cell r="N4486">
            <v>-23.501999999999999</v>
          </cell>
        </row>
        <row r="4487">
          <cell r="N4487">
            <v>-3.1520000000000001</v>
          </cell>
        </row>
        <row r="4488">
          <cell r="N4488">
            <v>-36.387</v>
          </cell>
        </row>
        <row r="4489">
          <cell r="N4489">
            <v>-5.6289999999999996</v>
          </cell>
        </row>
        <row r="4490">
          <cell r="N4490">
            <v>-9.984</v>
          </cell>
        </row>
        <row r="4491">
          <cell r="N4491">
            <v>-17.576000000000001</v>
          </cell>
        </row>
        <row r="4492">
          <cell r="N4492">
            <v>-5.6980000000000004</v>
          </cell>
        </row>
        <row r="4493">
          <cell r="N4493">
            <v>-8.8279999999999994</v>
          </cell>
        </row>
        <row r="4494">
          <cell r="N4494">
            <v>-26.396000000000001</v>
          </cell>
        </row>
        <row r="4495">
          <cell r="N4495">
            <v>-11.481</v>
          </cell>
        </row>
        <row r="4496">
          <cell r="N4496">
            <v>-10.717000000000001</v>
          </cell>
        </row>
        <row r="4497">
          <cell r="N4497">
            <v>-28.751999999999999</v>
          </cell>
        </row>
        <row r="4498">
          <cell r="N4498">
            <v>-28.751999999999999</v>
          </cell>
        </row>
        <row r="4499">
          <cell r="N4499">
            <v>-29.459</v>
          </cell>
        </row>
        <row r="4500">
          <cell r="N4500">
            <v>-33.610999999999997</v>
          </cell>
        </row>
        <row r="4501">
          <cell r="N4501">
            <v>-5.992</v>
          </cell>
        </row>
        <row r="4502">
          <cell r="N4502">
            <v>-32.283999999999999</v>
          </cell>
        </row>
        <row r="4503">
          <cell r="N4503">
            <v>-34.554000000000002</v>
          </cell>
        </row>
        <row r="4504">
          <cell r="N4504">
            <v>-18.382999999999999</v>
          </cell>
        </row>
        <row r="4505">
          <cell r="N4505">
            <v>-4.99</v>
          </cell>
        </row>
        <row r="4506">
          <cell r="N4506">
            <v>-25.096</v>
          </cell>
        </row>
        <row r="4507">
          <cell r="N4507">
            <v>-9.5950000000000006</v>
          </cell>
        </row>
        <row r="4508">
          <cell r="N4508">
            <v>-26.16</v>
          </cell>
        </row>
        <row r="4509">
          <cell r="N4509">
            <v>-38.215000000000003</v>
          </cell>
        </row>
        <row r="4510">
          <cell r="N4510">
            <v>-33.292999999999999</v>
          </cell>
        </row>
        <row r="4511">
          <cell r="N4511">
            <v>-31.402999999999999</v>
          </cell>
        </row>
        <row r="4512">
          <cell r="N4512">
            <v>-27.103000000000002</v>
          </cell>
        </row>
        <row r="4513">
          <cell r="N4513">
            <v>-41.668999999999997</v>
          </cell>
        </row>
        <row r="4514">
          <cell r="N4514">
            <v>-35.39</v>
          </cell>
        </row>
        <row r="4515">
          <cell r="N4515">
            <v>-37.581000000000003</v>
          </cell>
        </row>
        <row r="4516">
          <cell r="N4516">
            <v>-11.785</v>
          </cell>
        </row>
        <row r="4517">
          <cell r="N4517">
            <v>-41.37</v>
          </cell>
        </row>
        <row r="4518">
          <cell r="N4518">
            <v>-28.87</v>
          </cell>
        </row>
        <row r="4519">
          <cell r="N4519">
            <v>-35.058</v>
          </cell>
        </row>
        <row r="4520">
          <cell r="N4520">
            <v>-47.225000000000001</v>
          </cell>
        </row>
        <row r="4521">
          <cell r="N4521">
            <v>-19.202999999999999</v>
          </cell>
        </row>
        <row r="4522">
          <cell r="N4522">
            <v>-9.1140000000000008</v>
          </cell>
        </row>
        <row r="4523">
          <cell r="N4523">
            <v>-39.136000000000003</v>
          </cell>
        </row>
        <row r="4524">
          <cell r="N4524">
            <v>-32.640999999999998</v>
          </cell>
        </row>
        <row r="4525">
          <cell r="N4525">
            <v>-8.8279999999999994</v>
          </cell>
        </row>
        <row r="4526">
          <cell r="N4526">
            <v>-36.067</v>
          </cell>
        </row>
        <row r="4527">
          <cell r="N4527">
            <v>-26.748999999999999</v>
          </cell>
        </row>
        <row r="4528">
          <cell r="N4528">
            <v>-31.905999999999999</v>
          </cell>
        </row>
        <row r="4529">
          <cell r="N4529">
            <v>-11.106999999999999</v>
          </cell>
        </row>
        <row r="4530">
          <cell r="N4530">
            <v>-10.86</v>
          </cell>
        </row>
        <row r="4531">
          <cell r="N4531">
            <v>-23.920999999999999</v>
          </cell>
        </row>
        <row r="4532">
          <cell r="N4532">
            <v>-9.0969999999999995</v>
          </cell>
        </row>
        <row r="4533">
          <cell r="N4533">
            <v>-35.445999999999998</v>
          </cell>
        </row>
        <row r="4534">
          <cell r="N4534">
            <v>-23.332000000000001</v>
          </cell>
        </row>
        <row r="4535">
          <cell r="N4535">
            <v>-4.5069999999999997</v>
          </cell>
        </row>
        <row r="4536">
          <cell r="N4536">
            <v>-7.3140000000000001</v>
          </cell>
        </row>
        <row r="4537">
          <cell r="N4537">
            <v>-12.478999999999999</v>
          </cell>
        </row>
        <row r="4538">
          <cell r="N4538">
            <v>-34.302</v>
          </cell>
        </row>
        <row r="4539">
          <cell r="N4539">
            <v>-29.382999999999999</v>
          </cell>
        </row>
        <row r="4540">
          <cell r="N4540">
            <v>-3.415</v>
          </cell>
        </row>
        <row r="4541">
          <cell r="N4541">
            <v>-6.3109999999999999</v>
          </cell>
        </row>
        <row r="4542">
          <cell r="N4542">
            <v>-9.5139999999999993</v>
          </cell>
        </row>
        <row r="4543">
          <cell r="N4543">
            <v>-17.558</v>
          </cell>
        </row>
        <row r="4544">
          <cell r="N4544">
            <v>-11.356</v>
          </cell>
        </row>
        <row r="4545">
          <cell r="N4545">
            <v>-31.109000000000002</v>
          </cell>
        </row>
        <row r="4546">
          <cell r="N4546">
            <v>-34.055</v>
          </cell>
        </row>
        <row r="4547">
          <cell r="N4547">
            <v>-34.427999999999997</v>
          </cell>
        </row>
        <row r="4548">
          <cell r="N4548">
            <v>-40.228999999999999</v>
          </cell>
        </row>
        <row r="4549">
          <cell r="N4549">
            <v>-21.408999999999999</v>
          </cell>
        </row>
        <row r="4550">
          <cell r="N4550">
            <v>-10.983000000000001</v>
          </cell>
        </row>
        <row r="4551">
          <cell r="N4551">
            <v>-9.9689999999999994</v>
          </cell>
        </row>
        <row r="4552">
          <cell r="N4552">
            <v>-31.149000000000001</v>
          </cell>
        </row>
        <row r="4553">
          <cell r="N4553">
            <v>-22.271000000000001</v>
          </cell>
        </row>
        <row r="4554">
          <cell r="N4554">
            <v>-8.0000000000000002E-3</v>
          </cell>
        </row>
        <row r="4555">
          <cell r="N4555">
            <v>-10.467000000000001</v>
          </cell>
        </row>
        <row r="4556">
          <cell r="N4556">
            <v>-41.37</v>
          </cell>
        </row>
        <row r="4557">
          <cell r="N4557">
            <v>-27.928000000000001</v>
          </cell>
        </row>
        <row r="4558">
          <cell r="N4558">
            <v>-21.518999999999998</v>
          </cell>
        </row>
        <row r="4559">
          <cell r="N4559">
            <v>-11.606</v>
          </cell>
        </row>
        <row r="4560">
          <cell r="N4560">
            <v>-32.661999999999999</v>
          </cell>
        </row>
        <row r="4561">
          <cell r="N4561">
            <v>-37.832999999999998</v>
          </cell>
        </row>
        <row r="4562">
          <cell r="N4562">
            <v>-28.988</v>
          </cell>
        </row>
        <row r="4563">
          <cell r="N4563">
            <v>-40.670999999999999</v>
          </cell>
        </row>
        <row r="4564">
          <cell r="N4564">
            <v>-31.401</v>
          </cell>
        </row>
        <row r="4565">
          <cell r="N4565">
            <v>-30.896999999999998</v>
          </cell>
        </row>
        <row r="4566">
          <cell r="N4566">
            <v>-44.886000000000003</v>
          </cell>
        </row>
        <row r="4567">
          <cell r="N4567">
            <v>-24.864000000000001</v>
          </cell>
        </row>
        <row r="4568">
          <cell r="N4568">
            <v>-30.032</v>
          </cell>
        </row>
        <row r="4569">
          <cell r="N4569">
            <v>-7.7990000000000004</v>
          </cell>
        </row>
        <row r="4570">
          <cell r="N4570">
            <v>-10.108000000000001</v>
          </cell>
        </row>
        <row r="4571">
          <cell r="N4571">
            <v>-25.474</v>
          </cell>
        </row>
        <row r="4572">
          <cell r="N4572">
            <v>-19.282</v>
          </cell>
        </row>
        <row r="4573">
          <cell r="N4573">
            <v>-29.762</v>
          </cell>
        </row>
        <row r="4574">
          <cell r="N4574">
            <v>-27.574000000000002</v>
          </cell>
        </row>
        <row r="4575">
          <cell r="N4575">
            <v>-2.8000000000000001E-2</v>
          </cell>
        </row>
        <row r="4576">
          <cell r="N4576">
            <v>-32.399000000000001</v>
          </cell>
        </row>
        <row r="4577">
          <cell r="N4577">
            <v>-27.456</v>
          </cell>
        </row>
        <row r="4578">
          <cell r="N4578">
            <v>-30.638000000000002</v>
          </cell>
        </row>
        <row r="4579">
          <cell r="N4579">
            <v>-9.3460000000000001</v>
          </cell>
        </row>
        <row r="4580">
          <cell r="N4580">
            <v>-40.000999999999998</v>
          </cell>
        </row>
        <row r="4581">
          <cell r="N4581">
            <v>-31.344999999999999</v>
          </cell>
        </row>
        <row r="4582">
          <cell r="N4582">
            <v>-31.14</v>
          </cell>
        </row>
        <row r="4583">
          <cell r="N4583">
            <v>-27.221</v>
          </cell>
        </row>
        <row r="4584">
          <cell r="N4584">
            <v>-30.234999999999999</v>
          </cell>
        </row>
        <row r="4585">
          <cell r="N4585">
            <v>-35.453000000000003</v>
          </cell>
        </row>
        <row r="4586">
          <cell r="N4586">
            <v>-28.751999999999999</v>
          </cell>
        </row>
        <row r="4587">
          <cell r="N4587">
            <v>-15.599</v>
          </cell>
        </row>
        <row r="4588">
          <cell r="N4588">
            <v>-3.4169999999999998</v>
          </cell>
        </row>
        <row r="4589">
          <cell r="N4589">
            <v>-31.274999999999999</v>
          </cell>
        </row>
        <row r="4590">
          <cell r="N4590">
            <v>-11.962999999999999</v>
          </cell>
        </row>
        <row r="4591">
          <cell r="N4591">
            <v>-29.341999999999999</v>
          </cell>
        </row>
        <row r="4592">
          <cell r="N4592">
            <v>-34.892000000000003</v>
          </cell>
        </row>
        <row r="4593">
          <cell r="N4593">
            <v>-26.483000000000001</v>
          </cell>
        </row>
        <row r="4594">
          <cell r="N4594">
            <v>-33.347999999999999</v>
          </cell>
        </row>
        <row r="4595">
          <cell r="N4595">
            <v>-26.396000000000001</v>
          </cell>
        </row>
        <row r="4596">
          <cell r="N4596">
            <v>-31.14</v>
          </cell>
        </row>
        <row r="4597">
          <cell r="N4597">
            <v>-23.096</v>
          </cell>
        </row>
        <row r="4598">
          <cell r="N4598">
            <v>-13.2</v>
          </cell>
        </row>
        <row r="4599">
          <cell r="N4599">
            <v>-25.806000000000001</v>
          </cell>
        </row>
        <row r="4600">
          <cell r="N4600">
            <v>-23.738</v>
          </cell>
        </row>
        <row r="4601">
          <cell r="N4601">
            <v>-2.617</v>
          </cell>
        </row>
        <row r="4602">
          <cell r="N4602">
            <v>-42.835999999999999</v>
          </cell>
        </row>
        <row r="4603">
          <cell r="N4603">
            <v>-32.287999999999997</v>
          </cell>
        </row>
        <row r="4604">
          <cell r="N4604">
            <v>-24.391999999999999</v>
          </cell>
        </row>
        <row r="4605">
          <cell r="N4605">
            <v>-34.796999999999997</v>
          </cell>
        </row>
        <row r="4606">
          <cell r="N4606">
            <v>-26.105</v>
          </cell>
        </row>
        <row r="4607">
          <cell r="N4607">
            <v>-12.978999999999999</v>
          </cell>
        </row>
        <row r="4608">
          <cell r="N4608">
            <v>-43.61</v>
          </cell>
        </row>
        <row r="4609">
          <cell r="N4609">
            <v>-17.062999999999999</v>
          </cell>
        </row>
        <row r="4610">
          <cell r="N4610">
            <v>-17.780999999999999</v>
          </cell>
        </row>
        <row r="4611">
          <cell r="N4611">
            <v>-8.98</v>
          </cell>
        </row>
        <row r="4612">
          <cell r="N4612">
            <v>-28.393000000000001</v>
          </cell>
        </row>
        <row r="4613">
          <cell r="N4613">
            <v>-10.358000000000001</v>
          </cell>
        </row>
        <row r="4614">
          <cell r="N4614">
            <v>-35.563000000000002</v>
          </cell>
        </row>
        <row r="4615">
          <cell r="N4615">
            <v>-3.6619999999999999</v>
          </cell>
        </row>
        <row r="4616">
          <cell r="N4616">
            <v>-36.192999999999998</v>
          </cell>
        </row>
        <row r="4617">
          <cell r="N4617">
            <v>-3.6619999999999999</v>
          </cell>
        </row>
        <row r="4618">
          <cell r="N4618">
            <v>-32.787999999999997</v>
          </cell>
        </row>
        <row r="4619">
          <cell r="N4619">
            <v>-50.442</v>
          </cell>
        </row>
        <row r="4620">
          <cell r="N4620">
            <v>-38.085000000000001</v>
          </cell>
        </row>
        <row r="4621">
          <cell r="N4621">
            <v>-30.166</v>
          </cell>
        </row>
        <row r="4622">
          <cell r="N4622">
            <v>-9.3460000000000001</v>
          </cell>
        </row>
        <row r="4623">
          <cell r="N4623">
            <v>-10.358000000000001</v>
          </cell>
        </row>
        <row r="4624">
          <cell r="N4624">
            <v>-8.9849999999999994</v>
          </cell>
        </row>
        <row r="4625">
          <cell r="N4625">
            <v>-42.232999999999997</v>
          </cell>
        </row>
        <row r="4626">
          <cell r="N4626">
            <v>-20.686</v>
          </cell>
        </row>
        <row r="4627">
          <cell r="N4627">
            <v>-28.516999999999999</v>
          </cell>
        </row>
        <row r="4628">
          <cell r="N4628">
            <v>-30.518000000000001</v>
          </cell>
        </row>
        <row r="4629">
          <cell r="N4629">
            <v>-7.2370000000000001</v>
          </cell>
        </row>
        <row r="4630">
          <cell r="N4630">
            <v>-29.106000000000002</v>
          </cell>
        </row>
        <row r="4631">
          <cell r="N4631">
            <v>-37.868000000000002</v>
          </cell>
        </row>
        <row r="4632">
          <cell r="N4632">
            <v>-28.280999999999999</v>
          </cell>
        </row>
        <row r="4633">
          <cell r="N4633">
            <v>-28.163</v>
          </cell>
        </row>
        <row r="4634">
          <cell r="N4634">
            <v>-38.793999999999997</v>
          </cell>
        </row>
        <row r="4635">
          <cell r="N4635">
            <v>-35.436999999999998</v>
          </cell>
        </row>
        <row r="4636">
          <cell r="N4636">
            <v>-11.476000000000001</v>
          </cell>
        </row>
        <row r="4637">
          <cell r="N4637">
            <v>-9.0969999999999995</v>
          </cell>
        </row>
        <row r="4638">
          <cell r="N4638">
            <v>-6.3460000000000001</v>
          </cell>
        </row>
        <row r="4639">
          <cell r="N4639">
            <v>-37.201999999999998</v>
          </cell>
        </row>
        <row r="4640">
          <cell r="N4640">
            <v>-34.643999999999998</v>
          </cell>
        </row>
        <row r="4641">
          <cell r="N4641">
            <v>-30.048999999999999</v>
          </cell>
        </row>
        <row r="4642">
          <cell r="N4642">
            <v>-33.933999999999997</v>
          </cell>
        </row>
        <row r="4643">
          <cell r="N4643">
            <v>-1.7390000000000001</v>
          </cell>
        </row>
        <row r="4644">
          <cell r="N4644">
            <v>-39.128999999999998</v>
          </cell>
        </row>
        <row r="4645">
          <cell r="N4645">
            <v>-32.750999999999998</v>
          </cell>
        </row>
        <row r="4646">
          <cell r="N4646">
            <v>-24.423999999999999</v>
          </cell>
        </row>
        <row r="4647">
          <cell r="N4647">
            <v>-31.834</v>
          </cell>
        </row>
        <row r="4648">
          <cell r="N4648">
            <v>-41.523000000000003</v>
          </cell>
        </row>
        <row r="4649">
          <cell r="N4649">
            <v>-19.782</v>
          </cell>
        </row>
        <row r="4650">
          <cell r="N4650">
            <v>-35.185000000000002</v>
          </cell>
        </row>
        <row r="4651">
          <cell r="N4651">
            <v>-19.106000000000002</v>
          </cell>
        </row>
        <row r="4652">
          <cell r="N4652">
            <v>-40.103000000000002</v>
          </cell>
        </row>
        <row r="4653">
          <cell r="N4653">
            <v>-28.399000000000001</v>
          </cell>
        </row>
        <row r="4654">
          <cell r="N4654">
            <v>-33.774999999999999</v>
          </cell>
        </row>
        <row r="4655">
          <cell r="N4655">
            <v>-30.638000000000002</v>
          </cell>
        </row>
        <row r="4656">
          <cell r="N4656">
            <v>-8.86</v>
          </cell>
        </row>
        <row r="4657">
          <cell r="N4657">
            <v>-37.454000000000001</v>
          </cell>
        </row>
        <row r="4658">
          <cell r="N4658">
            <v>-41.231000000000002</v>
          </cell>
        </row>
        <row r="4659">
          <cell r="N4659">
            <v>-23.568000000000001</v>
          </cell>
        </row>
        <row r="4660">
          <cell r="N4660">
            <v>-8.9849999999999994</v>
          </cell>
        </row>
        <row r="4661">
          <cell r="N4661">
            <v>-5.7380000000000004</v>
          </cell>
        </row>
        <row r="4662">
          <cell r="N4662">
            <v>-36.176000000000002</v>
          </cell>
        </row>
        <row r="4663">
          <cell r="N4663">
            <v>-45.716000000000001</v>
          </cell>
        </row>
        <row r="4664">
          <cell r="N4664">
            <v>-2.7370000000000001</v>
          </cell>
        </row>
        <row r="4665">
          <cell r="N4665">
            <v>-32.536000000000001</v>
          </cell>
        </row>
        <row r="4666">
          <cell r="N4666">
            <v>-6.5670000000000002</v>
          </cell>
        </row>
        <row r="4667">
          <cell r="N4667">
            <v>-27.81</v>
          </cell>
        </row>
        <row r="4668">
          <cell r="N4668">
            <v>-34.225000000000001</v>
          </cell>
        </row>
        <row r="4669">
          <cell r="N4669">
            <v>-27.341000000000001</v>
          </cell>
        </row>
        <row r="4670">
          <cell r="N4670">
            <v>-34.518000000000001</v>
          </cell>
        </row>
        <row r="4671">
          <cell r="N4671">
            <v>-10.090999999999999</v>
          </cell>
        </row>
        <row r="4672">
          <cell r="N4672">
            <v>-31.815999999999999</v>
          </cell>
        </row>
        <row r="4673">
          <cell r="N4673">
            <v>-35.185000000000002</v>
          </cell>
        </row>
        <row r="4674">
          <cell r="N4674">
            <v>-29.695</v>
          </cell>
        </row>
        <row r="4675">
          <cell r="N4675">
            <v>-36.802999999999997</v>
          </cell>
        </row>
        <row r="4676">
          <cell r="N4676">
            <v>-10.093999999999999</v>
          </cell>
        </row>
        <row r="4677">
          <cell r="N4677">
            <v>-26.984999999999999</v>
          </cell>
        </row>
        <row r="4678">
          <cell r="N4678">
            <v>-9.4710000000000001</v>
          </cell>
        </row>
        <row r="4679">
          <cell r="N4679">
            <v>-8.0419999999999998</v>
          </cell>
        </row>
        <row r="4680">
          <cell r="N4680">
            <v>-22.966000000000001</v>
          </cell>
        </row>
        <row r="4681">
          <cell r="N4681">
            <v>-25.571000000000002</v>
          </cell>
        </row>
        <row r="4682">
          <cell r="N4682">
            <v>-28.375</v>
          </cell>
        </row>
        <row r="4683">
          <cell r="N4683">
            <v>-26.483000000000001</v>
          </cell>
        </row>
        <row r="4684">
          <cell r="N4684">
            <v>-26.984999999999999</v>
          </cell>
        </row>
        <row r="4685">
          <cell r="N4685">
            <v>-38.304000000000002</v>
          </cell>
        </row>
        <row r="4686">
          <cell r="N4686">
            <v>-31.652999999999999</v>
          </cell>
        </row>
        <row r="4687">
          <cell r="N4687">
            <v>-34.642000000000003</v>
          </cell>
        </row>
        <row r="4688">
          <cell r="N4688">
            <v>-31.463000000000001</v>
          </cell>
        </row>
        <row r="4689">
          <cell r="N4689">
            <v>-5.7629999999999999</v>
          </cell>
        </row>
        <row r="4690">
          <cell r="N4690">
            <v>-31.227</v>
          </cell>
        </row>
        <row r="4691">
          <cell r="N4691">
            <v>-35.588999999999999</v>
          </cell>
        </row>
        <row r="4692">
          <cell r="N4692">
            <v>-10.087999999999999</v>
          </cell>
        </row>
        <row r="4693">
          <cell r="N4693">
            <v>-35.639000000000003</v>
          </cell>
        </row>
        <row r="4694">
          <cell r="N4694">
            <v>-30.283999999999999</v>
          </cell>
        </row>
        <row r="4695">
          <cell r="N4695">
            <v>-33.040999999999997</v>
          </cell>
        </row>
        <row r="4696">
          <cell r="N4696">
            <v>-9.5030000000000001</v>
          </cell>
        </row>
        <row r="4697">
          <cell r="N4697">
            <v>-35.185000000000002</v>
          </cell>
        </row>
        <row r="4698">
          <cell r="N4698">
            <v>-31.036999999999999</v>
          </cell>
        </row>
        <row r="4699">
          <cell r="N4699">
            <v>-29.382999999999999</v>
          </cell>
        </row>
        <row r="4700">
          <cell r="N4700">
            <v>-28.635000000000002</v>
          </cell>
        </row>
        <row r="4701">
          <cell r="N4701">
            <v>-33.167000000000002</v>
          </cell>
        </row>
        <row r="4702">
          <cell r="N4702">
            <v>-35.966999999999999</v>
          </cell>
        </row>
        <row r="4703">
          <cell r="N4703">
            <v>-39.914999999999999</v>
          </cell>
        </row>
        <row r="4704">
          <cell r="N4704">
            <v>-8.2240000000000002</v>
          </cell>
        </row>
        <row r="4705">
          <cell r="N4705">
            <v>-35.350999999999999</v>
          </cell>
        </row>
        <row r="4706">
          <cell r="N4706">
            <v>-17.911000000000001</v>
          </cell>
        </row>
        <row r="4707">
          <cell r="N4707">
            <v>-36.761000000000003</v>
          </cell>
        </row>
        <row r="4708">
          <cell r="N4708">
            <v>-13.305</v>
          </cell>
        </row>
        <row r="4709">
          <cell r="N4709">
            <v>-8.5749999999999993</v>
          </cell>
        </row>
        <row r="4710">
          <cell r="N4710">
            <v>-35.381999999999998</v>
          </cell>
        </row>
        <row r="4711">
          <cell r="N4711">
            <v>-26.867000000000001</v>
          </cell>
        </row>
        <row r="4712">
          <cell r="N4712">
            <v>-37.509</v>
          </cell>
        </row>
        <row r="4713">
          <cell r="N4713">
            <v>-26.042000000000002</v>
          </cell>
        </row>
        <row r="4714">
          <cell r="N4714">
            <v>-27.366</v>
          </cell>
        </row>
        <row r="4715">
          <cell r="N4715">
            <v>-31.934000000000001</v>
          </cell>
        </row>
        <row r="4716">
          <cell r="N4716">
            <v>-26.734999999999999</v>
          </cell>
        </row>
        <row r="4717">
          <cell r="N4717">
            <v>-34.554000000000002</v>
          </cell>
        </row>
        <row r="4718">
          <cell r="N4718">
            <v>-38.210999999999999</v>
          </cell>
        </row>
        <row r="4719">
          <cell r="N4719">
            <v>-30.995999999999999</v>
          </cell>
        </row>
        <row r="4720">
          <cell r="N4720">
            <v>-8.702</v>
          </cell>
        </row>
        <row r="4721">
          <cell r="N4721">
            <v>-33.819000000000003</v>
          </cell>
        </row>
        <row r="4722">
          <cell r="N4722">
            <v>-29.106000000000002</v>
          </cell>
        </row>
        <row r="4723">
          <cell r="N4723">
            <v>-22.68</v>
          </cell>
        </row>
        <row r="4724">
          <cell r="N4724">
            <v>-36.881</v>
          </cell>
        </row>
        <row r="4725">
          <cell r="N4725">
            <v>-41.377000000000002</v>
          </cell>
        </row>
        <row r="4726">
          <cell r="N4726">
            <v>-7.819</v>
          </cell>
        </row>
        <row r="4727">
          <cell r="N4727">
            <v>-0.68</v>
          </cell>
        </row>
        <row r="4728">
          <cell r="N4728">
            <v>-32.165999999999997</v>
          </cell>
        </row>
        <row r="4729">
          <cell r="N4729">
            <v>-24.844000000000001</v>
          </cell>
        </row>
        <row r="4730">
          <cell r="N4730">
            <v>-33.923000000000002</v>
          </cell>
        </row>
        <row r="4731">
          <cell r="N4731">
            <v>-8.3490000000000002</v>
          </cell>
        </row>
        <row r="4732">
          <cell r="N4732">
            <v>-30.896999999999998</v>
          </cell>
        </row>
        <row r="4733">
          <cell r="N4733">
            <v>-29.106000000000002</v>
          </cell>
        </row>
        <row r="4734">
          <cell r="N4734">
            <v>-27.414999999999999</v>
          </cell>
        </row>
        <row r="4735">
          <cell r="N4735">
            <v>-10.467000000000001</v>
          </cell>
        </row>
        <row r="4736">
          <cell r="N4736">
            <v>-0.65600000000000003</v>
          </cell>
        </row>
        <row r="4737">
          <cell r="N4737">
            <v>-22.387</v>
          </cell>
        </row>
        <row r="4738">
          <cell r="N4738">
            <v>-25.725999999999999</v>
          </cell>
        </row>
        <row r="4739">
          <cell r="N4739">
            <v>-30.265000000000001</v>
          </cell>
        </row>
        <row r="4740">
          <cell r="N4740">
            <v>-10.526999999999999</v>
          </cell>
        </row>
        <row r="4741">
          <cell r="N4741">
            <v>-10.819000000000001</v>
          </cell>
        </row>
        <row r="4742">
          <cell r="N4742">
            <v>-22.446999999999999</v>
          </cell>
        </row>
        <row r="4743">
          <cell r="N4743">
            <v>-38.337000000000003</v>
          </cell>
        </row>
        <row r="4744">
          <cell r="N4744">
            <v>-0.83499999999999996</v>
          </cell>
        </row>
        <row r="4745">
          <cell r="N4745">
            <v>-32.759</v>
          </cell>
        </row>
        <row r="4746">
          <cell r="N4746">
            <v>-35.587000000000003</v>
          </cell>
        </row>
        <row r="4747">
          <cell r="N4747">
            <v>-6.48</v>
          </cell>
        </row>
        <row r="4748">
          <cell r="N4748">
            <v>-14.475</v>
          </cell>
        </row>
        <row r="4749">
          <cell r="N4749">
            <v>-0.59699999999999998</v>
          </cell>
        </row>
        <row r="4750">
          <cell r="N4750">
            <v>-9.65</v>
          </cell>
        </row>
        <row r="4751">
          <cell r="N4751">
            <v>-0.58099999999999996</v>
          </cell>
        </row>
        <row r="4752">
          <cell r="N4752">
            <v>-27.456</v>
          </cell>
        </row>
        <row r="4753">
          <cell r="N4753">
            <v>-0.59699999999999998</v>
          </cell>
        </row>
        <row r="4754">
          <cell r="N4754">
            <v>-24.338999999999999</v>
          </cell>
        </row>
        <row r="4755">
          <cell r="N4755">
            <v>-37.328000000000003</v>
          </cell>
        </row>
        <row r="4756">
          <cell r="N4756">
            <v>-7.601</v>
          </cell>
        </row>
        <row r="4757">
          <cell r="N4757">
            <v>-14.365</v>
          </cell>
        </row>
        <row r="4758">
          <cell r="N4758">
            <v>-0.59699999999999998</v>
          </cell>
        </row>
        <row r="4759">
          <cell r="N4759">
            <v>-7.819</v>
          </cell>
        </row>
        <row r="4760">
          <cell r="N4760">
            <v>-11.515000000000001</v>
          </cell>
        </row>
        <row r="4761">
          <cell r="N4761">
            <v>-8.0730000000000004</v>
          </cell>
        </row>
        <row r="4762">
          <cell r="N4762">
            <v>-49.901000000000003</v>
          </cell>
        </row>
        <row r="4763">
          <cell r="N4763">
            <v>-30.85</v>
          </cell>
        </row>
        <row r="4764">
          <cell r="N4764">
            <v>-0.58099999999999996</v>
          </cell>
        </row>
        <row r="4765">
          <cell r="N4765">
            <v>-39.340000000000003</v>
          </cell>
        </row>
        <row r="4766">
          <cell r="N4766">
            <v>-39.622</v>
          </cell>
        </row>
        <row r="4767">
          <cell r="N4767">
            <v>-7.9080000000000004</v>
          </cell>
        </row>
        <row r="4768">
          <cell r="N4768">
            <v>-23.960999999999999</v>
          </cell>
        </row>
        <row r="4769">
          <cell r="N4769">
            <v>-26.16</v>
          </cell>
        </row>
        <row r="4770">
          <cell r="N4770">
            <v>-10.327999999999999</v>
          </cell>
        </row>
        <row r="4771">
          <cell r="N4771">
            <v>-19.689</v>
          </cell>
        </row>
        <row r="4772">
          <cell r="N4772">
            <v>-27.456</v>
          </cell>
        </row>
        <row r="4773">
          <cell r="N4773">
            <v>-12.711</v>
          </cell>
        </row>
        <row r="4774">
          <cell r="N4774">
            <v>-40.887</v>
          </cell>
        </row>
        <row r="4775">
          <cell r="N4775">
            <v>-32.405000000000001</v>
          </cell>
        </row>
        <row r="4776">
          <cell r="N4776">
            <v>-28.87</v>
          </cell>
        </row>
        <row r="4777">
          <cell r="N4777">
            <v>-12.675000000000001</v>
          </cell>
        </row>
        <row r="4778">
          <cell r="N4778">
            <v>-32.661999999999999</v>
          </cell>
        </row>
        <row r="4779">
          <cell r="N4779">
            <v>-35.436999999999998</v>
          </cell>
        </row>
        <row r="4780">
          <cell r="N4780">
            <v>-20.81</v>
          </cell>
        </row>
        <row r="4781">
          <cell r="N4781">
            <v>-0.63900000000000001</v>
          </cell>
        </row>
        <row r="4782">
          <cell r="N4782">
            <v>-0.58099999999999996</v>
          </cell>
        </row>
        <row r="4783">
          <cell r="N4783">
            <v>-39.24</v>
          </cell>
        </row>
        <row r="4784">
          <cell r="N4784">
            <v>-0.58099999999999996</v>
          </cell>
        </row>
        <row r="4785">
          <cell r="N4785">
            <v>-27.789000000000001</v>
          </cell>
        </row>
        <row r="4786">
          <cell r="N4786">
            <v>-0.82899999999999996</v>
          </cell>
        </row>
        <row r="4787">
          <cell r="N4787">
            <v>-8.0709999999999997</v>
          </cell>
        </row>
        <row r="4788">
          <cell r="N4788">
            <v>-0.995</v>
          </cell>
        </row>
        <row r="4789">
          <cell r="N4789">
            <v>-30.771000000000001</v>
          </cell>
        </row>
        <row r="4790">
          <cell r="N4790">
            <v>-37.707999999999998</v>
          </cell>
        </row>
        <row r="4791">
          <cell r="N4791">
            <v>-0.81399999999999995</v>
          </cell>
        </row>
        <row r="4792">
          <cell r="N4792">
            <v>-31.109000000000002</v>
          </cell>
        </row>
        <row r="4793">
          <cell r="N4793">
            <v>-0.63900000000000001</v>
          </cell>
        </row>
        <row r="4794">
          <cell r="N4794">
            <v>-31.527000000000001</v>
          </cell>
        </row>
        <row r="4795">
          <cell r="N4795">
            <v>-32.17</v>
          </cell>
        </row>
        <row r="4796">
          <cell r="N4796">
            <v>-0.876</v>
          </cell>
        </row>
        <row r="4797">
          <cell r="N4797">
            <v>-42.984999999999999</v>
          </cell>
        </row>
        <row r="4798">
          <cell r="N4798">
            <v>-25.765000000000001</v>
          </cell>
        </row>
        <row r="4799">
          <cell r="N4799">
            <v>-27.692</v>
          </cell>
        </row>
        <row r="4800">
          <cell r="N4800">
            <v>-0.63900000000000001</v>
          </cell>
        </row>
        <row r="4801">
          <cell r="N4801">
            <v>-0.65600000000000003</v>
          </cell>
        </row>
        <row r="4802">
          <cell r="N4802">
            <v>-32.018999999999998</v>
          </cell>
        </row>
        <row r="4803">
          <cell r="N4803">
            <v>-19.042999999999999</v>
          </cell>
        </row>
        <row r="4804">
          <cell r="N4804">
            <v>-38.453000000000003</v>
          </cell>
        </row>
        <row r="4805">
          <cell r="N4805">
            <v>-0.65600000000000003</v>
          </cell>
        </row>
        <row r="4806">
          <cell r="N4806">
            <v>-35.350999999999999</v>
          </cell>
        </row>
        <row r="4807">
          <cell r="N4807">
            <v>-25.099</v>
          </cell>
        </row>
        <row r="4808">
          <cell r="N4808">
            <v>-36.991</v>
          </cell>
        </row>
        <row r="4809">
          <cell r="N4809">
            <v>-44.886000000000003</v>
          </cell>
        </row>
        <row r="4810">
          <cell r="N4810">
            <v>-38.886000000000003</v>
          </cell>
        </row>
        <row r="4811">
          <cell r="N4811">
            <v>-35.436999999999998</v>
          </cell>
        </row>
        <row r="4812">
          <cell r="N4812">
            <v>-31.581</v>
          </cell>
        </row>
        <row r="4813">
          <cell r="N4813">
            <v>-35.350999999999999</v>
          </cell>
        </row>
        <row r="4814">
          <cell r="N4814">
            <v>-30.283999999999999</v>
          </cell>
        </row>
        <row r="4815">
          <cell r="N4815">
            <v>-13.856</v>
          </cell>
        </row>
        <row r="4816">
          <cell r="N4816">
            <v>-9.3460000000000001</v>
          </cell>
        </row>
        <row r="4817">
          <cell r="N4817">
            <v>-25.571000000000002</v>
          </cell>
        </row>
        <row r="4818">
          <cell r="N4818">
            <v>-33.335000000000001</v>
          </cell>
        </row>
        <row r="4819">
          <cell r="N4819">
            <v>-26.16</v>
          </cell>
        </row>
        <row r="4820">
          <cell r="N4820">
            <v>-9.3460000000000001</v>
          </cell>
        </row>
        <row r="4821">
          <cell r="N4821">
            <v>-9.4710000000000001</v>
          </cell>
        </row>
        <row r="4822">
          <cell r="N4822">
            <v>-9.7479999999999993</v>
          </cell>
        </row>
        <row r="4823">
          <cell r="N4823">
            <v>-37.707000000000001</v>
          </cell>
        </row>
        <row r="4824">
          <cell r="N4824">
            <v>-33.313000000000002</v>
          </cell>
        </row>
        <row r="4825">
          <cell r="N4825">
            <v>-23.539000000000001</v>
          </cell>
        </row>
        <row r="4826">
          <cell r="N4826">
            <v>-2.4820000000000002</v>
          </cell>
        </row>
        <row r="4827">
          <cell r="N4827">
            <v>-8.4740000000000002</v>
          </cell>
        </row>
        <row r="4828">
          <cell r="N4828">
            <v>-40.985999999999997</v>
          </cell>
        </row>
        <row r="4829">
          <cell r="N4829">
            <v>-9.0129999999999999</v>
          </cell>
        </row>
        <row r="4830">
          <cell r="N4830">
            <v>-24.123999999999999</v>
          </cell>
        </row>
        <row r="4831">
          <cell r="N4831">
            <v>-34.268999999999998</v>
          </cell>
        </row>
        <row r="4832">
          <cell r="N4832">
            <v>-28.045000000000002</v>
          </cell>
        </row>
        <row r="4833">
          <cell r="N4833">
            <v>-30.704000000000001</v>
          </cell>
        </row>
        <row r="4834">
          <cell r="N4834">
            <v>-8.31</v>
          </cell>
        </row>
        <row r="4835">
          <cell r="N4835">
            <v>-13.957000000000001</v>
          </cell>
        </row>
        <row r="4836">
          <cell r="N4836">
            <v>-10.984999999999999</v>
          </cell>
        </row>
        <row r="4837">
          <cell r="N4837">
            <v>-35.975000000000001</v>
          </cell>
        </row>
        <row r="4838">
          <cell r="N4838">
            <v>-8.2240000000000002</v>
          </cell>
        </row>
        <row r="4839">
          <cell r="N4839">
            <v>-14.475</v>
          </cell>
        </row>
        <row r="4840">
          <cell r="N4840">
            <v>-30.771000000000001</v>
          </cell>
        </row>
        <row r="4841">
          <cell r="N4841">
            <v>-35.805</v>
          </cell>
        </row>
        <row r="4842">
          <cell r="N4842">
            <v>-1.4419999999999999</v>
          </cell>
        </row>
        <row r="4843">
          <cell r="N4843">
            <v>-9.9689999999999994</v>
          </cell>
        </row>
        <row r="4844">
          <cell r="N4844">
            <v>-27.103000000000002</v>
          </cell>
        </row>
        <row r="4845">
          <cell r="N4845">
            <v>-35.235999999999997</v>
          </cell>
        </row>
        <row r="4846">
          <cell r="N4846">
            <v>-30.317</v>
          </cell>
        </row>
        <row r="4847">
          <cell r="N4847">
            <v>-39.723999999999997</v>
          </cell>
        </row>
        <row r="4848">
          <cell r="N4848">
            <v>-13.52</v>
          </cell>
        </row>
        <row r="4849">
          <cell r="N4849">
            <v>-11.356</v>
          </cell>
        </row>
        <row r="4850">
          <cell r="N4850">
            <v>-27.366</v>
          </cell>
        </row>
        <row r="4851">
          <cell r="N4851">
            <v>-33.770000000000003</v>
          </cell>
        </row>
        <row r="4852">
          <cell r="N4852">
            <v>-20.81</v>
          </cell>
        </row>
        <row r="4853">
          <cell r="N4853">
            <v>-34.302</v>
          </cell>
        </row>
        <row r="4854">
          <cell r="N4854">
            <v>-16.228999999999999</v>
          </cell>
        </row>
        <row r="4855">
          <cell r="N4855">
            <v>-42.014000000000003</v>
          </cell>
        </row>
        <row r="4856">
          <cell r="N4856">
            <v>-40.859000000000002</v>
          </cell>
        </row>
        <row r="4857">
          <cell r="N4857">
            <v>-31.776</v>
          </cell>
        </row>
        <row r="4858">
          <cell r="N4858">
            <v>-36.262</v>
          </cell>
        </row>
        <row r="4859">
          <cell r="N4859">
            <v>-9.5950000000000006</v>
          </cell>
        </row>
        <row r="4860">
          <cell r="N4860">
            <v>-30.283999999999999</v>
          </cell>
        </row>
        <row r="4861">
          <cell r="N4861">
            <v>-30.013999999999999</v>
          </cell>
        </row>
        <row r="4862">
          <cell r="N4862">
            <v>-35.198999999999998</v>
          </cell>
        </row>
        <row r="4863">
          <cell r="N4863">
            <v>-5.8570000000000002</v>
          </cell>
        </row>
        <row r="4864">
          <cell r="N4864">
            <v>-30.518000000000001</v>
          </cell>
        </row>
        <row r="4865">
          <cell r="N4865">
            <v>-5.4950000000000001</v>
          </cell>
        </row>
        <row r="4866">
          <cell r="N4866">
            <v>-23.684999999999999</v>
          </cell>
        </row>
        <row r="4867">
          <cell r="N4867">
            <v>-30.638000000000002</v>
          </cell>
        </row>
        <row r="4868">
          <cell r="N4868">
            <v>-35.845999999999997</v>
          </cell>
        </row>
        <row r="4869">
          <cell r="N4869">
            <v>-30.77</v>
          </cell>
        </row>
        <row r="4870">
          <cell r="N4870">
            <v>-31.227</v>
          </cell>
        </row>
        <row r="4871">
          <cell r="N4871">
            <v>-7.4770000000000003</v>
          </cell>
        </row>
        <row r="4872">
          <cell r="N4872">
            <v>-29.388000000000002</v>
          </cell>
        </row>
        <row r="4873">
          <cell r="N4873">
            <v>-1.4279999999999999</v>
          </cell>
        </row>
        <row r="4874">
          <cell r="N4874">
            <v>-22.213999999999999</v>
          </cell>
        </row>
        <row r="4875">
          <cell r="N4875">
            <v>-8.0419999999999998</v>
          </cell>
        </row>
        <row r="4876">
          <cell r="N4876">
            <v>-25.67</v>
          </cell>
        </row>
        <row r="4877">
          <cell r="N4877">
            <v>-25.571000000000002</v>
          </cell>
        </row>
        <row r="4878">
          <cell r="N4878">
            <v>-43.862000000000002</v>
          </cell>
        </row>
        <row r="4879">
          <cell r="N4879">
            <v>-35.058</v>
          </cell>
        </row>
        <row r="4880">
          <cell r="N4880">
            <v>-29.888000000000002</v>
          </cell>
        </row>
        <row r="4881">
          <cell r="N4881">
            <v>-7.4770000000000003</v>
          </cell>
        </row>
        <row r="4882">
          <cell r="N4882">
            <v>-33.040999999999997</v>
          </cell>
        </row>
        <row r="4883">
          <cell r="N4883">
            <v>-24.745999999999999</v>
          </cell>
        </row>
        <row r="4884">
          <cell r="N4884">
            <v>-32.869</v>
          </cell>
        </row>
        <row r="4885">
          <cell r="N4885">
            <v>-33.023000000000003</v>
          </cell>
        </row>
        <row r="4886">
          <cell r="N4886">
            <v>-31.451000000000001</v>
          </cell>
        </row>
        <row r="4887">
          <cell r="N4887">
            <v>-25.689</v>
          </cell>
        </row>
        <row r="4888">
          <cell r="N4888">
            <v>-41.37</v>
          </cell>
        </row>
        <row r="4889">
          <cell r="N4889">
            <v>-30.173999999999999</v>
          </cell>
        </row>
        <row r="4890">
          <cell r="N4890">
            <v>-33.418999999999997</v>
          </cell>
        </row>
        <row r="4891">
          <cell r="N4891">
            <v>-5.9809999999999999</v>
          </cell>
        </row>
        <row r="4892">
          <cell r="N4892">
            <v>-8.1120000000000001</v>
          </cell>
        </row>
        <row r="4893">
          <cell r="N4893">
            <v>-32.649000000000001</v>
          </cell>
        </row>
        <row r="4894">
          <cell r="N4894">
            <v>-1.454</v>
          </cell>
        </row>
        <row r="4895">
          <cell r="N4895">
            <v>-33.545000000000002</v>
          </cell>
        </row>
        <row r="4896">
          <cell r="N4896">
            <v>-30.468</v>
          </cell>
        </row>
        <row r="4897">
          <cell r="N4897">
            <v>-11.257999999999999</v>
          </cell>
        </row>
        <row r="4898">
          <cell r="N4898">
            <v>-23.498000000000001</v>
          </cell>
        </row>
        <row r="4899">
          <cell r="N4899">
            <v>-1.123</v>
          </cell>
        </row>
        <row r="4900">
          <cell r="N4900">
            <v>-11.090999999999999</v>
          </cell>
        </row>
        <row r="4901">
          <cell r="N4901">
            <v>-8.9849999999999994</v>
          </cell>
        </row>
        <row r="4902">
          <cell r="N4902">
            <v>-27.103000000000002</v>
          </cell>
        </row>
        <row r="4903">
          <cell r="N4903">
            <v>-34.018999999999998</v>
          </cell>
        </row>
        <row r="4904">
          <cell r="N4904">
            <v>-33.112000000000002</v>
          </cell>
        </row>
        <row r="4905">
          <cell r="N4905">
            <v>-1.2729999999999999</v>
          </cell>
        </row>
        <row r="4906">
          <cell r="N4906">
            <v>-25.765000000000001</v>
          </cell>
        </row>
        <row r="4907">
          <cell r="N4907">
            <v>-37.384</v>
          </cell>
        </row>
        <row r="4908">
          <cell r="N4908">
            <v>-29.762</v>
          </cell>
        </row>
        <row r="4909">
          <cell r="N4909">
            <v>-30.518000000000001</v>
          </cell>
        </row>
        <row r="4910">
          <cell r="N4910">
            <v>-34.692</v>
          </cell>
        </row>
        <row r="4911">
          <cell r="N4911">
            <v>-1.49</v>
          </cell>
        </row>
        <row r="4912">
          <cell r="N4912">
            <v>-1.3089999999999999</v>
          </cell>
        </row>
        <row r="4913">
          <cell r="N4913">
            <v>-27.751000000000001</v>
          </cell>
        </row>
        <row r="4914">
          <cell r="N4914">
            <v>-9.7200000000000006</v>
          </cell>
        </row>
        <row r="4915">
          <cell r="N4915">
            <v>-32.158000000000001</v>
          </cell>
        </row>
        <row r="4916">
          <cell r="N4916">
            <v>-28.626999999999999</v>
          </cell>
        </row>
        <row r="4917">
          <cell r="N4917">
            <v>-28.751999999999999</v>
          </cell>
        </row>
        <row r="4918">
          <cell r="N4918">
            <v>-28.045000000000002</v>
          </cell>
        </row>
        <row r="4919">
          <cell r="N4919">
            <v>-5.3659999999999997</v>
          </cell>
        </row>
        <row r="4920">
          <cell r="N4920">
            <v>-26.902000000000001</v>
          </cell>
        </row>
        <row r="4921">
          <cell r="N4921">
            <v>-30.995999999999999</v>
          </cell>
        </row>
        <row r="4922">
          <cell r="N4922">
            <v>-34.162999999999997</v>
          </cell>
        </row>
        <row r="4923">
          <cell r="N4923">
            <v>-29.870999999999999</v>
          </cell>
        </row>
        <row r="4924">
          <cell r="N4924">
            <v>-39.597999999999999</v>
          </cell>
        </row>
        <row r="4925">
          <cell r="N4925">
            <v>-26.667000000000002</v>
          </cell>
        </row>
        <row r="4926">
          <cell r="N4926">
            <v>-1.5189999999999999</v>
          </cell>
        </row>
        <row r="4927">
          <cell r="N4927">
            <v>-21.093</v>
          </cell>
        </row>
        <row r="4928">
          <cell r="N4928">
            <v>-33.335000000000001</v>
          </cell>
        </row>
        <row r="4929">
          <cell r="N4929">
            <v>-36.883000000000003</v>
          </cell>
        </row>
        <row r="4930">
          <cell r="N4930">
            <v>-35.563000000000002</v>
          </cell>
        </row>
        <row r="4931">
          <cell r="N4931">
            <v>-7.4770000000000003</v>
          </cell>
        </row>
        <row r="4932">
          <cell r="N4932">
            <v>-14.224</v>
          </cell>
        </row>
        <row r="4933">
          <cell r="N4933">
            <v>-44.886000000000003</v>
          </cell>
        </row>
        <row r="4934">
          <cell r="N4934">
            <v>-33.292999999999999</v>
          </cell>
        </row>
        <row r="4935">
          <cell r="N4935">
            <v>-8.3490000000000002</v>
          </cell>
        </row>
        <row r="4936">
          <cell r="N4936">
            <v>-27.492000000000001</v>
          </cell>
        </row>
        <row r="4937">
          <cell r="N4937">
            <v>-34.176000000000002</v>
          </cell>
        </row>
        <row r="4938">
          <cell r="N4938">
            <v>-28.988</v>
          </cell>
        </row>
        <row r="4939">
          <cell r="N4939">
            <v>-33.387</v>
          </cell>
        </row>
        <row r="4940">
          <cell r="N4940">
            <v>-14.506</v>
          </cell>
        </row>
        <row r="4941">
          <cell r="N4941">
            <v>-19.207999999999998</v>
          </cell>
        </row>
        <row r="4942">
          <cell r="N4942">
            <v>-29.341999999999999</v>
          </cell>
        </row>
        <row r="4943">
          <cell r="N4943">
            <v>-4.9850000000000003</v>
          </cell>
        </row>
        <row r="4944">
          <cell r="N4944">
            <v>-9.11</v>
          </cell>
        </row>
        <row r="4945">
          <cell r="N4945">
            <v>-33.237000000000002</v>
          </cell>
        </row>
        <row r="4946">
          <cell r="N4946">
            <v>-31.698</v>
          </cell>
        </row>
        <row r="4947">
          <cell r="N4947">
            <v>-27.212</v>
          </cell>
        </row>
        <row r="4948">
          <cell r="N4948">
            <v>-38.311</v>
          </cell>
        </row>
        <row r="4949">
          <cell r="N4949">
            <v>-38.337000000000003</v>
          </cell>
        </row>
        <row r="4950">
          <cell r="N4950">
            <v>-27.456</v>
          </cell>
        </row>
        <row r="4951">
          <cell r="N4951">
            <v>-32.311999999999998</v>
          </cell>
        </row>
        <row r="4952">
          <cell r="N4952">
            <v>-43.892000000000003</v>
          </cell>
        </row>
        <row r="4953">
          <cell r="N4953">
            <v>-35.689</v>
          </cell>
        </row>
        <row r="4954">
          <cell r="N4954">
            <v>-8.8480000000000008</v>
          </cell>
        </row>
        <row r="4955">
          <cell r="N4955">
            <v>-29.533999999999999</v>
          </cell>
        </row>
        <row r="4956">
          <cell r="N4956">
            <v>-29.972999999999999</v>
          </cell>
        </row>
        <row r="4957">
          <cell r="N4957">
            <v>-7.5060000000000002</v>
          </cell>
        </row>
        <row r="4958">
          <cell r="N4958">
            <v>-32.731000000000002</v>
          </cell>
        </row>
        <row r="4959">
          <cell r="N4959">
            <v>-33.584000000000003</v>
          </cell>
        </row>
        <row r="4960">
          <cell r="N4960">
            <v>-37.076000000000001</v>
          </cell>
        </row>
        <row r="4961">
          <cell r="N4961">
            <v>-8.5980000000000008</v>
          </cell>
        </row>
        <row r="4962">
          <cell r="N4962">
            <v>-30.166</v>
          </cell>
        </row>
        <row r="4963">
          <cell r="N4963">
            <v>-34.393000000000001</v>
          </cell>
        </row>
        <row r="4964">
          <cell r="N4964">
            <v>-38.841999999999999</v>
          </cell>
        </row>
        <row r="4965">
          <cell r="N4965">
            <v>-11.266999999999999</v>
          </cell>
        </row>
        <row r="4966">
          <cell r="N4966">
            <v>-26.437000000000001</v>
          </cell>
        </row>
        <row r="4967">
          <cell r="N4967">
            <v>-36.32</v>
          </cell>
        </row>
        <row r="4968">
          <cell r="N4968">
            <v>-28.122</v>
          </cell>
        </row>
        <row r="4969">
          <cell r="N4969">
            <v>-20.03</v>
          </cell>
        </row>
        <row r="4970">
          <cell r="N4970">
            <v>-9.859</v>
          </cell>
        </row>
        <row r="4971">
          <cell r="N4971">
            <v>-31.434999999999999</v>
          </cell>
        </row>
        <row r="4972">
          <cell r="N4972">
            <v>-31.652999999999999</v>
          </cell>
        </row>
        <row r="4973">
          <cell r="N4973">
            <v>-30.623000000000001</v>
          </cell>
        </row>
        <row r="4974">
          <cell r="N4974">
            <v>-34.692</v>
          </cell>
        </row>
        <row r="4975">
          <cell r="N4975">
            <v>-8.4740000000000002</v>
          </cell>
        </row>
        <row r="4976">
          <cell r="N4976">
            <v>-29.382999999999999</v>
          </cell>
        </row>
        <row r="4977">
          <cell r="N4977">
            <v>-39.003999999999998</v>
          </cell>
        </row>
        <row r="4978">
          <cell r="N4978">
            <v>-41.209000000000003</v>
          </cell>
        </row>
        <row r="4979">
          <cell r="N4979">
            <v>-29.577000000000002</v>
          </cell>
        </row>
        <row r="4980">
          <cell r="N4980">
            <v>-28.553999999999998</v>
          </cell>
        </row>
        <row r="4981">
          <cell r="N4981">
            <v>-8.7230000000000008</v>
          </cell>
        </row>
        <row r="4982">
          <cell r="N4982">
            <v>-8.1</v>
          </cell>
        </row>
        <row r="4983">
          <cell r="N4983">
            <v>-35.533000000000001</v>
          </cell>
        </row>
        <row r="4984">
          <cell r="N4984">
            <v>-13.103</v>
          </cell>
        </row>
        <row r="4985">
          <cell r="N4985">
            <v>-26.042000000000002</v>
          </cell>
        </row>
        <row r="4986">
          <cell r="N4986">
            <v>-30.638000000000002</v>
          </cell>
        </row>
        <row r="4987">
          <cell r="N4987">
            <v>-13.802</v>
          </cell>
        </row>
        <row r="4988">
          <cell r="N4988">
            <v>-14.58</v>
          </cell>
        </row>
        <row r="4989">
          <cell r="N4989">
            <v>-9.4710000000000001</v>
          </cell>
        </row>
        <row r="4990">
          <cell r="N4990">
            <v>-28.163</v>
          </cell>
        </row>
        <row r="4991">
          <cell r="N4991">
            <v>-9.3819999999999997</v>
          </cell>
        </row>
        <row r="4992">
          <cell r="N4992">
            <v>-42.618000000000002</v>
          </cell>
        </row>
        <row r="4993">
          <cell r="N4993">
            <v>-32.368000000000002</v>
          </cell>
        </row>
        <row r="4994">
          <cell r="N4994">
            <v>-30.405999999999999</v>
          </cell>
        </row>
        <row r="4995">
          <cell r="N4995">
            <v>-39.987000000000002</v>
          </cell>
        </row>
        <row r="4996">
          <cell r="N4996">
            <v>-9.1539999999999999</v>
          </cell>
        </row>
        <row r="4997">
          <cell r="N4997">
            <v>-46.201999999999998</v>
          </cell>
        </row>
        <row r="4998">
          <cell r="N4998">
            <v>-31.109000000000002</v>
          </cell>
        </row>
        <row r="4999">
          <cell r="N4999">
            <v>-31.277999999999999</v>
          </cell>
        </row>
        <row r="5000">
          <cell r="N5000">
            <v>-45.031999999999996</v>
          </cell>
        </row>
        <row r="5001">
          <cell r="N5001">
            <v>-8.5980000000000008</v>
          </cell>
        </row>
        <row r="5002">
          <cell r="N5002">
            <v>-25.571000000000002</v>
          </cell>
        </row>
        <row r="5003">
          <cell r="N5003">
            <v>-34.290999999999997</v>
          </cell>
        </row>
        <row r="5004">
          <cell r="N5004">
            <v>-24.317</v>
          </cell>
        </row>
        <row r="5005">
          <cell r="N5005">
            <v>-30.106000000000002</v>
          </cell>
        </row>
        <row r="5006">
          <cell r="N5006">
            <v>-11.090999999999999</v>
          </cell>
        </row>
        <row r="5007">
          <cell r="N5007">
            <v>-36.698</v>
          </cell>
        </row>
        <row r="5008">
          <cell r="N5008">
            <v>-34.642000000000003</v>
          </cell>
        </row>
        <row r="5009">
          <cell r="N5009">
            <v>-23.45</v>
          </cell>
        </row>
        <row r="5010">
          <cell r="N5010">
            <v>-8.5980000000000008</v>
          </cell>
        </row>
        <row r="5011">
          <cell r="N5011">
            <v>-35.563000000000002</v>
          </cell>
        </row>
        <row r="5012">
          <cell r="N5012">
            <v>-27.81</v>
          </cell>
        </row>
        <row r="5013">
          <cell r="N5013">
            <v>-33.796999999999997</v>
          </cell>
        </row>
        <row r="5014">
          <cell r="N5014">
            <v>-31.227</v>
          </cell>
        </row>
        <row r="5015">
          <cell r="N5015">
            <v>-3.9750000000000001</v>
          </cell>
        </row>
        <row r="5016">
          <cell r="N5016">
            <v>-31.527000000000001</v>
          </cell>
        </row>
        <row r="5017">
          <cell r="N5017">
            <v>-8.9960000000000004</v>
          </cell>
        </row>
        <row r="5018">
          <cell r="N5018">
            <v>-27.692</v>
          </cell>
        </row>
        <row r="5019">
          <cell r="N5019">
            <v>-28.045000000000002</v>
          </cell>
        </row>
        <row r="5020">
          <cell r="N5020">
            <v>-34.505000000000003</v>
          </cell>
        </row>
        <row r="5021">
          <cell r="N5021">
            <v>-31.652999999999999</v>
          </cell>
        </row>
        <row r="5022">
          <cell r="N5022">
            <v>-29.577000000000002</v>
          </cell>
        </row>
        <row r="5023">
          <cell r="N5023">
            <v>-31.905999999999999</v>
          </cell>
        </row>
        <row r="5024">
          <cell r="N5024">
            <v>-29.591000000000001</v>
          </cell>
        </row>
        <row r="5025">
          <cell r="N5025">
            <v>-37.826000000000001</v>
          </cell>
        </row>
        <row r="5026">
          <cell r="N5026">
            <v>-32.661999999999999</v>
          </cell>
        </row>
        <row r="5027">
          <cell r="N5027">
            <v>-32.737000000000002</v>
          </cell>
        </row>
        <row r="5028">
          <cell r="N5028">
            <v>-6.7009999999999996</v>
          </cell>
        </row>
        <row r="5029">
          <cell r="N5029">
            <v>-30.14</v>
          </cell>
        </row>
        <row r="5030">
          <cell r="N5030">
            <v>-35.575000000000003</v>
          </cell>
        </row>
        <row r="5031">
          <cell r="N5031">
            <v>-8.2240000000000002</v>
          </cell>
        </row>
        <row r="5032">
          <cell r="N5032">
            <v>-35.845999999999997</v>
          </cell>
        </row>
        <row r="5033">
          <cell r="N5033">
            <v>-28.87</v>
          </cell>
        </row>
        <row r="5034">
          <cell r="N5034">
            <v>-28.966999999999999</v>
          </cell>
        </row>
        <row r="5035">
          <cell r="N5035">
            <v>-27.777000000000001</v>
          </cell>
        </row>
        <row r="5036">
          <cell r="N5036">
            <v>-34.302</v>
          </cell>
        </row>
        <row r="5037">
          <cell r="N5037">
            <v>-40.875999999999998</v>
          </cell>
        </row>
        <row r="5038">
          <cell r="N5038">
            <v>-1.4999999999999999E-2</v>
          </cell>
        </row>
        <row r="5039">
          <cell r="N5039">
            <v>-34.268999999999998</v>
          </cell>
        </row>
        <row r="5040">
          <cell r="N5040">
            <v>-24.05</v>
          </cell>
        </row>
        <row r="5041">
          <cell r="N5041">
            <v>-42.335999999999999</v>
          </cell>
        </row>
        <row r="5042">
          <cell r="N5042">
            <v>-9.31</v>
          </cell>
        </row>
        <row r="5043">
          <cell r="N5043">
            <v>-30.166</v>
          </cell>
        </row>
        <row r="5044">
          <cell r="N5044">
            <v>-11.606</v>
          </cell>
        </row>
        <row r="5045">
          <cell r="N5045">
            <v>-7.532</v>
          </cell>
        </row>
        <row r="5046">
          <cell r="N5046">
            <v>-9.0969999999999995</v>
          </cell>
        </row>
        <row r="5047">
          <cell r="N5047">
            <v>-23.835000000000001</v>
          </cell>
        </row>
        <row r="5048">
          <cell r="N5048">
            <v>-34.162999999999997</v>
          </cell>
        </row>
        <row r="5049">
          <cell r="N5049">
            <v>-11.266999999999999</v>
          </cell>
        </row>
        <row r="5050">
          <cell r="N5050">
            <v>-30.619</v>
          </cell>
        </row>
        <row r="5051">
          <cell r="N5051">
            <v>-36.636000000000003</v>
          </cell>
        </row>
        <row r="5052">
          <cell r="N5052">
            <v>-10.358000000000001</v>
          </cell>
        </row>
        <row r="5053">
          <cell r="N5053">
            <v>-34.932000000000002</v>
          </cell>
        </row>
        <row r="5054">
          <cell r="N5054">
            <v>-33.646000000000001</v>
          </cell>
        </row>
        <row r="5055">
          <cell r="N5055">
            <v>-4.1849999999999996</v>
          </cell>
        </row>
        <row r="5056">
          <cell r="N5056">
            <v>-38.598999999999997</v>
          </cell>
        </row>
        <row r="5057">
          <cell r="N5057">
            <v>-12.105</v>
          </cell>
        </row>
        <row r="5058">
          <cell r="N5058">
            <v>-12.534000000000001</v>
          </cell>
        </row>
        <row r="5059">
          <cell r="N5059">
            <v>-9.7840000000000007</v>
          </cell>
        </row>
        <row r="5060">
          <cell r="N5060">
            <v>-10.218</v>
          </cell>
        </row>
        <row r="5061">
          <cell r="N5061">
            <v>-23.213999999999999</v>
          </cell>
        </row>
        <row r="5062">
          <cell r="N5062">
            <v>-25.335000000000001</v>
          </cell>
        </row>
        <row r="5063">
          <cell r="N5063">
            <v>-27.623000000000001</v>
          </cell>
        </row>
        <row r="5064">
          <cell r="N5064">
            <v>-31.274999999999999</v>
          </cell>
        </row>
        <row r="5065">
          <cell r="N5065">
            <v>-31.727</v>
          </cell>
        </row>
        <row r="5066">
          <cell r="N5066">
            <v>-35.311</v>
          </cell>
        </row>
        <row r="5067">
          <cell r="N5067">
            <v>-34.049999999999997</v>
          </cell>
        </row>
        <row r="5068">
          <cell r="N5068">
            <v>-34.302</v>
          </cell>
        </row>
        <row r="5069">
          <cell r="N5069">
            <v>-37.868000000000002</v>
          </cell>
        </row>
        <row r="5070">
          <cell r="N5070">
            <v>-26.984999999999999</v>
          </cell>
        </row>
        <row r="5071">
          <cell r="N5071">
            <v>-8.4740000000000002</v>
          </cell>
        </row>
        <row r="5072">
          <cell r="N5072">
            <v>-32.158000000000001</v>
          </cell>
        </row>
        <row r="5073">
          <cell r="N5073">
            <v>-8.5980000000000008</v>
          </cell>
        </row>
        <row r="5074">
          <cell r="N5074">
            <v>-31.581</v>
          </cell>
        </row>
        <row r="5075">
          <cell r="N5075">
            <v>-32.283999999999999</v>
          </cell>
        </row>
        <row r="5076">
          <cell r="N5076">
            <v>-35.265999999999998</v>
          </cell>
        </row>
        <row r="5077">
          <cell r="N5077">
            <v>-38.210999999999999</v>
          </cell>
        </row>
        <row r="5078">
          <cell r="N5078">
            <v>-8.8919999999999995</v>
          </cell>
        </row>
        <row r="5079">
          <cell r="N5079">
            <v>-36.761000000000003</v>
          </cell>
        </row>
        <row r="5080">
          <cell r="N5080">
            <v>-12.534000000000001</v>
          </cell>
        </row>
        <row r="5081">
          <cell r="N5081">
            <v>-39.768000000000001</v>
          </cell>
        </row>
        <row r="5082">
          <cell r="N5082">
            <v>-8.7230000000000008</v>
          </cell>
        </row>
        <row r="5083">
          <cell r="N5083">
            <v>-30.317</v>
          </cell>
        </row>
        <row r="5084">
          <cell r="N5084">
            <v>-27.81</v>
          </cell>
        </row>
        <row r="5085">
          <cell r="N5085">
            <v>-30.904</v>
          </cell>
        </row>
        <row r="5086">
          <cell r="N5086">
            <v>-8.4749999999999996</v>
          </cell>
        </row>
        <row r="5087">
          <cell r="N5087">
            <v>-36.32</v>
          </cell>
        </row>
        <row r="5088">
          <cell r="N5088">
            <v>-5.99</v>
          </cell>
        </row>
        <row r="5089">
          <cell r="N5089">
            <v>-31.227</v>
          </cell>
        </row>
        <row r="5090">
          <cell r="N5090">
            <v>-1.044</v>
          </cell>
        </row>
        <row r="5091">
          <cell r="N5091">
            <v>-26.609000000000002</v>
          </cell>
        </row>
        <row r="5092">
          <cell r="N5092">
            <v>-12.534000000000001</v>
          </cell>
        </row>
        <row r="5093">
          <cell r="N5093">
            <v>-24.05</v>
          </cell>
        </row>
        <row r="5094">
          <cell r="N5094">
            <v>-1.044</v>
          </cell>
        </row>
        <row r="5095">
          <cell r="N5095">
            <v>-31.277999999999999</v>
          </cell>
        </row>
        <row r="5096">
          <cell r="N5096">
            <v>-9.9689999999999994</v>
          </cell>
        </row>
        <row r="5097">
          <cell r="N5097">
            <v>-31.698</v>
          </cell>
        </row>
        <row r="5098">
          <cell r="N5098">
            <v>-30.518000000000001</v>
          </cell>
        </row>
        <row r="5099">
          <cell r="N5099">
            <v>-9.3460000000000001</v>
          </cell>
        </row>
        <row r="5100">
          <cell r="N5100">
            <v>-36.192999999999998</v>
          </cell>
        </row>
        <row r="5101">
          <cell r="N5101">
            <v>-26.513999999999999</v>
          </cell>
        </row>
        <row r="5102">
          <cell r="N5102">
            <v>-26.231000000000002</v>
          </cell>
        </row>
        <row r="5103">
          <cell r="N5103">
            <v>-41.932000000000002</v>
          </cell>
        </row>
        <row r="5104">
          <cell r="N5104">
            <v>-29.257000000000001</v>
          </cell>
        </row>
        <row r="5105">
          <cell r="N5105">
            <v>-34.651000000000003</v>
          </cell>
        </row>
        <row r="5106">
          <cell r="N5106">
            <v>-1.044</v>
          </cell>
        </row>
        <row r="5107">
          <cell r="N5107">
            <v>-34.932000000000002</v>
          </cell>
        </row>
        <row r="5108">
          <cell r="N5108">
            <v>-31.454999999999998</v>
          </cell>
        </row>
        <row r="5109">
          <cell r="N5109">
            <v>-40.938000000000002</v>
          </cell>
        </row>
        <row r="5110">
          <cell r="N5110">
            <v>-26.861000000000001</v>
          </cell>
        </row>
        <row r="5111">
          <cell r="N5111">
            <v>-31.78</v>
          </cell>
        </row>
        <row r="5112">
          <cell r="N5112">
            <v>-32.994999999999997</v>
          </cell>
        </row>
        <row r="5113">
          <cell r="N5113">
            <v>-30.995999999999999</v>
          </cell>
        </row>
        <row r="5114">
          <cell r="N5114">
            <v>-40.5</v>
          </cell>
        </row>
        <row r="5115">
          <cell r="N5115">
            <v>-8.9999999999999993E-3</v>
          </cell>
        </row>
        <row r="5116">
          <cell r="N5116">
            <v>-1.044</v>
          </cell>
        </row>
        <row r="5117">
          <cell r="N5117">
            <v>-32.523000000000003</v>
          </cell>
        </row>
        <row r="5118">
          <cell r="N5118">
            <v>-40.749000000000002</v>
          </cell>
        </row>
        <row r="5119">
          <cell r="N5119">
            <v>-34.286999999999999</v>
          </cell>
        </row>
        <row r="5120">
          <cell r="N5120">
            <v>-25.805</v>
          </cell>
        </row>
        <row r="5121">
          <cell r="N5121">
            <v>-23.213999999999999</v>
          </cell>
        </row>
        <row r="5122">
          <cell r="N5122">
            <v>-29.588000000000001</v>
          </cell>
        </row>
        <row r="5123">
          <cell r="N5123">
            <v>-1.044</v>
          </cell>
        </row>
        <row r="5124">
          <cell r="N5124">
            <v>-26.356999999999999</v>
          </cell>
        </row>
        <row r="5125">
          <cell r="N5125">
            <v>-36.405999999999999</v>
          </cell>
        </row>
        <row r="5126">
          <cell r="N5126">
            <v>-26.692</v>
          </cell>
        </row>
        <row r="5127">
          <cell r="N5127">
            <v>-35.39</v>
          </cell>
        </row>
        <row r="5128">
          <cell r="N5128">
            <v>-16.077000000000002</v>
          </cell>
        </row>
        <row r="5129">
          <cell r="N5129">
            <v>-33.146999999999998</v>
          </cell>
        </row>
        <row r="5130">
          <cell r="N5130">
            <v>-26.986999999999998</v>
          </cell>
        </row>
        <row r="5131">
          <cell r="N5131">
            <v>-36.445999999999998</v>
          </cell>
        </row>
        <row r="5132">
          <cell r="N5132">
            <v>-25.978999999999999</v>
          </cell>
        </row>
        <row r="5133">
          <cell r="N5133">
            <v>-2.3E-2</v>
          </cell>
        </row>
        <row r="5134">
          <cell r="N5134">
            <v>-6.1429999999999998</v>
          </cell>
        </row>
        <row r="5135">
          <cell r="N5135">
            <v>-13.353</v>
          </cell>
        </row>
        <row r="5136">
          <cell r="N5136">
            <v>-32.74</v>
          </cell>
        </row>
        <row r="5137">
          <cell r="N5137">
            <v>-1.044</v>
          </cell>
        </row>
        <row r="5138">
          <cell r="N5138">
            <v>-7.4770000000000003</v>
          </cell>
        </row>
        <row r="5139">
          <cell r="N5139">
            <v>-31.527000000000001</v>
          </cell>
        </row>
        <row r="5140">
          <cell r="N5140">
            <v>-6.8540000000000001</v>
          </cell>
        </row>
        <row r="5141">
          <cell r="N5141">
            <v>-33.189</v>
          </cell>
        </row>
        <row r="5142">
          <cell r="N5142">
            <v>-27.338000000000001</v>
          </cell>
        </row>
        <row r="5143">
          <cell r="N5143">
            <v>-9.0129999999999999</v>
          </cell>
        </row>
        <row r="5144">
          <cell r="N5144">
            <v>-10.468</v>
          </cell>
        </row>
        <row r="5145">
          <cell r="N5145">
            <v>-24.245999999999999</v>
          </cell>
        </row>
        <row r="5146">
          <cell r="N5146">
            <v>-24.05</v>
          </cell>
        </row>
        <row r="5147">
          <cell r="N5147">
            <v>-24.123999999999999</v>
          </cell>
        </row>
        <row r="5148">
          <cell r="N5148">
            <v>-10.422000000000001</v>
          </cell>
        </row>
        <row r="5149">
          <cell r="N5149">
            <v>-21.329000000000001</v>
          </cell>
        </row>
        <row r="5150">
          <cell r="N5150">
            <v>-1.127</v>
          </cell>
        </row>
        <row r="5151">
          <cell r="N5151">
            <v>-32.74</v>
          </cell>
        </row>
        <row r="5152">
          <cell r="N5152">
            <v>-35.090000000000003</v>
          </cell>
        </row>
        <row r="5153">
          <cell r="N5153">
            <v>-14.85</v>
          </cell>
        </row>
        <row r="5154">
          <cell r="N5154">
            <v>-9.3460000000000001</v>
          </cell>
        </row>
        <row r="5155">
          <cell r="N5155">
            <v>-32.661999999999999</v>
          </cell>
        </row>
        <row r="5156">
          <cell r="N5156">
            <v>-29.533999999999999</v>
          </cell>
        </row>
        <row r="5157">
          <cell r="N5157">
            <v>-35.090000000000003</v>
          </cell>
        </row>
        <row r="5158">
          <cell r="N5158">
            <v>-30.638000000000002</v>
          </cell>
        </row>
        <row r="5159">
          <cell r="N5159">
            <v>-11.356</v>
          </cell>
        </row>
        <row r="5160">
          <cell r="N5160">
            <v>-41.478999999999999</v>
          </cell>
        </row>
        <row r="5161">
          <cell r="N5161">
            <v>-34.049999999999997</v>
          </cell>
        </row>
        <row r="5162">
          <cell r="N5162">
            <v>-21.228999999999999</v>
          </cell>
        </row>
        <row r="5163">
          <cell r="N5163">
            <v>-34.643999999999998</v>
          </cell>
        </row>
        <row r="5164">
          <cell r="N5164">
            <v>-32.158000000000001</v>
          </cell>
        </row>
        <row r="5165">
          <cell r="N5165">
            <v>-27.338000000000001</v>
          </cell>
        </row>
        <row r="5166">
          <cell r="N5166">
            <v>-30.468</v>
          </cell>
        </row>
        <row r="5167">
          <cell r="N5167">
            <v>-30.265999999999998</v>
          </cell>
        </row>
        <row r="5168">
          <cell r="N5168">
            <v>-32.409999999999997</v>
          </cell>
        </row>
        <row r="5169">
          <cell r="N5169">
            <v>-40.353000000000002</v>
          </cell>
        </row>
        <row r="5170">
          <cell r="N5170">
            <v>-28.460999999999999</v>
          </cell>
        </row>
        <row r="5171">
          <cell r="N5171">
            <v>-11.356</v>
          </cell>
        </row>
        <row r="5172">
          <cell r="N5172">
            <v>-34.932000000000002</v>
          </cell>
        </row>
        <row r="5173">
          <cell r="N5173">
            <v>-32.018999999999998</v>
          </cell>
        </row>
        <row r="5174">
          <cell r="N5174">
            <v>-27.608000000000001</v>
          </cell>
        </row>
        <row r="5175">
          <cell r="N5175">
            <v>-31.760999999999999</v>
          </cell>
        </row>
        <row r="5176">
          <cell r="N5176">
            <v>-7.2279999999999998</v>
          </cell>
        </row>
        <row r="5177">
          <cell r="N5177">
            <v>-32.536000000000001</v>
          </cell>
        </row>
        <row r="5178">
          <cell r="N5178">
            <v>-35.764000000000003</v>
          </cell>
        </row>
        <row r="5179">
          <cell r="N5179">
            <v>-37.201999999999998</v>
          </cell>
        </row>
        <row r="5180">
          <cell r="N5180">
            <v>-36.104999999999997</v>
          </cell>
        </row>
        <row r="5181">
          <cell r="N5181">
            <v>-28.411999999999999</v>
          </cell>
        </row>
        <row r="5182">
          <cell r="N5182">
            <v>-9.577</v>
          </cell>
        </row>
        <row r="5183">
          <cell r="N5183">
            <v>-36.572000000000003</v>
          </cell>
        </row>
        <row r="5184">
          <cell r="N5184">
            <v>-36.067</v>
          </cell>
        </row>
        <row r="5185">
          <cell r="N5185">
            <v>-34.302</v>
          </cell>
        </row>
        <row r="5186">
          <cell r="N5186">
            <v>-9.5950000000000006</v>
          </cell>
        </row>
        <row r="5187">
          <cell r="N5187">
            <v>-33.796999999999997</v>
          </cell>
        </row>
        <row r="5188">
          <cell r="N5188">
            <v>-6.0670000000000002</v>
          </cell>
        </row>
        <row r="5189">
          <cell r="N5189">
            <v>-25.099</v>
          </cell>
        </row>
        <row r="5190">
          <cell r="N5190">
            <v>-8.2240000000000002</v>
          </cell>
        </row>
        <row r="5191">
          <cell r="N5191">
            <v>-35.116</v>
          </cell>
        </row>
        <row r="5192">
          <cell r="N5192">
            <v>-27.166</v>
          </cell>
        </row>
        <row r="5193">
          <cell r="N5193">
            <v>-4.577</v>
          </cell>
        </row>
        <row r="5194">
          <cell r="N5194">
            <v>-33.112000000000002</v>
          </cell>
        </row>
        <row r="5195">
          <cell r="N5195">
            <v>-33.796999999999997</v>
          </cell>
        </row>
        <row r="5196">
          <cell r="N5196">
            <v>-34.018999999999998</v>
          </cell>
        </row>
        <row r="5197">
          <cell r="N5197">
            <v>-3.0110000000000001</v>
          </cell>
        </row>
        <row r="5198">
          <cell r="N5198">
            <v>-37.201999999999998</v>
          </cell>
        </row>
        <row r="5199">
          <cell r="N5199">
            <v>-30.989000000000001</v>
          </cell>
        </row>
        <row r="5200">
          <cell r="N5200">
            <v>-12.112</v>
          </cell>
        </row>
        <row r="5201">
          <cell r="N5201">
            <v>-37.707000000000001</v>
          </cell>
        </row>
        <row r="5202">
          <cell r="N5202">
            <v>-14.787000000000001</v>
          </cell>
        </row>
        <row r="5203">
          <cell r="N5203">
            <v>-34.643999999999998</v>
          </cell>
        </row>
        <row r="5204">
          <cell r="N5204">
            <v>-23.803000000000001</v>
          </cell>
        </row>
        <row r="5205">
          <cell r="N5205">
            <v>-12.478999999999999</v>
          </cell>
        </row>
        <row r="5206">
          <cell r="N5206">
            <v>-39.094000000000001</v>
          </cell>
        </row>
        <row r="5207">
          <cell r="N5207">
            <v>-10.093999999999999</v>
          </cell>
        </row>
        <row r="5208">
          <cell r="N5208">
            <v>-10.468</v>
          </cell>
        </row>
        <row r="5209">
          <cell r="N5209">
            <v>-7.532</v>
          </cell>
        </row>
        <row r="5210">
          <cell r="N5210">
            <v>-38.890999999999998</v>
          </cell>
        </row>
        <row r="5211">
          <cell r="N5211">
            <v>-15.385</v>
          </cell>
        </row>
        <row r="5212">
          <cell r="N5212">
            <v>-35.563000000000002</v>
          </cell>
        </row>
        <row r="5213">
          <cell r="N5213">
            <v>-40.938000000000002</v>
          </cell>
        </row>
        <row r="5214">
          <cell r="N5214">
            <v>-25.099</v>
          </cell>
        </row>
        <row r="5215">
          <cell r="N5215">
            <v>-27.79</v>
          </cell>
        </row>
        <row r="5216">
          <cell r="N5216">
            <v>-14.629</v>
          </cell>
        </row>
        <row r="5217">
          <cell r="N5217">
            <v>-2.891</v>
          </cell>
        </row>
        <row r="5218">
          <cell r="N5218">
            <v>-17.547999999999998</v>
          </cell>
        </row>
        <row r="5219">
          <cell r="N5219">
            <v>-30.779</v>
          </cell>
        </row>
        <row r="5220">
          <cell r="N5220">
            <v>-2.891</v>
          </cell>
        </row>
        <row r="5221">
          <cell r="N5221">
            <v>-9.2050000000000001</v>
          </cell>
        </row>
        <row r="5222">
          <cell r="N5222">
            <v>-36.387</v>
          </cell>
        </row>
        <row r="5223">
          <cell r="N5223">
            <v>-33.040999999999997</v>
          </cell>
        </row>
        <row r="5224">
          <cell r="N5224">
            <v>-36.293999999999997</v>
          </cell>
        </row>
        <row r="5225">
          <cell r="N5225">
            <v>-22.58</v>
          </cell>
        </row>
        <row r="5226">
          <cell r="N5226">
            <v>-28.87</v>
          </cell>
        </row>
        <row r="5227">
          <cell r="N5227">
            <v>-7.851</v>
          </cell>
        </row>
        <row r="5228">
          <cell r="N5228">
            <v>-30.995999999999999</v>
          </cell>
        </row>
        <row r="5229">
          <cell r="N5229">
            <v>-9.2210000000000001</v>
          </cell>
        </row>
        <row r="5230">
          <cell r="N5230">
            <v>-32.731000000000002</v>
          </cell>
        </row>
        <row r="5231">
          <cell r="N5231">
            <v>-12.112</v>
          </cell>
        </row>
        <row r="5232">
          <cell r="N5232">
            <v>-35.515000000000001</v>
          </cell>
        </row>
        <row r="5233">
          <cell r="N5233">
            <v>-8.4730000000000008</v>
          </cell>
        </row>
        <row r="5234">
          <cell r="N5234">
            <v>-41.962000000000003</v>
          </cell>
        </row>
        <row r="5235">
          <cell r="N5235">
            <v>-25.92</v>
          </cell>
        </row>
        <row r="5236">
          <cell r="N5236">
            <v>-32.158000000000001</v>
          </cell>
        </row>
        <row r="5237">
          <cell r="N5237">
            <v>-31.402999999999999</v>
          </cell>
        </row>
        <row r="5238">
          <cell r="N5238">
            <v>-10.462</v>
          </cell>
        </row>
        <row r="5239">
          <cell r="N5239">
            <v>-28.280999999999999</v>
          </cell>
        </row>
        <row r="5240">
          <cell r="N5240">
            <v>-27.166</v>
          </cell>
        </row>
        <row r="5241">
          <cell r="N5241">
            <v>-1.2E-2</v>
          </cell>
        </row>
        <row r="5242">
          <cell r="N5242">
            <v>-15.599</v>
          </cell>
        </row>
        <row r="5243">
          <cell r="N5243">
            <v>-9.6240000000000006</v>
          </cell>
        </row>
        <row r="5244">
          <cell r="N5244">
            <v>-31.968</v>
          </cell>
        </row>
        <row r="5245">
          <cell r="N5245">
            <v>-31.277999999999999</v>
          </cell>
        </row>
        <row r="5246">
          <cell r="N5246">
            <v>-30.317</v>
          </cell>
        </row>
        <row r="5247">
          <cell r="N5247">
            <v>-28.626999999999999</v>
          </cell>
        </row>
        <row r="5248">
          <cell r="N5248">
            <v>-1.6E-2</v>
          </cell>
        </row>
        <row r="5249">
          <cell r="N5249">
            <v>-0.02</v>
          </cell>
        </row>
        <row r="5250">
          <cell r="N5250">
            <v>-1.246</v>
          </cell>
        </row>
        <row r="5251">
          <cell r="N5251">
            <v>-14.206</v>
          </cell>
        </row>
        <row r="5252">
          <cell r="N5252">
            <v>-33.040999999999997</v>
          </cell>
        </row>
        <row r="5253">
          <cell r="N5253">
            <v>-34.643999999999998</v>
          </cell>
        </row>
        <row r="5254">
          <cell r="N5254">
            <v>-36.113</v>
          </cell>
        </row>
        <row r="5255">
          <cell r="N5255">
            <v>-43.137999999999998</v>
          </cell>
        </row>
        <row r="5256">
          <cell r="N5256">
            <v>-1.7000000000000001E-2</v>
          </cell>
        </row>
        <row r="5257">
          <cell r="N5257">
            <v>-26.277999999999999</v>
          </cell>
        </row>
        <row r="5258">
          <cell r="N5258">
            <v>-24.286999999999999</v>
          </cell>
        </row>
        <row r="5259">
          <cell r="N5259">
            <v>-24.591000000000001</v>
          </cell>
        </row>
        <row r="5260">
          <cell r="N5260">
            <v>-35.639000000000003</v>
          </cell>
        </row>
        <row r="5261">
          <cell r="N5261">
            <v>-24.213000000000001</v>
          </cell>
        </row>
        <row r="5262">
          <cell r="N5262">
            <v>-12.292999999999999</v>
          </cell>
        </row>
        <row r="5263">
          <cell r="N5263">
            <v>-32.405000000000001</v>
          </cell>
        </row>
        <row r="5264">
          <cell r="N5264">
            <v>-28.248999999999999</v>
          </cell>
        </row>
        <row r="5265">
          <cell r="N5265">
            <v>-13.478</v>
          </cell>
        </row>
        <row r="5266">
          <cell r="N5266">
            <v>-30.556999999999999</v>
          </cell>
        </row>
        <row r="5267">
          <cell r="N5267">
            <v>-25.172000000000001</v>
          </cell>
        </row>
        <row r="5268">
          <cell r="N5268">
            <v>-8.0000000000000002E-3</v>
          </cell>
        </row>
        <row r="5269">
          <cell r="N5269">
            <v>-26.483000000000001</v>
          </cell>
        </row>
        <row r="5270">
          <cell r="N5270">
            <v>-24.919</v>
          </cell>
        </row>
        <row r="5271">
          <cell r="N5271">
            <v>-36.32</v>
          </cell>
        </row>
        <row r="5272">
          <cell r="N5272">
            <v>-61.35</v>
          </cell>
        </row>
        <row r="5273">
          <cell r="N5273">
            <v>-340</v>
          </cell>
        </row>
        <row r="5274">
          <cell r="N5274">
            <v>-0.91900000000000004</v>
          </cell>
        </row>
        <row r="5275">
          <cell r="N5275">
            <v>-374.08100000000002</v>
          </cell>
        </row>
        <row r="5276">
          <cell r="N5276">
            <v>-4.1050000000000004</v>
          </cell>
        </row>
        <row r="5277">
          <cell r="N5277">
            <v>-7</v>
          </cell>
        </row>
        <row r="5278">
          <cell r="N5278">
            <v>-818.69799999999998</v>
          </cell>
        </row>
        <row r="5279">
          <cell r="N5279">
            <v>-135.58799999999999</v>
          </cell>
        </row>
        <row r="5280">
          <cell r="N5280">
            <v>-57.713999999999999</v>
          </cell>
        </row>
        <row r="5281">
          <cell r="N5281">
            <v>-62</v>
          </cell>
        </row>
        <row r="5282">
          <cell r="N5282">
            <v>-57.12</v>
          </cell>
        </row>
        <row r="5283">
          <cell r="N5283">
            <v>-11.772</v>
          </cell>
        </row>
        <row r="5284">
          <cell r="N5284">
            <v>-12.688000000000001</v>
          </cell>
        </row>
        <row r="5285">
          <cell r="N5285">
            <v>-540</v>
          </cell>
        </row>
        <row r="5286">
          <cell r="N5286">
            <v>-53.570999999999998</v>
          </cell>
        </row>
        <row r="5287">
          <cell r="N5287">
            <v>-408</v>
          </cell>
        </row>
        <row r="5288">
          <cell r="N5288">
            <v>-408</v>
          </cell>
        </row>
        <row r="5289">
          <cell r="N5289">
            <v>-349.88900000000001</v>
          </cell>
        </row>
        <row r="5290">
          <cell r="N5290">
            <v>-0.54900000000000004</v>
          </cell>
        </row>
        <row r="5291">
          <cell r="N5291">
            <v>-594</v>
          </cell>
        </row>
        <row r="5292">
          <cell r="N5292">
            <v>-270</v>
          </cell>
        </row>
        <row r="5293">
          <cell r="N5293">
            <v>-672</v>
          </cell>
        </row>
        <row r="5294">
          <cell r="N5294">
            <v>-295.5</v>
          </cell>
        </row>
        <row r="5295">
          <cell r="N5295">
            <v>-732</v>
          </cell>
        </row>
        <row r="5296">
          <cell r="N5296">
            <v>-742</v>
          </cell>
        </row>
        <row r="5297">
          <cell r="N5297">
            <v>-324</v>
          </cell>
        </row>
        <row r="5298">
          <cell r="N5298">
            <v>-265</v>
          </cell>
        </row>
        <row r="5299">
          <cell r="N5299">
            <v>-972.423</v>
          </cell>
        </row>
        <row r="5300">
          <cell r="N5300">
            <v>-6</v>
          </cell>
        </row>
        <row r="5301">
          <cell r="N5301">
            <v>-1212.604</v>
          </cell>
        </row>
        <row r="5302">
          <cell r="N5302">
            <v>-7</v>
          </cell>
        </row>
        <row r="5303">
          <cell r="N5303">
            <v>-1232.124</v>
          </cell>
        </row>
        <row r="5304">
          <cell r="N5304">
            <v>-84.936999999999998</v>
          </cell>
        </row>
        <row r="5305">
          <cell r="N5305">
            <v>-6.3E-2</v>
          </cell>
        </row>
        <row r="5306">
          <cell r="N5306">
            <v>-10.065</v>
          </cell>
        </row>
        <row r="5307">
          <cell r="N5307">
            <v>-173.59200000000001</v>
          </cell>
        </row>
        <row r="5308">
          <cell r="N5308">
            <v>-178.90700000000001</v>
          </cell>
        </row>
        <row r="5309">
          <cell r="N5309">
            <v>-16.843</v>
          </cell>
        </row>
        <row r="5310">
          <cell r="N5310">
            <v>-13.606</v>
          </cell>
        </row>
        <row r="5311">
          <cell r="N5311">
            <v>-258</v>
          </cell>
        </row>
        <row r="5312">
          <cell r="N5312">
            <v>-126</v>
          </cell>
        </row>
        <row r="5313">
          <cell r="N5313">
            <v>-19.693000000000001</v>
          </cell>
        </row>
        <row r="5314">
          <cell r="N5314">
            <v>-298</v>
          </cell>
        </row>
        <row r="5315">
          <cell r="N5315">
            <v>-20.460999999999999</v>
          </cell>
        </row>
        <row r="5316">
          <cell r="N5316">
            <v>-298</v>
          </cell>
        </row>
        <row r="5317">
          <cell r="N5317">
            <v>-1221.6020000000001</v>
          </cell>
        </row>
        <row r="5318">
          <cell r="N5318">
            <v>-136</v>
          </cell>
        </row>
        <row r="5319">
          <cell r="N5319">
            <v>-298</v>
          </cell>
        </row>
        <row r="5320">
          <cell r="N5320">
            <v>-9.5299999999999994</v>
          </cell>
        </row>
        <row r="5321">
          <cell r="N5321">
            <v>-298</v>
          </cell>
        </row>
        <row r="5322">
          <cell r="N5322">
            <v>-298</v>
          </cell>
        </row>
        <row r="5323">
          <cell r="N5323">
            <v>-298</v>
          </cell>
        </row>
        <row r="5324">
          <cell r="N5324">
            <v>-324</v>
          </cell>
        </row>
        <row r="5325">
          <cell r="N5325">
            <v>-298</v>
          </cell>
        </row>
        <row r="5326">
          <cell r="N5326">
            <v>-162</v>
          </cell>
        </row>
        <row r="5327">
          <cell r="N5327">
            <v>-15</v>
          </cell>
        </row>
        <row r="5328">
          <cell r="N5328">
            <v>-298</v>
          </cell>
        </row>
        <row r="5329">
          <cell r="N5329">
            <v>-1297.8140000000001</v>
          </cell>
        </row>
        <row r="5330">
          <cell r="N5330">
            <v>-0.29799999999999999</v>
          </cell>
        </row>
        <row r="5331">
          <cell r="N5331">
            <v>-1244.5940000000001</v>
          </cell>
        </row>
        <row r="5332">
          <cell r="N5332">
            <v>-15</v>
          </cell>
        </row>
        <row r="5333">
          <cell r="N5333">
            <v>-1000.814</v>
          </cell>
        </row>
        <row r="5334">
          <cell r="N5334">
            <v>-297.81400000000002</v>
          </cell>
        </row>
        <row r="5335">
          <cell r="N5335">
            <v>-298</v>
          </cell>
        </row>
        <row r="5336">
          <cell r="N5336">
            <v>-298</v>
          </cell>
        </row>
        <row r="5337">
          <cell r="N5337">
            <v>-1163.723</v>
          </cell>
        </row>
        <row r="5338">
          <cell r="N5338">
            <v>-1018.002</v>
          </cell>
        </row>
        <row r="5339">
          <cell r="N5339">
            <v>-82.242000000000004</v>
          </cell>
        </row>
        <row r="5340">
          <cell r="N5340">
            <v>-1287.279</v>
          </cell>
        </row>
        <row r="5341">
          <cell r="N5341">
            <v>-298</v>
          </cell>
        </row>
        <row r="5342">
          <cell r="N5342">
            <v>-5.47</v>
          </cell>
        </row>
        <row r="5343">
          <cell r="N5343">
            <v>-298</v>
          </cell>
        </row>
        <row r="5344">
          <cell r="N5344">
            <v>-298</v>
          </cell>
        </row>
        <row r="5345">
          <cell r="N5345">
            <v>-298</v>
          </cell>
        </row>
        <row r="5346">
          <cell r="N5346">
            <v>-298</v>
          </cell>
        </row>
        <row r="5347">
          <cell r="N5347">
            <v>-1278.1500000000001</v>
          </cell>
        </row>
        <row r="5348">
          <cell r="N5348">
            <v>-964.64200000000005</v>
          </cell>
        </row>
        <row r="5349">
          <cell r="N5349">
            <v>-1287.28</v>
          </cell>
        </row>
        <row r="5350">
          <cell r="N5350">
            <v>-60</v>
          </cell>
        </row>
        <row r="5351">
          <cell r="N5351">
            <v>-900.58399999999995</v>
          </cell>
        </row>
        <row r="5352">
          <cell r="N5352">
            <v>-308.78800000000001</v>
          </cell>
        </row>
        <row r="5353">
          <cell r="N5353">
            <v>-306.11500000000001</v>
          </cell>
        </row>
        <row r="5354">
          <cell r="N5354">
            <v>-386</v>
          </cell>
        </row>
        <row r="5355">
          <cell r="N5355">
            <v>-86.783000000000001</v>
          </cell>
        </row>
        <row r="5356">
          <cell r="N5356">
            <v>-121</v>
          </cell>
        </row>
        <row r="5357">
          <cell r="N5357">
            <v>-1223.528</v>
          </cell>
        </row>
        <row r="5358">
          <cell r="N5358">
            <v>-7.0960000000000001</v>
          </cell>
        </row>
        <row r="5359">
          <cell r="N5359">
            <v>-123.18600000000001</v>
          </cell>
        </row>
        <row r="5360">
          <cell r="N5360">
            <v>-99.662000000000006</v>
          </cell>
        </row>
        <row r="5361">
          <cell r="N5361">
            <v>-113.295</v>
          </cell>
        </row>
        <row r="5362">
          <cell r="N5362">
            <v>-722.85</v>
          </cell>
        </row>
        <row r="5363">
          <cell r="N5363">
            <v>-132.018</v>
          </cell>
        </row>
        <row r="5364">
          <cell r="N5364">
            <v>-198.739</v>
          </cell>
        </row>
        <row r="5365">
          <cell r="N5365">
            <v>-50.470999999999997</v>
          </cell>
        </row>
        <row r="5366">
          <cell r="N5366">
            <v>-13.141</v>
          </cell>
        </row>
        <row r="5367">
          <cell r="N5367">
            <v>-1223.528</v>
          </cell>
        </row>
        <row r="5368">
          <cell r="N5368">
            <v>-15.244</v>
          </cell>
        </row>
        <row r="5369">
          <cell r="N5369">
            <v>-21</v>
          </cell>
        </row>
        <row r="5370">
          <cell r="N5370">
            <v>-5</v>
          </cell>
        </row>
        <row r="5371">
          <cell r="N5371">
            <v>-298</v>
          </cell>
        </row>
        <row r="5372">
          <cell r="N5372">
            <v>-298</v>
          </cell>
        </row>
        <row r="5373">
          <cell r="N5373">
            <v>-105</v>
          </cell>
        </row>
        <row r="5374">
          <cell r="N5374">
            <v>-0.86799999999999999</v>
          </cell>
        </row>
        <row r="5375">
          <cell r="N5375">
            <v>-192.07599999999999</v>
          </cell>
        </row>
        <row r="5376">
          <cell r="N5376">
            <v>-900</v>
          </cell>
        </row>
        <row r="5377">
          <cell r="N5377">
            <v>-200</v>
          </cell>
        </row>
        <row r="5378">
          <cell r="N5378">
            <v>-298</v>
          </cell>
        </row>
        <row r="5379">
          <cell r="N5379">
            <v>-7.8849999999999998</v>
          </cell>
        </row>
        <row r="5380">
          <cell r="N5380">
            <v>-105</v>
          </cell>
        </row>
        <row r="5381">
          <cell r="N5381">
            <v>-1688.123</v>
          </cell>
        </row>
        <row r="5382">
          <cell r="N5382">
            <v>-0.309</v>
          </cell>
        </row>
        <row r="5383">
          <cell r="N5383">
            <v>-298</v>
          </cell>
        </row>
        <row r="5384">
          <cell r="N5384">
            <v>-0.98499999999999999</v>
          </cell>
        </row>
        <row r="5385">
          <cell r="N5385">
            <v>-298</v>
          </cell>
        </row>
        <row r="5386">
          <cell r="N5386">
            <v>-298</v>
          </cell>
        </row>
        <row r="5387">
          <cell r="N5387">
            <v>-298</v>
          </cell>
        </row>
        <row r="5388">
          <cell r="N5388">
            <v>-298</v>
          </cell>
        </row>
        <row r="5389">
          <cell r="N5389">
            <v>-1097.8140000000001</v>
          </cell>
        </row>
        <row r="5390">
          <cell r="N5390">
            <v>-298</v>
          </cell>
        </row>
        <row r="5391">
          <cell r="N5391">
            <v>-5</v>
          </cell>
        </row>
        <row r="5392">
          <cell r="N5392">
            <v>-1533.78</v>
          </cell>
        </row>
        <row r="5393">
          <cell r="N5393">
            <v>-298</v>
          </cell>
        </row>
        <row r="5394">
          <cell r="N5394">
            <v>-8</v>
          </cell>
        </row>
        <row r="5395">
          <cell r="N5395">
            <v>-7</v>
          </cell>
        </row>
        <row r="5396">
          <cell r="N5396">
            <v>-298</v>
          </cell>
        </row>
        <row r="5397">
          <cell r="N5397">
            <v>-324</v>
          </cell>
        </row>
        <row r="5398">
          <cell r="N5398">
            <v>-298</v>
          </cell>
        </row>
        <row r="5399">
          <cell r="N5399">
            <v>-7</v>
          </cell>
        </row>
        <row r="5400">
          <cell r="N5400">
            <v>-1287.28</v>
          </cell>
        </row>
        <row r="5401">
          <cell r="N5401">
            <v>-1089.7049999999999</v>
          </cell>
        </row>
        <row r="5402">
          <cell r="N5402">
            <v>-1089.7049999999999</v>
          </cell>
        </row>
        <row r="5403">
          <cell r="N5403">
            <v>-1297.8140000000001</v>
          </cell>
        </row>
        <row r="5404">
          <cell r="N5404">
            <v>-298</v>
          </cell>
        </row>
        <row r="5405">
          <cell r="N5405">
            <v>-8</v>
          </cell>
        </row>
        <row r="5406">
          <cell r="N5406">
            <v>-216</v>
          </cell>
        </row>
        <row r="5407">
          <cell r="N5407">
            <v>-5</v>
          </cell>
        </row>
        <row r="5408">
          <cell r="N5408">
            <v>-15</v>
          </cell>
        </row>
        <row r="5409">
          <cell r="N5409">
            <v>-1278.1500000000001</v>
          </cell>
        </row>
        <row r="5410">
          <cell r="N5410">
            <v>-298</v>
          </cell>
        </row>
        <row r="5411">
          <cell r="N5411">
            <v>-1223.529</v>
          </cell>
        </row>
        <row r="5412">
          <cell r="N5412">
            <v>-540.75599999999997</v>
          </cell>
        </row>
        <row r="5413">
          <cell r="N5413">
            <v>-298</v>
          </cell>
        </row>
        <row r="5414">
          <cell r="N5414">
            <v>-5</v>
          </cell>
        </row>
        <row r="5415">
          <cell r="N5415">
            <v>-540.75599999999997</v>
          </cell>
        </row>
        <row r="5416">
          <cell r="N5416">
            <v>-1278.1500000000001</v>
          </cell>
        </row>
        <row r="5417">
          <cell r="N5417">
            <v>-622.29700000000003</v>
          </cell>
        </row>
        <row r="5418">
          <cell r="N5418">
            <v>-7</v>
          </cell>
        </row>
        <row r="5419">
          <cell r="N5419">
            <v>-622.98199999999997</v>
          </cell>
        </row>
        <row r="5420">
          <cell r="N5420">
            <v>-162</v>
          </cell>
        </row>
        <row r="5421">
          <cell r="N5421">
            <v>-298</v>
          </cell>
        </row>
        <row r="5422">
          <cell r="N5422">
            <v>-1236</v>
          </cell>
        </row>
        <row r="5423">
          <cell r="N5423">
            <v>-298</v>
          </cell>
        </row>
        <row r="5424">
          <cell r="N5424">
            <v>-298</v>
          </cell>
        </row>
        <row r="5425">
          <cell r="N5425">
            <v>-298</v>
          </cell>
        </row>
        <row r="5426">
          <cell r="N5426">
            <v>-162</v>
          </cell>
        </row>
        <row r="5427">
          <cell r="N5427">
            <v>-1245.9639999999999</v>
          </cell>
        </row>
        <row r="5428">
          <cell r="N5428">
            <v>-63.055</v>
          </cell>
        </row>
        <row r="5429">
          <cell r="N5429">
            <v>-1221.6030000000001</v>
          </cell>
        </row>
        <row r="5430">
          <cell r="N5430">
            <v>-49</v>
          </cell>
        </row>
        <row r="5431">
          <cell r="N5431">
            <v>-732</v>
          </cell>
        </row>
        <row r="5432">
          <cell r="N5432">
            <v>-788.39700000000005</v>
          </cell>
        </row>
        <row r="5433">
          <cell r="N5433">
            <v>-298</v>
          </cell>
        </row>
        <row r="5434">
          <cell r="N5434">
            <v>-298</v>
          </cell>
        </row>
        <row r="5435">
          <cell r="N5435">
            <v>-298</v>
          </cell>
        </row>
        <row r="5436">
          <cell r="N5436">
            <v>-298</v>
          </cell>
        </row>
        <row r="5437">
          <cell r="N5437">
            <v>-133.989</v>
          </cell>
        </row>
        <row r="5438">
          <cell r="N5438">
            <v>-204.059</v>
          </cell>
        </row>
        <row r="5439">
          <cell r="N5439">
            <v>-1276.9449999999999</v>
          </cell>
        </row>
        <row r="5440">
          <cell r="N5440">
            <v>-298</v>
          </cell>
        </row>
        <row r="5441">
          <cell r="N5441">
            <v>-1212.604</v>
          </cell>
        </row>
        <row r="5442">
          <cell r="N5442">
            <v>-732</v>
          </cell>
        </row>
        <row r="5443">
          <cell r="N5443">
            <v>-1297.8140000000001</v>
          </cell>
        </row>
        <row r="5444">
          <cell r="N5444">
            <v>-340</v>
          </cell>
        </row>
        <row r="5445">
          <cell r="N5445">
            <v>-41.533999999999999</v>
          </cell>
        </row>
        <row r="5446">
          <cell r="N5446">
            <v>-104.261</v>
          </cell>
        </row>
        <row r="5447">
          <cell r="N5447">
            <v>-40.186</v>
          </cell>
        </row>
        <row r="5448">
          <cell r="N5448">
            <v>-298</v>
          </cell>
        </row>
        <row r="5449">
          <cell r="N5449">
            <v>-298</v>
          </cell>
        </row>
        <row r="5450">
          <cell r="N5450">
            <v>-298</v>
          </cell>
        </row>
        <row r="5451">
          <cell r="N5451">
            <v>-298</v>
          </cell>
        </row>
        <row r="5452">
          <cell r="N5452">
            <v>-298</v>
          </cell>
        </row>
        <row r="5453">
          <cell r="N5453">
            <v>-298</v>
          </cell>
        </row>
        <row r="5454">
          <cell r="N5454">
            <v>-22</v>
          </cell>
        </row>
        <row r="5455">
          <cell r="N5455">
            <v>-162</v>
          </cell>
        </row>
        <row r="5456">
          <cell r="N5456">
            <v>-1088.6869999999999</v>
          </cell>
        </row>
        <row r="5457">
          <cell r="N5457">
            <v>-228.732</v>
          </cell>
        </row>
        <row r="5458">
          <cell r="N5458">
            <v>-298</v>
          </cell>
        </row>
        <row r="5459">
          <cell r="N5459">
            <v>-298</v>
          </cell>
        </row>
        <row r="5460">
          <cell r="N5460">
            <v>-713.20600000000002</v>
          </cell>
        </row>
        <row r="5461">
          <cell r="N5461">
            <v>-1.7999999999999999E-2</v>
          </cell>
        </row>
        <row r="5462">
          <cell r="N5462">
            <v>-298</v>
          </cell>
        </row>
        <row r="5463">
          <cell r="N5463">
            <v>-1296.7940000000001</v>
          </cell>
        </row>
        <row r="5464">
          <cell r="N5464">
            <v>-298</v>
          </cell>
        </row>
        <row r="5465">
          <cell r="N5465">
            <v>-162</v>
          </cell>
        </row>
        <row r="5466">
          <cell r="N5466">
            <v>-298</v>
          </cell>
        </row>
        <row r="5467">
          <cell r="N5467">
            <v>-563.73900000000003</v>
          </cell>
        </row>
        <row r="5468">
          <cell r="N5468">
            <v>-1271.519</v>
          </cell>
        </row>
        <row r="5469">
          <cell r="N5469">
            <v>-1229.7940000000001</v>
          </cell>
        </row>
        <row r="5470">
          <cell r="N5470">
            <v>-298</v>
          </cell>
        </row>
        <row r="5471">
          <cell r="N5471">
            <v>-298</v>
          </cell>
        </row>
        <row r="5472">
          <cell r="N5472">
            <v>-1232.268</v>
          </cell>
        </row>
        <row r="5473">
          <cell r="N5473">
            <v>-1297.8140000000001</v>
          </cell>
        </row>
        <row r="5474">
          <cell r="N5474">
            <v>-105</v>
          </cell>
        </row>
        <row r="5475">
          <cell r="N5475">
            <v>-298</v>
          </cell>
        </row>
        <row r="5476">
          <cell r="N5476">
            <v>-298</v>
          </cell>
        </row>
        <row r="5477">
          <cell r="N5477">
            <v>-298</v>
          </cell>
        </row>
        <row r="5478">
          <cell r="N5478">
            <v>-1091.4590000000001</v>
          </cell>
        </row>
        <row r="5479">
          <cell r="N5479">
            <v>-298</v>
          </cell>
        </row>
        <row r="5480">
          <cell r="N5480">
            <v>-298</v>
          </cell>
        </row>
        <row r="5481">
          <cell r="N5481">
            <v>-175.941</v>
          </cell>
        </row>
        <row r="5482">
          <cell r="N5482">
            <v>-161</v>
          </cell>
        </row>
        <row r="5483">
          <cell r="N5483">
            <v>-721</v>
          </cell>
        </row>
        <row r="5484">
          <cell r="N5484">
            <v>-0.50700000000000001</v>
          </cell>
        </row>
        <row r="5485">
          <cell r="N5485">
            <v>-204.059</v>
          </cell>
        </row>
        <row r="5486">
          <cell r="N5486">
            <v>-695.18600000000004</v>
          </cell>
        </row>
        <row r="5487">
          <cell r="N5487">
            <v>-665</v>
          </cell>
        </row>
        <row r="5488">
          <cell r="N5488">
            <v>-200</v>
          </cell>
        </row>
        <row r="5489">
          <cell r="N5489">
            <v>-1247.335</v>
          </cell>
        </row>
        <row r="5490">
          <cell r="N5490">
            <v>-1297.8140000000001</v>
          </cell>
        </row>
        <row r="5491">
          <cell r="N5491">
            <v>-298</v>
          </cell>
        </row>
        <row r="5492">
          <cell r="N5492">
            <v>-298</v>
          </cell>
        </row>
        <row r="5493">
          <cell r="N5493">
            <v>-298</v>
          </cell>
        </row>
        <row r="5494">
          <cell r="N5494">
            <v>-1278.1500000000001</v>
          </cell>
        </row>
        <row r="5495">
          <cell r="N5495">
            <v>-1297.8140000000001</v>
          </cell>
        </row>
        <row r="5496">
          <cell r="N5496">
            <v>-82.242000000000004</v>
          </cell>
        </row>
        <row r="5497">
          <cell r="N5497">
            <v>-6</v>
          </cell>
        </row>
        <row r="5498">
          <cell r="N5498">
            <v>-22</v>
          </cell>
        </row>
        <row r="5499">
          <cell r="N5499">
            <v>-16</v>
          </cell>
        </row>
        <row r="5500">
          <cell r="N5500">
            <v>-734</v>
          </cell>
        </row>
        <row r="5501">
          <cell r="N5501">
            <v>-487.38900000000001</v>
          </cell>
        </row>
        <row r="5502">
          <cell r="N5502">
            <v>-298</v>
          </cell>
        </row>
        <row r="5503">
          <cell r="N5503">
            <v>-298</v>
          </cell>
        </row>
        <row r="5504">
          <cell r="N5504">
            <v>-6</v>
          </cell>
        </row>
        <row r="5505">
          <cell r="N5505">
            <v>-6</v>
          </cell>
        </row>
        <row r="5506">
          <cell r="N5506">
            <v>-6</v>
          </cell>
        </row>
        <row r="5507">
          <cell r="N5507">
            <v>-298</v>
          </cell>
        </row>
        <row r="5508">
          <cell r="N5508">
            <v>-298</v>
          </cell>
        </row>
        <row r="5509">
          <cell r="N5509">
            <v>-1235.9159999999999</v>
          </cell>
        </row>
        <row r="5510">
          <cell r="N5510">
            <v>-162</v>
          </cell>
        </row>
        <row r="5511">
          <cell r="N5511">
            <v>-602.90099999999995</v>
          </cell>
        </row>
        <row r="5512">
          <cell r="N5512">
            <v>-179</v>
          </cell>
        </row>
        <row r="5513">
          <cell r="N5513">
            <v>-298</v>
          </cell>
        </row>
        <row r="5514">
          <cell r="N5514">
            <v>-298</v>
          </cell>
        </row>
        <row r="5515">
          <cell r="N5515">
            <v>-298</v>
          </cell>
        </row>
        <row r="5516">
          <cell r="N5516">
            <v>-298</v>
          </cell>
        </row>
        <row r="5517">
          <cell r="N5517">
            <v>-1296.7940000000001</v>
          </cell>
        </row>
        <row r="5518">
          <cell r="N5518">
            <v>-413.22300000000001</v>
          </cell>
        </row>
        <row r="5519">
          <cell r="N5519">
            <v>-100</v>
          </cell>
        </row>
        <row r="5520">
          <cell r="N5520">
            <v>-835.01800000000003</v>
          </cell>
        </row>
        <row r="5521">
          <cell r="N5521">
            <v>-16</v>
          </cell>
        </row>
        <row r="5522">
          <cell r="N5522">
            <v>-375.22500000000002</v>
          </cell>
        </row>
        <row r="5523">
          <cell r="N5523">
            <v>-732</v>
          </cell>
        </row>
        <row r="5524">
          <cell r="N5524">
            <v>-100</v>
          </cell>
        </row>
        <row r="5525">
          <cell r="N5525">
            <v>-766</v>
          </cell>
        </row>
        <row r="5526">
          <cell r="N5526">
            <v>-298</v>
          </cell>
        </row>
        <row r="5527">
          <cell r="N5527">
            <v>-298</v>
          </cell>
        </row>
        <row r="5528">
          <cell r="N5528">
            <v>-223</v>
          </cell>
        </row>
        <row r="5529">
          <cell r="N5529">
            <v>-298</v>
          </cell>
        </row>
        <row r="5530">
          <cell r="N5530">
            <v>-1031</v>
          </cell>
        </row>
        <row r="5531">
          <cell r="N5531">
            <v>-298</v>
          </cell>
        </row>
        <row r="5532">
          <cell r="N5532">
            <v>-16</v>
          </cell>
        </row>
        <row r="5533">
          <cell r="N5533">
            <v>-6</v>
          </cell>
        </row>
        <row r="5534">
          <cell r="N5534">
            <v>-233.131</v>
          </cell>
        </row>
        <row r="5535">
          <cell r="N5535">
            <v>-761</v>
          </cell>
        </row>
        <row r="5536">
          <cell r="N5536">
            <v>-38</v>
          </cell>
        </row>
        <row r="5537">
          <cell r="N5537">
            <v>-298</v>
          </cell>
        </row>
        <row r="5538">
          <cell r="N5538">
            <v>-18</v>
          </cell>
        </row>
        <row r="5539">
          <cell r="N5539">
            <v>-298</v>
          </cell>
        </row>
        <row r="5540">
          <cell r="N5540">
            <v>-593.82600000000002</v>
          </cell>
        </row>
        <row r="5541">
          <cell r="N5541">
            <v>-1094.7750000000001</v>
          </cell>
        </row>
        <row r="5542">
          <cell r="N5542">
            <v>-622.98199999999997</v>
          </cell>
        </row>
        <row r="5543">
          <cell r="N5543">
            <v>-1212.1089999999999</v>
          </cell>
        </row>
        <row r="5544">
          <cell r="N5544">
            <v>-622.98199999999997</v>
          </cell>
        </row>
        <row r="5545">
          <cell r="N5545">
            <v>-17</v>
          </cell>
        </row>
        <row r="5546">
          <cell r="N5546">
            <v>-16</v>
          </cell>
        </row>
        <row r="5547">
          <cell r="N5547">
            <v>-563.66800000000001</v>
          </cell>
        </row>
        <row r="5548">
          <cell r="N5548">
            <v>-6</v>
          </cell>
        </row>
        <row r="5549">
          <cell r="N5549">
            <v>-298</v>
          </cell>
        </row>
        <row r="5550">
          <cell r="N5550">
            <v>-298</v>
          </cell>
        </row>
        <row r="5551">
          <cell r="N5551">
            <v>-529.24599999999998</v>
          </cell>
        </row>
        <row r="5552">
          <cell r="N5552">
            <v>-12</v>
          </cell>
        </row>
        <row r="5553">
          <cell r="N5553">
            <v>-7</v>
          </cell>
        </row>
        <row r="5554">
          <cell r="N5554">
            <v>-162</v>
          </cell>
        </row>
        <row r="5555">
          <cell r="N5555">
            <v>-162</v>
          </cell>
        </row>
        <row r="5556">
          <cell r="N5556">
            <v>-50</v>
          </cell>
        </row>
        <row r="5557">
          <cell r="N5557">
            <v>-298</v>
          </cell>
        </row>
        <row r="5558">
          <cell r="N5558">
            <v>-63.347000000000001</v>
          </cell>
        </row>
        <row r="5559">
          <cell r="N5559">
            <v>-186.126</v>
          </cell>
        </row>
        <row r="5560">
          <cell r="N5560">
            <v>-354.52699999999999</v>
          </cell>
        </row>
        <row r="5561">
          <cell r="N5561">
            <v>-8.2460000000000004</v>
          </cell>
        </row>
        <row r="5562">
          <cell r="N5562">
            <v>-92.754000000000005</v>
          </cell>
        </row>
        <row r="5563">
          <cell r="N5563">
            <v>-19.399999999999999</v>
          </cell>
        </row>
        <row r="5564">
          <cell r="N5564">
            <v>-6.5</v>
          </cell>
        </row>
        <row r="5565">
          <cell r="N5565">
            <v>-6.5449999999999999</v>
          </cell>
        </row>
        <row r="5566">
          <cell r="N5566">
            <v>-43</v>
          </cell>
        </row>
        <row r="5567">
          <cell r="N5567">
            <v>-42</v>
          </cell>
        </row>
        <row r="5568">
          <cell r="N5568">
            <v>-42</v>
          </cell>
        </row>
        <row r="5569">
          <cell r="N5569">
            <v>-42</v>
          </cell>
        </row>
        <row r="5570">
          <cell r="N5570">
            <v>-42</v>
          </cell>
        </row>
        <row r="5571">
          <cell r="N5571">
            <v>-42</v>
          </cell>
        </row>
        <row r="5572">
          <cell r="N5572">
            <v>-41</v>
          </cell>
        </row>
        <row r="5573">
          <cell r="N5573">
            <v>-42</v>
          </cell>
        </row>
        <row r="5574">
          <cell r="N5574">
            <v>-5</v>
          </cell>
        </row>
        <row r="5575">
          <cell r="N5575">
            <v>-6.4349999999999996</v>
          </cell>
        </row>
        <row r="5576">
          <cell r="N5576">
            <v>-16</v>
          </cell>
        </row>
        <row r="5577">
          <cell r="N5577">
            <v>-22</v>
          </cell>
        </row>
        <row r="5578">
          <cell r="N5578">
            <v>-93.45</v>
          </cell>
        </row>
        <row r="5579">
          <cell r="N5579">
            <v>-46.283999999999999</v>
          </cell>
        </row>
        <row r="5580">
          <cell r="N5580">
            <v>-32.799999999999997</v>
          </cell>
        </row>
        <row r="5581">
          <cell r="N5581">
            <v>-11</v>
          </cell>
        </row>
        <row r="5582">
          <cell r="N5582">
            <v>-20</v>
          </cell>
        </row>
        <row r="5583">
          <cell r="N5583">
            <v>-20</v>
          </cell>
        </row>
        <row r="5584">
          <cell r="N5584">
            <v>-20</v>
          </cell>
        </row>
        <row r="5585">
          <cell r="N5585">
            <v>-20</v>
          </cell>
        </row>
        <row r="5586">
          <cell r="N5586">
            <v>-0.85</v>
          </cell>
        </row>
        <row r="5587">
          <cell r="N5587">
            <v>-10</v>
          </cell>
        </row>
        <row r="5588">
          <cell r="N5588">
            <v>-35.152000000000001</v>
          </cell>
        </row>
        <row r="5589">
          <cell r="N5589">
            <v>-964.84799999999996</v>
          </cell>
        </row>
        <row r="5590">
          <cell r="N5590">
            <v>-964.84699999999998</v>
          </cell>
        </row>
        <row r="5591">
          <cell r="N5591">
            <v>-134</v>
          </cell>
        </row>
        <row r="5592">
          <cell r="N5592">
            <v>-983.52200000000005</v>
          </cell>
        </row>
        <row r="5593">
          <cell r="N5593">
            <v>-2885</v>
          </cell>
        </row>
        <row r="5594">
          <cell r="N5594">
            <v>-750</v>
          </cell>
        </row>
        <row r="5595">
          <cell r="N5595">
            <v>-1012</v>
          </cell>
        </row>
        <row r="5596">
          <cell r="N5596">
            <v>-1003</v>
          </cell>
        </row>
        <row r="5597">
          <cell r="N5597">
            <v>-8.6750000000000007</v>
          </cell>
        </row>
        <row r="5598">
          <cell r="N5598">
            <v>-0.82499999999999996</v>
          </cell>
        </row>
        <row r="5599">
          <cell r="N5599">
            <v>-2.6909999999999998</v>
          </cell>
        </row>
        <row r="5600">
          <cell r="N5600">
            <v>-1005.309</v>
          </cell>
        </row>
        <row r="5601">
          <cell r="N5601">
            <v>-148.51499999999999</v>
          </cell>
        </row>
        <row r="5602">
          <cell r="N5602">
            <v>-434.18099999999998</v>
          </cell>
        </row>
        <row r="5603">
          <cell r="N5603">
            <v>-42</v>
          </cell>
        </row>
        <row r="5604">
          <cell r="N5604">
            <v>-100</v>
          </cell>
        </row>
        <row r="5605">
          <cell r="N5605">
            <v>-1.046</v>
          </cell>
        </row>
        <row r="5606">
          <cell r="N5606">
            <v>-6.47</v>
          </cell>
        </row>
        <row r="5607">
          <cell r="N5607">
            <v>-6.47</v>
          </cell>
        </row>
        <row r="5608">
          <cell r="N5608">
            <v>-2.0459999999999998</v>
          </cell>
        </row>
        <row r="5609">
          <cell r="N5609">
            <v>-6.359</v>
          </cell>
        </row>
        <row r="5610">
          <cell r="N5610">
            <v>-3.0640000000000001</v>
          </cell>
        </row>
        <row r="5611">
          <cell r="N5611">
            <v>-4.6550000000000002</v>
          </cell>
        </row>
        <row r="5612">
          <cell r="N5612">
            <v>-1.5569999999999999</v>
          </cell>
        </row>
        <row r="5613">
          <cell r="N5613">
            <v>-1074</v>
          </cell>
        </row>
        <row r="5614">
          <cell r="N5614">
            <v>-460</v>
          </cell>
        </row>
        <row r="5615">
          <cell r="N5615">
            <v>-14.381</v>
          </cell>
        </row>
        <row r="5616">
          <cell r="N5616">
            <v>-10</v>
          </cell>
        </row>
        <row r="5617">
          <cell r="N5617">
            <v>-371.37299999999999</v>
          </cell>
        </row>
        <row r="5618">
          <cell r="N5618">
            <v>-231.62700000000001</v>
          </cell>
        </row>
        <row r="5619">
          <cell r="N5619">
            <v>-485.61900000000003</v>
          </cell>
        </row>
        <row r="5620">
          <cell r="N5620">
            <v>-190.75</v>
          </cell>
        </row>
        <row r="5621">
          <cell r="N5621">
            <v>-75.25</v>
          </cell>
        </row>
        <row r="5622">
          <cell r="N5622">
            <v>-600</v>
          </cell>
        </row>
        <row r="5623">
          <cell r="N5623">
            <v>-482</v>
          </cell>
        </row>
        <row r="5624">
          <cell r="N5624">
            <v>-77</v>
          </cell>
        </row>
        <row r="5625">
          <cell r="N5625">
            <v>-186.745</v>
          </cell>
        </row>
        <row r="5626">
          <cell r="N5626">
            <v>-1150</v>
          </cell>
        </row>
        <row r="5627">
          <cell r="N5627">
            <v>-302.56400000000002</v>
          </cell>
        </row>
        <row r="5628">
          <cell r="N5628">
            <v>-460.98700000000002</v>
          </cell>
        </row>
        <row r="5629">
          <cell r="N5629">
            <v>-28</v>
          </cell>
        </row>
        <row r="5630">
          <cell r="N5630">
            <v>-552</v>
          </cell>
        </row>
        <row r="5631">
          <cell r="N5631">
            <v>-100</v>
          </cell>
        </row>
        <row r="5632">
          <cell r="N5632">
            <v>-300</v>
          </cell>
        </row>
        <row r="5633">
          <cell r="N5633">
            <v>-86.593999999999994</v>
          </cell>
        </row>
        <row r="5634">
          <cell r="N5634">
            <v>-27</v>
          </cell>
        </row>
        <row r="5635">
          <cell r="N5635">
            <v>-838</v>
          </cell>
        </row>
        <row r="5636">
          <cell r="N5636">
            <v>-343.40600000000001</v>
          </cell>
        </row>
        <row r="5637">
          <cell r="N5637">
            <v>-663</v>
          </cell>
        </row>
        <row r="5638">
          <cell r="N5638">
            <v>-25</v>
          </cell>
        </row>
        <row r="5639">
          <cell r="N5639">
            <v>-22.748000000000001</v>
          </cell>
        </row>
        <row r="5640">
          <cell r="N5640">
            <v>-13.288</v>
          </cell>
        </row>
        <row r="5641">
          <cell r="N5641">
            <v>-350</v>
          </cell>
        </row>
        <row r="5642">
          <cell r="N5642">
            <v>-16</v>
          </cell>
        </row>
        <row r="5643">
          <cell r="N5643">
            <v>-191.37</v>
          </cell>
        </row>
        <row r="5644">
          <cell r="N5644">
            <v>-24.725999999999999</v>
          </cell>
        </row>
        <row r="5645">
          <cell r="N5645">
            <v>-10.201000000000001</v>
          </cell>
        </row>
        <row r="5646">
          <cell r="N5646">
            <v>-0.35199999999999998</v>
          </cell>
        </row>
        <row r="5647">
          <cell r="N5647">
            <v>-9.8000000000000004E-2</v>
          </cell>
        </row>
        <row r="5648">
          <cell r="N5648">
            <v>-17.803000000000001</v>
          </cell>
        </row>
        <row r="5649">
          <cell r="N5649">
            <v>-20.968</v>
          </cell>
        </row>
        <row r="5650">
          <cell r="N5650">
            <v>-21.263999999999999</v>
          </cell>
        </row>
        <row r="5651">
          <cell r="N5651">
            <v>-9.2189999999999994</v>
          </cell>
        </row>
        <row r="5652">
          <cell r="N5652">
            <v>-21.067</v>
          </cell>
        </row>
        <row r="5653">
          <cell r="N5653">
            <v>-12.164999999999999</v>
          </cell>
        </row>
        <row r="5654">
          <cell r="N5654">
            <v>-9.8190000000000008</v>
          </cell>
        </row>
        <row r="5655">
          <cell r="N5655">
            <v>-25.122</v>
          </cell>
        </row>
        <row r="5656">
          <cell r="N5656">
            <v>-27.199000000000002</v>
          </cell>
        </row>
        <row r="5657">
          <cell r="N5657">
            <v>-12.18</v>
          </cell>
        </row>
        <row r="5658">
          <cell r="N5658">
            <v>-97.406000000000006</v>
          </cell>
        </row>
        <row r="5659">
          <cell r="N5659">
            <v>-150</v>
          </cell>
        </row>
        <row r="5660">
          <cell r="N5660">
            <v>-2.9660000000000002</v>
          </cell>
        </row>
        <row r="5661">
          <cell r="N5661">
            <v>-307.36700000000002</v>
          </cell>
        </row>
        <row r="5662">
          <cell r="N5662">
            <v>-0.23100000000000001</v>
          </cell>
        </row>
        <row r="5663">
          <cell r="N5663">
            <v>-0.63900000000000001</v>
          </cell>
        </row>
        <row r="5664">
          <cell r="N5664">
            <v>-24.725999999999999</v>
          </cell>
        </row>
        <row r="5665">
          <cell r="N5665">
            <v>-18.359000000000002</v>
          </cell>
        </row>
        <row r="5666">
          <cell r="N5666">
            <v>-0.91900000000000004</v>
          </cell>
        </row>
        <row r="5667">
          <cell r="N5667">
            <v>-0.89200000000000002</v>
          </cell>
        </row>
        <row r="5668">
          <cell r="N5668">
            <v>-27.001000000000001</v>
          </cell>
        </row>
        <row r="5669">
          <cell r="N5669">
            <v>-9.11</v>
          </cell>
        </row>
        <row r="5670">
          <cell r="N5670">
            <v>-1.827</v>
          </cell>
        </row>
        <row r="5671">
          <cell r="N5671">
            <v>-1.44</v>
          </cell>
        </row>
        <row r="5672">
          <cell r="N5672">
            <v>-0.13100000000000001</v>
          </cell>
        </row>
        <row r="5673">
          <cell r="N5673">
            <v>-128.30099999999999</v>
          </cell>
        </row>
        <row r="5674">
          <cell r="N5674">
            <v>-13.462</v>
          </cell>
        </row>
        <row r="5675">
          <cell r="N5675">
            <v>-0.318</v>
          </cell>
        </row>
        <row r="5676">
          <cell r="N5676">
            <v>-7.1589999999999998</v>
          </cell>
        </row>
        <row r="5677">
          <cell r="N5677">
            <v>-21.462</v>
          </cell>
        </row>
        <row r="5678">
          <cell r="N5678">
            <v>-2.0609999999999999</v>
          </cell>
        </row>
        <row r="5679">
          <cell r="N5679">
            <v>-1.0589999999999999</v>
          </cell>
        </row>
        <row r="5680">
          <cell r="N5680">
            <v>-10.801</v>
          </cell>
        </row>
        <row r="5681">
          <cell r="N5681">
            <v>-3.8730000000000002</v>
          </cell>
        </row>
        <row r="5682">
          <cell r="N5682">
            <v>-10.092000000000001</v>
          </cell>
        </row>
        <row r="5683">
          <cell r="N5683">
            <v>-30.166</v>
          </cell>
        </row>
        <row r="5684">
          <cell r="N5684">
            <v>-22.919</v>
          </cell>
        </row>
        <row r="5685">
          <cell r="N5685">
            <v>-30.119</v>
          </cell>
        </row>
        <row r="5686">
          <cell r="N5686">
            <v>-1.6359999999999999</v>
          </cell>
        </row>
        <row r="5687">
          <cell r="N5687">
            <v>-4.4189999999999996</v>
          </cell>
        </row>
        <row r="5688">
          <cell r="N5688">
            <v>-7.68</v>
          </cell>
        </row>
        <row r="5689">
          <cell r="N5689">
            <v>-22.946000000000002</v>
          </cell>
        </row>
        <row r="5690">
          <cell r="N5690">
            <v>-40.131999999999998</v>
          </cell>
        </row>
        <row r="5691">
          <cell r="N5691">
            <v>-40</v>
          </cell>
        </row>
        <row r="5692">
          <cell r="N5692">
            <v>-8.6050000000000004</v>
          </cell>
        </row>
        <row r="5693">
          <cell r="N5693">
            <v>-22.946000000000002</v>
          </cell>
        </row>
        <row r="5694">
          <cell r="N5694">
            <v>-9.3829999999999991</v>
          </cell>
        </row>
        <row r="5695">
          <cell r="N5695">
            <v>-3.3279999999999998</v>
          </cell>
        </row>
        <row r="5696">
          <cell r="N5696">
            <v>-3.5459999999999998</v>
          </cell>
        </row>
        <row r="5697">
          <cell r="N5697">
            <v>-23.143999999999998</v>
          </cell>
        </row>
        <row r="5698">
          <cell r="N5698">
            <v>-28.559000000000001</v>
          </cell>
        </row>
        <row r="5699">
          <cell r="N5699">
            <v>-3.6549999999999998</v>
          </cell>
        </row>
        <row r="5700">
          <cell r="N5700">
            <v>-26.012</v>
          </cell>
        </row>
        <row r="5701">
          <cell r="N5701">
            <v>-29.039000000000001</v>
          </cell>
        </row>
        <row r="5702">
          <cell r="N5702">
            <v>-23.242000000000001</v>
          </cell>
        </row>
        <row r="5703">
          <cell r="N5703">
            <v>-24.959</v>
          </cell>
        </row>
        <row r="5704">
          <cell r="N5704">
            <v>-3.4910000000000001</v>
          </cell>
        </row>
        <row r="5705">
          <cell r="N5705">
            <v>-9.3829999999999991</v>
          </cell>
        </row>
        <row r="5706">
          <cell r="N5706">
            <v>-10.364000000000001</v>
          </cell>
        </row>
        <row r="5707">
          <cell r="N5707">
            <v>-3.8180000000000001</v>
          </cell>
        </row>
        <row r="5708">
          <cell r="N5708">
            <v>-3.9279999999999999</v>
          </cell>
        </row>
        <row r="5709">
          <cell r="N5709">
            <v>-26.012</v>
          </cell>
        </row>
        <row r="5710">
          <cell r="N5710">
            <v>-5</v>
          </cell>
        </row>
        <row r="5711">
          <cell r="N5711">
            <v>-20.77</v>
          </cell>
        </row>
        <row r="5712">
          <cell r="N5712">
            <v>-3.8730000000000002</v>
          </cell>
        </row>
        <row r="5713">
          <cell r="N5713">
            <v>-3.4910000000000001</v>
          </cell>
        </row>
        <row r="5714">
          <cell r="N5714">
            <v>-18.495000000000001</v>
          </cell>
        </row>
        <row r="5715">
          <cell r="N5715">
            <v>-3.5459999999999998</v>
          </cell>
        </row>
        <row r="5716">
          <cell r="N5716">
            <v>-9.0009999999999994</v>
          </cell>
        </row>
        <row r="5717">
          <cell r="N5717">
            <v>-32.997999999999998</v>
          </cell>
        </row>
        <row r="5718">
          <cell r="N5718">
            <v>-18.792000000000002</v>
          </cell>
        </row>
        <row r="5719">
          <cell r="N5719">
            <v>-10.146000000000001</v>
          </cell>
        </row>
        <row r="5720">
          <cell r="N5720">
            <v>-27.396000000000001</v>
          </cell>
        </row>
        <row r="5721">
          <cell r="N5721">
            <v>-3.6</v>
          </cell>
        </row>
        <row r="5722">
          <cell r="N5722">
            <v>-23.44</v>
          </cell>
        </row>
        <row r="5723">
          <cell r="N5723">
            <v>-24.119</v>
          </cell>
        </row>
        <row r="5724">
          <cell r="N5724">
            <v>-3.7090000000000001</v>
          </cell>
        </row>
        <row r="5725">
          <cell r="N5725">
            <v>-3.1640000000000001</v>
          </cell>
        </row>
        <row r="5726">
          <cell r="N5726">
            <v>-22.649000000000001</v>
          </cell>
        </row>
        <row r="5727">
          <cell r="N5727">
            <v>-10.583</v>
          </cell>
        </row>
        <row r="5728">
          <cell r="N5728">
            <v>-3.7639999999999998</v>
          </cell>
        </row>
        <row r="5729">
          <cell r="N5729">
            <v>-27.99</v>
          </cell>
        </row>
        <row r="5730">
          <cell r="N5730">
            <v>-3.6549999999999998</v>
          </cell>
        </row>
        <row r="5731">
          <cell r="N5731">
            <v>-31.558</v>
          </cell>
        </row>
        <row r="5732">
          <cell r="N5732">
            <v>-10.965</v>
          </cell>
        </row>
        <row r="5733">
          <cell r="N5733">
            <v>-4.0369999999999999</v>
          </cell>
        </row>
        <row r="5734">
          <cell r="N5734">
            <v>-3.3820000000000001</v>
          </cell>
        </row>
        <row r="5735">
          <cell r="N5735">
            <v>-31.558</v>
          </cell>
        </row>
        <row r="5736">
          <cell r="N5736">
            <v>-3.9279999999999999</v>
          </cell>
        </row>
        <row r="5737">
          <cell r="N5737">
            <v>-2.891</v>
          </cell>
        </row>
        <row r="5738">
          <cell r="N5738">
            <v>-9.6549999999999994</v>
          </cell>
        </row>
        <row r="5739">
          <cell r="N5739">
            <v>-26.704000000000001</v>
          </cell>
        </row>
        <row r="5740">
          <cell r="N5740">
            <v>-26.638999999999999</v>
          </cell>
        </row>
        <row r="5741">
          <cell r="N5741">
            <v>-26.012</v>
          </cell>
        </row>
        <row r="5742">
          <cell r="N5742">
            <v>-9.11</v>
          </cell>
        </row>
        <row r="5743">
          <cell r="N5743">
            <v>-12.545999999999999</v>
          </cell>
        </row>
        <row r="5744">
          <cell r="N5744">
            <v>-9.7639999999999993</v>
          </cell>
        </row>
        <row r="5745">
          <cell r="N5745">
            <v>-27.495000000000001</v>
          </cell>
        </row>
        <row r="5746">
          <cell r="N5746">
            <v>-124.754</v>
          </cell>
        </row>
        <row r="5747">
          <cell r="N5747">
            <v>-461.86799999999999</v>
          </cell>
        </row>
        <row r="5748">
          <cell r="N5748">
            <v>-337.11399999999998</v>
          </cell>
        </row>
        <row r="5749">
          <cell r="N5749">
            <v>-28.079000000000001</v>
          </cell>
        </row>
        <row r="5750">
          <cell r="N5750">
            <v>-22.649000000000001</v>
          </cell>
        </row>
        <row r="5751">
          <cell r="N5751">
            <v>-32.878</v>
          </cell>
        </row>
        <row r="5752">
          <cell r="N5752">
            <v>-14.183</v>
          </cell>
        </row>
        <row r="5753">
          <cell r="N5753">
            <v>-25.122</v>
          </cell>
        </row>
        <row r="5754">
          <cell r="N5754">
            <v>-14.456</v>
          </cell>
        </row>
        <row r="5755">
          <cell r="N5755">
            <v>-28.582999999999998</v>
          </cell>
        </row>
        <row r="5756">
          <cell r="N5756">
            <v>-29.158999999999999</v>
          </cell>
        </row>
        <row r="5757">
          <cell r="N5757">
            <v>-15.874000000000001</v>
          </cell>
        </row>
        <row r="5758">
          <cell r="N5758">
            <v>-15.929</v>
          </cell>
        </row>
        <row r="5759">
          <cell r="N5759">
            <v>-3.8730000000000002</v>
          </cell>
        </row>
        <row r="5760">
          <cell r="N5760">
            <v>-25.22</v>
          </cell>
        </row>
        <row r="5761">
          <cell r="N5761">
            <v>-5.2370000000000001</v>
          </cell>
        </row>
        <row r="5762">
          <cell r="N5762">
            <v>-28.798999999999999</v>
          </cell>
        </row>
        <row r="5763">
          <cell r="N5763">
            <v>-4.2</v>
          </cell>
        </row>
        <row r="5764">
          <cell r="N5764">
            <v>-16.091999999999999</v>
          </cell>
        </row>
        <row r="5765">
          <cell r="N5765">
            <v>-25.318999999999999</v>
          </cell>
        </row>
        <row r="5766">
          <cell r="N5766">
            <v>-3.3279999999999998</v>
          </cell>
        </row>
        <row r="5767">
          <cell r="N5767">
            <v>-15.929</v>
          </cell>
        </row>
        <row r="5768">
          <cell r="N5768">
            <v>-27.959</v>
          </cell>
        </row>
        <row r="5769">
          <cell r="N5769">
            <v>-17.510999999999999</v>
          </cell>
        </row>
        <row r="5770">
          <cell r="N5770">
            <v>-3.3279999999999998</v>
          </cell>
        </row>
        <row r="5771">
          <cell r="N5771">
            <v>-15.874000000000001</v>
          </cell>
        </row>
        <row r="5772">
          <cell r="N5772">
            <v>-30.838000000000001</v>
          </cell>
        </row>
        <row r="5773">
          <cell r="N5773">
            <v>-4.1459999999999999</v>
          </cell>
        </row>
        <row r="5774">
          <cell r="N5774">
            <v>-14.728</v>
          </cell>
        </row>
        <row r="5775">
          <cell r="N5775">
            <v>-4.5279999999999996</v>
          </cell>
        </row>
        <row r="5776">
          <cell r="N5776">
            <v>-15.929</v>
          </cell>
        </row>
        <row r="5777">
          <cell r="N5777">
            <v>-3.2730000000000001</v>
          </cell>
        </row>
        <row r="5778">
          <cell r="N5778">
            <v>-24.824999999999999</v>
          </cell>
        </row>
        <row r="5779">
          <cell r="N5779">
            <v>-30.599</v>
          </cell>
        </row>
        <row r="5780">
          <cell r="N5780">
            <v>-3.2730000000000001</v>
          </cell>
        </row>
        <row r="5781">
          <cell r="N5781">
            <v>-1.879</v>
          </cell>
        </row>
        <row r="5782">
          <cell r="N5782">
            <v>-4.5819999999999999</v>
          </cell>
        </row>
        <row r="5783">
          <cell r="N5783">
            <v>-15.929</v>
          </cell>
        </row>
        <row r="5784">
          <cell r="N5784">
            <v>-17.129000000000001</v>
          </cell>
        </row>
        <row r="5785">
          <cell r="N5785">
            <v>-21.858000000000001</v>
          </cell>
        </row>
        <row r="5786">
          <cell r="N5786">
            <v>-22.154</v>
          </cell>
        </row>
        <row r="5787">
          <cell r="N5787">
            <v>-16.965</v>
          </cell>
        </row>
        <row r="5788">
          <cell r="N5788">
            <v>-16.091999999999999</v>
          </cell>
        </row>
        <row r="5789">
          <cell r="N5789">
            <v>-13.747</v>
          </cell>
        </row>
        <row r="5790">
          <cell r="N5790">
            <v>-4.6909999999999998</v>
          </cell>
        </row>
        <row r="5791">
          <cell r="N5791">
            <v>-15.492000000000001</v>
          </cell>
        </row>
        <row r="5792">
          <cell r="N5792">
            <v>-4.2</v>
          </cell>
        </row>
        <row r="5793">
          <cell r="N5793">
            <v>-28.199000000000002</v>
          </cell>
        </row>
        <row r="5794">
          <cell r="N5794">
            <v>-3.9820000000000002</v>
          </cell>
        </row>
        <row r="5795">
          <cell r="N5795">
            <v>-28.187999999999999</v>
          </cell>
        </row>
        <row r="5796">
          <cell r="N5796">
            <v>-31.946000000000002</v>
          </cell>
        </row>
        <row r="5797">
          <cell r="N5797">
            <v>-4.3639999999999999</v>
          </cell>
        </row>
        <row r="5798">
          <cell r="N5798">
            <v>-17.510999999999999</v>
          </cell>
        </row>
        <row r="5799">
          <cell r="N5799">
            <v>-444.39499999999998</v>
          </cell>
        </row>
        <row r="5800">
          <cell r="N5800">
            <v>-14.183</v>
          </cell>
        </row>
        <row r="5801">
          <cell r="N5801">
            <v>-13.147</v>
          </cell>
        </row>
        <row r="5802">
          <cell r="N5802">
            <v>-23.539000000000001</v>
          </cell>
        </row>
        <row r="5803">
          <cell r="N5803">
            <v>-30.363</v>
          </cell>
        </row>
        <row r="5804">
          <cell r="N5804">
            <v>-5.2370000000000001</v>
          </cell>
        </row>
        <row r="5805">
          <cell r="N5805">
            <v>-4.0910000000000002</v>
          </cell>
        </row>
        <row r="5806">
          <cell r="N5806">
            <v>-34.078000000000003</v>
          </cell>
        </row>
        <row r="5807">
          <cell r="N5807">
            <v>-1.1459999999999999</v>
          </cell>
        </row>
        <row r="5808">
          <cell r="N5808">
            <v>-15.273999999999999</v>
          </cell>
        </row>
        <row r="5809">
          <cell r="N5809">
            <v>-579.29999999999995</v>
          </cell>
        </row>
        <row r="5810">
          <cell r="N5810">
            <v>-25.616</v>
          </cell>
        </row>
        <row r="5811">
          <cell r="N5811">
            <v>-27.890999999999998</v>
          </cell>
        </row>
        <row r="5812">
          <cell r="N5812">
            <v>-17.129000000000001</v>
          </cell>
        </row>
        <row r="5813">
          <cell r="N5813">
            <v>-22.154</v>
          </cell>
        </row>
        <row r="5814">
          <cell r="N5814">
            <v>-3.9820000000000002</v>
          </cell>
        </row>
        <row r="5815">
          <cell r="N5815">
            <v>-4.0910000000000002</v>
          </cell>
        </row>
        <row r="5816">
          <cell r="N5816">
            <v>-15.11</v>
          </cell>
        </row>
        <row r="5817">
          <cell r="N5817">
            <v>-10.692</v>
          </cell>
        </row>
        <row r="5818">
          <cell r="N5818">
            <v>-34.122</v>
          </cell>
        </row>
        <row r="5819">
          <cell r="N5819">
            <v>-9.0549999999999997</v>
          </cell>
        </row>
        <row r="5820">
          <cell r="N5820">
            <v>-18.495000000000001</v>
          </cell>
        </row>
        <row r="5821">
          <cell r="N5821">
            <v>-164</v>
          </cell>
        </row>
        <row r="5822">
          <cell r="N5822">
            <v>-33.597999999999999</v>
          </cell>
        </row>
        <row r="5823">
          <cell r="N5823">
            <v>-28.088999999999999</v>
          </cell>
        </row>
        <row r="5824">
          <cell r="N5824">
            <v>-4.4189999999999996</v>
          </cell>
        </row>
        <row r="5825">
          <cell r="N5825">
            <v>-3.6</v>
          </cell>
        </row>
        <row r="5826">
          <cell r="N5826">
            <v>-4.1459999999999999</v>
          </cell>
        </row>
        <row r="5827">
          <cell r="N5827">
            <v>-27.99</v>
          </cell>
        </row>
        <row r="5828">
          <cell r="N5828">
            <v>-6.8239999999999998</v>
          </cell>
        </row>
        <row r="5829">
          <cell r="N5829">
            <v>-23.934999999999999</v>
          </cell>
        </row>
        <row r="5830">
          <cell r="N5830">
            <v>-9</v>
          </cell>
        </row>
        <row r="5831">
          <cell r="N5831">
            <v>-3.0000000000000001E-3</v>
          </cell>
        </row>
        <row r="5832">
          <cell r="N5832">
            <v>-16.091999999999999</v>
          </cell>
        </row>
        <row r="5833">
          <cell r="N5833">
            <v>-6.4290000000000003</v>
          </cell>
        </row>
        <row r="5834">
          <cell r="N5834">
            <v>-16.420000000000002</v>
          </cell>
        </row>
        <row r="5835">
          <cell r="N5835">
            <v>-27.001000000000001</v>
          </cell>
        </row>
        <row r="5836">
          <cell r="N5836">
            <v>-24.33</v>
          </cell>
        </row>
        <row r="5837">
          <cell r="N5837">
            <v>-20.968</v>
          </cell>
        </row>
        <row r="5838">
          <cell r="N5838">
            <v>-15.601000000000001</v>
          </cell>
        </row>
        <row r="5839">
          <cell r="N5839">
            <v>-29.279</v>
          </cell>
        </row>
        <row r="5840">
          <cell r="N5840">
            <v>-9.9280000000000008</v>
          </cell>
        </row>
        <row r="5841">
          <cell r="N5841">
            <v>-7.319</v>
          </cell>
        </row>
        <row r="5842">
          <cell r="N5842">
            <v>-21.759</v>
          </cell>
        </row>
        <row r="5843">
          <cell r="N5843">
            <v>-9.7910000000000004</v>
          </cell>
        </row>
        <row r="5844">
          <cell r="N5844">
            <v>-5.5640000000000001</v>
          </cell>
        </row>
        <row r="5845">
          <cell r="N5845">
            <v>-29.077999999999999</v>
          </cell>
        </row>
        <row r="5846">
          <cell r="N5846">
            <v>-29.998999999999999</v>
          </cell>
        </row>
        <row r="5847">
          <cell r="N5847">
            <v>-21.66</v>
          </cell>
        </row>
        <row r="5848">
          <cell r="N5848">
            <v>-12.000999999999999</v>
          </cell>
        </row>
        <row r="5849">
          <cell r="N5849">
            <v>-12.164999999999999</v>
          </cell>
        </row>
        <row r="5850">
          <cell r="N5850">
            <v>-20.472999999999999</v>
          </cell>
        </row>
        <row r="5851">
          <cell r="N5851">
            <v>-7.1210000000000004</v>
          </cell>
        </row>
        <row r="5852">
          <cell r="N5852">
            <v>-3.6549999999999998</v>
          </cell>
        </row>
        <row r="5853">
          <cell r="N5853">
            <v>-20.869</v>
          </cell>
        </row>
        <row r="5854">
          <cell r="N5854">
            <v>-8.6189999999999998</v>
          </cell>
        </row>
        <row r="5855">
          <cell r="N5855">
            <v>-26.803000000000001</v>
          </cell>
        </row>
        <row r="5856">
          <cell r="N5856">
            <v>-9.11</v>
          </cell>
        </row>
        <row r="5857">
          <cell r="N5857">
            <v>-2.8370000000000002</v>
          </cell>
        </row>
        <row r="5858">
          <cell r="N5858">
            <v>-3.3279999999999998</v>
          </cell>
        </row>
        <row r="5859">
          <cell r="N5859">
            <v>-26.012</v>
          </cell>
        </row>
        <row r="5860">
          <cell r="N5860">
            <v>-15.923999999999999</v>
          </cell>
        </row>
        <row r="5861">
          <cell r="N5861">
            <v>-24.119</v>
          </cell>
        </row>
        <row r="5862">
          <cell r="N5862">
            <v>-20.77</v>
          </cell>
        </row>
        <row r="5863">
          <cell r="N5863">
            <v>-23.835999999999999</v>
          </cell>
        </row>
        <row r="5864">
          <cell r="N5864">
            <v>-13.91</v>
          </cell>
        </row>
        <row r="5865">
          <cell r="N5865">
            <v>-4.3639999999999999</v>
          </cell>
        </row>
        <row r="5866">
          <cell r="N5866">
            <v>-4.1459999999999999</v>
          </cell>
        </row>
        <row r="5867">
          <cell r="N5867">
            <v>-25.023</v>
          </cell>
        </row>
        <row r="5868">
          <cell r="N5868">
            <v>-15.000999999999999</v>
          </cell>
        </row>
        <row r="5869">
          <cell r="N5869">
            <v>-9.11</v>
          </cell>
        </row>
        <row r="5870">
          <cell r="N5870">
            <v>-15.874000000000001</v>
          </cell>
        </row>
        <row r="5871">
          <cell r="N5871">
            <v>-22.55</v>
          </cell>
        </row>
        <row r="5872">
          <cell r="N5872">
            <v>-24.478999999999999</v>
          </cell>
        </row>
        <row r="5873">
          <cell r="N5873">
            <v>-3.2730000000000001</v>
          </cell>
        </row>
        <row r="5874">
          <cell r="N5874">
            <v>-4.0910000000000002</v>
          </cell>
        </row>
        <row r="5875">
          <cell r="N5875">
            <v>-10.978</v>
          </cell>
        </row>
        <row r="5876">
          <cell r="N5876">
            <v>-9.7910000000000004</v>
          </cell>
        </row>
        <row r="5877">
          <cell r="N5877">
            <v>-3.6</v>
          </cell>
        </row>
        <row r="5878">
          <cell r="N5878">
            <v>-4.2</v>
          </cell>
        </row>
        <row r="5879">
          <cell r="N5879">
            <v>-19.88</v>
          </cell>
        </row>
        <row r="5880">
          <cell r="N5880">
            <v>-6.11</v>
          </cell>
        </row>
        <row r="5881">
          <cell r="N5881">
            <v>-3.7090000000000001</v>
          </cell>
        </row>
        <row r="5882">
          <cell r="N5882">
            <v>-30.363</v>
          </cell>
        </row>
        <row r="5883">
          <cell r="N5883">
            <v>-4.0910000000000002</v>
          </cell>
        </row>
        <row r="5884">
          <cell r="N5884">
            <v>-2.5640000000000001</v>
          </cell>
        </row>
        <row r="5885">
          <cell r="N5885">
            <v>-14.782999999999999</v>
          </cell>
        </row>
        <row r="5886">
          <cell r="N5886">
            <v>-14.292</v>
          </cell>
        </row>
        <row r="5887">
          <cell r="N5887">
            <v>-14.456</v>
          </cell>
        </row>
        <row r="5888">
          <cell r="N5888">
            <v>-11.673999999999999</v>
          </cell>
        </row>
        <row r="5889">
          <cell r="N5889">
            <v>-29.670999999999999</v>
          </cell>
        </row>
        <row r="5890">
          <cell r="N5890">
            <v>-18.198</v>
          </cell>
        </row>
        <row r="5891">
          <cell r="N5891">
            <v>-30.363</v>
          </cell>
        </row>
        <row r="5892">
          <cell r="N5892">
            <v>-7.6159999999999997</v>
          </cell>
        </row>
        <row r="5893">
          <cell r="N5893">
            <v>-3.2730000000000001</v>
          </cell>
        </row>
        <row r="5894">
          <cell r="N5894">
            <v>-2.6179999999999999</v>
          </cell>
        </row>
        <row r="5895">
          <cell r="N5895">
            <v>-3.6549999999999998</v>
          </cell>
        </row>
        <row r="5896">
          <cell r="N5896">
            <v>-20.968</v>
          </cell>
        </row>
        <row r="5897">
          <cell r="N5897">
            <v>-16.364999999999998</v>
          </cell>
        </row>
        <row r="5898">
          <cell r="N5898">
            <v>-24.239000000000001</v>
          </cell>
        </row>
        <row r="5899">
          <cell r="N5899">
            <v>-11.237</v>
          </cell>
        </row>
        <row r="5900">
          <cell r="N5900">
            <v>-27.599</v>
          </cell>
        </row>
        <row r="5901">
          <cell r="N5901">
            <v>-4.8550000000000004</v>
          </cell>
        </row>
        <row r="5902">
          <cell r="N5902">
            <v>-4.2549999999999999</v>
          </cell>
        </row>
        <row r="5903">
          <cell r="N5903">
            <v>-22.55</v>
          </cell>
        </row>
        <row r="5904">
          <cell r="N5904">
            <v>-14.891999999999999</v>
          </cell>
        </row>
        <row r="5905">
          <cell r="N5905">
            <v>-3.2730000000000001</v>
          </cell>
        </row>
        <row r="5906">
          <cell r="N5906">
            <v>-13.55</v>
          </cell>
        </row>
        <row r="5907">
          <cell r="N5907">
            <v>-2.1819999999999999</v>
          </cell>
        </row>
        <row r="5908">
          <cell r="N5908">
            <v>-4.8550000000000004</v>
          </cell>
        </row>
        <row r="5909">
          <cell r="N5909">
            <v>-25.419</v>
          </cell>
        </row>
        <row r="5910">
          <cell r="N5910">
            <v>-3.8730000000000002</v>
          </cell>
        </row>
        <row r="5911">
          <cell r="N5911">
            <v>-18.655999999999999</v>
          </cell>
        </row>
        <row r="5912">
          <cell r="N5912">
            <v>-3.8180000000000001</v>
          </cell>
        </row>
        <row r="5913">
          <cell r="N5913">
            <v>-3.5459999999999998</v>
          </cell>
        </row>
        <row r="5914">
          <cell r="N5914">
            <v>-6.3819999999999997</v>
          </cell>
        </row>
        <row r="5915">
          <cell r="N5915">
            <v>-26.039000000000001</v>
          </cell>
        </row>
        <row r="5916">
          <cell r="N5916">
            <v>-20.274999999999999</v>
          </cell>
        </row>
        <row r="5917">
          <cell r="N5917">
            <v>-15.055999999999999</v>
          </cell>
        </row>
        <row r="5918">
          <cell r="N5918">
            <v>-34.917999999999999</v>
          </cell>
        </row>
        <row r="5919">
          <cell r="N5919">
            <v>-13.692</v>
          </cell>
        </row>
        <row r="5920">
          <cell r="N5920">
            <v>-13.31</v>
          </cell>
        </row>
        <row r="5921">
          <cell r="N5921">
            <v>-21.858000000000001</v>
          </cell>
        </row>
        <row r="5922">
          <cell r="N5922">
            <v>-0.02</v>
          </cell>
        </row>
        <row r="5923">
          <cell r="N5923">
            <v>-30.462</v>
          </cell>
        </row>
        <row r="5924">
          <cell r="N5924">
            <v>-31.254000000000001</v>
          </cell>
        </row>
        <row r="5925">
          <cell r="N5925">
            <v>-3.7639999999999998</v>
          </cell>
        </row>
        <row r="5926">
          <cell r="N5926">
            <v>-19.978999999999999</v>
          </cell>
        </row>
        <row r="5927">
          <cell r="N5927">
            <v>-15.164999999999999</v>
          </cell>
        </row>
        <row r="5928">
          <cell r="N5928">
            <v>-4.1459999999999999</v>
          </cell>
        </row>
        <row r="5929">
          <cell r="N5929">
            <v>-3.7639999999999998</v>
          </cell>
        </row>
        <row r="5930">
          <cell r="N5930">
            <v>-27.599</v>
          </cell>
        </row>
        <row r="5931">
          <cell r="N5931">
            <v>-3.7090000000000001</v>
          </cell>
        </row>
        <row r="5932">
          <cell r="N5932">
            <v>-14.728</v>
          </cell>
        </row>
        <row r="5933">
          <cell r="N5933">
            <v>-15.000999999999999</v>
          </cell>
        </row>
        <row r="5934">
          <cell r="N5934">
            <v>-16.038</v>
          </cell>
        </row>
        <row r="5935">
          <cell r="N5935">
            <v>-21.462</v>
          </cell>
        </row>
        <row r="5936">
          <cell r="N5936">
            <v>-3.9820000000000002</v>
          </cell>
        </row>
        <row r="5937">
          <cell r="N5937">
            <v>-24.359000000000002</v>
          </cell>
        </row>
        <row r="5938">
          <cell r="N5938">
            <v>-3.7090000000000001</v>
          </cell>
        </row>
        <row r="5939">
          <cell r="N5939">
            <v>-32.518000000000001</v>
          </cell>
        </row>
        <row r="5940">
          <cell r="N5940">
            <v>-10.784000000000001</v>
          </cell>
        </row>
        <row r="5941">
          <cell r="N5941">
            <v>-3.7639999999999998</v>
          </cell>
        </row>
        <row r="5942">
          <cell r="N5942">
            <v>-21.363</v>
          </cell>
        </row>
        <row r="5943">
          <cell r="N5943">
            <v>-3.7639999999999998</v>
          </cell>
        </row>
        <row r="5944">
          <cell r="N5944">
            <v>-23.341000000000001</v>
          </cell>
        </row>
        <row r="5945">
          <cell r="N5945">
            <v>-15.438000000000001</v>
          </cell>
        </row>
        <row r="5946">
          <cell r="N5946">
            <v>-26.111000000000001</v>
          </cell>
        </row>
        <row r="5947">
          <cell r="N5947">
            <v>-10.528</v>
          </cell>
        </row>
        <row r="5948">
          <cell r="N5948">
            <v>-4.4729999999999999</v>
          </cell>
        </row>
        <row r="5949">
          <cell r="N5949">
            <v>-284</v>
          </cell>
        </row>
        <row r="5950">
          <cell r="N5950">
            <v>-25.616</v>
          </cell>
        </row>
        <row r="5951">
          <cell r="N5951">
            <v>-3.6</v>
          </cell>
        </row>
        <row r="5952">
          <cell r="N5952">
            <v>-4.5819999999999999</v>
          </cell>
        </row>
        <row r="5953">
          <cell r="N5953">
            <v>-4.3639999999999999</v>
          </cell>
        </row>
        <row r="5954">
          <cell r="N5954">
            <v>-14.51</v>
          </cell>
        </row>
        <row r="5955">
          <cell r="N5955">
            <v>-24.626999999999999</v>
          </cell>
        </row>
        <row r="5956">
          <cell r="N5956">
            <v>-3</v>
          </cell>
        </row>
        <row r="5957">
          <cell r="N5957">
            <v>-4.0910000000000002</v>
          </cell>
        </row>
        <row r="5958">
          <cell r="N5958">
            <v>-23.736999999999998</v>
          </cell>
        </row>
        <row r="5959">
          <cell r="N5959">
            <v>-16.091999999999999</v>
          </cell>
        </row>
        <row r="5960">
          <cell r="N5960">
            <v>-4.0910000000000002</v>
          </cell>
        </row>
        <row r="5961">
          <cell r="N5961">
            <v>-7.7030000000000003</v>
          </cell>
        </row>
        <row r="5962">
          <cell r="N5962">
            <v>-13.692</v>
          </cell>
        </row>
        <row r="5963">
          <cell r="N5963">
            <v>-27.693000000000001</v>
          </cell>
        </row>
        <row r="5964">
          <cell r="N5964">
            <v>-20.968</v>
          </cell>
        </row>
        <row r="5965">
          <cell r="N5965">
            <v>-15.492000000000001</v>
          </cell>
        </row>
        <row r="5966">
          <cell r="N5966">
            <v>-13.528</v>
          </cell>
        </row>
        <row r="5967">
          <cell r="N5967">
            <v>-33.357999999999997</v>
          </cell>
        </row>
        <row r="5968">
          <cell r="N5968">
            <v>-3.2730000000000001</v>
          </cell>
        </row>
        <row r="5969">
          <cell r="N5969">
            <v>-22.451000000000001</v>
          </cell>
        </row>
        <row r="5970">
          <cell r="N5970">
            <v>-10.528</v>
          </cell>
        </row>
        <row r="5971">
          <cell r="N5971">
            <v>-25.972000000000001</v>
          </cell>
        </row>
        <row r="5972">
          <cell r="N5972">
            <v>-23.44</v>
          </cell>
        </row>
        <row r="5973">
          <cell r="N5973">
            <v>-14.763999999999999</v>
          </cell>
        </row>
        <row r="5974">
          <cell r="N5974">
            <v>-10.528</v>
          </cell>
        </row>
        <row r="5975">
          <cell r="N5975">
            <v>-3.8180000000000001</v>
          </cell>
        </row>
        <row r="5976">
          <cell r="N5976">
            <v>-27.396000000000001</v>
          </cell>
        </row>
        <row r="5977">
          <cell r="N5977">
            <v>-7.2539999999999996</v>
          </cell>
        </row>
        <row r="5978">
          <cell r="N5978">
            <v>-17.838000000000001</v>
          </cell>
        </row>
        <row r="5979">
          <cell r="N5979">
            <v>-24.119</v>
          </cell>
        </row>
        <row r="5980">
          <cell r="N5980">
            <v>-32.161000000000001</v>
          </cell>
        </row>
        <row r="5981">
          <cell r="N5981">
            <v>-26.902000000000001</v>
          </cell>
        </row>
        <row r="5982">
          <cell r="N5982">
            <v>-2.7E-2</v>
          </cell>
        </row>
        <row r="5983">
          <cell r="N5983">
            <v>-4.5819999999999999</v>
          </cell>
        </row>
        <row r="5984">
          <cell r="N5984">
            <v>-17.396000000000001</v>
          </cell>
        </row>
        <row r="5985">
          <cell r="N5985">
            <v>-3.1640000000000001</v>
          </cell>
        </row>
        <row r="5986">
          <cell r="N5986">
            <v>-24.239000000000001</v>
          </cell>
        </row>
        <row r="5987">
          <cell r="N5987">
            <v>-19.978999999999999</v>
          </cell>
        </row>
        <row r="5988">
          <cell r="N5988">
            <v>-15.656000000000001</v>
          </cell>
        </row>
        <row r="5989">
          <cell r="N5989">
            <v>-18.873000000000001</v>
          </cell>
        </row>
        <row r="5990">
          <cell r="N5990">
            <v>-21.66</v>
          </cell>
        </row>
        <row r="5991">
          <cell r="N5991">
            <v>-26.039000000000001</v>
          </cell>
        </row>
        <row r="5992">
          <cell r="N5992">
            <v>-32.997999999999998</v>
          </cell>
        </row>
        <row r="5993">
          <cell r="N5993">
            <v>-12.436999999999999</v>
          </cell>
        </row>
        <row r="5994">
          <cell r="N5994">
            <v>-11.891999999999999</v>
          </cell>
        </row>
        <row r="5995">
          <cell r="N5995">
            <v>-4.4189999999999996</v>
          </cell>
        </row>
        <row r="5996">
          <cell r="N5996">
            <v>-34.813000000000002</v>
          </cell>
        </row>
        <row r="5997">
          <cell r="N5997">
            <v>-26.308</v>
          </cell>
        </row>
        <row r="5998">
          <cell r="N5998">
            <v>-4.2</v>
          </cell>
        </row>
        <row r="5999">
          <cell r="N5999">
            <v>-3.6</v>
          </cell>
        </row>
        <row r="6000">
          <cell r="N6000">
            <v>-27.297000000000001</v>
          </cell>
        </row>
        <row r="6001">
          <cell r="N6001">
            <v>-13.474</v>
          </cell>
        </row>
        <row r="6002">
          <cell r="N6002">
            <v>-20.968</v>
          </cell>
        </row>
        <row r="6003">
          <cell r="N6003">
            <v>-16.241</v>
          </cell>
        </row>
        <row r="6004">
          <cell r="N6004">
            <v>-4.0369999999999999</v>
          </cell>
        </row>
        <row r="6005">
          <cell r="N6005">
            <v>-15.547000000000001</v>
          </cell>
        </row>
        <row r="6006">
          <cell r="N6006">
            <v>-14.891999999999999</v>
          </cell>
        </row>
        <row r="6007">
          <cell r="N6007">
            <v>-23.736999999999998</v>
          </cell>
        </row>
        <row r="6008">
          <cell r="N6008">
            <v>-15.929</v>
          </cell>
        </row>
        <row r="6009">
          <cell r="N6009">
            <v>-3.4369999999999998</v>
          </cell>
        </row>
        <row r="6010">
          <cell r="N6010">
            <v>-15.11</v>
          </cell>
        </row>
        <row r="6011">
          <cell r="N6011">
            <v>-14.122</v>
          </cell>
        </row>
        <row r="6012">
          <cell r="N6012">
            <v>-5</v>
          </cell>
        </row>
        <row r="6013">
          <cell r="N6013">
            <v>-15.601000000000001</v>
          </cell>
        </row>
        <row r="6014">
          <cell r="N6014">
            <v>-11.346</v>
          </cell>
        </row>
        <row r="6015">
          <cell r="N6015">
            <v>-13.692</v>
          </cell>
        </row>
        <row r="6016">
          <cell r="N6016">
            <v>-34.317999999999998</v>
          </cell>
        </row>
        <row r="6017">
          <cell r="N6017">
            <v>-0.54500000000000004</v>
          </cell>
        </row>
        <row r="6018">
          <cell r="N6018">
            <v>-28.385000000000002</v>
          </cell>
        </row>
        <row r="6019">
          <cell r="N6019">
            <v>-13.747</v>
          </cell>
        </row>
        <row r="6020">
          <cell r="N6020">
            <v>-11.019</v>
          </cell>
        </row>
        <row r="6021">
          <cell r="N6021">
            <v>-5</v>
          </cell>
        </row>
        <row r="6022">
          <cell r="N6022">
            <v>-17.524999999999999</v>
          </cell>
        </row>
        <row r="6023">
          <cell r="N6023">
            <v>-5</v>
          </cell>
        </row>
        <row r="6024">
          <cell r="N6024">
            <v>-14.51</v>
          </cell>
        </row>
        <row r="6025">
          <cell r="N6025">
            <v>-19.065000000000001</v>
          </cell>
        </row>
        <row r="6026">
          <cell r="N6026">
            <v>-6.2190000000000003</v>
          </cell>
        </row>
        <row r="6027">
          <cell r="N6027">
            <v>-20.670999999999999</v>
          </cell>
        </row>
        <row r="6028">
          <cell r="N6028">
            <v>-20.114000000000001</v>
          </cell>
        </row>
        <row r="6029">
          <cell r="N6029">
            <v>-241</v>
          </cell>
        </row>
        <row r="6030">
          <cell r="N6030">
            <v>-24.119</v>
          </cell>
        </row>
        <row r="6031">
          <cell r="N6031">
            <v>-24.428999999999998</v>
          </cell>
        </row>
        <row r="6032">
          <cell r="N6032">
            <v>-11.891999999999999</v>
          </cell>
        </row>
        <row r="6033">
          <cell r="N6033">
            <v>-32.823999999999998</v>
          </cell>
        </row>
        <row r="6034">
          <cell r="N6034">
            <v>-2</v>
          </cell>
        </row>
        <row r="6035">
          <cell r="N6035">
            <v>-2</v>
          </cell>
        </row>
        <row r="6036">
          <cell r="N6036">
            <v>-1117.08</v>
          </cell>
        </row>
        <row r="6037">
          <cell r="N6037">
            <v>-1078.3</v>
          </cell>
        </row>
        <row r="6038">
          <cell r="N6038">
            <v>-25.7</v>
          </cell>
        </row>
        <row r="6039">
          <cell r="N6039">
            <v>-1048.739</v>
          </cell>
        </row>
        <row r="6040">
          <cell r="N6040">
            <v>-91.528000000000006</v>
          </cell>
        </row>
        <row r="6041">
          <cell r="N6041">
            <v>-43.984000000000002</v>
          </cell>
        </row>
        <row r="6042">
          <cell r="N6042">
            <v>-44.287999999999997</v>
          </cell>
        </row>
        <row r="6043">
          <cell r="N6043">
            <v>-1.2270000000000001</v>
          </cell>
        </row>
        <row r="6044">
          <cell r="N6044">
            <v>-1226.826</v>
          </cell>
        </row>
        <row r="6045">
          <cell r="N6045">
            <v>-672.77300000000002</v>
          </cell>
        </row>
        <row r="6046">
          <cell r="N6046">
            <v>-545</v>
          </cell>
        </row>
        <row r="6047">
          <cell r="N6047">
            <v>-616.12</v>
          </cell>
        </row>
        <row r="6048">
          <cell r="N6048">
            <v>-1080.1410000000001</v>
          </cell>
        </row>
        <row r="6049">
          <cell r="N6049">
            <v>-1052.0160000000001</v>
          </cell>
        </row>
        <row r="6050">
          <cell r="N6050">
            <v>-994.32299999999998</v>
          </cell>
        </row>
        <row r="6051">
          <cell r="N6051">
            <v>-994.32299999999998</v>
          </cell>
        </row>
        <row r="6052">
          <cell r="N6052">
            <v>-994.32299999999998</v>
          </cell>
        </row>
        <row r="6053">
          <cell r="N6053">
            <v>-553.94799999999998</v>
          </cell>
        </row>
        <row r="6054">
          <cell r="N6054">
            <v>-132.01900000000001</v>
          </cell>
        </row>
        <row r="6055">
          <cell r="N6055">
            <v>-1051.748</v>
          </cell>
        </row>
        <row r="6056">
          <cell r="N6056">
            <v>-154</v>
          </cell>
        </row>
        <row r="6057">
          <cell r="N6057">
            <v>-33.563000000000002</v>
          </cell>
        </row>
        <row r="6058">
          <cell r="N6058">
            <v>-98</v>
          </cell>
        </row>
        <row r="6059">
          <cell r="N6059">
            <v>-3</v>
          </cell>
        </row>
        <row r="6060">
          <cell r="N6060">
            <v>-3</v>
          </cell>
        </row>
        <row r="6061">
          <cell r="N6061">
            <v>-2.8</v>
          </cell>
        </row>
        <row r="6062">
          <cell r="N6062">
            <v>-55.113</v>
          </cell>
        </row>
        <row r="6063">
          <cell r="N6063">
            <v>-1.052</v>
          </cell>
        </row>
        <row r="6064">
          <cell r="N6064">
            <v>-152</v>
          </cell>
        </row>
        <row r="6065">
          <cell r="N6065">
            <v>-100</v>
          </cell>
        </row>
        <row r="6066">
          <cell r="N6066">
            <v>-1081.982</v>
          </cell>
        </row>
        <row r="6067">
          <cell r="N6067">
            <v>-1081.982</v>
          </cell>
        </row>
        <row r="6068">
          <cell r="N6068">
            <v>-550</v>
          </cell>
        </row>
        <row r="6069">
          <cell r="N6069">
            <v>-150</v>
          </cell>
        </row>
        <row r="6070">
          <cell r="N6070">
            <v>-400</v>
          </cell>
        </row>
        <row r="6071">
          <cell r="N6071">
            <v>-600</v>
          </cell>
        </row>
        <row r="6072">
          <cell r="N6072">
            <v>-100</v>
          </cell>
        </row>
        <row r="6073">
          <cell r="N6073">
            <v>-400</v>
          </cell>
        </row>
        <row r="6074">
          <cell r="N6074">
            <v>-1220.4369999999999</v>
          </cell>
        </row>
        <row r="6075">
          <cell r="N6075">
            <v>-1101</v>
          </cell>
        </row>
        <row r="6076">
          <cell r="N6076">
            <v>-548</v>
          </cell>
        </row>
        <row r="6077">
          <cell r="N6077">
            <v>-660</v>
          </cell>
        </row>
        <row r="6078">
          <cell r="N6078">
            <v>-7.8230000000000004</v>
          </cell>
        </row>
        <row r="6079">
          <cell r="N6079">
            <v>-771.8</v>
          </cell>
        </row>
        <row r="6080">
          <cell r="N6080">
            <v>-318</v>
          </cell>
        </row>
        <row r="6081">
          <cell r="N6081">
            <v>-949.43</v>
          </cell>
        </row>
        <row r="6082">
          <cell r="N6082">
            <v>-278.39999999999998</v>
          </cell>
        </row>
        <row r="6083">
          <cell r="N6083">
            <v>-240</v>
          </cell>
        </row>
        <row r="6084">
          <cell r="N6084">
            <v>-548</v>
          </cell>
        </row>
        <row r="6085">
          <cell r="N6085">
            <v>-1249.7470000000001</v>
          </cell>
        </row>
        <row r="6086">
          <cell r="N6086">
            <v>-201</v>
          </cell>
        </row>
        <row r="6087">
          <cell r="N6087">
            <v>-234</v>
          </cell>
        </row>
        <row r="6088">
          <cell r="N6088">
            <v>-1846</v>
          </cell>
        </row>
        <row r="6089">
          <cell r="N6089">
            <v>-889.2</v>
          </cell>
        </row>
        <row r="6090">
          <cell r="N6090">
            <v>-85.394000000000005</v>
          </cell>
        </row>
        <row r="6091">
          <cell r="N6091">
            <v>-324.8</v>
          </cell>
        </row>
        <row r="6092">
          <cell r="N6092">
            <v>-651.97299999999996</v>
          </cell>
        </row>
        <row r="6093">
          <cell r="N6093">
            <v>-140</v>
          </cell>
        </row>
        <row r="6094">
          <cell r="N6094">
            <v>-839.93899999999996</v>
          </cell>
        </row>
        <row r="6095">
          <cell r="N6095">
            <v>-1032.1669999999999</v>
          </cell>
        </row>
        <row r="6096">
          <cell r="N6096">
            <v>-1898.86</v>
          </cell>
        </row>
        <row r="6097">
          <cell r="N6097">
            <v>-1054.3040000000001</v>
          </cell>
        </row>
        <row r="6098">
          <cell r="N6098">
            <v>-1026.1379999999999</v>
          </cell>
        </row>
        <row r="6099">
          <cell r="N6099">
            <v>-1050.923</v>
          </cell>
        </row>
        <row r="6100">
          <cell r="N6100">
            <v>-828.45</v>
          </cell>
        </row>
        <row r="6101">
          <cell r="N6101">
            <v>-252.80699999999999</v>
          </cell>
        </row>
        <row r="6102">
          <cell r="N6102">
            <v>-281.97199999999998</v>
          </cell>
        </row>
        <row r="6103">
          <cell r="N6103">
            <v>-163.86500000000001</v>
          </cell>
        </row>
        <row r="6104">
          <cell r="N6104">
            <v>-1092.4880000000001</v>
          </cell>
        </row>
        <row r="6105">
          <cell r="N6105">
            <v>-83.29</v>
          </cell>
        </row>
        <row r="6106">
          <cell r="N6106">
            <v>-102.974</v>
          </cell>
        </row>
        <row r="6107">
          <cell r="N6107">
            <v>-194.03200000000001</v>
          </cell>
        </row>
        <row r="6108">
          <cell r="N6108">
            <v>-1132.56</v>
          </cell>
        </row>
        <row r="6109">
          <cell r="N6109">
            <v>-842.16</v>
          </cell>
        </row>
        <row r="6110">
          <cell r="N6110">
            <v>-605.97400000000005</v>
          </cell>
        </row>
        <row r="6111">
          <cell r="N6111">
            <v>-703.75</v>
          </cell>
        </row>
        <row r="6112">
          <cell r="N6112">
            <v>-1031.095</v>
          </cell>
        </row>
        <row r="6113">
          <cell r="N6113">
            <v>-1053.0260000000001</v>
          </cell>
        </row>
        <row r="6114">
          <cell r="N6114">
            <v>-240</v>
          </cell>
        </row>
        <row r="6115">
          <cell r="N6115">
            <v>-1111</v>
          </cell>
        </row>
        <row r="6116">
          <cell r="N6116">
            <v>-158</v>
          </cell>
        </row>
        <row r="6117">
          <cell r="N6117">
            <v>-364.15499999999997</v>
          </cell>
        </row>
        <row r="6118">
          <cell r="N6118">
            <v>-389.911</v>
          </cell>
        </row>
        <row r="6119">
          <cell r="N6119">
            <v>-77.905000000000001</v>
          </cell>
        </row>
        <row r="6120">
          <cell r="N6120">
            <v>-780.13400000000001</v>
          </cell>
        </row>
        <row r="6121">
          <cell r="N6121">
            <v>-74.905000000000001</v>
          </cell>
        </row>
        <row r="6122">
          <cell r="N6122">
            <v>-963.25</v>
          </cell>
        </row>
        <row r="6123">
          <cell r="N6123">
            <v>-1050.923</v>
          </cell>
        </row>
        <row r="6124">
          <cell r="N6124">
            <v>-17.891999999999999</v>
          </cell>
        </row>
        <row r="6125">
          <cell r="N6125">
            <v>-227.86600000000001</v>
          </cell>
        </row>
        <row r="6126">
          <cell r="N6126">
            <v>-1053.0260000000001</v>
          </cell>
        </row>
        <row r="6127">
          <cell r="N6127">
            <v>-605</v>
          </cell>
        </row>
        <row r="6128">
          <cell r="N6128">
            <v>-1461.9680000000001</v>
          </cell>
        </row>
        <row r="6129">
          <cell r="N6129">
            <v>-1031.095</v>
          </cell>
        </row>
        <row r="6130">
          <cell r="N6130">
            <v>-505</v>
          </cell>
        </row>
        <row r="6131">
          <cell r="N6131">
            <v>-1126.71</v>
          </cell>
        </row>
        <row r="6132">
          <cell r="N6132">
            <v>-690.09</v>
          </cell>
        </row>
        <row r="6133">
          <cell r="N6133">
            <v>-1050.923</v>
          </cell>
        </row>
        <row r="6134">
          <cell r="N6134">
            <v>-1091</v>
          </cell>
        </row>
        <row r="6135">
          <cell r="N6135">
            <v>-1027</v>
          </cell>
        </row>
        <row r="6136">
          <cell r="N6136">
            <v>-104.874</v>
          </cell>
        </row>
        <row r="6137">
          <cell r="N6137">
            <v>-1050.923</v>
          </cell>
        </row>
        <row r="6138">
          <cell r="N6138">
            <v>-11.582000000000001</v>
          </cell>
        </row>
        <row r="6139">
          <cell r="N6139">
            <v>-1.0149999999999999</v>
          </cell>
        </row>
        <row r="6140">
          <cell r="N6140">
            <v>-22.516999999999999</v>
          </cell>
        </row>
        <row r="6141">
          <cell r="N6141">
            <v>-15.218999999999999</v>
          </cell>
        </row>
        <row r="6142">
          <cell r="N6142">
            <v>-0.55500000000000005</v>
          </cell>
        </row>
        <row r="6143">
          <cell r="N6143">
            <v>-7.3979999999999997</v>
          </cell>
        </row>
        <row r="6144">
          <cell r="N6144">
            <v>-2.169</v>
          </cell>
        </row>
        <row r="6145">
          <cell r="N6145">
            <v>-1.9710000000000001</v>
          </cell>
        </row>
        <row r="6146">
          <cell r="N6146">
            <v>-7.3289999999999997</v>
          </cell>
        </row>
        <row r="6147">
          <cell r="N6147">
            <v>-1.2050000000000001</v>
          </cell>
        </row>
        <row r="6148">
          <cell r="N6148">
            <v>-4.8049999999999997</v>
          </cell>
        </row>
        <row r="6149">
          <cell r="N6149">
            <v>-17.748000000000001</v>
          </cell>
        </row>
        <row r="6150">
          <cell r="N6150">
            <v>-4.5359999999999996</v>
          </cell>
        </row>
        <row r="6151">
          <cell r="N6151">
            <v>-7.33</v>
          </cell>
        </row>
        <row r="6152">
          <cell r="N6152">
            <v>-12.771000000000001</v>
          </cell>
        </row>
        <row r="6153">
          <cell r="N6153">
            <v>-0.376</v>
          </cell>
        </row>
        <row r="6154">
          <cell r="N6154">
            <v>-0.371</v>
          </cell>
        </row>
        <row r="6155">
          <cell r="N6155">
            <v>-27.082999999999998</v>
          </cell>
        </row>
        <row r="6156">
          <cell r="N6156">
            <v>-7.6820000000000004</v>
          </cell>
        </row>
        <row r="6157">
          <cell r="N6157">
            <v>-1.2350000000000001</v>
          </cell>
        </row>
        <row r="6158">
          <cell r="N6158">
            <v>-8.7140000000000004</v>
          </cell>
        </row>
        <row r="6159">
          <cell r="N6159">
            <v>-2.5</v>
          </cell>
        </row>
        <row r="6160">
          <cell r="N6160">
            <v>-6.7220000000000004</v>
          </cell>
        </row>
        <row r="6161">
          <cell r="N6161">
            <v>-7.1840000000000002</v>
          </cell>
        </row>
        <row r="6162">
          <cell r="N6162">
            <v>-21.998000000000001</v>
          </cell>
        </row>
        <row r="6163">
          <cell r="N6163">
            <v>-8.3800000000000008</v>
          </cell>
        </row>
        <row r="6164">
          <cell r="N6164">
            <v>-7.7889999999999997</v>
          </cell>
        </row>
        <row r="6165">
          <cell r="N6165">
            <v>-1.0469999999999999</v>
          </cell>
        </row>
        <row r="6166">
          <cell r="N6166">
            <v>-1.056</v>
          </cell>
        </row>
        <row r="6167">
          <cell r="N6167">
            <v>-18.643000000000001</v>
          </cell>
        </row>
        <row r="6168">
          <cell r="N6168">
            <v>-8.8849999999999998</v>
          </cell>
        </row>
        <row r="6169">
          <cell r="N6169">
            <v>-3.129</v>
          </cell>
        </row>
        <row r="6170">
          <cell r="N6170">
            <v>-4.819</v>
          </cell>
        </row>
        <row r="6171">
          <cell r="N6171">
            <v>-1.248</v>
          </cell>
        </row>
        <row r="6172">
          <cell r="N6172">
            <v>-8.2639999999999993</v>
          </cell>
        </row>
        <row r="6173">
          <cell r="N6173">
            <v>-1.758</v>
          </cell>
        </row>
        <row r="6174">
          <cell r="N6174">
            <v>-6.6749999999999998</v>
          </cell>
        </row>
        <row r="6175">
          <cell r="N6175">
            <v>-4.1269999999999998</v>
          </cell>
        </row>
        <row r="6176">
          <cell r="N6176">
            <v>-5.2889999999999997</v>
          </cell>
        </row>
        <row r="6177">
          <cell r="N6177">
            <v>-8.6129999999999995</v>
          </cell>
        </row>
        <row r="6178">
          <cell r="N6178">
            <v>-18.010000000000002</v>
          </cell>
        </row>
        <row r="6179">
          <cell r="N6179">
            <v>-3</v>
          </cell>
        </row>
        <row r="6180">
          <cell r="N6180">
            <v>-7.3979999999999997</v>
          </cell>
        </row>
        <row r="6181">
          <cell r="N6181">
            <v>-0.71699999999999997</v>
          </cell>
        </row>
        <row r="6182">
          <cell r="N6182">
            <v>-8.0500000000000007</v>
          </cell>
        </row>
        <row r="6183">
          <cell r="N6183">
            <v>-1.774</v>
          </cell>
        </row>
        <row r="6184">
          <cell r="N6184">
            <v>-15.305</v>
          </cell>
        </row>
        <row r="6185">
          <cell r="N6185">
            <v>-19.213000000000001</v>
          </cell>
        </row>
        <row r="6186">
          <cell r="N6186">
            <v>-12.409000000000001</v>
          </cell>
        </row>
        <row r="6187">
          <cell r="N6187">
            <v>-0.33600000000000002</v>
          </cell>
        </row>
        <row r="6188">
          <cell r="N6188">
            <v>-8.8460000000000001</v>
          </cell>
        </row>
        <row r="6189">
          <cell r="N6189">
            <v>-7.149</v>
          </cell>
        </row>
        <row r="6190">
          <cell r="N6190">
            <v>-3.0619999999999998</v>
          </cell>
        </row>
        <row r="6191">
          <cell r="N6191">
            <v>-8.5739999999999998</v>
          </cell>
        </row>
        <row r="6192">
          <cell r="N6192">
            <v>-4.4470000000000001</v>
          </cell>
        </row>
        <row r="6193">
          <cell r="N6193">
            <v>-1.43</v>
          </cell>
        </row>
        <row r="6194">
          <cell r="N6194">
            <v>-1.5169999999999999</v>
          </cell>
        </row>
        <row r="6195">
          <cell r="N6195">
            <v>-7.6559999999999997</v>
          </cell>
        </row>
        <row r="6196">
          <cell r="N6196">
            <v>-7.149</v>
          </cell>
        </row>
        <row r="6197">
          <cell r="N6197">
            <v>-12.099</v>
          </cell>
        </row>
        <row r="6198">
          <cell r="N6198">
            <v>-1.696</v>
          </cell>
        </row>
        <row r="6199">
          <cell r="N6199">
            <v>-0.48799999999999999</v>
          </cell>
        </row>
        <row r="6200">
          <cell r="N6200">
            <v>-1.6319999999999999</v>
          </cell>
        </row>
        <row r="6201">
          <cell r="N6201">
            <v>-105</v>
          </cell>
        </row>
        <row r="6202">
          <cell r="N6202">
            <v>-25.007999999999999</v>
          </cell>
        </row>
        <row r="6203">
          <cell r="N6203">
            <v>-3.528</v>
          </cell>
        </row>
        <row r="6204">
          <cell r="N6204">
            <v>-2.2050000000000001</v>
          </cell>
        </row>
        <row r="6205">
          <cell r="N6205">
            <v>-2.0590000000000002</v>
          </cell>
        </row>
        <row r="6206">
          <cell r="N6206">
            <v>-22.102</v>
          </cell>
        </row>
        <row r="6207">
          <cell r="N6207">
            <v>-1.264</v>
          </cell>
        </row>
        <row r="6208">
          <cell r="N6208">
            <v>-1.3380000000000001</v>
          </cell>
        </row>
        <row r="6209">
          <cell r="N6209">
            <v>-6.6749999999999998</v>
          </cell>
        </row>
        <row r="6210">
          <cell r="N6210">
            <v>-24.280999999999999</v>
          </cell>
        </row>
        <row r="6211">
          <cell r="N6211">
            <v>-12.72</v>
          </cell>
        </row>
        <row r="6212">
          <cell r="N6212">
            <v>-23.347000000000001</v>
          </cell>
        </row>
        <row r="6213">
          <cell r="N6213">
            <v>-18.725000000000001</v>
          </cell>
        </row>
        <row r="6214">
          <cell r="N6214">
            <v>-2.9249999999999998</v>
          </cell>
        </row>
        <row r="6215">
          <cell r="N6215">
            <v>-3.98</v>
          </cell>
        </row>
        <row r="6216">
          <cell r="N6216">
            <v>-6.742</v>
          </cell>
        </row>
        <row r="6217">
          <cell r="N6217">
            <v>-7.5049999999999999</v>
          </cell>
        </row>
        <row r="6218">
          <cell r="N6218">
            <v>-11.272</v>
          </cell>
        </row>
        <row r="6219">
          <cell r="N6219">
            <v>-17.213000000000001</v>
          </cell>
        </row>
        <row r="6220">
          <cell r="N6220">
            <v>-7.327</v>
          </cell>
        </row>
        <row r="6221">
          <cell r="N6221">
            <v>-0.97499999999999998</v>
          </cell>
        </row>
        <row r="6222">
          <cell r="N6222">
            <v>-16.527000000000001</v>
          </cell>
        </row>
        <row r="6223">
          <cell r="N6223">
            <v>-4.6260000000000003</v>
          </cell>
        </row>
        <row r="6224">
          <cell r="N6224">
            <v>-2.6760000000000002</v>
          </cell>
        </row>
        <row r="6225">
          <cell r="N6225">
            <v>-25.734000000000002</v>
          </cell>
        </row>
        <row r="6226">
          <cell r="N6226">
            <v>-11.789</v>
          </cell>
        </row>
        <row r="6227">
          <cell r="N6227">
            <v>-2.2610000000000001</v>
          </cell>
        </row>
        <row r="6228">
          <cell r="N6228">
            <v>-26.045000000000002</v>
          </cell>
        </row>
        <row r="6229">
          <cell r="N6229">
            <v>-3.7280000000000002</v>
          </cell>
        </row>
        <row r="6230">
          <cell r="N6230">
            <v>-2.1280000000000001</v>
          </cell>
        </row>
        <row r="6231">
          <cell r="N6231">
            <v>-4.4820000000000002</v>
          </cell>
        </row>
        <row r="6232">
          <cell r="N6232">
            <v>-1.298</v>
          </cell>
        </row>
        <row r="6233">
          <cell r="N6233">
            <v>-8.0739999999999998</v>
          </cell>
        </row>
        <row r="6234">
          <cell r="N6234">
            <v>-2.048</v>
          </cell>
        </row>
        <row r="6235">
          <cell r="N6235">
            <v>-1.4339999999999999</v>
          </cell>
        </row>
        <row r="6236">
          <cell r="N6236">
            <v>-1.056</v>
          </cell>
        </row>
        <row r="6237">
          <cell r="N6237">
            <v>-1.3740000000000001</v>
          </cell>
        </row>
        <row r="6238">
          <cell r="N6238">
            <v>-3.129</v>
          </cell>
        </row>
        <row r="6239">
          <cell r="N6239">
            <v>-17.606999999999999</v>
          </cell>
        </row>
        <row r="6240">
          <cell r="N6240">
            <v>-22.413</v>
          </cell>
        </row>
        <row r="6241">
          <cell r="N6241">
            <v>-2.8940000000000001</v>
          </cell>
        </row>
        <row r="6242">
          <cell r="N6242">
            <v>-7.54</v>
          </cell>
        </row>
        <row r="6243">
          <cell r="N6243">
            <v>-6.4779999999999998</v>
          </cell>
        </row>
        <row r="6244">
          <cell r="N6244">
            <v>-14.271000000000001</v>
          </cell>
        </row>
        <row r="6245">
          <cell r="N6245">
            <v>-0.625</v>
          </cell>
        </row>
        <row r="6246">
          <cell r="N6246">
            <v>-2.7389999999999999</v>
          </cell>
        </row>
        <row r="6247">
          <cell r="N6247">
            <v>-5.2889999999999997</v>
          </cell>
        </row>
        <row r="6248">
          <cell r="N6248">
            <v>-1.468</v>
          </cell>
        </row>
        <row r="6249">
          <cell r="N6249">
            <v>-17.748000000000001</v>
          </cell>
        </row>
        <row r="6250">
          <cell r="N6250">
            <v>-8.0310000000000006</v>
          </cell>
        </row>
        <row r="6251">
          <cell r="N6251">
            <v>-8.6519999999999992</v>
          </cell>
        </row>
        <row r="6252">
          <cell r="N6252">
            <v>-6.3079999999999998</v>
          </cell>
        </row>
        <row r="6253">
          <cell r="N6253">
            <v>-2.2410000000000001</v>
          </cell>
        </row>
        <row r="6254">
          <cell r="N6254">
            <v>-2.5209999999999999</v>
          </cell>
        </row>
        <row r="6255">
          <cell r="N6255">
            <v>-17.259</v>
          </cell>
        </row>
        <row r="6256">
          <cell r="N6256">
            <v>-31.234000000000002</v>
          </cell>
        </row>
        <row r="6257">
          <cell r="N6257">
            <v>-5.9550000000000001</v>
          </cell>
        </row>
        <row r="6258">
          <cell r="N6258">
            <v>-17.341000000000001</v>
          </cell>
        </row>
        <row r="6259">
          <cell r="N6259">
            <v>-8.3580000000000005</v>
          </cell>
        </row>
        <row r="6260">
          <cell r="N6260">
            <v>-0.51</v>
          </cell>
        </row>
        <row r="6261">
          <cell r="N6261">
            <v>-5.7539999999999996</v>
          </cell>
        </row>
        <row r="6262">
          <cell r="N6262">
            <v>-0.93500000000000005</v>
          </cell>
        </row>
        <row r="6263">
          <cell r="N6263">
            <v>-1.413</v>
          </cell>
        </row>
        <row r="6264">
          <cell r="N6264">
            <v>-0.34499999999999997</v>
          </cell>
        </row>
        <row r="6265">
          <cell r="N6265">
            <v>-8.1859999999999999</v>
          </cell>
        </row>
        <row r="6266">
          <cell r="N6266">
            <v>-16.946999999999999</v>
          </cell>
        </row>
        <row r="6267">
          <cell r="N6267">
            <v>-1.413</v>
          </cell>
        </row>
        <row r="6268">
          <cell r="N6268">
            <v>-6.891</v>
          </cell>
        </row>
        <row r="6269">
          <cell r="N6269">
            <v>-13.702</v>
          </cell>
        </row>
        <row r="6270">
          <cell r="N6270">
            <v>-8.8919999999999995</v>
          </cell>
        </row>
        <row r="6271">
          <cell r="N6271">
            <v>-9.0690000000000008</v>
          </cell>
        </row>
        <row r="6272">
          <cell r="N6272">
            <v>-15.528</v>
          </cell>
        </row>
        <row r="6273">
          <cell r="N6273">
            <v>-1.4490000000000001</v>
          </cell>
        </row>
        <row r="6274">
          <cell r="N6274">
            <v>-0.55000000000000004</v>
          </cell>
        </row>
        <row r="6275">
          <cell r="N6275">
            <v>-6.282</v>
          </cell>
        </row>
        <row r="6276">
          <cell r="N6276">
            <v>-2.3130000000000002</v>
          </cell>
        </row>
        <row r="6277">
          <cell r="N6277">
            <v>-23.762</v>
          </cell>
        </row>
        <row r="6278">
          <cell r="N6278">
            <v>-7.54</v>
          </cell>
        </row>
        <row r="6279">
          <cell r="N6279">
            <v>-1.7969999999999999</v>
          </cell>
        </row>
        <row r="6280">
          <cell r="N6280">
            <v>-8.3420000000000005</v>
          </cell>
        </row>
        <row r="6281">
          <cell r="N6281">
            <v>-5.7919999999999998</v>
          </cell>
        </row>
        <row r="6282">
          <cell r="N6282">
            <v>-1.607</v>
          </cell>
        </row>
        <row r="6283">
          <cell r="N6283">
            <v>-4.0990000000000002</v>
          </cell>
        </row>
        <row r="6284">
          <cell r="N6284">
            <v>-2.7080000000000002</v>
          </cell>
        </row>
        <row r="6285">
          <cell r="N6285">
            <v>-8.7379999999999995</v>
          </cell>
        </row>
        <row r="6286">
          <cell r="N6286">
            <v>-4.4290000000000003</v>
          </cell>
        </row>
        <row r="6287">
          <cell r="N6287">
            <v>-1.248</v>
          </cell>
        </row>
        <row r="6288">
          <cell r="N6288">
            <v>-1.3979999999999999</v>
          </cell>
        </row>
        <row r="6289">
          <cell r="N6289">
            <v>-8.9969999999999999</v>
          </cell>
        </row>
        <row r="6290">
          <cell r="N6290">
            <v>-0.46100000000000002</v>
          </cell>
        </row>
        <row r="6291">
          <cell r="N6291">
            <v>-7.9829999999999997</v>
          </cell>
        </row>
        <row r="6292">
          <cell r="N6292">
            <v>-2.0870000000000002</v>
          </cell>
        </row>
        <row r="6293">
          <cell r="N6293">
            <v>-12.461</v>
          </cell>
        </row>
        <row r="6294">
          <cell r="N6294">
            <v>-8.0380000000000003</v>
          </cell>
        </row>
        <row r="6295">
          <cell r="N6295">
            <v>-7.3330000000000002</v>
          </cell>
        </row>
        <row r="6296">
          <cell r="N6296">
            <v>-1.5069999999999999</v>
          </cell>
        </row>
        <row r="6297">
          <cell r="N6297">
            <v>-9.8239999999999998</v>
          </cell>
        </row>
        <row r="6298">
          <cell r="N6298">
            <v>-13.237</v>
          </cell>
        </row>
        <row r="6299">
          <cell r="N6299">
            <v>-0.33100000000000002</v>
          </cell>
        </row>
        <row r="6300">
          <cell r="N6300">
            <v>-1.5780000000000001</v>
          </cell>
        </row>
        <row r="6301">
          <cell r="N6301">
            <v>-3.8370000000000002</v>
          </cell>
        </row>
        <row r="6302">
          <cell r="N6302">
            <v>-4.32</v>
          </cell>
        </row>
        <row r="6303">
          <cell r="N6303">
            <v>-15.817</v>
          </cell>
        </row>
        <row r="6304">
          <cell r="N6304">
            <v>-105</v>
          </cell>
        </row>
        <row r="6305">
          <cell r="N6305">
            <v>-1.5169999999999999</v>
          </cell>
        </row>
        <row r="6306">
          <cell r="N6306">
            <v>-20.027000000000001</v>
          </cell>
        </row>
        <row r="6307">
          <cell r="N6307">
            <v>-14.898</v>
          </cell>
        </row>
        <row r="6308">
          <cell r="N6308">
            <v>-8.109</v>
          </cell>
        </row>
        <row r="6309">
          <cell r="N6309">
            <v>-21.687000000000001</v>
          </cell>
        </row>
        <row r="6310">
          <cell r="N6310">
            <v>-5.1820000000000004</v>
          </cell>
        </row>
        <row r="6311">
          <cell r="N6311">
            <v>-3.206</v>
          </cell>
        </row>
        <row r="6312">
          <cell r="N6312">
            <v>-1.9790000000000001</v>
          </cell>
        </row>
        <row r="6313">
          <cell r="N6313">
            <v>-12.72</v>
          </cell>
        </row>
        <row r="6314">
          <cell r="N6314">
            <v>-5.36</v>
          </cell>
        </row>
        <row r="6315">
          <cell r="N6315">
            <v>-20.434000000000001</v>
          </cell>
        </row>
        <row r="6316">
          <cell r="N6316">
            <v>-5.758</v>
          </cell>
        </row>
        <row r="6317">
          <cell r="N6317">
            <v>-1.4430000000000001</v>
          </cell>
        </row>
        <row r="6318">
          <cell r="N6318">
            <v>-20.109000000000002</v>
          </cell>
        </row>
        <row r="6319">
          <cell r="N6319">
            <v>-8.7490000000000006</v>
          </cell>
        </row>
        <row r="6320">
          <cell r="N6320">
            <v>-2.0619999999999998</v>
          </cell>
        </row>
        <row r="6321">
          <cell r="N6321">
            <v>-12.358000000000001</v>
          </cell>
        </row>
        <row r="6322">
          <cell r="N6322">
            <v>-7.2560000000000002</v>
          </cell>
        </row>
        <row r="6323">
          <cell r="N6323">
            <v>-0.92600000000000005</v>
          </cell>
        </row>
        <row r="6324">
          <cell r="N6324">
            <v>-2.8940000000000001</v>
          </cell>
        </row>
        <row r="6325">
          <cell r="N6325">
            <v>-4.8230000000000004</v>
          </cell>
        </row>
        <row r="6326">
          <cell r="N6326">
            <v>-4.7300000000000004</v>
          </cell>
        </row>
        <row r="6327">
          <cell r="N6327">
            <v>-8.4190000000000005</v>
          </cell>
        </row>
        <row r="6328">
          <cell r="N6328">
            <v>-1.3979999999999999</v>
          </cell>
        </row>
        <row r="6329">
          <cell r="N6329">
            <v>-4.2569999999999997</v>
          </cell>
        </row>
        <row r="6330">
          <cell r="N6330">
            <v>-2.4630000000000001</v>
          </cell>
        </row>
        <row r="6331">
          <cell r="N6331">
            <v>-8.8460000000000001</v>
          </cell>
        </row>
        <row r="6332">
          <cell r="N6332">
            <v>-20.353000000000002</v>
          </cell>
        </row>
        <row r="6333">
          <cell r="N6333">
            <v>-5.2169999999999996</v>
          </cell>
        </row>
        <row r="6334">
          <cell r="N6334">
            <v>-6.3470000000000004</v>
          </cell>
        </row>
        <row r="6335">
          <cell r="N6335">
            <v>-16.373000000000001</v>
          </cell>
        </row>
        <row r="6336">
          <cell r="N6336">
            <v>-2.2410000000000001</v>
          </cell>
        </row>
        <row r="6337">
          <cell r="N6337">
            <v>-1.43</v>
          </cell>
        </row>
        <row r="6338">
          <cell r="N6338">
            <v>-2.8620000000000001</v>
          </cell>
        </row>
        <row r="6339">
          <cell r="N6339">
            <v>-1.681</v>
          </cell>
        </row>
        <row r="6340">
          <cell r="N6340">
            <v>-77</v>
          </cell>
        </row>
        <row r="6341">
          <cell r="N6341">
            <v>-77</v>
          </cell>
        </row>
        <row r="6342">
          <cell r="N6342">
            <v>-8.8209999999999997</v>
          </cell>
        </row>
        <row r="6343">
          <cell r="N6343">
            <v>-17.748000000000001</v>
          </cell>
        </row>
        <row r="6344">
          <cell r="N6344">
            <v>-9.6609999999999996</v>
          </cell>
        </row>
        <row r="6345">
          <cell r="N6345">
            <v>-8.2149999999999999</v>
          </cell>
        </row>
        <row r="6346">
          <cell r="N6346">
            <v>-2.6139999999999999</v>
          </cell>
        </row>
        <row r="6347">
          <cell r="N6347">
            <v>-8.2509999999999994</v>
          </cell>
        </row>
        <row r="6348">
          <cell r="N6348">
            <v>-5.1639999999999997</v>
          </cell>
        </row>
        <row r="6349">
          <cell r="N6349">
            <v>-3.7050000000000001</v>
          </cell>
        </row>
        <row r="6350">
          <cell r="N6350">
            <v>-15.631</v>
          </cell>
        </row>
        <row r="6351">
          <cell r="N6351">
            <v>-7.2629999999999999</v>
          </cell>
        </row>
        <row r="6352">
          <cell r="N6352">
            <v>-27.498000000000001</v>
          </cell>
        </row>
        <row r="6353">
          <cell r="N6353">
            <v>-28.536000000000001</v>
          </cell>
        </row>
        <row r="6354">
          <cell r="N6354">
            <v>-17.087</v>
          </cell>
        </row>
        <row r="6355">
          <cell r="N6355">
            <v>-1.5620000000000001</v>
          </cell>
        </row>
        <row r="6356">
          <cell r="N6356">
            <v>-3.8940000000000001</v>
          </cell>
        </row>
        <row r="6357">
          <cell r="N6357">
            <v>-21.791</v>
          </cell>
        </row>
        <row r="6358">
          <cell r="N6358">
            <v>-14.683999999999999</v>
          </cell>
        </row>
        <row r="6359">
          <cell r="N6359">
            <v>-1.607</v>
          </cell>
        </row>
        <row r="6360">
          <cell r="N6360">
            <v>-0.33600000000000002</v>
          </cell>
        </row>
        <row r="6361">
          <cell r="N6361">
            <v>-1.524</v>
          </cell>
        </row>
        <row r="6362">
          <cell r="N6362">
            <v>-5.1459999999999999</v>
          </cell>
        </row>
        <row r="6363">
          <cell r="N6363">
            <v>-5.1100000000000003</v>
          </cell>
        </row>
        <row r="6364">
          <cell r="N6364">
            <v>-1.3089999999999999</v>
          </cell>
        </row>
        <row r="6365">
          <cell r="N6365">
            <v>-7.6820000000000004</v>
          </cell>
        </row>
        <row r="6366">
          <cell r="N6366">
            <v>-4.5350000000000001</v>
          </cell>
        </row>
        <row r="6367">
          <cell r="N6367">
            <v>-25.215</v>
          </cell>
        </row>
        <row r="6368">
          <cell r="N6368">
            <v>-6.4130000000000003</v>
          </cell>
        </row>
        <row r="6369">
          <cell r="N6369">
            <v>-1.2789999999999999</v>
          </cell>
        </row>
        <row r="6370">
          <cell r="N6370">
            <v>-4.4269999999999996</v>
          </cell>
        </row>
        <row r="6371">
          <cell r="N6371">
            <v>-2.2949999999999999</v>
          </cell>
        </row>
        <row r="6372">
          <cell r="N6372">
            <v>-2.5209999999999999</v>
          </cell>
        </row>
        <row r="6373">
          <cell r="N6373">
            <v>-1.7</v>
          </cell>
        </row>
        <row r="6374">
          <cell r="N6374">
            <v>-2.7080000000000002</v>
          </cell>
        </row>
        <row r="6375">
          <cell r="N6375">
            <v>-8.2639999999999993</v>
          </cell>
        </row>
        <row r="6376">
          <cell r="N6376">
            <v>-18.574000000000002</v>
          </cell>
        </row>
        <row r="6377">
          <cell r="N6377">
            <v>-4.4109999999999996</v>
          </cell>
        </row>
        <row r="6378">
          <cell r="N6378">
            <v>-1.698</v>
          </cell>
        </row>
        <row r="6379">
          <cell r="N6379">
            <v>-12.564</v>
          </cell>
        </row>
        <row r="6380">
          <cell r="N6380">
            <v>-4.8079999999999998</v>
          </cell>
        </row>
        <row r="6381">
          <cell r="N6381">
            <v>-5.8239999999999998</v>
          </cell>
        </row>
        <row r="6382">
          <cell r="N6382">
            <v>-22.542000000000002</v>
          </cell>
        </row>
        <row r="6383">
          <cell r="N6383">
            <v>-1.83</v>
          </cell>
        </row>
        <row r="6384">
          <cell r="N6384">
            <v>-7.22</v>
          </cell>
        </row>
        <row r="6385">
          <cell r="N6385">
            <v>-24.8</v>
          </cell>
        </row>
        <row r="6386">
          <cell r="N6386">
            <v>-9.141</v>
          </cell>
        </row>
        <row r="6387">
          <cell r="N6387">
            <v>-7.7539999999999996</v>
          </cell>
        </row>
        <row r="6388">
          <cell r="N6388">
            <v>-1.542</v>
          </cell>
        </row>
        <row r="6389">
          <cell r="N6389">
            <v>-0.34499999999999997</v>
          </cell>
        </row>
        <row r="6390">
          <cell r="N6390">
            <v>-2.6629999999999998</v>
          </cell>
        </row>
        <row r="6391">
          <cell r="N6391">
            <v>-1.3540000000000001</v>
          </cell>
        </row>
        <row r="6392">
          <cell r="N6392">
            <v>-2.427</v>
          </cell>
        </row>
        <row r="6393">
          <cell r="N6393">
            <v>-7.4489999999999998</v>
          </cell>
        </row>
        <row r="6394">
          <cell r="N6394">
            <v>-1.3240000000000001</v>
          </cell>
        </row>
        <row r="6395">
          <cell r="N6395">
            <v>-4.0880000000000001</v>
          </cell>
        </row>
        <row r="6396">
          <cell r="N6396">
            <v>-15.798</v>
          </cell>
        </row>
        <row r="6397">
          <cell r="N6397">
            <v>-4.7770000000000001</v>
          </cell>
        </row>
        <row r="6398">
          <cell r="N6398">
            <v>-2.0089999999999999</v>
          </cell>
        </row>
        <row r="6399">
          <cell r="N6399">
            <v>-12.667999999999999</v>
          </cell>
        </row>
        <row r="6400">
          <cell r="N6400">
            <v>-5.2809999999999997</v>
          </cell>
        </row>
        <row r="6401">
          <cell r="N6401">
            <v>-15.712999999999999</v>
          </cell>
        </row>
        <row r="6402">
          <cell r="N6402">
            <v>-7.4329999999999998</v>
          </cell>
        </row>
        <row r="6403">
          <cell r="N6403">
            <v>-7.9189999999999996</v>
          </cell>
        </row>
        <row r="6404">
          <cell r="N6404">
            <v>-7.5910000000000002</v>
          </cell>
        </row>
        <row r="6405">
          <cell r="N6405">
            <v>-0.54100000000000004</v>
          </cell>
        </row>
        <row r="6406">
          <cell r="N6406">
            <v>-1.9970000000000001</v>
          </cell>
        </row>
        <row r="6407">
          <cell r="N6407">
            <v>-56</v>
          </cell>
        </row>
        <row r="6408">
          <cell r="N6408">
            <v>-1.7</v>
          </cell>
        </row>
        <row r="6409">
          <cell r="N6409">
            <v>-24.021000000000001</v>
          </cell>
        </row>
        <row r="6410">
          <cell r="N6410">
            <v>-4.1879999999999997</v>
          </cell>
        </row>
        <row r="6411">
          <cell r="N6411">
            <v>-7.4610000000000003</v>
          </cell>
        </row>
        <row r="6412">
          <cell r="N6412">
            <v>-1.458</v>
          </cell>
        </row>
        <row r="6413">
          <cell r="N6413">
            <v>-7.22</v>
          </cell>
        </row>
        <row r="6414">
          <cell r="N6414">
            <v>-16.038</v>
          </cell>
        </row>
        <row r="6415">
          <cell r="N6415">
            <v>-0.42399999999999999</v>
          </cell>
        </row>
        <row r="6416">
          <cell r="N6416">
            <v>-3.4950000000000001</v>
          </cell>
        </row>
        <row r="6417">
          <cell r="N6417">
            <v>-0.48299999999999998</v>
          </cell>
        </row>
        <row r="6418">
          <cell r="N6418">
            <v>-13.391999999999999</v>
          </cell>
        </row>
        <row r="6419">
          <cell r="N6419">
            <v>-1.7969999999999999</v>
          </cell>
        </row>
        <row r="6420">
          <cell r="N6420">
            <v>-7.3940000000000001</v>
          </cell>
        </row>
        <row r="6421">
          <cell r="N6421">
            <v>-6.1890000000000001</v>
          </cell>
        </row>
        <row r="6422">
          <cell r="N6422">
            <v>-0.78800000000000003</v>
          </cell>
        </row>
        <row r="6423">
          <cell r="N6423">
            <v>-7.69</v>
          </cell>
        </row>
        <row r="6424">
          <cell r="N6424">
            <v>-2.863</v>
          </cell>
        </row>
        <row r="6425">
          <cell r="N6425">
            <v>-2.6629999999999998</v>
          </cell>
        </row>
        <row r="6426">
          <cell r="N6426">
            <v>-14.898</v>
          </cell>
        </row>
        <row r="6427">
          <cell r="N6427">
            <v>-2.8959999999999999</v>
          </cell>
        </row>
        <row r="6428">
          <cell r="N6428">
            <v>-8.0310000000000006</v>
          </cell>
        </row>
        <row r="6429">
          <cell r="N6429">
            <v>-1.4339999999999999</v>
          </cell>
        </row>
        <row r="6430">
          <cell r="N6430">
            <v>-23.036000000000001</v>
          </cell>
        </row>
        <row r="6431">
          <cell r="N6431">
            <v>-14.813000000000001</v>
          </cell>
        </row>
        <row r="6432">
          <cell r="N6432">
            <v>-6.9349999999999996</v>
          </cell>
        </row>
        <row r="6433">
          <cell r="N6433">
            <v>-4.1239999999999997</v>
          </cell>
        </row>
        <row r="6434">
          <cell r="N6434">
            <v>-0.47899999999999998</v>
          </cell>
        </row>
        <row r="6435">
          <cell r="N6435">
            <v>-1.9179999999999999</v>
          </cell>
        </row>
        <row r="6436">
          <cell r="N6436">
            <v>-5.7539999999999996</v>
          </cell>
        </row>
        <row r="6437">
          <cell r="N6437">
            <v>-3.8279999999999998</v>
          </cell>
        </row>
        <row r="6438">
          <cell r="N6438">
            <v>-1.2350000000000001</v>
          </cell>
        </row>
        <row r="6439">
          <cell r="N6439">
            <v>-7.4909999999999997</v>
          </cell>
        </row>
        <row r="6440">
          <cell r="N6440">
            <v>-4.59</v>
          </cell>
        </row>
        <row r="6441">
          <cell r="N6441">
            <v>-3.3620000000000001</v>
          </cell>
        </row>
        <row r="6442">
          <cell r="N6442">
            <v>-12.771000000000001</v>
          </cell>
        </row>
        <row r="6443">
          <cell r="N6443">
            <v>-4.4290000000000003</v>
          </cell>
        </row>
        <row r="6444">
          <cell r="N6444">
            <v>-8.4190000000000005</v>
          </cell>
        </row>
        <row r="6445">
          <cell r="N6445">
            <v>-3.8610000000000002</v>
          </cell>
        </row>
        <row r="6446">
          <cell r="N6446">
            <v>-4.0270000000000001</v>
          </cell>
        </row>
        <row r="6447">
          <cell r="N6447">
            <v>-25.940999999999999</v>
          </cell>
        </row>
        <row r="6448">
          <cell r="N6448">
            <v>-0.879</v>
          </cell>
        </row>
        <row r="6449">
          <cell r="N6449">
            <v>-6.8049999999999997</v>
          </cell>
        </row>
        <row r="6450">
          <cell r="N6450">
            <v>-1.9490000000000001</v>
          </cell>
        </row>
        <row r="6451">
          <cell r="N6451">
            <v>-8.7490000000000006</v>
          </cell>
        </row>
        <row r="6452">
          <cell r="N6452">
            <v>-0.371</v>
          </cell>
        </row>
        <row r="6453">
          <cell r="N6453">
            <v>-3.1619999999999999</v>
          </cell>
        </row>
        <row r="6454">
          <cell r="N6454">
            <v>-1.5960000000000001</v>
          </cell>
        </row>
        <row r="6455">
          <cell r="N6455">
            <v>-4.0270000000000001</v>
          </cell>
        </row>
        <row r="6456">
          <cell r="N6456">
            <v>-105</v>
          </cell>
        </row>
        <row r="6457">
          <cell r="N6457">
            <v>-1.913</v>
          </cell>
        </row>
        <row r="6458">
          <cell r="N6458">
            <v>-4.1269999999999998</v>
          </cell>
        </row>
        <row r="6459">
          <cell r="N6459">
            <v>-56</v>
          </cell>
        </row>
        <row r="6460">
          <cell r="N6460">
            <v>-6.6150000000000002</v>
          </cell>
        </row>
        <row r="6461">
          <cell r="N6461">
            <v>-3.9279999999999999</v>
          </cell>
        </row>
        <row r="6462">
          <cell r="N6462">
            <v>-15.528</v>
          </cell>
        </row>
        <row r="6463">
          <cell r="N6463">
            <v>-2.8620000000000001</v>
          </cell>
        </row>
        <row r="6464">
          <cell r="N6464">
            <v>-1.7</v>
          </cell>
        </row>
        <row r="6465">
          <cell r="N6465">
            <v>-5.758</v>
          </cell>
        </row>
        <row r="6466">
          <cell r="N6466">
            <v>-7.5049999999999999</v>
          </cell>
        </row>
        <row r="6467">
          <cell r="N6467">
            <v>-1.19</v>
          </cell>
        </row>
        <row r="6468">
          <cell r="N6468">
            <v>-8.7850000000000001</v>
          </cell>
        </row>
        <row r="6469">
          <cell r="N6469">
            <v>-1.603</v>
          </cell>
        </row>
        <row r="6470">
          <cell r="N6470">
            <v>-26.771999999999998</v>
          </cell>
        </row>
        <row r="6471">
          <cell r="N6471">
            <v>-5.5620000000000003</v>
          </cell>
        </row>
        <row r="6472">
          <cell r="N6472">
            <v>-0.746</v>
          </cell>
        </row>
        <row r="6473">
          <cell r="N6473">
            <v>-20.108000000000001</v>
          </cell>
        </row>
        <row r="6474">
          <cell r="N6474">
            <v>-4.375</v>
          </cell>
        </row>
        <row r="6475">
          <cell r="N6475">
            <v>-3.39</v>
          </cell>
        </row>
        <row r="6476">
          <cell r="N6476">
            <v>-2.996</v>
          </cell>
        </row>
        <row r="6477">
          <cell r="N6477">
            <v>-5.0739999999999998</v>
          </cell>
        </row>
        <row r="6478">
          <cell r="N6478">
            <v>-2.2949999999999999</v>
          </cell>
        </row>
        <row r="6479">
          <cell r="N6479">
            <v>-0.36699999999999999</v>
          </cell>
        </row>
        <row r="6480">
          <cell r="N6480">
            <v>-5.3</v>
          </cell>
        </row>
        <row r="6481">
          <cell r="N6481">
            <v>-10.221</v>
          </cell>
        </row>
        <row r="6482">
          <cell r="N6482">
            <v>-1.637</v>
          </cell>
        </row>
        <row r="6483">
          <cell r="N6483">
            <v>-9.0690000000000008</v>
          </cell>
        </row>
        <row r="6484">
          <cell r="N6484">
            <v>-3.7050000000000001</v>
          </cell>
        </row>
        <row r="6485">
          <cell r="N6485">
            <v>-5.3250000000000002</v>
          </cell>
        </row>
        <row r="6486">
          <cell r="N6486">
            <v>-2.6629999999999998</v>
          </cell>
        </row>
        <row r="6487">
          <cell r="N6487">
            <v>-3.05</v>
          </cell>
        </row>
        <row r="6488">
          <cell r="N6488">
            <v>-7.4909999999999997</v>
          </cell>
        </row>
        <row r="6489">
          <cell r="N6489">
            <v>-3.61</v>
          </cell>
        </row>
        <row r="6490">
          <cell r="N6490">
            <v>-3.7050000000000001</v>
          </cell>
        </row>
        <row r="6491">
          <cell r="N6491">
            <v>-3.3279999999999998</v>
          </cell>
        </row>
        <row r="6492">
          <cell r="N6492">
            <v>-5.9219999999999997</v>
          </cell>
        </row>
        <row r="6493">
          <cell r="N6493">
            <v>-4.0519999999999996</v>
          </cell>
        </row>
        <row r="6494">
          <cell r="N6494">
            <v>-10.221</v>
          </cell>
        </row>
        <row r="6495">
          <cell r="N6495">
            <v>-15.794</v>
          </cell>
        </row>
        <row r="6496">
          <cell r="N6496">
            <v>-8.2870000000000008</v>
          </cell>
        </row>
        <row r="6497">
          <cell r="N6497">
            <v>-0.32300000000000001</v>
          </cell>
        </row>
        <row r="6498">
          <cell r="N6498">
            <v>-5.8890000000000002</v>
          </cell>
        </row>
        <row r="6499">
          <cell r="N6499">
            <v>-3.8279999999999998</v>
          </cell>
        </row>
        <row r="6500">
          <cell r="N6500">
            <v>-6.02</v>
          </cell>
        </row>
        <row r="6501">
          <cell r="N6501">
            <v>-7.516</v>
          </cell>
        </row>
        <row r="6502">
          <cell r="N6502">
            <v>-2.77</v>
          </cell>
        </row>
        <row r="6503">
          <cell r="N6503">
            <v>-4.1779999999999999</v>
          </cell>
        </row>
        <row r="6504">
          <cell r="N6504">
            <v>-4.4930000000000003</v>
          </cell>
        </row>
        <row r="6505">
          <cell r="N6505">
            <v>-2.996</v>
          </cell>
        </row>
        <row r="6506">
          <cell r="N6506">
            <v>-15.55</v>
          </cell>
        </row>
        <row r="6507">
          <cell r="N6507">
            <v>-2.552</v>
          </cell>
        </row>
        <row r="6508">
          <cell r="N6508">
            <v>-23.466000000000001</v>
          </cell>
        </row>
        <row r="6509">
          <cell r="N6509">
            <v>-4.335</v>
          </cell>
        </row>
        <row r="6510">
          <cell r="N6510">
            <v>-20.417999999999999</v>
          </cell>
        </row>
        <row r="6511">
          <cell r="N6511">
            <v>-21.895</v>
          </cell>
        </row>
        <row r="6512">
          <cell r="N6512">
            <v>-1.3540000000000001</v>
          </cell>
        </row>
        <row r="6513">
          <cell r="N6513">
            <v>-1.681</v>
          </cell>
        </row>
        <row r="6514">
          <cell r="N6514">
            <v>-3.528</v>
          </cell>
        </row>
        <row r="6515">
          <cell r="N6515">
            <v>-5.6929999999999996</v>
          </cell>
        </row>
        <row r="6516">
          <cell r="N6516">
            <v>-0.47399999999999998</v>
          </cell>
        </row>
        <row r="6517">
          <cell r="N6517">
            <v>-7.149</v>
          </cell>
        </row>
        <row r="6518">
          <cell r="N6518">
            <v>-1.0269999999999999</v>
          </cell>
        </row>
        <row r="6519">
          <cell r="N6519">
            <v>-30.164000000000001</v>
          </cell>
        </row>
        <row r="6520">
          <cell r="N6520">
            <v>-1.9710000000000001</v>
          </cell>
        </row>
        <row r="6521">
          <cell r="N6521">
            <v>-3.2450000000000001</v>
          </cell>
        </row>
        <row r="6522">
          <cell r="N6522">
            <v>-2.4900000000000002</v>
          </cell>
        </row>
        <row r="6523">
          <cell r="N6523">
            <v>-16.689</v>
          </cell>
        </row>
        <row r="6524">
          <cell r="N6524">
            <v>-3.2320000000000002</v>
          </cell>
        </row>
        <row r="6525">
          <cell r="N6525">
            <v>-7.718</v>
          </cell>
        </row>
        <row r="6526">
          <cell r="N6526">
            <v>-1.2789999999999999</v>
          </cell>
        </row>
        <row r="6527">
          <cell r="N6527">
            <v>-0.313</v>
          </cell>
        </row>
        <row r="6528">
          <cell r="N6528">
            <v>-4.5149999999999997</v>
          </cell>
        </row>
        <row r="6529">
          <cell r="N6529">
            <v>-7.3979999999999997</v>
          </cell>
        </row>
        <row r="6530">
          <cell r="N6530">
            <v>-8.8209999999999997</v>
          </cell>
        </row>
        <row r="6531">
          <cell r="N6531">
            <v>-2.9620000000000002</v>
          </cell>
        </row>
        <row r="6532">
          <cell r="N6532">
            <v>-43.36</v>
          </cell>
        </row>
        <row r="6533">
          <cell r="N6533">
            <v>-21.687000000000001</v>
          </cell>
        </row>
        <row r="6534">
          <cell r="N6534">
            <v>-8.8209999999999997</v>
          </cell>
        </row>
        <row r="6535">
          <cell r="N6535">
            <v>-4.1779999999999999</v>
          </cell>
        </row>
        <row r="6536">
          <cell r="N6536">
            <v>-21.803000000000001</v>
          </cell>
        </row>
        <row r="6537">
          <cell r="N6537">
            <v>-10.919</v>
          </cell>
        </row>
        <row r="6538">
          <cell r="N6538">
            <v>-3.7610000000000001</v>
          </cell>
        </row>
        <row r="6539">
          <cell r="N6539">
            <v>-4.59</v>
          </cell>
        </row>
        <row r="6540">
          <cell r="N6540">
            <v>-2.552</v>
          </cell>
        </row>
        <row r="6541">
          <cell r="N6541">
            <v>-3.6949999999999998</v>
          </cell>
        </row>
        <row r="6542">
          <cell r="N6542">
            <v>-5.431</v>
          </cell>
        </row>
        <row r="6543">
          <cell r="N6543">
            <v>-0.39400000000000002</v>
          </cell>
        </row>
        <row r="6544">
          <cell r="N6544">
            <v>-7.3979999999999997</v>
          </cell>
        </row>
        <row r="6545">
          <cell r="N6545">
            <v>-7.4329999999999998</v>
          </cell>
        </row>
        <row r="6546">
          <cell r="N6546">
            <v>-14.247</v>
          </cell>
        </row>
        <row r="6547">
          <cell r="N6547">
            <v>-2.863</v>
          </cell>
        </row>
        <row r="6548">
          <cell r="N6548">
            <v>-4.1269999999999998</v>
          </cell>
        </row>
        <row r="6549">
          <cell r="N6549">
            <v>-1.22</v>
          </cell>
        </row>
        <row r="6550">
          <cell r="N6550">
            <v>-3.0619999999999998</v>
          </cell>
        </row>
        <row r="6551">
          <cell r="N6551">
            <v>-1.7969999999999999</v>
          </cell>
        </row>
        <row r="6552">
          <cell r="N6552">
            <v>-2.863</v>
          </cell>
        </row>
        <row r="6553">
          <cell r="N6553">
            <v>-26.771999999999998</v>
          </cell>
        </row>
        <row r="6554">
          <cell r="N6554">
            <v>-9.4960000000000004</v>
          </cell>
        </row>
        <row r="6555">
          <cell r="N6555">
            <v>-4.2569999999999997</v>
          </cell>
        </row>
        <row r="6556">
          <cell r="N6556">
            <v>-6.9359999999999999</v>
          </cell>
        </row>
        <row r="6557">
          <cell r="N6557">
            <v>-1.577</v>
          </cell>
        </row>
        <row r="6558">
          <cell r="N6558">
            <v>-5.4969999999999999</v>
          </cell>
        </row>
        <row r="6559">
          <cell r="N6559">
            <v>-5.6760000000000002</v>
          </cell>
        </row>
        <row r="6560">
          <cell r="N6560">
            <v>-10.045999999999999</v>
          </cell>
        </row>
        <row r="6561">
          <cell r="N6561">
            <v>-3.9279999999999999</v>
          </cell>
        </row>
        <row r="6562">
          <cell r="N6562">
            <v>-2.8010000000000002</v>
          </cell>
        </row>
        <row r="6563">
          <cell r="N6563">
            <v>-9.0340000000000007</v>
          </cell>
        </row>
        <row r="6564">
          <cell r="N6564">
            <v>-7.149</v>
          </cell>
        </row>
        <row r="6565">
          <cell r="N6565">
            <v>-20.038</v>
          </cell>
        </row>
        <row r="6566">
          <cell r="N6566">
            <v>-14.837999999999999</v>
          </cell>
        </row>
        <row r="6567">
          <cell r="N6567">
            <v>-2.33</v>
          </cell>
        </row>
        <row r="6568">
          <cell r="N6568">
            <v>-1.637</v>
          </cell>
        </row>
        <row r="6569">
          <cell r="N6569">
            <v>-53.162999999999997</v>
          </cell>
        </row>
        <row r="6570">
          <cell r="N6570">
            <v>-3.7650000000000001</v>
          </cell>
        </row>
        <row r="6571">
          <cell r="N6571">
            <v>-4.0990000000000002</v>
          </cell>
        </row>
        <row r="6572">
          <cell r="N6572">
            <v>-12.199</v>
          </cell>
        </row>
        <row r="6573">
          <cell r="N6573">
            <v>-15.224</v>
          </cell>
        </row>
        <row r="6574">
          <cell r="N6574">
            <v>-1.681</v>
          </cell>
        </row>
        <row r="6575">
          <cell r="N6575">
            <v>-8.2159999999999993</v>
          </cell>
        </row>
        <row r="6576">
          <cell r="N6576">
            <v>-7.1980000000000004</v>
          </cell>
        </row>
        <row r="6577">
          <cell r="N6577">
            <v>-7.3289999999999997</v>
          </cell>
        </row>
        <row r="6578">
          <cell r="N6578">
            <v>-4.0880000000000001</v>
          </cell>
        </row>
        <row r="6579">
          <cell r="N6579">
            <v>-4.0990000000000002</v>
          </cell>
        </row>
        <row r="6580">
          <cell r="N6580">
            <v>-0.92800000000000005</v>
          </cell>
        </row>
        <row r="6581">
          <cell r="N6581">
            <v>-2.7080000000000002</v>
          </cell>
        </row>
        <row r="6582">
          <cell r="N6582">
            <v>-4.1059999999999999</v>
          </cell>
        </row>
        <row r="6583">
          <cell r="N6583">
            <v>-9.6739999999999995</v>
          </cell>
        </row>
        <row r="6584">
          <cell r="N6584">
            <v>-3.8940000000000001</v>
          </cell>
        </row>
        <row r="6585">
          <cell r="N6585">
            <v>-13.49</v>
          </cell>
        </row>
        <row r="6586">
          <cell r="N6586">
            <v>-9.3179999999999996</v>
          </cell>
        </row>
        <row r="6587">
          <cell r="N6587">
            <v>-3.863</v>
          </cell>
        </row>
        <row r="6588">
          <cell r="N6588">
            <v>-23.97</v>
          </cell>
        </row>
        <row r="6589">
          <cell r="N6589">
            <v>-4.1609999999999996</v>
          </cell>
        </row>
        <row r="6590">
          <cell r="N6590">
            <v>-0.55200000000000005</v>
          </cell>
        </row>
        <row r="6591">
          <cell r="N6591">
            <v>-14.467000000000001</v>
          </cell>
        </row>
        <row r="6592">
          <cell r="N6592">
            <v>-19.62</v>
          </cell>
        </row>
        <row r="6593">
          <cell r="N6593">
            <v>-0.47299999999999998</v>
          </cell>
        </row>
        <row r="6594">
          <cell r="N6594">
            <v>-4.0000000000000001E-3</v>
          </cell>
        </row>
        <row r="6595">
          <cell r="N6595">
            <v>-1E-3</v>
          </cell>
        </row>
        <row r="6596">
          <cell r="N6596">
            <v>-2.863</v>
          </cell>
        </row>
        <row r="6597">
          <cell r="N6597">
            <v>-0.51500000000000001</v>
          </cell>
        </row>
        <row r="6598">
          <cell r="N6598">
            <v>-2.9249999999999998</v>
          </cell>
        </row>
        <row r="6599">
          <cell r="N6599">
            <v>-1E-3</v>
          </cell>
        </row>
        <row r="6600">
          <cell r="N6600">
            <v>-2E-3</v>
          </cell>
        </row>
        <row r="6601">
          <cell r="N6601">
            <v>-4.0000000000000001E-3</v>
          </cell>
        </row>
        <row r="6602">
          <cell r="N6602">
            <v>-8.7490000000000006</v>
          </cell>
        </row>
        <row r="6603">
          <cell r="N6603">
            <v>-6.58</v>
          </cell>
        </row>
        <row r="6604">
          <cell r="N6604">
            <v>-9.4960000000000004</v>
          </cell>
        </row>
        <row r="6605">
          <cell r="N6605">
            <v>-5.0919999999999996</v>
          </cell>
        </row>
        <row r="6606">
          <cell r="N6606">
            <v>-9.1760000000000002</v>
          </cell>
        </row>
        <row r="6607">
          <cell r="N6607">
            <v>-7.6820000000000004</v>
          </cell>
        </row>
        <row r="6608">
          <cell r="N6608">
            <v>-5.3070000000000004</v>
          </cell>
        </row>
        <row r="6609">
          <cell r="N6609">
            <v>-1.458</v>
          </cell>
        </row>
        <row r="6610">
          <cell r="N6610">
            <v>-14.467000000000001</v>
          </cell>
        </row>
        <row r="6611">
          <cell r="N6611">
            <v>-3.528</v>
          </cell>
        </row>
        <row r="6612">
          <cell r="N6612">
            <v>-6.9349999999999996</v>
          </cell>
        </row>
        <row r="6613">
          <cell r="N6613">
            <v>-2.8959999999999999</v>
          </cell>
        </row>
        <row r="6614">
          <cell r="N6614">
            <v>-4.1779999999999999</v>
          </cell>
        </row>
        <row r="6615">
          <cell r="N6615">
            <v>-1.2649999999999999</v>
          </cell>
        </row>
        <row r="6616">
          <cell r="N6616">
            <v>-3.0289999999999999</v>
          </cell>
        </row>
        <row r="6617">
          <cell r="N6617">
            <v>-6.6870000000000003</v>
          </cell>
        </row>
        <row r="6618">
          <cell r="N6618">
            <v>-8.9269999999999996</v>
          </cell>
        </row>
        <row r="6619">
          <cell r="N6619">
            <v>-2.7290000000000001</v>
          </cell>
        </row>
        <row r="6620">
          <cell r="N6620">
            <v>-4.5540000000000003</v>
          </cell>
        </row>
        <row r="6621">
          <cell r="N6621">
            <v>-3.1949999999999998</v>
          </cell>
        </row>
        <row r="6622">
          <cell r="N6622">
            <v>-4.5540000000000003</v>
          </cell>
        </row>
        <row r="6623">
          <cell r="N6623">
            <v>-7.2910000000000004</v>
          </cell>
        </row>
        <row r="6624">
          <cell r="N6624">
            <v>-9.4589999999999996</v>
          </cell>
        </row>
        <row r="6625">
          <cell r="N6625">
            <v>-1.339</v>
          </cell>
        </row>
        <row r="6626">
          <cell r="N6626">
            <v>-7.8E-2</v>
          </cell>
        </row>
        <row r="6627">
          <cell r="N6627">
            <v>-1.651</v>
          </cell>
        </row>
        <row r="6628">
          <cell r="N6628">
            <v>-5.62</v>
          </cell>
        </row>
        <row r="6629">
          <cell r="N6629">
            <v>-0.96599999999999997</v>
          </cell>
        </row>
        <row r="6630">
          <cell r="N6630">
            <v>-5.72</v>
          </cell>
        </row>
        <row r="6631">
          <cell r="N6631">
            <v>-3.9940000000000002</v>
          </cell>
        </row>
        <row r="6632">
          <cell r="N6632">
            <v>-6.0960000000000001</v>
          </cell>
        </row>
        <row r="6633">
          <cell r="N6633">
            <v>-0.23699999999999999</v>
          </cell>
        </row>
        <row r="6634">
          <cell r="N6634">
            <v>-4.9489999999999998</v>
          </cell>
        </row>
        <row r="6635">
          <cell r="N6635">
            <v>-2E-3</v>
          </cell>
        </row>
        <row r="6636">
          <cell r="N6636">
            <v>-1.9490000000000001</v>
          </cell>
        </row>
        <row r="6637">
          <cell r="N6637">
            <v>-4.6619999999999999</v>
          </cell>
        </row>
        <row r="6638">
          <cell r="N6638">
            <v>-1.3839999999999999</v>
          </cell>
        </row>
        <row r="6639">
          <cell r="N6639">
            <v>-16.135999999999999</v>
          </cell>
        </row>
        <row r="6640">
          <cell r="N6640">
            <v>-15.704000000000001</v>
          </cell>
        </row>
        <row r="6641">
          <cell r="N6641">
            <v>-8.3949999999999996</v>
          </cell>
        </row>
        <row r="6642">
          <cell r="N6642">
            <v>-1.101</v>
          </cell>
        </row>
        <row r="6643">
          <cell r="N6643">
            <v>-3.8610000000000002</v>
          </cell>
        </row>
        <row r="6644">
          <cell r="N6644">
            <v>-1.6220000000000001</v>
          </cell>
        </row>
        <row r="6645">
          <cell r="N6645">
            <v>-1.2350000000000001</v>
          </cell>
        </row>
        <row r="6646">
          <cell r="N6646">
            <v>-16.445</v>
          </cell>
        </row>
        <row r="6647">
          <cell r="N6647">
            <v>-7.8250000000000002</v>
          </cell>
        </row>
        <row r="6648">
          <cell r="N6648">
            <v>-5.7370000000000001</v>
          </cell>
        </row>
        <row r="6649">
          <cell r="N6649">
            <v>-7.0419999999999998</v>
          </cell>
        </row>
        <row r="6650">
          <cell r="N6650">
            <v>-5.899</v>
          </cell>
        </row>
        <row r="6651">
          <cell r="N6651">
            <v>-9.4960000000000004</v>
          </cell>
        </row>
        <row r="6652">
          <cell r="N6652">
            <v>-9.2119999999999997</v>
          </cell>
        </row>
        <row r="6653">
          <cell r="N6653">
            <v>-2.2069999999999999</v>
          </cell>
        </row>
        <row r="6654">
          <cell r="N6654">
            <v>-1.294</v>
          </cell>
        </row>
        <row r="6655">
          <cell r="N6655">
            <v>-3.129</v>
          </cell>
        </row>
        <row r="6656">
          <cell r="N6656">
            <v>-7.8959999999999999</v>
          </cell>
        </row>
        <row r="6657">
          <cell r="N6657">
            <v>-9.9939999999999998</v>
          </cell>
        </row>
        <row r="6658">
          <cell r="N6658">
            <v>-11.061</v>
          </cell>
        </row>
        <row r="6659">
          <cell r="N6659">
            <v>-11.31</v>
          </cell>
        </row>
        <row r="6660">
          <cell r="N6660">
            <v>-8.8559999999999999</v>
          </cell>
        </row>
        <row r="6661">
          <cell r="N6661">
            <v>-2.7629999999999999</v>
          </cell>
        </row>
        <row r="6662">
          <cell r="N6662">
            <v>-3.9279999999999999</v>
          </cell>
        </row>
        <row r="6663">
          <cell r="N6663">
            <v>-7.6109999999999998</v>
          </cell>
        </row>
        <row r="6664">
          <cell r="N6664">
            <v>-5.2809999999999997</v>
          </cell>
        </row>
        <row r="6665">
          <cell r="N6665">
            <v>-4.0990000000000002</v>
          </cell>
        </row>
        <row r="6666">
          <cell r="N6666">
            <v>-0.57399999999999995</v>
          </cell>
        </row>
        <row r="6667">
          <cell r="N6667">
            <v>-2E-3</v>
          </cell>
        </row>
        <row r="6668">
          <cell r="N6668">
            <v>-4.9660000000000002</v>
          </cell>
        </row>
        <row r="6669">
          <cell r="N6669">
            <v>-1.6220000000000001</v>
          </cell>
        </row>
        <row r="6670">
          <cell r="N6670">
            <v>-1.8</v>
          </cell>
        </row>
        <row r="6671">
          <cell r="N6671">
            <v>-3.891</v>
          </cell>
        </row>
        <row r="6672">
          <cell r="N6672">
            <v>-1.294</v>
          </cell>
        </row>
        <row r="6673">
          <cell r="N6673">
            <v>-1.25</v>
          </cell>
        </row>
        <row r="6674">
          <cell r="N6674">
            <v>-8.2870000000000008</v>
          </cell>
        </row>
        <row r="6675">
          <cell r="N6675">
            <v>-3.1619999999999999</v>
          </cell>
        </row>
        <row r="6676">
          <cell r="N6676">
            <v>-8.9269999999999996</v>
          </cell>
        </row>
        <row r="6677">
          <cell r="N6677">
            <v>-2.5299999999999998</v>
          </cell>
        </row>
        <row r="6678">
          <cell r="N6678">
            <v>-1.3540000000000001</v>
          </cell>
        </row>
        <row r="6679">
          <cell r="N6679">
            <v>-3.9409999999999998</v>
          </cell>
        </row>
        <row r="6680">
          <cell r="N6680">
            <v>-9.923</v>
          </cell>
        </row>
        <row r="6681">
          <cell r="N6681">
            <v>-9.9939999999999998</v>
          </cell>
        </row>
        <row r="6682">
          <cell r="N6682">
            <v>-8.0000000000000002E-3</v>
          </cell>
        </row>
        <row r="6683">
          <cell r="N6683">
            <v>-3.1019999999999999</v>
          </cell>
        </row>
        <row r="6684">
          <cell r="N6684">
            <v>-9.1050000000000004</v>
          </cell>
        </row>
        <row r="6685">
          <cell r="N6685">
            <v>-15.951000000000001</v>
          </cell>
        </row>
        <row r="6686">
          <cell r="N6686">
            <v>-4.0940000000000003</v>
          </cell>
        </row>
        <row r="6687">
          <cell r="N6687">
            <v>-4.07</v>
          </cell>
        </row>
        <row r="6688">
          <cell r="N6688">
            <v>-1.4730000000000001</v>
          </cell>
        </row>
        <row r="6689">
          <cell r="N6689">
            <v>-1.3839999999999999</v>
          </cell>
        </row>
        <row r="6690">
          <cell r="N6690">
            <v>-3.5609999999999999</v>
          </cell>
        </row>
        <row r="6691">
          <cell r="N6691">
            <v>-6.1269999999999998</v>
          </cell>
        </row>
        <row r="6692">
          <cell r="N6692">
            <v>-4.0990000000000002</v>
          </cell>
        </row>
        <row r="6693">
          <cell r="N6693">
            <v>-10.706</v>
          </cell>
        </row>
        <row r="6694">
          <cell r="N6694">
            <v>-11.516999999999999</v>
          </cell>
        </row>
        <row r="6695">
          <cell r="N6695">
            <v>-3.7749999999999999</v>
          </cell>
        </row>
        <row r="6696">
          <cell r="N6696">
            <v>-7.5759999999999996</v>
          </cell>
        </row>
        <row r="6697">
          <cell r="N6697">
            <v>-4.4290000000000003</v>
          </cell>
        </row>
        <row r="6698">
          <cell r="N6698">
            <v>-2.496</v>
          </cell>
        </row>
        <row r="6699">
          <cell r="N6699">
            <v>-10.67</v>
          </cell>
        </row>
        <row r="6700">
          <cell r="N6700">
            <v>-9.0690000000000008</v>
          </cell>
        </row>
        <row r="6701">
          <cell r="N6701">
            <v>-5.702</v>
          </cell>
        </row>
        <row r="6702">
          <cell r="N6702">
            <v>-14.157999999999999</v>
          </cell>
        </row>
        <row r="6703">
          <cell r="N6703">
            <v>-6.07</v>
          </cell>
        </row>
        <row r="6704">
          <cell r="N6704">
            <v>-1.6659999999999999</v>
          </cell>
        </row>
        <row r="6705">
          <cell r="N6705">
            <v>-1.607</v>
          </cell>
        </row>
        <row r="6706">
          <cell r="N6706">
            <v>-7.6820000000000004</v>
          </cell>
        </row>
        <row r="6707">
          <cell r="N6707">
            <v>-7.7889999999999997</v>
          </cell>
        </row>
        <row r="6708">
          <cell r="N6708">
            <v>-9.3179999999999996</v>
          </cell>
        </row>
        <row r="6709">
          <cell r="N6709">
            <v>-1.3240000000000001</v>
          </cell>
        </row>
        <row r="6710">
          <cell r="N6710">
            <v>-7.149</v>
          </cell>
        </row>
        <row r="6711">
          <cell r="N6711">
            <v>-3.1949999999999998</v>
          </cell>
        </row>
        <row r="6712">
          <cell r="N6712">
            <v>-0.80100000000000005</v>
          </cell>
        </row>
        <row r="6713">
          <cell r="N6713">
            <v>-3.5680000000000001</v>
          </cell>
        </row>
        <row r="6714">
          <cell r="N6714">
            <v>-2.9620000000000002</v>
          </cell>
        </row>
        <row r="6715">
          <cell r="N6715">
            <v>-12.303000000000001</v>
          </cell>
        </row>
        <row r="6716">
          <cell r="N6716">
            <v>-8.7140000000000004</v>
          </cell>
        </row>
        <row r="6717">
          <cell r="N6717">
            <v>-9.39</v>
          </cell>
        </row>
        <row r="6718">
          <cell r="N6718">
            <v>-8.9999999999999993E-3</v>
          </cell>
        </row>
        <row r="6719">
          <cell r="N6719">
            <v>-1.19</v>
          </cell>
        </row>
        <row r="6720">
          <cell r="N6720">
            <v>-3.4380000000000002</v>
          </cell>
        </row>
        <row r="6721">
          <cell r="N6721">
            <v>-6.6150000000000002</v>
          </cell>
        </row>
        <row r="6722">
          <cell r="N6722">
            <v>-1.3839999999999999</v>
          </cell>
        </row>
        <row r="6723">
          <cell r="N6723">
            <v>-4.617</v>
          </cell>
        </row>
        <row r="6724">
          <cell r="N6724">
            <v>-0.72399999999999998</v>
          </cell>
        </row>
        <row r="6725">
          <cell r="N6725">
            <v>-3.1280000000000001</v>
          </cell>
        </row>
        <row r="6726">
          <cell r="N6726">
            <v>-4.2270000000000003</v>
          </cell>
        </row>
        <row r="6727">
          <cell r="N6727">
            <v>-6.6440000000000001</v>
          </cell>
        </row>
        <row r="6728">
          <cell r="N6728">
            <v>-10.314</v>
          </cell>
        </row>
        <row r="6729">
          <cell r="N6729">
            <v>-0.997</v>
          </cell>
        </row>
        <row r="6730">
          <cell r="N6730">
            <v>-3.468</v>
          </cell>
        </row>
        <row r="6731">
          <cell r="N6731">
            <v>-2.3969999999999998</v>
          </cell>
        </row>
        <row r="6732">
          <cell r="N6732">
            <v>-5.5940000000000003</v>
          </cell>
        </row>
        <row r="6733">
          <cell r="N6733">
            <v>-0.98199999999999998</v>
          </cell>
        </row>
        <row r="6734">
          <cell r="N6734">
            <v>-1.012</v>
          </cell>
        </row>
        <row r="6735">
          <cell r="N6735">
            <v>-4.9790000000000001</v>
          </cell>
        </row>
        <row r="6736">
          <cell r="N6736">
            <v>-7.4329999999999998</v>
          </cell>
        </row>
        <row r="6737">
          <cell r="N6737">
            <v>-18.646000000000001</v>
          </cell>
        </row>
        <row r="6738">
          <cell r="N6738">
            <v>-0.34300000000000003</v>
          </cell>
        </row>
        <row r="6739">
          <cell r="N6739">
            <v>-84</v>
          </cell>
        </row>
        <row r="6740">
          <cell r="N6740">
            <v>-1.6759999999999999</v>
          </cell>
        </row>
        <row r="6741">
          <cell r="N6741">
            <v>-0.29699999999999999</v>
          </cell>
        </row>
        <row r="6742">
          <cell r="N6742">
            <v>-1.2649999999999999</v>
          </cell>
        </row>
        <row r="6743">
          <cell r="N6743">
            <v>-3.395</v>
          </cell>
        </row>
        <row r="6744">
          <cell r="N6744">
            <v>-7.54</v>
          </cell>
        </row>
        <row r="6745">
          <cell r="N6745">
            <v>-1.22</v>
          </cell>
        </row>
        <row r="6746">
          <cell r="N6746">
            <v>-4.7690000000000001</v>
          </cell>
        </row>
        <row r="6747">
          <cell r="N6747">
            <v>-0.30099999999999999</v>
          </cell>
        </row>
        <row r="6748">
          <cell r="N6748">
            <v>-22.783000000000001</v>
          </cell>
        </row>
        <row r="6749">
          <cell r="N6749">
            <v>-1.131</v>
          </cell>
        </row>
        <row r="6750">
          <cell r="N6750">
            <v>-1.101</v>
          </cell>
        </row>
        <row r="6751">
          <cell r="N6751">
            <v>-2.496</v>
          </cell>
        </row>
        <row r="6752">
          <cell r="N6752">
            <v>-3.6219999999999999</v>
          </cell>
        </row>
        <row r="6753">
          <cell r="N6753">
            <v>-13.787000000000001</v>
          </cell>
        </row>
        <row r="6754">
          <cell r="N6754">
            <v>-8.3230000000000004</v>
          </cell>
        </row>
        <row r="6755">
          <cell r="N6755">
            <v>-2.74</v>
          </cell>
        </row>
        <row r="6756">
          <cell r="N6756">
            <v>-2.12</v>
          </cell>
        </row>
        <row r="6757">
          <cell r="N6757">
            <v>-3.2090000000000001</v>
          </cell>
        </row>
        <row r="6758">
          <cell r="N6758">
            <v>-6.6440000000000001</v>
          </cell>
        </row>
        <row r="6759">
          <cell r="N6759">
            <v>-3.9940000000000002</v>
          </cell>
        </row>
        <row r="6760">
          <cell r="N6760">
            <v>-1.577</v>
          </cell>
        </row>
        <row r="6761">
          <cell r="N6761">
            <v>-1.339</v>
          </cell>
        </row>
        <row r="6762">
          <cell r="N6762">
            <v>-8.9629999999999992</v>
          </cell>
        </row>
        <row r="6763">
          <cell r="N6763">
            <v>-8.0020000000000007</v>
          </cell>
        </row>
        <row r="6764">
          <cell r="N6764">
            <v>-1.88</v>
          </cell>
        </row>
        <row r="6765">
          <cell r="N6765">
            <v>-0.28999999999999998</v>
          </cell>
        </row>
        <row r="6766">
          <cell r="N6766">
            <v>-22.783000000000001</v>
          </cell>
        </row>
        <row r="6767">
          <cell r="N6767">
            <v>-15.209</v>
          </cell>
        </row>
        <row r="6768">
          <cell r="N6768">
            <v>-5.3970000000000002</v>
          </cell>
        </row>
        <row r="6769">
          <cell r="N6769">
            <v>-18.372</v>
          </cell>
        </row>
        <row r="6770">
          <cell r="N6770">
            <v>-56</v>
          </cell>
        </row>
        <row r="6771">
          <cell r="N6771">
            <v>-84</v>
          </cell>
        </row>
        <row r="6772">
          <cell r="N6772">
            <v>-56</v>
          </cell>
        </row>
        <row r="6773">
          <cell r="N6773">
            <v>-12.241</v>
          </cell>
        </row>
        <row r="6774">
          <cell r="N6774">
            <v>-0.72899999999999998</v>
          </cell>
        </row>
        <row r="6775">
          <cell r="N6775">
            <v>-24.827000000000002</v>
          </cell>
        </row>
        <row r="6776">
          <cell r="N6776">
            <v>-3.2090000000000001</v>
          </cell>
        </row>
        <row r="6777">
          <cell r="N6777">
            <v>-6.15</v>
          </cell>
        </row>
        <row r="6778">
          <cell r="N6778">
            <v>-1.1599999999999999</v>
          </cell>
        </row>
        <row r="6779">
          <cell r="N6779">
            <v>-10.208</v>
          </cell>
        </row>
        <row r="6780">
          <cell r="N6780">
            <v>-1.2050000000000001</v>
          </cell>
        </row>
        <row r="6781">
          <cell r="N6781">
            <v>-9.532</v>
          </cell>
        </row>
        <row r="6782">
          <cell r="N6782">
            <v>-1.012</v>
          </cell>
        </row>
        <row r="6783">
          <cell r="N6783">
            <v>-12.673999999999999</v>
          </cell>
        </row>
        <row r="6784">
          <cell r="N6784">
            <v>-10.492000000000001</v>
          </cell>
        </row>
        <row r="6785">
          <cell r="N6785">
            <v>-0.26</v>
          </cell>
        </row>
        <row r="6786">
          <cell r="N6786">
            <v>-7.3419999999999996</v>
          </cell>
        </row>
        <row r="6787">
          <cell r="N6787">
            <v>-2.7290000000000001</v>
          </cell>
        </row>
        <row r="6788">
          <cell r="N6788">
            <v>-1.339</v>
          </cell>
        </row>
        <row r="6789">
          <cell r="N6789">
            <v>-0.36799999999999999</v>
          </cell>
        </row>
        <row r="6790">
          <cell r="N6790">
            <v>-0.75900000000000001</v>
          </cell>
        </row>
        <row r="6791">
          <cell r="N6791">
            <v>-2.0680000000000001</v>
          </cell>
        </row>
        <row r="6792">
          <cell r="N6792">
            <v>-6.2309999999999999</v>
          </cell>
        </row>
        <row r="6793">
          <cell r="N6793">
            <v>-9.8160000000000007</v>
          </cell>
        </row>
        <row r="6794">
          <cell r="N6794">
            <v>-3.7829999999999999</v>
          </cell>
        </row>
        <row r="6795">
          <cell r="N6795">
            <v>-13.436</v>
          </cell>
        </row>
        <row r="6796">
          <cell r="N6796">
            <v>-0.33100000000000002</v>
          </cell>
        </row>
        <row r="6797">
          <cell r="N6797">
            <v>-3.4950000000000001</v>
          </cell>
        </row>
        <row r="6798">
          <cell r="N6798">
            <v>-2.7629999999999999</v>
          </cell>
        </row>
        <row r="6799">
          <cell r="N6799">
            <v>-14.808</v>
          </cell>
        </row>
        <row r="6800">
          <cell r="N6800">
            <v>-1.2050000000000001</v>
          </cell>
        </row>
        <row r="6801">
          <cell r="N6801">
            <v>-1.339</v>
          </cell>
        </row>
        <row r="6802">
          <cell r="N6802">
            <v>-4.8090000000000002</v>
          </cell>
        </row>
        <row r="6803">
          <cell r="N6803">
            <v>-4.6079999999999997</v>
          </cell>
        </row>
        <row r="6804">
          <cell r="N6804">
            <v>-1.2050000000000001</v>
          </cell>
        </row>
        <row r="6805">
          <cell r="N6805">
            <v>-11.791</v>
          </cell>
        </row>
        <row r="6806">
          <cell r="N6806">
            <v>-0.30399999999999999</v>
          </cell>
        </row>
        <row r="6807">
          <cell r="N6807">
            <v>-1.056</v>
          </cell>
        </row>
        <row r="6808">
          <cell r="N6808">
            <v>-22.707000000000001</v>
          </cell>
        </row>
        <row r="6809">
          <cell r="N6809">
            <v>-3.4780000000000002</v>
          </cell>
        </row>
        <row r="6810">
          <cell r="N6810">
            <v>-13.853999999999999</v>
          </cell>
        </row>
        <row r="6811">
          <cell r="N6811">
            <v>-1.577</v>
          </cell>
        </row>
        <row r="6812">
          <cell r="N6812">
            <v>-11.595000000000001</v>
          </cell>
        </row>
        <row r="6813">
          <cell r="N6813">
            <v>-0.27</v>
          </cell>
        </row>
        <row r="6814">
          <cell r="N6814">
            <v>-4.9130000000000003</v>
          </cell>
        </row>
        <row r="6815">
          <cell r="N6815">
            <v>-1.86</v>
          </cell>
        </row>
        <row r="6816">
          <cell r="N6816">
            <v>-1.3979999999999999</v>
          </cell>
        </row>
        <row r="6817">
          <cell r="N6817">
            <v>-26.038</v>
          </cell>
        </row>
        <row r="6818">
          <cell r="N6818">
            <v>-16.452999999999999</v>
          </cell>
        </row>
        <row r="6819">
          <cell r="N6819">
            <v>-1.1459999999999999</v>
          </cell>
        </row>
        <row r="6820">
          <cell r="N6820">
            <v>-1.175</v>
          </cell>
        </row>
        <row r="6821">
          <cell r="N6821">
            <v>-9.141</v>
          </cell>
        </row>
        <row r="6822">
          <cell r="N6822">
            <v>-0.32800000000000001</v>
          </cell>
        </row>
        <row r="6823">
          <cell r="N6823">
            <v>-1.294</v>
          </cell>
        </row>
        <row r="6824">
          <cell r="N6824">
            <v>-0.371</v>
          </cell>
        </row>
        <row r="6825">
          <cell r="N6825">
            <v>-1.25</v>
          </cell>
        </row>
        <row r="6826">
          <cell r="N6826">
            <v>-5.1280000000000001</v>
          </cell>
        </row>
        <row r="6827">
          <cell r="N6827">
            <v>-0.24</v>
          </cell>
        </row>
        <row r="6828">
          <cell r="N6828">
            <v>-4.7869999999999999</v>
          </cell>
        </row>
        <row r="6829">
          <cell r="N6829">
            <v>-16.507000000000001</v>
          </cell>
        </row>
        <row r="6830">
          <cell r="N6830">
            <v>-8.0150000000000006</v>
          </cell>
        </row>
        <row r="6831">
          <cell r="N6831">
            <v>-16.178999999999998</v>
          </cell>
        </row>
        <row r="6832">
          <cell r="N6832">
            <v>-1.3240000000000001</v>
          </cell>
        </row>
        <row r="6833">
          <cell r="N6833">
            <v>-8.9629999999999992</v>
          </cell>
        </row>
        <row r="6834">
          <cell r="N6834">
            <v>-1.101</v>
          </cell>
        </row>
        <row r="6835">
          <cell r="N6835">
            <v>-0.29699999999999999</v>
          </cell>
        </row>
        <row r="6836">
          <cell r="N6836">
            <v>-1.22</v>
          </cell>
        </row>
        <row r="6837">
          <cell r="N6837">
            <v>-1.3839999999999999</v>
          </cell>
        </row>
        <row r="6838">
          <cell r="N6838">
            <v>-1.2050000000000001</v>
          </cell>
        </row>
        <row r="6839">
          <cell r="N6839">
            <v>-6.5670000000000002</v>
          </cell>
        </row>
        <row r="6840">
          <cell r="N6840">
            <v>-0.26300000000000001</v>
          </cell>
        </row>
        <row r="6841">
          <cell r="N6841">
            <v>-14.343</v>
          </cell>
        </row>
        <row r="6842">
          <cell r="N6842">
            <v>-1.875</v>
          </cell>
        </row>
        <row r="6843">
          <cell r="N6843">
            <v>-4.0609999999999999</v>
          </cell>
        </row>
        <row r="6844">
          <cell r="N6844">
            <v>-1.369</v>
          </cell>
        </row>
        <row r="6845">
          <cell r="N6845">
            <v>-100</v>
          </cell>
        </row>
        <row r="6846">
          <cell r="N6846">
            <v>-19.742999999999999</v>
          </cell>
        </row>
        <row r="6847">
          <cell r="N6847">
            <v>-0.27400000000000002</v>
          </cell>
        </row>
        <row r="6848">
          <cell r="N6848">
            <v>-1.4730000000000001</v>
          </cell>
        </row>
        <row r="6849">
          <cell r="N6849">
            <v>-1.3839999999999999</v>
          </cell>
        </row>
        <row r="6850">
          <cell r="N6850">
            <v>-1.83</v>
          </cell>
        </row>
        <row r="6851">
          <cell r="N6851">
            <v>-8.6780000000000008</v>
          </cell>
        </row>
        <row r="6852">
          <cell r="N6852">
            <v>-0.27400000000000002</v>
          </cell>
        </row>
        <row r="6853">
          <cell r="N6853">
            <v>-1.3540000000000001</v>
          </cell>
        </row>
        <row r="6854">
          <cell r="N6854">
            <v>-1.631</v>
          </cell>
        </row>
        <row r="6855">
          <cell r="N6855">
            <v>-1.294</v>
          </cell>
        </row>
        <row r="6856">
          <cell r="N6856">
            <v>-1.294</v>
          </cell>
        </row>
        <row r="6857">
          <cell r="N6857">
            <v>-0.33800000000000002</v>
          </cell>
        </row>
        <row r="6858">
          <cell r="N6858">
            <v>-1.101</v>
          </cell>
        </row>
        <row r="6859">
          <cell r="N6859">
            <v>-1.86</v>
          </cell>
        </row>
        <row r="6860">
          <cell r="N6860">
            <v>-3.395</v>
          </cell>
        </row>
        <row r="6861">
          <cell r="N6861">
            <v>-1.9790000000000001</v>
          </cell>
        </row>
        <row r="6862">
          <cell r="N6862">
            <v>-1.056</v>
          </cell>
        </row>
        <row r="6863">
          <cell r="N6863">
            <v>-10.135999999999999</v>
          </cell>
        </row>
        <row r="6864">
          <cell r="N6864">
            <v>-1.2789999999999999</v>
          </cell>
        </row>
        <row r="6865">
          <cell r="N6865">
            <v>-0.30399999999999999</v>
          </cell>
        </row>
        <row r="6866">
          <cell r="N6866">
            <v>-1.488</v>
          </cell>
        </row>
        <row r="6867">
          <cell r="N6867">
            <v>-0.29699999999999999</v>
          </cell>
        </row>
        <row r="6868">
          <cell r="N6868">
            <v>-5.72</v>
          </cell>
        </row>
        <row r="6869">
          <cell r="N6869">
            <v>-3.5950000000000002</v>
          </cell>
        </row>
        <row r="6870">
          <cell r="N6870">
            <v>-1.3089999999999999</v>
          </cell>
        </row>
        <row r="6871">
          <cell r="N6871">
            <v>-11.243</v>
          </cell>
        </row>
        <row r="6872">
          <cell r="N6872">
            <v>-24.373000000000001</v>
          </cell>
        </row>
        <row r="6873">
          <cell r="N6873">
            <v>-1.2050000000000001</v>
          </cell>
        </row>
        <row r="6874">
          <cell r="N6874">
            <v>-0.33800000000000002</v>
          </cell>
        </row>
        <row r="6875">
          <cell r="N6875">
            <v>-15.456</v>
          </cell>
        </row>
        <row r="6876">
          <cell r="N6876">
            <v>-3.927</v>
          </cell>
        </row>
        <row r="6877">
          <cell r="N6877">
            <v>-1.22</v>
          </cell>
        </row>
        <row r="6878">
          <cell r="N6878">
            <v>-2.496</v>
          </cell>
        </row>
        <row r="6879">
          <cell r="N6879">
            <v>-6.7480000000000002</v>
          </cell>
        </row>
        <row r="6880">
          <cell r="N6880">
            <v>-4.16</v>
          </cell>
        </row>
        <row r="6881">
          <cell r="N6881">
            <v>-0.314</v>
          </cell>
        </row>
        <row r="6882">
          <cell r="N6882">
            <v>-0.39200000000000002</v>
          </cell>
        </row>
        <row r="6883">
          <cell r="N6883">
            <v>-3.5680000000000001</v>
          </cell>
        </row>
        <row r="6884">
          <cell r="N6884">
            <v>-0.223</v>
          </cell>
        </row>
        <row r="6885">
          <cell r="N6885">
            <v>-5.8810000000000002</v>
          </cell>
        </row>
        <row r="6886">
          <cell r="N6886">
            <v>-0.25</v>
          </cell>
        </row>
        <row r="6887">
          <cell r="N6887">
            <v>-1.7110000000000001</v>
          </cell>
        </row>
        <row r="6888">
          <cell r="N6888">
            <v>-0.32400000000000001</v>
          </cell>
        </row>
        <row r="6889">
          <cell r="N6889">
            <v>-16.507000000000001</v>
          </cell>
        </row>
        <row r="6890">
          <cell r="N6890">
            <v>-0.25700000000000001</v>
          </cell>
        </row>
        <row r="6891">
          <cell r="N6891">
            <v>-1.131</v>
          </cell>
        </row>
        <row r="6892">
          <cell r="N6892">
            <v>-4.1269999999999998</v>
          </cell>
        </row>
        <row r="6893">
          <cell r="N6893">
            <v>-1.22</v>
          </cell>
        </row>
        <row r="6894">
          <cell r="N6894">
            <v>-0.26</v>
          </cell>
        </row>
        <row r="6895">
          <cell r="N6895">
            <v>-3.3279999999999998</v>
          </cell>
        </row>
        <row r="6896">
          <cell r="N6896">
            <v>-0.32800000000000001</v>
          </cell>
        </row>
        <row r="6897">
          <cell r="N6897">
            <v>-1.3089999999999999</v>
          </cell>
        </row>
        <row r="6898">
          <cell r="N6898">
            <v>-23.01</v>
          </cell>
        </row>
        <row r="6899">
          <cell r="N6899">
            <v>-3.6949999999999998</v>
          </cell>
        </row>
        <row r="6900">
          <cell r="N6900">
            <v>-1.845</v>
          </cell>
        </row>
        <row r="6901">
          <cell r="N6901">
            <v>-1.651</v>
          </cell>
        </row>
        <row r="6902">
          <cell r="N6902">
            <v>-1.6220000000000001</v>
          </cell>
        </row>
        <row r="6903">
          <cell r="N6903">
            <v>-1.756</v>
          </cell>
        </row>
        <row r="6904">
          <cell r="N6904">
            <v>-6.6440000000000001</v>
          </cell>
        </row>
        <row r="6905">
          <cell r="N6905">
            <v>-5.0739999999999998</v>
          </cell>
        </row>
        <row r="6906">
          <cell r="N6906">
            <v>-1.607</v>
          </cell>
        </row>
        <row r="6907">
          <cell r="N6907">
            <v>-16.452999999999999</v>
          </cell>
        </row>
        <row r="6908">
          <cell r="N6908">
            <v>-1.5920000000000001</v>
          </cell>
        </row>
        <row r="6909">
          <cell r="N6909">
            <v>-15.58</v>
          </cell>
        </row>
        <row r="6910">
          <cell r="N6910">
            <v>-4.3940000000000001</v>
          </cell>
        </row>
        <row r="6911">
          <cell r="N6911">
            <v>-15.356</v>
          </cell>
        </row>
        <row r="6912">
          <cell r="N6912">
            <v>-1.77</v>
          </cell>
        </row>
        <row r="6913">
          <cell r="N6913">
            <v>-1.131</v>
          </cell>
        </row>
        <row r="6914">
          <cell r="N6914">
            <v>-6.1529999999999996</v>
          </cell>
        </row>
        <row r="6915">
          <cell r="N6915">
            <v>-1.5029999999999999</v>
          </cell>
        </row>
        <row r="6916">
          <cell r="N6916">
            <v>-1.19</v>
          </cell>
        </row>
        <row r="6917">
          <cell r="N6917">
            <v>-0.35099999999999998</v>
          </cell>
        </row>
        <row r="6918">
          <cell r="N6918">
            <v>-3.64</v>
          </cell>
        </row>
        <row r="6919">
          <cell r="N6919">
            <v>-20.890999999999998</v>
          </cell>
        </row>
        <row r="6920">
          <cell r="N6920">
            <v>-1.3540000000000001</v>
          </cell>
        </row>
        <row r="6921">
          <cell r="N6921">
            <v>-1.294</v>
          </cell>
        </row>
        <row r="6922">
          <cell r="N6922">
            <v>-17.434999999999999</v>
          </cell>
        </row>
        <row r="6923">
          <cell r="N6923">
            <v>-8.9979999999999993</v>
          </cell>
        </row>
        <row r="6924">
          <cell r="N6924">
            <v>-0.498</v>
          </cell>
        </row>
        <row r="6925">
          <cell r="N6925">
            <v>-2.5960000000000001</v>
          </cell>
        </row>
        <row r="6926">
          <cell r="N6926">
            <v>-6.6180000000000003</v>
          </cell>
        </row>
        <row r="6927">
          <cell r="N6927">
            <v>-1.175</v>
          </cell>
        </row>
        <row r="6928">
          <cell r="N6928">
            <v>-0.28699999999999998</v>
          </cell>
        </row>
        <row r="6929">
          <cell r="N6929">
            <v>-19.195</v>
          </cell>
        </row>
        <row r="6930">
          <cell r="N6930">
            <v>-5.7910000000000004</v>
          </cell>
        </row>
        <row r="6931">
          <cell r="N6931">
            <v>-0.33100000000000002</v>
          </cell>
        </row>
        <row r="6932">
          <cell r="N6932">
            <v>-0.16900000000000001</v>
          </cell>
        </row>
        <row r="6933">
          <cell r="N6933">
            <v>-22.405000000000001</v>
          </cell>
        </row>
        <row r="6934">
          <cell r="N6934">
            <v>-1.5029999999999999</v>
          </cell>
        </row>
        <row r="6935">
          <cell r="N6935">
            <v>-1.577</v>
          </cell>
        </row>
        <row r="6936">
          <cell r="N6936">
            <v>-3.0619999999999998</v>
          </cell>
        </row>
        <row r="6937">
          <cell r="N6937">
            <v>-4.0609999999999999</v>
          </cell>
        </row>
        <row r="6938">
          <cell r="N6938">
            <v>-1.369</v>
          </cell>
        </row>
        <row r="6939">
          <cell r="N6939">
            <v>-5.4859999999999998</v>
          </cell>
        </row>
        <row r="6940">
          <cell r="N6940">
            <v>-6.7990000000000004</v>
          </cell>
        </row>
        <row r="6941">
          <cell r="N6941">
            <v>-20.21</v>
          </cell>
        </row>
        <row r="6942">
          <cell r="N6942">
            <v>-8.0020000000000007</v>
          </cell>
        </row>
        <row r="6943">
          <cell r="N6943">
            <v>-8.8209999999999997</v>
          </cell>
        </row>
        <row r="6944">
          <cell r="N6944">
            <v>-9.2829999999999995</v>
          </cell>
        </row>
        <row r="6945">
          <cell r="N6945">
            <v>-3.0289999999999999</v>
          </cell>
        </row>
        <row r="6946">
          <cell r="N6946">
            <v>-0.127</v>
          </cell>
        </row>
        <row r="6947">
          <cell r="N6947">
            <v>-13.711</v>
          </cell>
        </row>
        <row r="6948">
          <cell r="N6948">
            <v>-3.6949999999999998</v>
          </cell>
        </row>
        <row r="6949">
          <cell r="N6949">
            <v>-20.018000000000001</v>
          </cell>
        </row>
        <row r="6950">
          <cell r="N6950">
            <v>-1.22</v>
          </cell>
        </row>
        <row r="6951">
          <cell r="N6951">
            <v>-1.25</v>
          </cell>
        </row>
        <row r="6952">
          <cell r="N6952">
            <v>-4.1059999999999999</v>
          </cell>
        </row>
        <row r="6953">
          <cell r="N6953">
            <v>-1.369</v>
          </cell>
        </row>
        <row r="6954">
          <cell r="N6954">
            <v>-1.3540000000000001</v>
          </cell>
        </row>
        <row r="6955">
          <cell r="N6955">
            <v>-1.175</v>
          </cell>
        </row>
        <row r="6956">
          <cell r="N6956">
            <v>-4.1260000000000003</v>
          </cell>
        </row>
        <row r="6957">
          <cell r="N6957">
            <v>-3.3620000000000001</v>
          </cell>
        </row>
        <row r="6958">
          <cell r="N6958">
            <v>-1.875</v>
          </cell>
        </row>
        <row r="6959">
          <cell r="N6959">
            <v>-4.5720000000000001</v>
          </cell>
        </row>
        <row r="6960">
          <cell r="N6960">
            <v>-15.271000000000001</v>
          </cell>
        </row>
        <row r="6961">
          <cell r="N6961">
            <v>-1.6659999999999999</v>
          </cell>
        </row>
        <row r="6962">
          <cell r="N6962">
            <v>-2.0640000000000001</v>
          </cell>
        </row>
        <row r="6963">
          <cell r="N6963">
            <v>-10.279</v>
          </cell>
        </row>
        <row r="6964">
          <cell r="N6964">
            <v>-2.7959999999999998</v>
          </cell>
        </row>
        <row r="6965">
          <cell r="N6965">
            <v>-2.0379999999999998</v>
          </cell>
        </row>
        <row r="6966">
          <cell r="N6966">
            <v>-1.4430000000000001</v>
          </cell>
        </row>
        <row r="6967">
          <cell r="N6967">
            <v>-5.7140000000000004</v>
          </cell>
        </row>
        <row r="6968">
          <cell r="N6968">
            <v>-162</v>
          </cell>
        </row>
        <row r="6969">
          <cell r="N6969">
            <v>-4.9130000000000003</v>
          </cell>
        </row>
        <row r="6970">
          <cell r="N6970">
            <v>-5.6660000000000004</v>
          </cell>
        </row>
        <row r="6971">
          <cell r="N6971">
            <v>-1.2649999999999999</v>
          </cell>
        </row>
        <row r="6972">
          <cell r="N6972">
            <v>-15.085000000000001</v>
          </cell>
        </row>
        <row r="6973">
          <cell r="N6973">
            <v>-19.527999999999999</v>
          </cell>
        </row>
        <row r="6974">
          <cell r="N6974">
            <v>-1.2649999999999999</v>
          </cell>
        </row>
        <row r="6975">
          <cell r="N6975">
            <v>-1.696</v>
          </cell>
        </row>
        <row r="6976">
          <cell r="N6976">
            <v>-21.648</v>
          </cell>
        </row>
        <row r="6977">
          <cell r="N6977">
            <v>-1.2350000000000001</v>
          </cell>
        </row>
        <row r="6978">
          <cell r="N6978">
            <v>-5.5069999999999997</v>
          </cell>
        </row>
        <row r="6979">
          <cell r="N6979">
            <v>-1.0860000000000001</v>
          </cell>
        </row>
        <row r="6980">
          <cell r="N6980">
            <v>-5.9039999999999999</v>
          </cell>
        </row>
        <row r="6981">
          <cell r="N6981">
            <v>-8.3580000000000005</v>
          </cell>
        </row>
        <row r="6982">
          <cell r="N6982">
            <v>-1.5169999999999999</v>
          </cell>
        </row>
        <row r="6983">
          <cell r="N6983">
            <v>-8.3580000000000005</v>
          </cell>
        </row>
        <row r="6984">
          <cell r="N6984">
            <v>-1.3240000000000001</v>
          </cell>
        </row>
        <row r="6985">
          <cell r="N6985">
            <v>-3.0950000000000002</v>
          </cell>
        </row>
        <row r="6986">
          <cell r="N6986">
            <v>-5.2169999999999996</v>
          </cell>
        </row>
        <row r="6987">
          <cell r="N6987">
            <v>-4.3929999999999998</v>
          </cell>
        </row>
        <row r="6988">
          <cell r="N6988">
            <v>-1.845</v>
          </cell>
        </row>
        <row r="6989">
          <cell r="N6989">
            <v>-1.4279999999999999</v>
          </cell>
        </row>
        <row r="6990">
          <cell r="N6990">
            <v>-15.456</v>
          </cell>
        </row>
        <row r="6991">
          <cell r="N6991">
            <v>-2.2410000000000001</v>
          </cell>
        </row>
        <row r="6992">
          <cell r="N6992">
            <v>-3.2949999999999999</v>
          </cell>
        </row>
        <row r="6993">
          <cell r="N6993">
            <v>-1.1160000000000001</v>
          </cell>
        </row>
        <row r="6994">
          <cell r="N6994">
            <v>-9.4250000000000007</v>
          </cell>
        </row>
        <row r="6995">
          <cell r="N6995">
            <v>-13.602</v>
          </cell>
        </row>
        <row r="6996">
          <cell r="N6996">
            <v>-11.488</v>
          </cell>
        </row>
        <row r="6997">
          <cell r="N6997">
            <v>-1.4730000000000001</v>
          </cell>
        </row>
        <row r="6998">
          <cell r="N6998">
            <v>-1.19</v>
          </cell>
        </row>
        <row r="6999">
          <cell r="N6999">
            <v>-9.6739999999999995</v>
          </cell>
        </row>
        <row r="7000">
          <cell r="N7000">
            <v>-8.7490000000000006</v>
          </cell>
        </row>
        <row r="7001">
          <cell r="N7001">
            <v>-23.236999999999998</v>
          </cell>
        </row>
        <row r="7002">
          <cell r="N7002">
            <v>-1.5289999999999999</v>
          </cell>
        </row>
        <row r="7003">
          <cell r="N7003">
            <v>-5.2</v>
          </cell>
        </row>
        <row r="7004">
          <cell r="N7004">
            <v>-5.2640000000000002</v>
          </cell>
        </row>
        <row r="7005">
          <cell r="N7005">
            <v>-1.488</v>
          </cell>
        </row>
        <row r="7006">
          <cell r="N7006">
            <v>-1.294</v>
          </cell>
        </row>
        <row r="7007">
          <cell r="N7007">
            <v>-5.1639999999999997</v>
          </cell>
        </row>
        <row r="7008">
          <cell r="N7008">
            <v>-1.0860000000000001</v>
          </cell>
        </row>
        <row r="7009">
          <cell r="N7009">
            <v>-8.6069999999999993</v>
          </cell>
        </row>
        <row r="7010">
          <cell r="N7010">
            <v>-5.8810000000000002</v>
          </cell>
        </row>
        <row r="7011">
          <cell r="N7011">
            <v>-14.467000000000001</v>
          </cell>
        </row>
        <row r="7012">
          <cell r="N7012">
            <v>-1.5620000000000001</v>
          </cell>
        </row>
        <row r="7013">
          <cell r="N7013">
            <v>-1.19</v>
          </cell>
        </row>
        <row r="7014">
          <cell r="N7014">
            <v>-1.889</v>
          </cell>
        </row>
        <row r="7015">
          <cell r="N7015">
            <v>-1.25</v>
          </cell>
        </row>
        <row r="7016">
          <cell r="N7016">
            <v>-1.25</v>
          </cell>
        </row>
        <row r="7017">
          <cell r="N7017">
            <v>-2.3130000000000002</v>
          </cell>
        </row>
        <row r="7018">
          <cell r="N7018">
            <v>-5.6120000000000001</v>
          </cell>
        </row>
        <row r="7019">
          <cell r="N7019">
            <v>-8.6069999999999993</v>
          </cell>
        </row>
        <row r="7020">
          <cell r="N7020">
            <v>-1.19</v>
          </cell>
        </row>
        <row r="7021">
          <cell r="N7021">
            <v>-5.2169999999999996</v>
          </cell>
        </row>
        <row r="7022">
          <cell r="N7022">
            <v>-1.577</v>
          </cell>
        </row>
        <row r="7023">
          <cell r="N7023">
            <v>-23.388999999999999</v>
          </cell>
        </row>
        <row r="7024">
          <cell r="N7024">
            <v>-1.294</v>
          </cell>
        </row>
        <row r="7025">
          <cell r="N7025">
            <v>-5.2350000000000003</v>
          </cell>
        </row>
        <row r="7026">
          <cell r="N7026">
            <v>-0.33900000000000002</v>
          </cell>
        </row>
        <row r="7027">
          <cell r="N7027">
            <v>-0.17</v>
          </cell>
        </row>
        <row r="7028">
          <cell r="N7028">
            <v>-4.1779999999999999</v>
          </cell>
        </row>
        <row r="7029">
          <cell r="N7029">
            <v>-1.526</v>
          </cell>
        </row>
        <row r="7030">
          <cell r="N7030">
            <v>-15.765000000000001</v>
          </cell>
        </row>
        <row r="7031">
          <cell r="N7031">
            <v>-11.452</v>
          </cell>
        </row>
        <row r="7032">
          <cell r="N7032">
            <v>-1.2050000000000001</v>
          </cell>
        </row>
        <row r="7033">
          <cell r="N7033">
            <v>-1.131</v>
          </cell>
        </row>
        <row r="7034">
          <cell r="N7034">
            <v>-9.4250000000000007</v>
          </cell>
        </row>
        <row r="7035">
          <cell r="N7035">
            <v>-1.6659999999999999</v>
          </cell>
        </row>
        <row r="7036">
          <cell r="N7036">
            <v>-1.2649999999999999</v>
          </cell>
        </row>
        <row r="7037">
          <cell r="N7037">
            <v>-5.2</v>
          </cell>
        </row>
        <row r="7038">
          <cell r="N7038">
            <v>-1.3240000000000001</v>
          </cell>
        </row>
        <row r="7039">
          <cell r="N7039">
            <v>-1.25</v>
          </cell>
        </row>
        <row r="7040">
          <cell r="N7040">
            <v>-324</v>
          </cell>
        </row>
        <row r="7041">
          <cell r="N7041">
            <v>-0.69899999999999995</v>
          </cell>
        </row>
        <row r="7042">
          <cell r="N7042">
            <v>-8.5359999999999996</v>
          </cell>
        </row>
        <row r="7043">
          <cell r="N7043">
            <v>-1.4730000000000001</v>
          </cell>
        </row>
        <row r="7044">
          <cell r="N7044">
            <v>-4.54</v>
          </cell>
        </row>
        <row r="7045">
          <cell r="N7045">
            <v>-126.8</v>
          </cell>
        </row>
        <row r="7046">
          <cell r="N7046">
            <v>-20.105</v>
          </cell>
        </row>
        <row r="7047">
          <cell r="N7047">
            <v>-18.369</v>
          </cell>
        </row>
        <row r="7048">
          <cell r="N7048">
            <v>-8.0419999999999998</v>
          </cell>
        </row>
        <row r="7049">
          <cell r="N7049">
            <v>-523.15800000000002</v>
          </cell>
        </row>
        <row r="7050">
          <cell r="N7050">
            <v>-19.853000000000002</v>
          </cell>
        </row>
        <row r="7051">
          <cell r="N7051">
            <v>-21.326000000000001</v>
          </cell>
        </row>
        <row r="7052">
          <cell r="N7052">
            <v>-21.254000000000001</v>
          </cell>
        </row>
        <row r="7053">
          <cell r="N7053">
            <v>-19.962</v>
          </cell>
        </row>
        <row r="7054">
          <cell r="N7054">
            <v>-183.9</v>
          </cell>
        </row>
        <row r="7055">
          <cell r="N7055">
            <v>-16.425000000000001</v>
          </cell>
        </row>
        <row r="7056">
          <cell r="N7056">
            <v>-400</v>
          </cell>
        </row>
        <row r="7057">
          <cell r="N7057">
            <v>-21.398</v>
          </cell>
        </row>
        <row r="7058">
          <cell r="N7058">
            <v>-18.812999999999999</v>
          </cell>
        </row>
        <row r="7059">
          <cell r="N7059">
            <v>-20.248999999999999</v>
          </cell>
        </row>
        <row r="7060">
          <cell r="N7060">
            <v>-15.853999999999999</v>
          </cell>
        </row>
        <row r="7061">
          <cell r="N7061">
            <v>-18.812999999999999</v>
          </cell>
        </row>
        <row r="7062">
          <cell r="N7062">
            <v>-19.962</v>
          </cell>
        </row>
        <row r="7063">
          <cell r="N7063">
            <v>-22.486000000000001</v>
          </cell>
        </row>
        <row r="7064">
          <cell r="N7064">
            <v>-20.033999999999999</v>
          </cell>
        </row>
        <row r="7065">
          <cell r="N7065">
            <v>-20.321000000000002</v>
          </cell>
        </row>
        <row r="7066">
          <cell r="N7066">
            <v>-20.966999999999999</v>
          </cell>
        </row>
        <row r="7067">
          <cell r="N7067">
            <v>-20.177</v>
          </cell>
        </row>
        <row r="7068">
          <cell r="N7068">
            <v>-22.064</v>
          </cell>
        </row>
        <row r="7069">
          <cell r="N7069">
            <v>-19.745999999999999</v>
          </cell>
        </row>
        <row r="7070">
          <cell r="N7070">
            <v>-18.353999999999999</v>
          </cell>
        </row>
        <row r="7071">
          <cell r="N7071">
            <v>-21.853000000000002</v>
          </cell>
        </row>
        <row r="7072">
          <cell r="N7072">
            <v>-21.254000000000001</v>
          </cell>
        </row>
        <row r="7073">
          <cell r="N7073">
            <v>-18.885000000000002</v>
          </cell>
        </row>
        <row r="7074">
          <cell r="N7074">
            <v>-20.895</v>
          </cell>
        </row>
        <row r="7075">
          <cell r="N7075">
            <v>-19.387</v>
          </cell>
        </row>
        <row r="7076">
          <cell r="N7076">
            <v>-22.908999999999999</v>
          </cell>
        </row>
        <row r="7077">
          <cell r="N7077">
            <v>-16.515000000000001</v>
          </cell>
        </row>
        <row r="7078">
          <cell r="N7078">
            <v>-17.233000000000001</v>
          </cell>
        </row>
        <row r="7079">
          <cell r="N7079">
            <v>-19.282</v>
          </cell>
        </row>
        <row r="7080">
          <cell r="N7080">
            <v>-21.183</v>
          </cell>
        </row>
        <row r="7081">
          <cell r="N7081">
            <v>-19.952999999999999</v>
          </cell>
        </row>
        <row r="7082">
          <cell r="N7082">
            <v>-18.239000000000001</v>
          </cell>
        </row>
        <row r="7083">
          <cell r="N7083">
            <v>-26.815000000000001</v>
          </cell>
        </row>
        <row r="7084">
          <cell r="N7084">
            <v>-21.22</v>
          </cell>
        </row>
        <row r="7085">
          <cell r="N7085">
            <v>-16.587</v>
          </cell>
        </row>
        <row r="7086">
          <cell r="N7086">
            <v>-21.684999999999999</v>
          </cell>
        </row>
        <row r="7087">
          <cell r="N7087">
            <v>-22.853000000000002</v>
          </cell>
        </row>
        <row r="7088">
          <cell r="N7088">
            <v>-51.173000000000002</v>
          </cell>
        </row>
        <row r="7089">
          <cell r="N7089">
            <v>-5.5949999999999998</v>
          </cell>
        </row>
        <row r="7090">
          <cell r="N7090">
            <v>-15.223000000000001</v>
          </cell>
        </row>
        <row r="7091">
          <cell r="N7091">
            <v>-1301.751</v>
          </cell>
        </row>
        <row r="7092">
          <cell r="N7092">
            <v>-123.158</v>
          </cell>
        </row>
        <row r="7093">
          <cell r="N7093">
            <v>-14.505000000000001</v>
          </cell>
        </row>
        <row r="7094">
          <cell r="N7094">
            <v>-20.751999999999999</v>
          </cell>
        </row>
        <row r="7095">
          <cell r="N7095">
            <v>-17.997</v>
          </cell>
        </row>
        <row r="7096">
          <cell r="N7096">
            <v>-21.254000000000001</v>
          </cell>
        </row>
        <row r="7097">
          <cell r="N7097">
            <v>-19.925000000000001</v>
          </cell>
        </row>
        <row r="7098">
          <cell r="N7098">
            <v>-21.183</v>
          </cell>
        </row>
        <row r="7099">
          <cell r="N7099">
            <v>-21.183</v>
          </cell>
        </row>
        <row r="7100">
          <cell r="N7100">
            <v>-31.46</v>
          </cell>
        </row>
        <row r="7101">
          <cell r="N7101">
            <v>-20.895</v>
          </cell>
        </row>
        <row r="7102">
          <cell r="N7102">
            <v>-17.568000000000001</v>
          </cell>
        </row>
        <row r="7103">
          <cell r="N7103">
            <v>-19.952999999999999</v>
          </cell>
        </row>
        <row r="7104">
          <cell r="N7104">
            <v>-22.067</v>
          </cell>
        </row>
        <row r="7105">
          <cell r="N7105">
            <v>-1011</v>
          </cell>
        </row>
        <row r="7106">
          <cell r="N7106">
            <v>-19.315999999999999</v>
          </cell>
        </row>
        <row r="7107">
          <cell r="N7107">
            <v>-20.995999999999999</v>
          </cell>
        </row>
        <row r="7108">
          <cell r="N7108">
            <v>-12.894</v>
          </cell>
        </row>
        <row r="7109">
          <cell r="N7109">
            <v>-22.905999999999999</v>
          </cell>
        </row>
        <row r="7110">
          <cell r="N7110">
            <v>-21.398</v>
          </cell>
        </row>
        <row r="7111">
          <cell r="N7111">
            <v>-22.71</v>
          </cell>
        </row>
        <row r="7112">
          <cell r="N7112">
            <v>-17.068000000000001</v>
          </cell>
        </row>
        <row r="7113">
          <cell r="N7113">
            <v>-19.387</v>
          </cell>
        </row>
        <row r="7114">
          <cell r="N7114">
            <v>-22.331</v>
          </cell>
        </row>
        <row r="7115">
          <cell r="N7115">
            <v>-23.753</v>
          </cell>
        </row>
        <row r="7116">
          <cell r="N7116">
            <v>-20.321000000000002</v>
          </cell>
        </row>
        <row r="7117">
          <cell r="N7117">
            <v>-21.782</v>
          </cell>
        </row>
        <row r="7118">
          <cell r="N7118">
            <v>-18.475000000000001</v>
          </cell>
        </row>
        <row r="7119">
          <cell r="N7119">
            <v>-1011</v>
          </cell>
        </row>
        <row r="7120">
          <cell r="N7120">
            <v>-18.239000000000001</v>
          </cell>
        </row>
        <row r="7121">
          <cell r="N7121">
            <v>-24.387</v>
          </cell>
        </row>
        <row r="7122">
          <cell r="N7122">
            <v>-23.331</v>
          </cell>
        </row>
        <row r="7123">
          <cell r="N7123">
            <v>-19.89</v>
          </cell>
        </row>
        <row r="7124">
          <cell r="N7124">
            <v>-20.425000000000001</v>
          </cell>
        </row>
        <row r="7125">
          <cell r="N7125">
            <v>-21.536000000000001</v>
          </cell>
        </row>
        <row r="7126">
          <cell r="N7126">
            <v>-19.231999999999999</v>
          </cell>
        </row>
        <row r="7127">
          <cell r="N7127">
            <v>-24.07</v>
          </cell>
        </row>
        <row r="7128">
          <cell r="N7128">
            <v>-18.812999999999999</v>
          </cell>
        </row>
        <row r="7129">
          <cell r="N7129">
            <v>-22.187999999999999</v>
          </cell>
        </row>
        <row r="7130">
          <cell r="N7130">
            <v>-19.782</v>
          </cell>
        </row>
        <row r="7131">
          <cell r="N7131">
            <v>-23.274999999999999</v>
          </cell>
        </row>
        <row r="7132">
          <cell r="N7132">
            <v>-21.495999999999999</v>
          </cell>
        </row>
        <row r="7133">
          <cell r="N7133">
            <v>-20.321000000000002</v>
          </cell>
        </row>
        <row r="7134">
          <cell r="N7134">
            <v>-16.155999999999999</v>
          </cell>
        </row>
        <row r="7135">
          <cell r="N7135">
            <v>-20.248999999999999</v>
          </cell>
        </row>
        <row r="7136">
          <cell r="N7136">
            <v>-21.995999999999999</v>
          </cell>
        </row>
        <row r="7137">
          <cell r="N7137">
            <v>-22.946999999999999</v>
          </cell>
        </row>
        <row r="7138">
          <cell r="N7138">
            <v>-6.3559999999999999</v>
          </cell>
        </row>
        <row r="7139">
          <cell r="N7139">
            <v>-18.597999999999999</v>
          </cell>
        </row>
        <row r="7140">
          <cell r="N7140">
            <v>-21.007999999999999</v>
          </cell>
        </row>
        <row r="7141">
          <cell r="N7141">
            <v>-19.89</v>
          </cell>
        </row>
        <row r="7142">
          <cell r="N7142">
            <v>-28.821000000000002</v>
          </cell>
        </row>
        <row r="7143">
          <cell r="N7143">
            <v>-15.997</v>
          </cell>
        </row>
        <row r="7144">
          <cell r="N7144">
            <v>-21.853000000000002</v>
          </cell>
        </row>
        <row r="7145">
          <cell r="N7145">
            <v>-16.425000000000001</v>
          </cell>
        </row>
        <row r="7146">
          <cell r="N7146">
            <v>-14.864000000000001</v>
          </cell>
        </row>
        <row r="7147">
          <cell r="N7147">
            <v>-15.151</v>
          </cell>
        </row>
        <row r="7148">
          <cell r="N7148">
            <v>-16.710999999999999</v>
          </cell>
        </row>
        <row r="7149">
          <cell r="N7149">
            <v>-19.89</v>
          </cell>
        </row>
        <row r="7150">
          <cell r="N7150">
            <v>-16.802</v>
          </cell>
        </row>
        <row r="7151">
          <cell r="N7151">
            <v>-19.995999999999999</v>
          </cell>
        </row>
        <row r="7152">
          <cell r="N7152">
            <v>-23.384</v>
          </cell>
        </row>
        <row r="7153">
          <cell r="N7153">
            <v>-23.331</v>
          </cell>
        </row>
        <row r="7154">
          <cell r="N7154">
            <v>-16.587</v>
          </cell>
        </row>
        <row r="7155">
          <cell r="N7155">
            <v>-19.387</v>
          </cell>
        </row>
        <row r="7156">
          <cell r="N7156">
            <v>-18.094999999999999</v>
          </cell>
        </row>
        <row r="7157">
          <cell r="N7157">
            <v>-18.885000000000002</v>
          </cell>
        </row>
        <row r="7158">
          <cell r="N7158">
            <v>-17.018000000000001</v>
          </cell>
        </row>
        <row r="7159">
          <cell r="N7159">
            <v>-28.504000000000001</v>
          </cell>
        </row>
        <row r="7160">
          <cell r="N7160">
            <v>-26.815000000000001</v>
          </cell>
        </row>
        <row r="7161">
          <cell r="N7161">
            <v>-20.966999999999999</v>
          </cell>
        </row>
        <row r="7162">
          <cell r="N7162">
            <v>-14.648</v>
          </cell>
        </row>
        <row r="7163">
          <cell r="N7163">
            <v>-18.568000000000001</v>
          </cell>
        </row>
        <row r="7164">
          <cell r="N7164">
            <v>-20.823</v>
          </cell>
        </row>
        <row r="7165">
          <cell r="N7165">
            <v>-19.172000000000001</v>
          </cell>
        </row>
        <row r="7166">
          <cell r="N7166">
            <v>-18.568000000000001</v>
          </cell>
        </row>
        <row r="7167">
          <cell r="N7167">
            <v>-18.579999999999998</v>
          </cell>
        </row>
        <row r="7168">
          <cell r="N7168">
            <v>-20.782</v>
          </cell>
        </row>
        <row r="7169">
          <cell r="N7169">
            <v>-3.1070000000000002</v>
          </cell>
        </row>
        <row r="7170">
          <cell r="N7170">
            <v>-2.4E-2</v>
          </cell>
        </row>
        <row r="7171">
          <cell r="N7171">
            <v>-7.0000000000000001E-3</v>
          </cell>
        </row>
        <row r="7172">
          <cell r="N7172">
            <v>-17.853999999999999</v>
          </cell>
        </row>
        <row r="7173">
          <cell r="N7173">
            <v>-1.7000000000000001E-2</v>
          </cell>
        </row>
        <row r="7174">
          <cell r="N7174">
            <v>-18.925000000000001</v>
          </cell>
        </row>
        <row r="7175">
          <cell r="N7175">
            <v>-24.914000000000001</v>
          </cell>
        </row>
        <row r="7176">
          <cell r="N7176">
            <v>-2.4E-2</v>
          </cell>
        </row>
        <row r="7177">
          <cell r="N7177">
            <v>-18.741</v>
          </cell>
        </row>
        <row r="7178">
          <cell r="N7178">
            <v>-16.710999999999999</v>
          </cell>
        </row>
        <row r="7179">
          <cell r="N7179">
            <v>-17.018000000000001</v>
          </cell>
        </row>
        <row r="7180">
          <cell r="N7180">
            <v>-16.658999999999999</v>
          </cell>
        </row>
        <row r="7181">
          <cell r="N7181">
            <v>-22.274999999999999</v>
          </cell>
        </row>
        <row r="7182">
          <cell r="N7182">
            <v>-16.372</v>
          </cell>
        </row>
        <row r="7183">
          <cell r="N7183">
            <v>-10.271000000000001</v>
          </cell>
        </row>
        <row r="7184">
          <cell r="N7184">
            <v>-20.033999999999999</v>
          </cell>
        </row>
        <row r="7185">
          <cell r="N7185">
            <v>-16.210999999999999</v>
          </cell>
        </row>
        <row r="7186">
          <cell r="N7186">
            <v>-19.745999999999999</v>
          </cell>
        </row>
        <row r="7187">
          <cell r="N7187">
            <v>-16.802</v>
          </cell>
        </row>
        <row r="7188">
          <cell r="N7188">
            <v>-19.925000000000001</v>
          </cell>
        </row>
        <row r="7189">
          <cell r="N7189">
            <v>-17.782</v>
          </cell>
        </row>
        <row r="7190">
          <cell r="N7190">
            <v>-25.231000000000002</v>
          </cell>
        </row>
        <row r="7191">
          <cell r="N7191">
            <v>-16.658999999999999</v>
          </cell>
        </row>
        <row r="7192">
          <cell r="N7192">
            <v>-18.568000000000001</v>
          </cell>
        </row>
        <row r="7193">
          <cell r="N7193">
            <v>-18.579999999999998</v>
          </cell>
        </row>
        <row r="7194">
          <cell r="N7194">
            <v>-29.239000000000001</v>
          </cell>
        </row>
        <row r="7195">
          <cell r="N7195">
            <v>-17.664000000000001</v>
          </cell>
        </row>
        <row r="7196">
          <cell r="N7196">
            <v>-15.64</v>
          </cell>
        </row>
        <row r="7197">
          <cell r="N7197">
            <v>-20.393000000000001</v>
          </cell>
        </row>
        <row r="7198">
          <cell r="N7198">
            <v>-20.68</v>
          </cell>
        </row>
        <row r="7199">
          <cell r="N7199">
            <v>-22.923999999999999</v>
          </cell>
        </row>
        <row r="7200">
          <cell r="N7200">
            <v>-19.210999999999999</v>
          </cell>
        </row>
        <row r="7201">
          <cell r="N7201">
            <v>-27.658999999999999</v>
          </cell>
        </row>
        <row r="7202">
          <cell r="N7202">
            <v>-22.547000000000001</v>
          </cell>
        </row>
        <row r="7203">
          <cell r="N7203">
            <v>-29.137</v>
          </cell>
        </row>
        <row r="7204">
          <cell r="N7204">
            <v>-19.603000000000002</v>
          </cell>
        </row>
        <row r="7205">
          <cell r="N7205">
            <v>-4.4160000000000004</v>
          </cell>
        </row>
        <row r="7206">
          <cell r="N7206">
            <v>-20.033999999999999</v>
          </cell>
        </row>
        <row r="7207">
          <cell r="N7207">
            <v>-17.568000000000001</v>
          </cell>
        </row>
        <row r="7208">
          <cell r="N7208">
            <v>-26.553000000000001</v>
          </cell>
        </row>
        <row r="7209">
          <cell r="N7209">
            <v>-18.454000000000001</v>
          </cell>
        </row>
        <row r="7210">
          <cell r="N7210">
            <v>-2.4279999999999999</v>
          </cell>
        </row>
        <row r="7211">
          <cell r="N7211">
            <v>-19.635999999999999</v>
          </cell>
        </row>
        <row r="7212">
          <cell r="N7212">
            <v>-22.71</v>
          </cell>
        </row>
        <row r="7213">
          <cell r="N7213">
            <v>-29.242999999999999</v>
          </cell>
        </row>
        <row r="7214">
          <cell r="N7214">
            <v>-19.207999999999998</v>
          </cell>
        </row>
        <row r="7215">
          <cell r="N7215">
            <v>-19.244</v>
          </cell>
        </row>
        <row r="7216">
          <cell r="N7216">
            <v>-16.210999999999999</v>
          </cell>
        </row>
        <row r="7217">
          <cell r="N7217">
            <v>-18.669</v>
          </cell>
        </row>
        <row r="7218">
          <cell r="N7218">
            <v>-20.853000000000002</v>
          </cell>
        </row>
        <row r="7219">
          <cell r="N7219">
            <v>-21.526</v>
          </cell>
        </row>
        <row r="7220">
          <cell r="N7220">
            <v>-25.398</v>
          </cell>
        </row>
        <row r="7221">
          <cell r="N7221">
            <v>-20.925000000000001</v>
          </cell>
        </row>
        <row r="7222">
          <cell r="N7222">
            <v>-20.638999999999999</v>
          </cell>
        </row>
        <row r="7223">
          <cell r="N7223">
            <v>-19.887</v>
          </cell>
        </row>
        <row r="7224">
          <cell r="N7224">
            <v>-24.414000000000001</v>
          </cell>
        </row>
        <row r="7225">
          <cell r="N7225">
            <v>-18.068000000000001</v>
          </cell>
        </row>
        <row r="7226">
          <cell r="N7226">
            <v>-8.3290000000000006</v>
          </cell>
        </row>
        <row r="7227">
          <cell r="N7227">
            <v>-18.812999999999999</v>
          </cell>
        </row>
        <row r="7228">
          <cell r="N7228">
            <v>-28.082000000000001</v>
          </cell>
        </row>
        <row r="7229">
          <cell r="N7229">
            <v>-20.71</v>
          </cell>
        </row>
        <row r="7230">
          <cell r="N7230">
            <v>-21.398</v>
          </cell>
        </row>
        <row r="7231">
          <cell r="N7231">
            <v>-19.244</v>
          </cell>
        </row>
        <row r="7232">
          <cell r="N7232">
            <v>-19.745999999999999</v>
          </cell>
        </row>
        <row r="7233">
          <cell r="N7233">
            <v>-18.167000000000002</v>
          </cell>
        </row>
        <row r="7234">
          <cell r="N7234">
            <v>-23.056000000000001</v>
          </cell>
        </row>
        <row r="7235">
          <cell r="N7235">
            <v>-17.664000000000001</v>
          </cell>
        </row>
        <row r="7236">
          <cell r="N7236">
            <v>-17.449000000000002</v>
          </cell>
        </row>
        <row r="7237">
          <cell r="N7237">
            <v>-20.068000000000001</v>
          </cell>
        </row>
        <row r="7238">
          <cell r="N7238">
            <v>-12.64</v>
          </cell>
        </row>
        <row r="7239">
          <cell r="N7239">
            <v>-31.777000000000001</v>
          </cell>
        </row>
        <row r="7240">
          <cell r="N7240">
            <v>-17.808</v>
          </cell>
        </row>
        <row r="7241">
          <cell r="N7241">
            <v>-22.73</v>
          </cell>
        </row>
        <row r="7242">
          <cell r="N7242">
            <v>-19.853000000000002</v>
          </cell>
        </row>
        <row r="7243">
          <cell r="N7243">
            <v>-20.21</v>
          </cell>
        </row>
        <row r="7244">
          <cell r="N7244">
            <v>-20.282</v>
          </cell>
        </row>
        <row r="7245">
          <cell r="N7245">
            <v>-19.459</v>
          </cell>
        </row>
        <row r="7246">
          <cell r="N7246">
            <v>-18.094999999999999</v>
          </cell>
        </row>
        <row r="7247">
          <cell r="N7247">
            <v>-16.710999999999999</v>
          </cell>
        </row>
        <row r="7248">
          <cell r="N7248">
            <v>-15.568</v>
          </cell>
        </row>
        <row r="7249">
          <cell r="N7249">
            <v>-29.771000000000001</v>
          </cell>
        </row>
        <row r="7250">
          <cell r="N7250">
            <v>-18.239000000000001</v>
          </cell>
        </row>
        <row r="7251">
          <cell r="N7251">
            <v>-17.233000000000001</v>
          </cell>
        </row>
        <row r="7252">
          <cell r="N7252">
            <v>-17.664000000000001</v>
          </cell>
        </row>
        <row r="7253">
          <cell r="N7253">
            <v>-13.715</v>
          </cell>
        </row>
        <row r="7254">
          <cell r="N7254">
            <v>-27.026</v>
          </cell>
        </row>
        <row r="7255">
          <cell r="N7255">
            <v>-19.353000000000002</v>
          </cell>
        </row>
        <row r="7256">
          <cell r="N7256">
            <v>-19.777999999999999</v>
          </cell>
        </row>
        <row r="7257">
          <cell r="N7257">
            <v>-17.879000000000001</v>
          </cell>
        </row>
        <row r="7258">
          <cell r="N7258">
            <v>-17.233000000000001</v>
          </cell>
        </row>
        <row r="7259">
          <cell r="N7259">
            <v>-16.853999999999999</v>
          </cell>
        </row>
        <row r="7260">
          <cell r="N7260">
            <v>-19.459</v>
          </cell>
        </row>
        <row r="7261">
          <cell r="N7261">
            <v>-18.167000000000002</v>
          </cell>
        </row>
        <row r="7262">
          <cell r="N7262">
            <v>-19.207999999999998</v>
          </cell>
        </row>
        <row r="7263">
          <cell r="N7263">
            <v>-15.725</v>
          </cell>
        </row>
        <row r="7264">
          <cell r="N7264">
            <v>-16.228000000000002</v>
          </cell>
        </row>
        <row r="7265">
          <cell r="N7265">
            <v>-30.087</v>
          </cell>
        </row>
        <row r="7266">
          <cell r="N7266">
            <v>-27.236999999999998</v>
          </cell>
        </row>
        <row r="7267">
          <cell r="N7267">
            <v>-19.568000000000001</v>
          </cell>
        </row>
        <row r="7268">
          <cell r="N7268">
            <v>-19.568000000000001</v>
          </cell>
        </row>
        <row r="7269">
          <cell r="N7269">
            <v>-16.925000000000001</v>
          </cell>
        </row>
        <row r="7270">
          <cell r="N7270">
            <v>-18.282</v>
          </cell>
        </row>
        <row r="7271">
          <cell r="N7271">
            <v>-17.497</v>
          </cell>
        </row>
        <row r="7272">
          <cell r="N7272">
            <v>-17.925000000000001</v>
          </cell>
        </row>
        <row r="7273">
          <cell r="N7273">
            <v>-0.02</v>
          </cell>
        </row>
        <row r="7274">
          <cell r="N7274">
            <v>-19.669</v>
          </cell>
        </row>
        <row r="7275">
          <cell r="N7275">
            <v>-20.568000000000001</v>
          </cell>
        </row>
        <row r="7276">
          <cell r="N7276">
            <v>-11.364000000000001</v>
          </cell>
        </row>
        <row r="7277">
          <cell r="N7277">
            <v>-5.5949999999999998</v>
          </cell>
        </row>
        <row r="7278">
          <cell r="N7278">
            <v>-24.971</v>
          </cell>
        </row>
        <row r="7279">
          <cell r="N7279">
            <v>-29.032</v>
          </cell>
        </row>
        <row r="7280">
          <cell r="N7280">
            <v>-22.138999999999999</v>
          </cell>
        </row>
        <row r="7281">
          <cell r="N7281">
            <v>-1.4999999999999999E-2</v>
          </cell>
        </row>
        <row r="7282">
          <cell r="N7282">
            <v>-25.184000000000001</v>
          </cell>
        </row>
        <row r="7283">
          <cell r="N7283">
            <v>-20.068000000000001</v>
          </cell>
        </row>
        <row r="7284">
          <cell r="N7284">
            <v>-26.06</v>
          </cell>
        </row>
        <row r="7285">
          <cell r="N7285">
            <v>-26.722000000000001</v>
          </cell>
        </row>
        <row r="7286">
          <cell r="N7286">
            <v>-18.568000000000001</v>
          </cell>
        </row>
        <row r="7287">
          <cell r="N7287">
            <v>-16.068000000000001</v>
          </cell>
        </row>
        <row r="7288">
          <cell r="N7288">
            <v>-16.353999999999999</v>
          </cell>
        </row>
        <row r="7289">
          <cell r="N7289">
            <v>-21.495999999999999</v>
          </cell>
        </row>
        <row r="7290">
          <cell r="N7290">
            <v>-19.495999999999999</v>
          </cell>
        </row>
        <row r="7291">
          <cell r="N7291">
            <v>-20.425000000000001</v>
          </cell>
        </row>
        <row r="7292">
          <cell r="N7292">
            <v>-20.425000000000001</v>
          </cell>
        </row>
        <row r="7293">
          <cell r="N7293">
            <v>-22.21</v>
          </cell>
        </row>
        <row r="7294">
          <cell r="N7294">
            <v>-18.138999999999999</v>
          </cell>
        </row>
        <row r="7295">
          <cell r="N7295">
            <v>-17.64</v>
          </cell>
        </row>
        <row r="7296">
          <cell r="N7296">
            <v>-29.704000000000001</v>
          </cell>
        </row>
        <row r="7297">
          <cell r="N7297">
            <v>-24.803999999999998</v>
          </cell>
        </row>
        <row r="7298">
          <cell r="N7298">
            <v>-17.568000000000001</v>
          </cell>
        </row>
        <row r="7299">
          <cell r="N7299">
            <v>-20.995999999999999</v>
          </cell>
        </row>
        <row r="7300">
          <cell r="N7300">
            <v>-23.384</v>
          </cell>
        </row>
        <row r="7301">
          <cell r="N7301">
            <v>-30.946999999999999</v>
          </cell>
        </row>
        <row r="7302">
          <cell r="N7302">
            <v>-18.995999999999999</v>
          </cell>
        </row>
        <row r="7303">
          <cell r="N7303">
            <v>-4.1619999999999999</v>
          </cell>
        </row>
        <row r="7304">
          <cell r="N7304">
            <v>-22.780999999999999</v>
          </cell>
        </row>
        <row r="7305">
          <cell r="N7305">
            <v>-15.853999999999999</v>
          </cell>
        </row>
        <row r="7306">
          <cell r="N7306">
            <v>-20.425000000000001</v>
          </cell>
        </row>
        <row r="7307">
          <cell r="N7307">
            <v>-18.353999999999999</v>
          </cell>
        </row>
        <row r="7308">
          <cell r="N7308">
            <v>-21.236000000000001</v>
          </cell>
        </row>
        <row r="7309">
          <cell r="N7309">
            <v>-19.638999999999999</v>
          </cell>
        </row>
        <row r="7310">
          <cell r="N7310">
            <v>-17.282</v>
          </cell>
        </row>
        <row r="7311">
          <cell r="N7311">
            <v>-21.282</v>
          </cell>
        </row>
        <row r="7312">
          <cell r="N7312">
            <v>-18.853999999999999</v>
          </cell>
        </row>
        <row r="7313">
          <cell r="N7313">
            <v>-19.710999999999999</v>
          </cell>
        </row>
        <row r="7314">
          <cell r="N7314">
            <v>-28.300999999999998</v>
          </cell>
        </row>
        <row r="7315">
          <cell r="N7315">
            <v>-19.353000000000002</v>
          </cell>
        </row>
        <row r="7316">
          <cell r="N7316">
            <v>-18.995999999999999</v>
          </cell>
        </row>
        <row r="7317">
          <cell r="N7317">
            <v>-16.853999999999999</v>
          </cell>
        </row>
        <row r="7318">
          <cell r="N7318">
            <v>-28.192</v>
          </cell>
        </row>
        <row r="7319">
          <cell r="N7319">
            <v>-19.710999999999999</v>
          </cell>
        </row>
        <row r="7320">
          <cell r="N7320">
            <v>-21.449000000000002</v>
          </cell>
        </row>
        <row r="7321">
          <cell r="N7321">
            <v>-19.995999999999999</v>
          </cell>
        </row>
        <row r="7322">
          <cell r="N7322">
            <v>-21.876000000000001</v>
          </cell>
        </row>
        <row r="7323">
          <cell r="N7323">
            <v>-20.169</v>
          </cell>
        </row>
        <row r="7324">
          <cell r="N7324">
            <v>-17.568000000000001</v>
          </cell>
        </row>
        <row r="7325">
          <cell r="N7325">
            <v>-20.105</v>
          </cell>
        </row>
        <row r="7326">
          <cell r="N7326">
            <v>-16.497</v>
          </cell>
        </row>
        <row r="7327">
          <cell r="N7327">
            <v>-18.741</v>
          </cell>
        </row>
        <row r="7328">
          <cell r="N7328">
            <v>-16.853999999999999</v>
          </cell>
        </row>
        <row r="7329">
          <cell r="N7329">
            <v>-22.073</v>
          </cell>
        </row>
        <row r="7330">
          <cell r="N7330">
            <v>-20.068000000000001</v>
          </cell>
        </row>
        <row r="7331">
          <cell r="N7331">
            <v>-6.0000000000000001E-3</v>
          </cell>
        </row>
        <row r="7332">
          <cell r="N7332">
            <v>-21.308</v>
          </cell>
        </row>
        <row r="7333">
          <cell r="N7333">
            <v>-1.0999999999999999E-2</v>
          </cell>
        </row>
        <row r="7334">
          <cell r="N7334">
            <v>-24.01</v>
          </cell>
        </row>
        <row r="7335">
          <cell r="N7335">
            <v>-23.904</v>
          </cell>
        </row>
        <row r="7336">
          <cell r="N7336">
            <v>-14.497</v>
          </cell>
        </row>
        <row r="7337">
          <cell r="N7337">
            <v>-18.210999999999999</v>
          </cell>
        </row>
        <row r="7338">
          <cell r="N7338">
            <v>-15.366</v>
          </cell>
        </row>
        <row r="7339">
          <cell r="N7339">
            <v>-16.64</v>
          </cell>
        </row>
        <row r="7340">
          <cell r="N7340">
            <v>-9.8369999999999997</v>
          </cell>
        </row>
        <row r="7341">
          <cell r="N7341">
            <v>-19.530999999999999</v>
          </cell>
        </row>
        <row r="7342">
          <cell r="N7342">
            <v>-1.7000000000000001E-2</v>
          </cell>
        </row>
        <row r="7343">
          <cell r="N7343">
            <v>-27.536000000000001</v>
          </cell>
        </row>
        <row r="7344">
          <cell r="N7344">
            <v>-16.731000000000002</v>
          </cell>
        </row>
        <row r="7345">
          <cell r="N7345">
            <v>-17.233000000000001</v>
          </cell>
        </row>
        <row r="7346">
          <cell r="N7346">
            <v>-22.837</v>
          </cell>
        </row>
        <row r="7347">
          <cell r="N7347">
            <v>-18.795000000000002</v>
          </cell>
        </row>
        <row r="7348">
          <cell r="N7348">
            <v>-12.622999999999999</v>
          </cell>
        </row>
        <row r="7349">
          <cell r="N7349">
            <v>-19.013000000000002</v>
          </cell>
        </row>
        <row r="7350">
          <cell r="N7350">
            <v>-19.315999999999999</v>
          </cell>
        </row>
        <row r="7351">
          <cell r="N7351">
            <v>-30.923999999999999</v>
          </cell>
        </row>
        <row r="7352">
          <cell r="N7352">
            <v>-9.1910000000000007</v>
          </cell>
        </row>
        <row r="7353">
          <cell r="N7353">
            <v>-19.027999999999999</v>
          </cell>
        </row>
        <row r="7354">
          <cell r="N7354">
            <v>-18.454000000000001</v>
          </cell>
        </row>
        <row r="7355">
          <cell r="N7355">
            <v>-8.1999999999999993</v>
          </cell>
        </row>
        <row r="7356">
          <cell r="N7356">
            <v>-23.036000000000001</v>
          </cell>
        </row>
        <row r="7357">
          <cell r="N7357">
            <v>-5.9640000000000004</v>
          </cell>
        </row>
        <row r="7358">
          <cell r="N7358">
            <v>-119.64400000000001</v>
          </cell>
        </row>
        <row r="7359">
          <cell r="N7359">
            <v>-291.42099999999999</v>
          </cell>
        </row>
        <row r="7360">
          <cell r="N7360">
            <v>-8</v>
          </cell>
        </row>
        <row r="7361">
          <cell r="N7361">
            <v>-1011.039</v>
          </cell>
        </row>
        <row r="7362">
          <cell r="N7362">
            <v>-1011.039</v>
          </cell>
        </row>
        <row r="7363">
          <cell r="N7363">
            <v>-215</v>
          </cell>
        </row>
        <row r="7364">
          <cell r="N7364">
            <v>-445.96100000000001</v>
          </cell>
        </row>
        <row r="7365">
          <cell r="N7365">
            <v>-91.960999999999999</v>
          </cell>
        </row>
        <row r="7366">
          <cell r="N7366">
            <v>-1011.039</v>
          </cell>
        </row>
        <row r="7367">
          <cell r="N7367">
            <v>-1343.078</v>
          </cell>
        </row>
        <row r="7368">
          <cell r="N7368">
            <v>-3.36</v>
          </cell>
        </row>
        <row r="7369">
          <cell r="N7369">
            <v>-1013.4640000000001</v>
          </cell>
        </row>
        <row r="7370">
          <cell r="N7370">
            <v>-1011.039</v>
          </cell>
        </row>
        <row r="7371">
          <cell r="N7371">
            <v>-1678.847</v>
          </cell>
        </row>
        <row r="7372">
          <cell r="N7372">
            <v>-360.34300000000002</v>
          </cell>
        </row>
        <row r="7373">
          <cell r="N7373">
            <v>-411.77800000000002</v>
          </cell>
        </row>
        <row r="7374">
          <cell r="N7374">
            <v>-501.51900000000001</v>
          </cell>
        </row>
        <row r="7375">
          <cell r="N7375">
            <v>-359.92</v>
          </cell>
        </row>
        <row r="7376">
          <cell r="N7376">
            <v>-975.649</v>
          </cell>
        </row>
        <row r="7377">
          <cell r="N7377">
            <v>-46.033000000000001</v>
          </cell>
        </row>
        <row r="7378">
          <cell r="N7378">
            <v>-1013.837</v>
          </cell>
        </row>
        <row r="7379">
          <cell r="N7379">
            <v>-252</v>
          </cell>
        </row>
        <row r="7380">
          <cell r="N7380">
            <v>-974</v>
          </cell>
        </row>
        <row r="7381">
          <cell r="N7381">
            <v>-247</v>
          </cell>
        </row>
        <row r="7382">
          <cell r="N7382">
            <v>-107.351</v>
          </cell>
        </row>
        <row r="7383">
          <cell r="N7383">
            <v>-260</v>
          </cell>
        </row>
        <row r="7384">
          <cell r="N7384">
            <v>-1184.52</v>
          </cell>
        </row>
        <row r="7385">
          <cell r="N7385">
            <v>-301</v>
          </cell>
        </row>
        <row r="7386">
          <cell r="N7386">
            <v>-36.418999999999997</v>
          </cell>
        </row>
        <row r="7387">
          <cell r="N7387">
            <v>-133.46700000000001</v>
          </cell>
        </row>
        <row r="7388">
          <cell r="N7388">
            <v>-31.613</v>
          </cell>
        </row>
        <row r="7389">
          <cell r="N7389">
            <v>-254.71899999999999</v>
          </cell>
        </row>
        <row r="7390">
          <cell r="N7390">
            <v>-66.069000000000003</v>
          </cell>
        </row>
        <row r="7391">
          <cell r="N7391">
            <v>-334.565</v>
          </cell>
        </row>
        <row r="7392">
          <cell r="N7392">
            <v>-1193.847</v>
          </cell>
        </row>
        <row r="7393">
          <cell r="N7393">
            <v>-483.43099999999998</v>
          </cell>
        </row>
        <row r="7394">
          <cell r="N7394">
            <v>-1013.837</v>
          </cell>
        </row>
        <row r="7395">
          <cell r="N7395">
            <v>-339.029</v>
          </cell>
        </row>
        <row r="7396">
          <cell r="N7396">
            <v>-1026.2460000000001</v>
          </cell>
        </row>
        <row r="7397">
          <cell r="N7397">
            <v>-1688.174</v>
          </cell>
        </row>
        <row r="7398">
          <cell r="N7398">
            <v>-1112.538</v>
          </cell>
        </row>
        <row r="7399">
          <cell r="N7399">
            <v>-1088</v>
          </cell>
        </row>
        <row r="7400">
          <cell r="N7400">
            <v>-1125.76</v>
          </cell>
        </row>
        <row r="7401">
          <cell r="N7401">
            <v>-1688.174</v>
          </cell>
        </row>
        <row r="7402">
          <cell r="N7402">
            <v>-1501.636</v>
          </cell>
        </row>
        <row r="7403">
          <cell r="N7403">
            <v>-1501.636</v>
          </cell>
        </row>
        <row r="7404">
          <cell r="N7404">
            <v>-1501.636</v>
          </cell>
        </row>
        <row r="7405">
          <cell r="N7405">
            <v>-1125.76</v>
          </cell>
        </row>
        <row r="7406">
          <cell r="N7406">
            <v>-1125.76</v>
          </cell>
        </row>
        <row r="7407">
          <cell r="N7407">
            <v>-1023.164</v>
          </cell>
        </row>
        <row r="7408">
          <cell r="N7408">
            <v>-1772.117</v>
          </cell>
        </row>
        <row r="7409">
          <cell r="N7409">
            <v>-1031.7339999999999</v>
          </cell>
        </row>
        <row r="7410">
          <cell r="N7410">
            <v>-1492.309</v>
          </cell>
        </row>
        <row r="7411">
          <cell r="N7411">
            <v>-317.11599999999999</v>
          </cell>
        </row>
        <row r="7412">
          <cell r="N7412">
            <v>-1604.232</v>
          </cell>
        </row>
        <row r="7413">
          <cell r="N7413">
            <v>-985.85199999999998</v>
          </cell>
        </row>
        <row r="7414">
          <cell r="N7414">
            <v>-839.42399999999998</v>
          </cell>
        </row>
        <row r="7415">
          <cell r="N7415">
            <v>-643.55799999999999</v>
          </cell>
        </row>
        <row r="7416">
          <cell r="N7416">
            <v>-678.971</v>
          </cell>
        </row>
        <row r="7417">
          <cell r="N7417">
            <v>-1044.616</v>
          </cell>
        </row>
        <row r="7418">
          <cell r="N7418">
            <v>-160.435</v>
          </cell>
        </row>
        <row r="7419">
          <cell r="N7419">
            <v>-1669.52</v>
          </cell>
        </row>
        <row r="7420">
          <cell r="N7420">
            <v>-23.251999999999999</v>
          </cell>
        </row>
        <row r="7421">
          <cell r="N7421">
            <v>-43.939</v>
          </cell>
        </row>
        <row r="7422">
          <cell r="N7422">
            <v>-0.09</v>
          </cell>
        </row>
        <row r="7423">
          <cell r="N7423">
            <v>-10.749000000000001</v>
          </cell>
        </row>
        <row r="7424">
          <cell r="N7424">
            <v>-81.11</v>
          </cell>
        </row>
        <row r="7425">
          <cell r="N7425">
            <v>-1383.5809999999999</v>
          </cell>
        </row>
        <row r="7426">
          <cell r="N7426">
            <v>-1124.828</v>
          </cell>
        </row>
        <row r="7427">
          <cell r="N7427">
            <v>-1492.309</v>
          </cell>
        </row>
        <row r="7428">
          <cell r="N7428">
            <v>-1096</v>
          </cell>
        </row>
        <row r="7429">
          <cell r="N7429">
            <v>-1349.452</v>
          </cell>
        </row>
        <row r="7430">
          <cell r="N7430">
            <v>-1022.232</v>
          </cell>
        </row>
        <row r="7431">
          <cell r="N7431">
            <v>-1688.174</v>
          </cell>
        </row>
        <row r="7432">
          <cell r="N7432">
            <v>-988.53700000000003</v>
          </cell>
        </row>
        <row r="7433">
          <cell r="N7433">
            <v>-126.03700000000001</v>
          </cell>
        </row>
        <row r="7434">
          <cell r="N7434">
            <v>-1492.309</v>
          </cell>
        </row>
        <row r="7435">
          <cell r="N7435">
            <v>-17</v>
          </cell>
        </row>
        <row r="7436">
          <cell r="N7436">
            <v>-839.42399999999998</v>
          </cell>
        </row>
        <row r="7437">
          <cell r="N7437">
            <v>-1160.3630000000001</v>
          </cell>
        </row>
        <row r="7438">
          <cell r="N7438">
            <v>-848.75099999999998</v>
          </cell>
        </row>
        <row r="7439">
          <cell r="N7439">
            <v>-877.69799999999998</v>
          </cell>
        </row>
        <row r="7440">
          <cell r="N7440">
            <v>-1000</v>
          </cell>
        </row>
        <row r="7441">
          <cell r="N7441">
            <v>-285.404</v>
          </cell>
        </row>
        <row r="7442">
          <cell r="N7442">
            <v>-1688</v>
          </cell>
        </row>
        <row r="7443">
          <cell r="N7443">
            <v>-1753.463</v>
          </cell>
        </row>
        <row r="7444">
          <cell r="N7444">
            <v>-1112</v>
          </cell>
        </row>
        <row r="7445">
          <cell r="N7445">
            <v>-373.077</v>
          </cell>
        </row>
        <row r="7446">
          <cell r="N7446">
            <v>-1399.04</v>
          </cell>
        </row>
        <row r="7447">
          <cell r="N7447">
            <v>-289.13499999999999</v>
          </cell>
        </row>
        <row r="7448">
          <cell r="N7448">
            <v>-1335.616</v>
          </cell>
        </row>
        <row r="7449">
          <cell r="N7449">
            <v>-1112.3989999999999</v>
          </cell>
        </row>
        <row r="7450">
          <cell r="N7450">
            <v>-547.49099999999999</v>
          </cell>
        </row>
        <row r="7451">
          <cell r="N7451">
            <v>-1529.617</v>
          </cell>
        </row>
        <row r="7452">
          <cell r="N7452">
            <v>-547.49099999999999</v>
          </cell>
        </row>
        <row r="7453">
          <cell r="N7453">
            <v>-1492.309</v>
          </cell>
        </row>
        <row r="7454">
          <cell r="N7454">
            <v>-1445.076</v>
          </cell>
        </row>
        <row r="7455">
          <cell r="N7455">
            <v>-1529.617</v>
          </cell>
        </row>
        <row r="7456">
          <cell r="N7456">
            <v>-1529.617</v>
          </cell>
        </row>
        <row r="7457">
          <cell r="N7457">
            <v>-1019.433</v>
          </cell>
        </row>
        <row r="7458">
          <cell r="N7458">
            <v>-1210.172</v>
          </cell>
        </row>
        <row r="7459">
          <cell r="N7459">
            <v>-1019.433</v>
          </cell>
        </row>
        <row r="7460">
          <cell r="N7460">
            <v>-1108.039</v>
          </cell>
        </row>
        <row r="7461">
          <cell r="N7461">
            <v>-1028.441</v>
          </cell>
        </row>
        <row r="7462">
          <cell r="N7462">
            <v>-510.18299999999999</v>
          </cell>
        </row>
        <row r="7463">
          <cell r="N7463">
            <v>-510.18299999999999</v>
          </cell>
        </row>
        <row r="7464">
          <cell r="N7464">
            <v>-1718.953</v>
          </cell>
        </row>
        <row r="7465">
          <cell r="N7465">
            <v>-132</v>
          </cell>
        </row>
        <row r="7466">
          <cell r="N7466">
            <v>-223.65199999999999</v>
          </cell>
        </row>
        <row r="7467">
          <cell r="N7467">
            <v>-434.63499999999999</v>
          </cell>
        </row>
        <row r="7468">
          <cell r="N7468">
            <v>-1604.232</v>
          </cell>
        </row>
        <row r="7469">
          <cell r="N7469">
            <v>-1080.991</v>
          </cell>
        </row>
        <row r="7470">
          <cell r="N7470">
            <v>-1576.251</v>
          </cell>
        </row>
        <row r="7471">
          <cell r="N7471">
            <v>-514.76900000000001</v>
          </cell>
        </row>
        <row r="7472">
          <cell r="N7472">
            <v>-514.76900000000001</v>
          </cell>
        </row>
        <row r="7473">
          <cell r="N7473">
            <v>-977.46199999999999</v>
          </cell>
        </row>
        <row r="7474">
          <cell r="N7474">
            <v>-977.46199999999999</v>
          </cell>
        </row>
        <row r="7475">
          <cell r="N7475">
            <v>-1019.433</v>
          </cell>
        </row>
        <row r="7476">
          <cell r="N7476">
            <v>-2</v>
          </cell>
        </row>
        <row r="7477">
          <cell r="N7477">
            <v>-26.677</v>
          </cell>
        </row>
        <row r="7478">
          <cell r="N7478">
            <v>-111.923</v>
          </cell>
        </row>
        <row r="7479">
          <cell r="N7479">
            <v>-8</v>
          </cell>
        </row>
        <row r="7480">
          <cell r="N7480">
            <v>-600</v>
          </cell>
        </row>
        <row r="7481">
          <cell r="N7481">
            <v>-4.6639999999999997</v>
          </cell>
        </row>
        <row r="7482">
          <cell r="N7482">
            <v>-1011</v>
          </cell>
        </row>
        <row r="7483">
          <cell r="N7483">
            <v>-224</v>
          </cell>
        </row>
        <row r="7484">
          <cell r="N7484">
            <v>-1011</v>
          </cell>
        </row>
        <row r="7485">
          <cell r="N7485">
            <v>-1011</v>
          </cell>
        </row>
        <row r="7486">
          <cell r="N7486">
            <v>-16</v>
          </cell>
        </row>
        <row r="7487">
          <cell r="N7487">
            <v>-18</v>
          </cell>
        </row>
        <row r="7488">
          <cell r="N7488">
            <v>-18</v>
          </cell>
        </row>
        <row r="7489">
          <cell r="N7489">
            <v>-18</v>
          </cell>
        </row>
        <row r="7490">
          <cell r="N7490">
            <v>-19</v>
          </cell>
        </row>
        <row r="7491">
          <cell r="N7491">
            <v>-1011</v>
          </cell>
        </row>
        <row r="7492">
          <cell r="N7492">
            <v>-18</v>
          </cell>
        </row>
        <row r="7493">
          <cell r="N7493">
            <v>-20</v>
          </cell>
        </row>
        <row r="7494">
          <cell r="N7494">
            <v>-470</v>
          </cell>
        </row>
        <row r="7495">
          <cell r="N7495">
            <v>-20</v>
          </cell>
        </row>
        <row r="7496">
          <cell r="N7496">
            <v>-63</v>
          </cell>
        </row>
        <row r="7497">
          <cell r="N7497">
            <v>-1004</v>
          </cell>
        </row>
        <row r="7498">
          <cell r="N7498">
            <v>-235</v>
          </cell>
        </row>
        <row r="7499">
          <cell r="N7499">
            <v>-277</v>
          </cell>
        </row>
        <row r="7500">
          <cell r="N7500">
            <v>-277</v>
          </cell>
        </row>
        <row r="7501">
          <cell r="N7501">
            <v>-302</v>
          </cell>
        </row>
        <row r="7502">
          <cell r="N7502">
            <v>-1011</v>
          </cell>
        </row>
        <row r="7503">
          <cell r="N7503">
            <v>-277</v>
          </cell>
        </row>
        <row r="7504">
          <cell r="N7504">
            <v>-684</v>
          </cell>
        </row>
        <row r="7505">
          <cell r="N7505">
            <v>-1011</v>
          </cell>
        </row>
        <row r="7506">
          <cell r="N7506">
            <v>-684</v>
          </cell>
        </row>
        <row r="7507">
          <cell r="N7507">
            <v>-684</v>
          </cell>
        </row>
        <row r="7508">
          <cell r="N7508">
            <v>-1011</v>
          </cell>
        </row>
        <row r="7509">
          <cell r="N7509">
            <v>-1011</v>
          </cell>
        </row>
        <row r="7510">
          <cell r="N7510">
            <v>-1011</v>
          </cell>
        </row>
        <row r="7511">
          <cell r="N7511">
            <v>-1011</v>
          </cell>
        </row>
        <row r="7512">
          <cell r="N7512">
            <v>-1011</v>
          </cell>
        </row>
        <row r="7513">
          <cell r="N7513">
            <v>-1011</v>
          </cell>
        </row>
        <row r="7514">
          <cell r="N7514">
            <v>-1011</v>
          </cell>
        </row>
        <row r="7515">
          <cell r="N7515">
            <v>-684</v>
          </cell>
        </row>
        <row r="7516">
          <cell r="N7516">
            <v>-35</v>
          </cell>
        </row>
        <row r="7517">
          <cell r="N7517">
            <v>-1011</v>
          </cell>
        </row>
        <row r="7518">
          <cell r="N7518">
            <v>-187</v>
          </cell>
        </row>
        <row r="7519">
          <cell r="N7519">
            <v>-797</v>
          </cell>
        </row>
        <row r="7520">
          <cell r="N7520">
            <v>-322.71199999999999</v>
          </cell>
        </row>
        <row r="7521">
          <cell r="N7521">
            <v>-38.384999999999998</v>
          </cell>
        </row>
        <row r="7522">
          <cell r="N7522">
            <v>-10.308</v>
          </cell>
        </row>
        <row r="7523">
          <cell r="N7523">
            <v>-85.653999999999996</v>
          </cell>
        </row>
        <row r="7524">
          <cell r="N7524">
            <v>-129.16900000000001</v>
          </cell>
        </row>
        <row r="7525">
          <cell r="N7525">
            <v>-93.269000000000005</v>
          </cell>
        </row>
        <row r="7526">
          <cell r="N7526">
            <v>-93.269000000000005</v>
          </cell>
        </row>
        <row r="7527">
          <cell r="N7527">
            <v>-0.38500000000000001</v>
          </cell>
        </row>
        <row r="7528">
          <cell r="N7528">
            <v>-0.01</v>
          </cell>
        </row>
        <row r="7529">
          <cell r="N7529">
            <v>-987.83100000000002</v>
          </cell>
        </row>
        <row r="7530">
          <cell r="N7530">
            <v>-8.9999999999999993E-3</v>
          </cell>
        </row>
        <row r="7531">
          <cell r="N7531">
            <v>-466.346</v>
          </cell>
        </row>
        <row r="7532">
          <cell r="N7532">
            <v>-746.154</v>
          </cell>
        </row>
        <row r="7533">
          <cell r="N7533">
            <v>-373.077</v>
          </cell>
        </row>
        <row r="7534">
          <cell r="N7534">
            <v>-1492.309</v>
          </cell>
        </row>
        <row r="7535">
          <cell r="N7535">
            <v>-746.154</v>
          </cell>
        </row>
        <row r="7536">
          <cell r="N7536">
            <v>-1692.838</v>
          </cell>
        </row>
        <row r="7537">
          <cell r="N7537">
            <v>-214.55</v>
          </cell>
        </row>
        <row r="7538">
          <cell r="N7538">
            <v>-295.2</v>
          </cell>
        </row>
        <row r="7539">
          <cell r="N7539">
            <v>-319.19200000000001</v>
          </cell>
        </row>
        <row r="7540">
          <cell r="N7540">
            <v>-24.826000000000001</v>
          </cell>
        </row>
        <row r="7541">
          <cell r="N7541">
            <v>-35.057000000000002</v>
          </cell>
        </row>
        <row r="7542">
          <cell r="N7542">
            <v>-56.654000000000003</v>
          </cell>
        </row>
        <row r="7543">
          <cell r="N7543">
            <v>-148.88</v>
          </cell>
        </row>
        <row r="7544">
          <cell r="N7544">
            <v>-256.947</v>
          </cell>
        </row>
        <row r="7545">
          <cell r="N7545">
            <v>-174.88900000000001</v>
          </cell>
        </row>
        <row r="7546">
          <cell r="N7546">
            <v>-1119.232</v>
          </cell>
        </row>
        <row r="7547">
          <cell r="N7547">
            <v>-800</v>
          </cell>
        </row>
        <row r="7548">
          <cell r="N7548">
            <v>-300</v>
          </cell>
        </row>
        <row r="7549">
          <cell r="N7549">
            <v>-500</v>
          </cell>
        </row>
        <row r="7550">
          <cell r="N7550">
            <v>-380</v>
          </cell>
        </row>
        <row r="7551">
          <cell r="N7551">
            <v>-279.80799999999999</v>
          </cell>
        </row>
        <row r="7552">
          <cell r="N7552">
            <v>-1762.79</v>
          </cell>
        </row>
        <row r="7553">
          <cell r="N7553">
            <v>-1759.059</v>
          </cell>
        </row>
        <row r="7554">
          <cell r="N7554">
            <v>-141</v>
          </cell>
        </row>
        <row r="7555">
          <cell r="N7555">
            <v>-462.61599999999999</v>
          </cell>
        </row>
        <row r="7556">
          <cell r="N7556">
            <v>-830.82600000000002</v>
          </cell>
        </row>
        <row r="7557">
          <cell r="N7557">
            <v>-241.61500000000001</v>
          </cell>
        </row>
        <row r="7558">
          <cell r="N7558">
            <v>-1529.617</v>
          </cell>
        </row>
        <row r="7559">
          <cell r="N7559">
            <v>-1529.617</v>
          </cell>
        </row>
        <row r="7560">
          <cell r="N7560">
            <v>-616</v>
          </cell>
        </row>
        <row r="7561">
          <cell r="N7561">
            <v>-1688.174</v>
          </cell>
        </row>
        <row r="7562">
          <cell r="N7562">
            <v>-1008.169</v>
          </cell>
        </row>
        <row r="7563">
          <cell r="N7563">
            <v>-661.87800000000004</v>
          </cell>
        </row>
        <row r="7564">
          <cell r="N7564">
            <v>-0.38300000000000001</v>
          </cell>
        </row>
        <row r="7565">
          <cell r="N7565">
            <v>-1688.174</v>
          </cell>
        </row>
        <row r="7566">
          <cell r="N7566">
            <v>-1688.174</v>
          </cell>
        </row>
        <row r="7567">
          <cell r="N7567">
            <v>-1512.7149999999999</v>
          </cell>
        </row>
        <row r="7568">
          <cell r="N7568">
            <v>-1512.7149999999999</v>
          </cell>
        </row>
        <row r="7569">
          <cell r="N7569">
            <v>-1008.169</v>
          </cell>
        </row>
        <row r="7570">
          <cell r="N7570">
            <v>-1210.172</v>
          </cell>
        </row>
        <row r="7571">
          <cell r="N7571">
            <v>-1688.174</v>
          </cell>
        </row>
        <row r="7572">
          <cell r="N7572">
            <v>-343.077</v>
          </cell>
        </row>
        <row r="7573">
          <cell r="N7573">
            <v>-734.96199999999999</v>
          </cell>
        </row>
        <row r="7574">
          <cell r="N7574">
            <v>-764.80799999999999</v>
          </cell>
        </row>
        <row r="7575">
          <cell r="N7575">
            <v>-270.25900000000001</v>
          </cell>
        </row>
        <row r="7576">
          <cell r="N7576">
            <v>-746.154</v>
          </cell>
        </row>
        <row r="7577">
          <cell r="N7577">
            <v>-254.625</v>
          </cell>
        </row>
        <row r="7578">
          <cell r="N7578">
            <v>-1688.174</v>
          </cell>
        </row>
        <row r="7579">
          <cell r="N7579">
            <v>-1688.174</v>
          </cell>
        </row>
        <row r="7580">
          <cell r="N7580">
            <v>-1128.559</v>
          </cell>
        </row>
        <row r="7581">
          <cell r="N7581">
            <v>-1008.169</v>
          </cell>
        </row>
        <row r="7582">
          <cell r="N7582">
            <v>-968.74300000000005</v>
          </cell>
        </row>
        <row r="7583">
          <cell r="N7583">
            <v>-1162.847</v>
          </cell>
        </row>
        <row r="7584">
          <cell r="N7584">
            <v>-980.44100000000003</v>
          </cell>
        </row>
        <row r="7585">
          <cell r="N7585">
            <v>-1352.405</v>
          </cell>
        </row>
        <row r="7586">
          <cell r="N7586">
            <v>-1695.636</v>
          </cell>
        </row>
        <row r="7587">
          <cell r="N7587">
            <v>-369</v>
          </cell>
        </row>
        <row r="7588">
          <cell r="N7588">
            <v>-57.634</v>
          </cell>
        </row>
        <row r="7589">
          <cell r="N7589">
            <v>-502</v>
          </cell>
        </row>
        <row r="7590">
          <cell r="N7590">
            <v>-632.11199999999997</v>
          </cell>
        </row>
        <row r="7591">
          <cell r="N7591">
            <v>-716.64800000000002</v>
          </cell>
        </row>
        <row r="7592">
          <cell r="N7592">
            <v>-828</v>
          </cell>
        </row>
        <row r="7593">
          <cell r="N7593">
            <v>-1117.933</v>
          </cell>
        </row>
        <row r="7594">
          <cell r="N7594">
            <v>-1019.433</v>
          </cell>
        </row>
        <row r="7595">
          <cell r="N7595">
            <v>-1008.169</v>
          </cell>
        </row>
        <row r="7596">
          <cell r="N7596">
            <v>-1117.933</v>
          </cell>
        </row>
        <row r="7597">
          <cell r="N7597">
            <v>-1019.433</v>
          </cell>
        </row>
        <row r="7598">
          <cell r="N7598">
            <v>-1289.914</v>
          </cell>
        </row>
        <row r="7599">
          <cell r="N7599">
            <v>-1128.559</v>
          </cell>
        </row>
        <row r="7600">
          <cell r="N7600">
            <v>-127.782</v>
          </cell>
        </row>
        <row r="7601">
          <cell r="N7601">
            <v>-1529.617</v>
          </cell>
        </row>
        <row r="7602">
          <cell r="N7602">
            <v>-1529.617</v>
          </cell>
        </row>
        <row r="7603">
          <cell r="N7603">
            <v>-87</v>
          </cell>
        </row>
        <row r="7604">
          <cell r="N7604">
            <v>-934.71699999999998</v>
          </cell>
        </row>
        <row r="7605">
          <cell r="N7605">
            <v>-649.41200000000003</v>
          </cell>
        </row>
        <row r="7606">
          <cell r="N7606">
            <v>-186.53899999999999</v>
          </cell>
        </row>
        <row r="7607">
          <cell r="N7607">
            <v>-730.18799999999999</v>
          </cell>
        </row>
        <row r="7608">
          <cell r="N7608">
            <v>-22</v>
          </cell>
        </row>
        <row r="7609">
          <cell r="N7609">
            <v>-840.12199999999996</v>
          </cell>
        </row>
        <row r="7610">
          <cell r="N7610">
            <v>-1108.039</v>
          </cell>
        </row>
        <row r="7611">
          <cell r="N7611">
            <v>-1100.578</v>
          </cell>
        </row>
        <row r="7612">
          <cell r="N7612">
            <v>-1311.635</v>
          </cell>
        </row>
        <row r="7613">
          <cell r="N7613">
            <v>-1095.914</v>
          </cell>
        </row>
        <row r="7614">
          <cell r="N7614">
            <v>-1116.0889999999999</v>
          </cell>
        </row>
        <row r="7615">
          <cell r="N7615">
            <v>-13.544</v>
          </cell>
        </row>
        <row r="7616">
          <cell r="N7616">
            <v>-13.544</v>
          </cell>
        </row>
        <row r="7617">
          <cell r="N7617">
            <v>-20</v>
          </cell>
        </row>
        <row r="7618">
          <cell r="N7618">
            <v>-40</v>
          </cell>
        </row>
        <row r="7619">
          <cell r="N7619">
            <v>-74</v>
          </cell>
        </row>
        <row r="7620">
          <cell r="N7620">
            <v>-20</v>
          </cell>
        </row>
        <row r="7621">
          <cell r="N7621">
            <v>-18</v>
          </cell>
        </row>
        <row r="7622">
          <cell r="N7622">
            <v>-20</v>
          </cell>
        </row>
        <row r="7623">
          <cell r="N7623">
            <v>-20</v>
          </cell>
        </row>
        <row r="7624">
          <cell r="N7624">
            <v>-26.538</v>
          </cell>
        </row>
        <row r="7625">
          <cell r="N7625">
            <v>-111.923</v>
          </cell>
        </row>
        <row r="7626">
          <cell r="N7626">
            <v>-2.8000000000000001E-2</v>
          </cell>
        </row>
        <row r="7627">
          <cell r="N7627">
            <v>-563.66600000000005</v>
          </cell>
        </row>
        <row r="7628">
          <cell r="N7628">
            <v>-0.504</v>
          </cell>
        </row>
        <row r="7629">
          <cell r="N7629">
            <v>-1.0999999999999999E-2</v>
          </cell>
        </row>
        <row r="7630">
          <cell r="N7630">
            <v>-0.83</v>
          </cell>
        </row>
        <row r="7631">
          <cell r="N7631">
            <v>-116.974</v>
          </cell>
        </row>
        <row r="7632">
          <cell r="N7632">
            <v>-0.29599999999999999</v>
          </cell>
        </row>
        <row r="7633">
          <cell r="N7633">
            <v>-14</v>
          </cell>
        </row>
        <row r="7634">
          <cell r="N7634">
            <v>-563.66600000000005</v>
          </cell>
        </row>
        <row r="7635">
          <cell r="N7635">
            <v>-8.4920000000000009</v>
          </cell>
        </row>
        <row r="7636">
          <cell r="N7636">
            <v>-431.40899999999999</v>
          </cell>
        </row>
        <row r="7637">
          <cell r="N7637">
            <v>-17.748999999999999</v>
          </cell>
        </row>
        <row r="7638">
          <cell r="N7638">
            <v>-465.62599999999998</v>
          </cell>
        </row>
        <row r="7639">
          <cell r="N7639">
            <v>-4.875</v>
          </cell>
        </row>
        <row r="7640">
          <cell r="N7640">
            <v>-4.4109999999999996</v>
          </cell>
        </row>
        <row r="7641">
          <cell r="N7641">
            <v>-969.9</v>
          </cell>
        </row>
        <row r="7642">
          <cell r="N7642">
            <v>-674.11599999999999</v>
          </cell>
        </row>
        <row r="7643">
          <cell r="N7643">
            <v>-4.2560000000000002</v>
          </cell>
        </row>
        <row r="7644">
          <cell r="N7644">
            <v>-1.0999999999999999E-2</v>
          </cell>
        </row>
        <row r="7645">
          <cell r="N7645">
            <v>-4.9930000000000003</v>
          </cell>
        </row>
        <row r="7646">
          <cell r="N7646">
            <v>-0.66400000000000003</v>
          </cell>
        </row>
        <row r="7647">
          <cell r="N7647">
            <v>-350</v>
          </cell>
        </row>
        <row r="7648">
          <cell r="N7648">
            <v>-1.052</v>
          </cell>
        </row>
        <row r="7649">
          <cell r="N7649">
            <v>-780</v>
          </cell>
        </row>
        <row r="7650">
          <cell r="N7650">
            <v>-177.26300000000001</v>
          </cell>
        </row>
        <row r="7651">
          <cell r="N7651">
            <v>-95</v>
          </cell>
        </row>
        <row r="7652">
          <cell r="N7652">
            <v>-249.46700000000001</v>
          </cell>
        </row>
        <row r="7653">
          <cell r="N7653">
            <v>-300</v>
          </cell>
        </row>
        <row r="7654">
          <cell r="N7654">
            <v>-391.37</v>
          </cell>
        </row>
        <row r="7655">
          <cell r="N7655">
            <v>-134.09</v>
          </cell>
        </row>
        <row r="7656">
          <cell r="N7656">
            <v>-30.722000000000001</v>
          </cell>
        </row>
        <row r="7657">
          <cell r="N7657">
            <v>-5.3170000000000002</v>
          </cell>
        </row>
        <row r="7658">
          <cell r="N7658">
            <v>-525.19399999999996</v>
          </cell>
        </row>
        <row r="7659">
          <cell r="N7659">
            <v>-5.7629999999999999</v>
          </cell>
        </row>
        <row r="7660">
          <cell r="N7660">
            <v>-4.585</v>
          </cell>
        </row>
        <row r="7661">
          <cell r="N7661">
            <v>-970.96</v>
          </cell>
        </row>
        <row r="7662">
          <cell r="N7662">
            <v>-37.514000000000003</v>
          </cell>
        </row>
        <row r="7663">
          <cell r="N7663">
            <v>-622.40499999999997</v>
          </cell>
        </row>
        <row r="7664">
          <cell r="N7664">
            <v>-80.799000000000007</v>
          </cell>
        </row>
        <row r="7665">
          <cell r="N7665">
            <v>-690.14099999999996</v>
          </cell>
        </row>
        <row r="7666">
          <cell r="N7666">
            <v>-350.91899999999998</v>
          </cell>
        </row>
        <row r="7667">
          <cell r="N7667">
            <v>-411.86900000000003</v>
          </cell>
        </row>
        <row r="7668">
          <cell r="N7668">
            <v>-0.127</v>
          </cell>
        </row>
        <row r="7669">
          <cell r="N7669">
            <v>-411.86900000000003</v>
          </cell>
        </row>
        <row r="7670">
          <cell r="N7670">
            <v>-0.23599999999999999</v>
          </cell>
        </row>
        <row r="7671">
          <cell r="N7671">
            <v>-387.58300000000003</v>
          </cell>
        </row>
        <row r="7672">
          <cell r="N7672">
            <v>-2.3199999999999998</v>
          </cell>
        </row>
        <row r="7673">
          <cell r="N7673">
            <v>-4.8000000000000001E-2</v>
          </cell>
        </row>
        <row r="7674">
          <cell r="N7674">
            <v>-4.8000000000000001E-2</v>
          </cell>
        </row>
        <row r="7675">
          <cell r="N7675">
            <v>-4.8000000000000001E-2</v>
          </cell>
        </row>
        <row r="7676">
          <cell r="N7676">
            <v>-4.8000000000000001E-2</v>
          </cell>
        </row>
        <row r="7677">
          <cell r="N7677">
            <v>-4.8000000000000001E-2</v>
          </cell>
        </row>
        <row r="7678">
          <cell r="N7678">
            <v>-621.14300000000003</v>
          </cell>
        </row>
        <row r="7679">
          <cell r="N7679">
            <v>-62.042000000000002</v>
          </cell>
        </row>
        <row r="7680">
          <cell r="N7680">
            <v>-0.88800000000000001</v>
          </cell>
        </row>
        <row r="7681">
          <cell r="N7681">
            <v>-4.8000000000000001E-2</v>
          </cell>
        </row>
        <row r="7682">
          <cell r="N7682">
            <v>-4.8000000000000001E-2</v>
          </cell>
        </row>
        <row r="7683">
          <cell r="N7683">
            <v>-4.8000000000000001E-2</v>
          </cell>
        </row>
        <row r="7684">
          <cell r="N7684">
            <v>-4.8000000000000001E-2</v>
          </cell>
        </row>
        <row r="7685">
          <cell r="N7685">
            <v>-0.13</v>
          </cell>
        </row>
        <row r="7686">
          <cell r="N7686">
            <v>-2.5139999999999998</v>
          </cell>
        </row>
        <row r="7687">
          <cell r="N7687">
            <v>-0.13</v>
          </cell>
        </row>
        <row r="7688">
          <cell r="N7688">
            <v>-0.155</v>
          </cell>
        </row>
        <row r="7689">
          <cell r="N7689">
            <v>-8.24</v>
          </cell>
        </row>
        <row r="7690">
          <cell r="N7690">
            <v>-0.13</v>
          </cell>
        </row>
        <row r="7691">
          <cell r="N7691">
            <v>-0.155</v>
          </cell>
        </row>
        <row r="7692">
          <cell r="N7692">
            <v>-8.3989999999999991</v>
          </cell>
        </row>
        <row r="7693">
          <cell r="N7693">
            <v>-0.16400000000000001</v>
          </cell>
        </row>
        <row r="7694">
          <cell r="N7694">
            <v>-0.28100000000000003</v>
          </cell>
        </row>
        <row r="7695">
          <cell r="N7695">
            <v>-0.16400000000000001</v>
          </cell>
        </row>
        <row r="7696">
          <cell r="N7696">
            <v>-0.16400000000000001</v>
          </cell>
        </row>
        <row r="7697">
          <cell r="N7697">
            <v>-0.19600000000000001</v>
          </cell>
        </row>
        <row r="7698">
          <cell r="N7698">
            <v>-11.435</v>
          </cell>
        </row>
        <row r="7699">
          <cell r="N7699">
            <v>-0.13</v>
          </cell>
        </row>
        <row r="7700">
          <cell r="N7700">
            <v>-13.522</v>
          </cell>
        </row>
        <row r="7701">
          <cell r="N7701">
            <v>-12.952999999999999</v>
          </cell>
        </row>
        <row r="7702">
          <cell r="N7702">
            <v>-1108.105</v>
          </cell>
        </row>
        <row r="7703">
          <cell r="N7703">
            <v>-1143.9659999999999</v>
          </cell>
        </row>
        <row r="7704">
          <cell r="N7704">
            <v>-50.499000000000002</v>
          </cell>
        </row>
        <row r="7705">
          <cell r="N7705">
            <v>-1089.68</v>
          </cell>
        </row>
        <row r="7706">
          <cell r="N7706">
            <v>-12.144</v>
          </cell>
        </row>
        <row r="7707">
          <cell r="N7707">
            <v>-2.4239999999999999</v>
          </cell>
        </row>
        <row r="7708">
          <cell r="N7708">
            <v>-555.49300000000005</v>
          </cell>
        </row>
        <row r="7709">
          <cell r="N7709">
            <v>-539.62199999999996</v>
          </cell>
        </row>
        <row r="7710">
          <cell r="N7710">
            <v>-434.15100000000001</v>
          </cell>
        </row>
        <row r="7711">
          <cell r="N7711">
            <v>-57.198</v>
          </cell>
        </row>
        <row r="7712">
          <cell r="N7712">
            <v>-530.24400000000003</v>
          </cell>
        </row>
        <row r="7713">
          <cell r="N7713">
            <v>-10.119999999999999</v>
          </cell>
        </row>
        <row r="7714">
          <cell r="N7714">
            <v>-8.9999999999999993E-3</v>
          </cell>
        </row>
        <row r="7715">
          <cell r="N7715">
            <v>-587.44200000000001</v>
          </cell>
        </row>
        <row r="7716">
          <cell r="N7716">
            <v>-4.8730000000000002</v>
          </cell>
        </row>
        <row r="7717">
          <cell r="N7717">
            <v>-355.29899999999998</v>
          </cell>
        </row>
        <row r="7718">
          <cell r="N7718">
            <v>-7.97</v>
          </cell>
        </row>
        <row r="7719">
          <cell r="N7719">
            <v>-4.6520000000000001</v>
          </cell>
        </row>
        <row r="7720">
          <cell r="N7720">
            <v>-12.144</v>
          </cell>
        </row>
        <row r="7721">
          <cell r="N7721">
            <v>-11.077999999999999</v>
          </cell>
        </row>
        <row r="7722">
          <cell r="N7722">
            <v>-0.96099999999999997</v>
          </cell>
        </row>
        <row r="7723">
          <cell r="N7723">
            <v>-2.153</v>
          </cell>
        </row>
        <row r="7724">
          <cell r="N7724">
            <v>-339.5</v>
          </cell>
        </row>
        <row r="7725">
          <cell r="N7725">
            <v>-11.182</v>
          </cell>
        </row>
        <row r="7726">
          <cell r="N7726">
            <v>-14.769</v>
          </cell>
        </row>
        <row r="7727">
          <cell r="N7727">
            <v>-5.0110000000000001</v>
          </cell>
        </row>
        <row r="7728">
          <cell r="N7728">
            <v>-9.9390000000000001</v>
          </cell>
        </row>
        <row r="7729">
          <cell r="N7729">
            <v>-5.6829999999999998</v>
          </cell>
        </row>
        <row r="7730">
          <cell r="N7730">
            <v>-241.71299999999999</v>
          </cell>
        </row>
        <row r="7731">
          <cell r="N7731">
            <v>-122.628</v>
          </cell>
        </row>
        <row r="7732">
          <cell r="N7732">
            <v>-484.43400000000003</v>
          </cell>
        </row>
        <row r="7733">
          <cell r="N7733">
            <v>-766.10500000000002</v>
          </cell>
        </row>
        <row r="7734">
          <cell r="N7734">
            <v>-5.7309999999999999</v>
          </cell>
        </row>
        <row r="7735">
          <cell r="N7735">
            <v>-698.43799999999999</v>
          </cell>
        </row>
        <row r="7736">
          <cell r="N7736">
            <v>-3.0209999999999999</v>
          </cell>
        </row>
        <row r="7737">
          <cell r="N7737">
            <v>-2.46</v>
          </cell>
        </row>
        <row r="7738">
          <cell r="N7738">
            <v>-552.39300000000003</v>
          </cell>
        </row>
        <row r="7739">
          <cell r="N7739">
            <v>-21.343</v>
          </cell>
        </row>
        <row r="7740">
          <cell r="N7740">
            <v>-100.999</v>
          </cell>
        </row>
        <row r="7741">
          <cell r="N7741">
            <v>-5.1070000000000002</v>
          </cell>
        </row>
        <row r="7742">
          <cell r="N7742">
            <v>-3.4510000000000001</v>
          </cell>
        </row>
        <row r="7743">
          <cell r="N7743">
            <v>-252.49700000000001</v>
          </cell>
        </row>
        <row r="7744">
          <cell r="N7744">
            <v>-688.05499999999995</v>
          </cell>
        </row>
        <row r="7745">
          <cell r="N7745">
            <v>-11.79</v>
          </cell>
        </row>
        <row r="7746">
          <cell r="N7746">
            <v>-252.49700000000001</v>
          </cell>
        </row>
        <row r="7747">
          <cell r="N7747">
            <v>-40.085999999999999</v>
          </cell>
        </row>
        <row r="7748">
          <cell r="N7748">
            <v>-1027.096</v>
          </cell>
        </row>
        <row r="7749">
          <cell r="N7749">
            <v>-1027.096</v>
          </cell>
        </row>
        <row r="7750">
          <cell r="N7750">
            <v>-10.021000000000001</v>
          </cell>
        </row>
        <row r="7751">
          <cell r="N7751">
            <v>-12.446999999999999</v>
          </cell>
        </row>
        <row r="7752">
          <cell r="N7752">
            <v>-63.124000000000002</v>
          </cell>
        </row>
        <row r="7753">
          <cell r="N7753">
            <v>-5.6829999999999998</v>
          </cell>
        </row>
        <row r="7754">
          <cell r="N7754">
            <v>-2.0609999999999999</v>
          </cell>
        </row>
        <row r="7755">
          <cell r="N7755">
            <v>-21.824999999999999</v>
          </cell>
        </row>
        <row r="7756">
          <cell r="N7756">
            <v>-0.83899999999999997</v>
          </cell>
        </row>
        <row r="7757">
          <cell r="N7757">
            <v>-6.5460000000000003</v>
          </cell>
        </row>
        <row r="7758">
          <cell r="N7758">
            <v>-42.000999999999998</v>
          </cell>
        </row>
        <row r="7759">
          <cell r="N7759">
            <v>-5.7140000000000004</v>
          </cell>
        </row>
        <row r="7760">
          <cell r="N7760">
            <v>-10.111000000000001</v>
          </cell>
        </row>
        <row r="7761">
          <cell r="N7761">
            <v>-5.577</v>
          </cell>
        </row>
        <row r="7762">
          <cell r="N7762">
            <v>-6.7619999999999996</v>
          </cell>
        </row>
        <row r="7763">
          <cell r="N7763">
            <v>-11.688000000000001</v>
          </cell>
        </row>
        <row r="7764">
          <cell r="N7764">
            <v>-9.4619999999999997</v>
          </cell>
        </row>
        <row r="7765">
          <cell r="N7765">
            <v>-6.9290000000000003</v>
          </cell>
        </row>
        <row r="7766">
          <cell r="N7766">
            <v>-6.282</v>
          </cell>
        </row>
        <row r="7767">
          <cell r="N7767">
            <v>-46.926000000000002</v>
          </cell>
        </row>
        <row r="7768">
          <cell r="N7768">
            <v>-14.69</v>
          </cell>
        </row>
        <row r="7769">
          <cell r="N7769">
            <v>-9.7110000000000003</v>
          </cell>
        </row>
        <row r="7770">
          <cell r="N7770">
            <v>-4.7539999999999996</v>
          </cell>
        </row>
        <row r="7771">
          <cell r="N7771">
            <v>-6.8339999999999996</v>
          </cell>
        </row>
        <row r="7772">
          <cell r="N7772">
            <v>-6.57</v>
          </cell>
        </row>
        <row r="7773">
          <cell r="N7773">
            <v>-128</v>
          </cell>
        </row>
        <row r="7774">
          <cell r="N7774">
            <v>-432</v>
          </cell>
        </row>
        <row r="7775">
          <cell r="N7775">
            <v>-553.28300000000002</v>
          </cell>
        </row>
        <row r="7776">
          <cell r="N7776">
            <v>-582.71699999999998</v>
          </cell>
        </row>
        <row r="7777">
          <cell r="N7777">
            <v>-6.6660000000000004</v>
          </cell>
        </row>
        <row r="7778">
          <cell r="N7778">
            <v>-6.6050000000000004</v>
          </cell>
        </row>
        <row r="7779">
          <cell r="N7779">
            <v>-6.1479999999999997</v>
          </cell>
        </row>
        <row r="7780">
          <cell r="N7780">
            <v>-87.695999999999998</v>
          </cell>
        </row>
        <row r="7781">
          <cell r="N7781">
            <v>-36.802</v>
          </cell>
        </row>
        <row r="7782">
          <cell r="N7782">
            <v>-111.877</v>
          </cell>
        </row>
        <row r="7783">
          <cell r="N7783">
            <v>-129.30000000000001</v>
          </cell>
        </row>
        <row r="7784">
          <cell r="N7784">
            <v>-57.546999999999997</v>
          </cell>
        </row>
        <row r="7785">
          <cell r="N7785">
            <v>-13.712</v>
          </cell>
        </row>
        <row r="7786">
          <cell r="N7786">
            <v>-5.4669999999999996</v>
          </cell>
        </row>
        <row r="7787">
          <cell r="N7787">
            <v>-16.172000000000001</v>
          </cell>
        </row>
        <row r="7788">
          <cell r="N7788">
            <v>-3.3940000000000001</v>
          </cell>
        </row>
        <row r="7789">
          <cell r="N7789">
            <v>-13.766</v>
          </cell>
        </row>
        <row r="7790">
          <cell r="N7790">
            <v>-507.7</v>
          </cell>
        </row>
        <row r="7791">
          <cell r="N7791">
            <v>-2.0910000000000002</v>
          </cell>
        </row>
        <row r="7792">
          <cell r="N7792">
            <v>-7.2939999999999996</v>
          </cell>
        </row>
        <row r="7793">
          <cell r="N7793">
            <v>-37.213000000000001</v>
          </cell>
        </row>
        <row r="7794">
          <cell r="N7794">
            <v>-4.6040000000000001</v>
          </cell>
        </row>
        <row r="7795">
          <cell r="N7795">
            <v>-507.7</v>
          </cell>
        </row>
        <row r="7796">
          <cell r="N7796">
            <v>-304.48200000000003</v>
          </cell>
        </row>
        <row r="7797">
          <cell r="N7797">
            <v>-506.01799999999997</v>
          </cell>
        </row>
        <row r="7798">
          <cell r="N7798">
            <v>-2.5960000000000001</v>
          </cell>
        </row>
        <row r="7799">
          <cell r="N7799">
            <v>-5.76</v>
          </cell>
        </row>
        <row r="7800">
          <cell r="N7800">
            <v>-203.93299999999999</v>
          </cell>
        </row>
        <row r="7801">
          <cell r="N7801">
            <v>-10.717000000000001</v>
          </cell>
        </row>
        <row r="7802">
          <cell r="N7802">
            <v>-12.747</v>
          </cell>
        </row>
        <row r="7803">
          <cell r="N7803">
            <v>-1.7330000000000001</v>
          </cell>
        </row>
        <row r="7804">
          <cell r="N7804">
            <v>-14.999000000000001</v>
          </cell>
        </row>
        <row r="7805">
          <cell r="N7805">
            <v>-5.8049999999999997</v>
          </cell>
        </row>
        <row r="7806">
          <cell r="N7806">
            <v>-0.40100000000000002</v>
          </cell>
        </row>
        <row r="7807">
          <cell r="N7807">
            <v>-12.577999999999999</v>
          </cell>
        </row>
        <row r="7808">
          <cell r="N7808">
            <v>-7.9539999999999997</v>
          </cell>
        </row>
        <row r="7809">
          <cell r="N7809">
            <v>-3.68</v>
          </cell>
        </row>
        <row r="7810">
          <cell r="N7810">
            <v>-13.701000000000001</v>
          </cell>
        </row>
        <row r="7811">
          <cell r="N7811">
            <v>-14.038</v>
          </cell>
        </row>
        <row r="7812">
          <cell r="N7812">
            <v>-12.914999999999999</v>
          </cell>
        </row>
        <row r="7813">
          <cell r="N7813">
            <v>-14.824</v>
          </cell>
        </row>
        <row r="7814">
          <cell r="N7814">
            <v>-3.2370000000000001</v>
          </cell>
        </row>
        <row r="7815">
          <cell r="N7815">
            <v>-12.465999999999999</v>
          </cell>
        </row>
        <row r="7816">
          <cell r="N7816">
            <v>-10.613</v>
          </cell>
        </row>
        <row r="7817">
          <cell r="N7817">
            <v>-11.398999999999999</v>
          </cell>
        </row>
        <row r="7818">
          <cell r="N7818">
            <v>-12.11</v>
          </cell>
        </row>
        <row r="7819">
          <cell r="N7819">
            <v>-3.2370000000000001</v>
          </cell>
        </row>
        <row r="7820">
          <cell r="N7820">
            <v>-0.44400000000000001</v>
          </cell>
        </row>
        <row r="7821">
          <cell r="N7821">
            <v>-11.118</v>
          </cell>
        </row>
        <row r="7822">
          <cell r="N7822">
            <v>-8.76</v>
          </cell>
        </row>
        <row r="7823">
          <cell r="N7823">
            <v>-1.905</v>
          </cell>
        </row>
        <row r="7824">
          <cell r="N7824">
            <v>-15.554</v>
          </cell>
        </row>
        <row r="7825">
          <cell r="N7825">
            <v>-16.228000000000002</v>
          </cell>
        </row>
        <row r="7826">
          <cell r="N7826">
            <v>-13.701000000000001</v>
          </cell>
        </row>
        <row r="7827">
          <cell r="N7827">
            <v>-8.3670000000000009</v>
          </cell>
        </row>
        <row r="7828">
          <cell r="N7828">
            <v>-13.757</v>
          </cell>
        </row>
        <row r="7829">
          <cell r="N7829">
            <v>-6.0350000000000001</v>
          </cell>
        </row>
        <row r="7830">
          <cell r="N7830">
            <v>-14.936</v>
          </cell>
        </row>
        <row r="7831">
          <cell r="N7831">
            <v>-1.518</v>
          </cell>
        </row>
        <row r="7832">
          <cell r="N7832">
            <v>-6.2169999999999996</v>
          </cell>
        </row>
        <row r="7833">
          <cell r="N7833">
            <v>-5.38</v>
          </cell>
        </row>
        <row r="7834">
          <cell r="N7834">
            <v>-13.981999999999999</v>
          </cell>
        </row>
        <row r="7835">
          <cell r="N7835">
            <v>-31.745999999999999</v>
          </cell>
        </row>
        <row r="7836">
          <cell r="N7836">
            <v>-12.577999999999999</v>
          </cell>
        </row>
        <row r="7837">
          <cell r="N7837">
            <v>-13.701000000000001</v>
          </cell>
        </row>
        <row r="7838">
          <cell r="N7838">
            <v>-1.1739999999999999</v>
          </cell>
        </row>
        <row r="7839">
          <cell r="N7839">
            <v>-63.692</v>
          </cell>
        </row>
        <row r="7840">
          <cell r="N7840">
            <v>-24.303999999999998</v>
          </cell>
        </row>
        <row r="7841">
          <cell r="N7841">
            <v>-11.006</v>
          </cell>
        </row>
        <row r="7842">
          <cell r="N7842">
            <v>-3.68</v>
          </cell>
        </row>
        <row r="7843">
          <cell r="N7843">
            <v>-13.083</v>
          </cell>
        </row>
        <row r="7844">
          <cell r="N7844">
            <v>-14.036</v>
          </cell>
        </row>
        <row r="7845">
          <cell r="N7845">
            <v>-15.891</v>
          </cell>
        </row>
        <row r="7846">
          <cell r="N7846">
            <v>-11.622999999999999</v>
          </cell>
        </row>
        <row r="7847">
          <cell r="N7847">
            <v>-12.971</v>
          </cell>
        </row>
        <row r="7848">
          <cell r="N7848">
            <v>-11.848000000000001</v>
          </cell>
        </row>
        <row r="7849">
          <cell r="N7849">
            <v>-1.6279999999999999</v>
          </cell>
        </row>
        <row r="7850">
          <cell r="N7850">
            <v>-6.1139999999999999</v>
          </cell>
        </row>
        <row r="7851">
          <cell r="N7851">
            <v>-13.308</v>
          </cell>
        </row>
        <row r="7852">
          <cell r="N7852">
            <v>-8.1430000000000007</v>
          </cell>
        </row>
        <row r="7853">
          <cell r="N7853">
            <v>-2.6629999999999998</v>
          </cell>
        </row>
        <row r="7854">
          <cell r="N7854">
            <v>-571.98299999999995</v>
          </cell>
        </row>
        <row r="7855">
          <cell r="N7855">
            <v>-315.02300000000002</v>
          </cell>
        </row>
        <row r="7856">
          <cell r="N7856">
            <v>-240.75399999999999</v>
          </cell>
        </row>
        <row r="7857">
          <cell r="N7857">
            <v>-2.4049999999999998</v>
          </cell>
        </row>
        <row r="7858">
          <cell r="N7858">
            <v>-5.851</v>
          </cell>
        </row>
        <row r="7859">
          <cell r="N7859">
            <v>-12.297000000000001</v>
          </cell>
        </row>
        <row r="7860">
          <cell r="N7860">
            <v>-15.385999999999999</v>
          </cell>
        </row>
        <row r="7861">
          <cell r="N7861">
            <v>-13.14</v>
          </cell>
        </row>
        <row r="7862">
          <cell r="N7862">
            <v>-13.813000000000001</v>
          </cell>
        </row>
        <row r="7863">
          <cell r="N7863">
            <v>-12.428000000000001</v>
          </cell>
        </row>
        <row r="7864">
          <cell r="N7864">
            <v>-11.23</v>
          </cell>
        </row>
        <row r="7865">
          <cell r="N7865">
            <v>-12.613</v>
          </cell>
        </row>
        <row r="7866">
          <cell r="N7866">
            <v>-15.161</v>
          </cell>
        </row>
        <row r="7867">
          <cell r="N7867">
            <v>-17.239000000000001</v>
          </cell>
        </row>
        <row r="7868">
          <cell r="N7868">
            <v>-17.024000000000001</v>
          </cell>
        </row>
        <row r="7869">
          <cell r="N7869">
            <v>-13.476000000000001</v>
          </cell>
        </row>
        <row r="7870">
          <cell r="N7870">
            <v>-4.0670000000000002</v>
          </cell>
        </row>
        <row r="7871">
          <cell r="N7871">
            <v>-24.585999999999999</v>
          </cell>
        </row>
        <row r="7872">
          <cell r="N7872">
            <v>-14.15</v>
          </cell>
        </row>
        <row r="7873">
          <cell r="N7873">
            <v>-14.6</v>
          </cell>
        </row>
        <row r="7874">
          <cell r="N7874">
            <v>-3.4510000000000001</v>
          </cell>
        </row>
        <row r="7875">
          <cell r="N7875">
            <v>-13.252000000000001</v>
          </cell>
        </row>
        <row r="7876">
          <cell r="N7876">
            <v>-11.532</v>
          </cell>
        </row>
        <row r="7877">
          <cell r="N7877">
            <v>-14.375</v>
          </cell>
        </row>
        <row r="7878">
          <cell r="N7878">
            <v>-6.3540000000000001</v>
          </cell>
        </row>
        <row r="7879">
          <cell r="N7879">
            <v>-2.641</v>
          </cell>
        </row>
        <row r="7880">
          <cell r="N7880">
            <v>-16.509</v>
          </cell>
        </row>
        <row r="7881">
          <cell r="N7881">
            <v>-6.742</v>
          </cell>
        </row>
        <row r="7882">
          <cell r="N7882">
            <v>-5.508</v>
          </cell>
        </row>
        <row r="7883">
          <cell r="N7883">
            <v>-13.589</v>
          </cell>
        </row>
        <row r="7884">
          <cell r="N7884">
            <v>-6.09</v>
          </cell>
        </row>
        <row r="7885">
          <cell r="N7885">
            <v>-23.172999999999998</v>
          </cell>
        </row>
        <row r="7886">
          <cell r="N7886">
            <v>-13.532999999999999</v>
          </cell>
        </row>
        <row r="7887">
          <cell r="N7887">
            <v>-13.87</v>
          </cell>
        </row>
        <row r="7888">
          <cell r="N7888">
            <v>-16.116</v>
          </cell>
        </row>
        <row r="7889">
          <cell r="N7889">
            <v>-13.645</v>
          </cell>
        </row>
        <row r="7890">
          <cell r="N7890">
            <v>-17.866</v>
          </cell>
        </row>
        <row r="7891">
          <cell r="N7891">
            <v>-12.803000000000001</v>
          </cell>
        </row>
        <row r="7892">
          <cell r="N7892">
            <v>-3.04</v>
          </cell>
        </row>
        <row r="7893">
          <cell r="N7893">
            <v>-13.87</v>
          </cell>
        </row>
        <row r="7894">
          <cell r="N7894">
            <v>-14.88</v>
          </cell>
        </row>
        <row r="7895">
          <cell r="N7895">
            <v>-14.993</v>
          </cell>
        </row>
        <row r="7896">
          <cell r="N7896">
            <v>-12.41</v>
          </cell>
        </row>
        <row r="7897">
          <cell r="N7897">
            <v>-5.9459999999999997</v>
          </cell>
        </row>
        <row r="7898">
          <cell r="N7898">
            <v>-7.6340000000000003</v>
          </cell>
        </row>
        <row r="7899">
          <cell r="N7899">
            <v>-1001.917</v>
          </cell>
        </row>
        <row r="7900">
          <cell r="N7900">
            <v>-108.21299999999999</v>
          </cell>
        </row>
        <row r="7901">
          <cell r="N7901">
            <v>-16.846</v>
          </cell>
        </row>
        <row r="7902">
          <cell r="N7902">
            <v>-81.343000000000004</v>
          </cell>
        </row>
        <row r="7903">
          <cell r="N7903">
            <v>-26.847000000000001</v>
          </cell>
        </row>
        <row r="7904">
          <cell r="N7904">
            <v>-2.843</v>
          </cell>
        </row>
        <row r="7905">
          <cell r="N7905">
            <v>-15.217000000000001</v>
          </cell>
        </row>
        <row r="7906">
          <cell r="N7906">
            <v>-2.8540000000000001</v>
          </cell>
        </row>
        <row r="7907">
          <cell r="N7907">
            <v>-8.5350000000000001</v>
          </cell>
        </row>
        <row r="7908">
          <cell r="N7908">
            <v>-6.4909999999999997</v>
          </cell>
        </row>
        <row r="7909">
          <cell r="N7909">
            <v>-12.185</v>
          </cell>
        </row>
        <row r="7910">
          <cell r="N7910">
            <v>-12.859</v>
          </cell>
        </row>
        <row r="7911">
          <cell r="N7911">
            <v>-14.430999999999999</v>
          </cell>
        </row>
        <row r="7912">
          <cell r="N7912">
            <v>-12.859</v>
          </cell>
        </row>
        <row r="7913">
          <cell r="N7913">
            <v>-27.884</v>
          </cell>
        </row>
        <row r="7914">
          <cell r="N7914">
            <v>-5.6000000000000001E-2</v>
          </cell>
        </row>
        <row r="7915">
          <cell r="N7915">
            <v>-3.0000000000000001E-3</v>
          </cell>
        </row>
        <row r="7916">
          <cell r="N7916">
            <v>-3.637</v>
          </cell>
        </row>
        <row r="7917">
          <cell r="N7917">
            <v>-6.56</v>
          </cell>
        </row>
        <row r="7918">
          <cell r="N7918">
            <v>-5.6000000000000001E-2</v>
          </cell>
        </row>
        <row r="7919">
          <cell r="N7919">
            <v>-25.905000000000001</v>
          </cell>
        </row>
        <row r="7920">
          <cell r="N7920">
            <v>-12.465999999999999</v>
          </cell>
        </row>
        <row r="7921">
          <cell r="N7921">
            <v>-14.824</v>
          </cell>
        </row>
        <row r="7922">
          <cell r="N7922">
            <v>-5.6000000000000001E-2</v>
          </cell>
        </row>
        <row r="7923">
          <cell r="N7923">
            <v>-7.8E-2</v>
          </cell>
        </row>
        <row r="7924">
          <cell r="N7924">
            <v>-5.6000000000000001E-2</v>
          </cell>
        </row>
        <row r="7925">
          <cell r="N7925">
            <v>-5.6000000000000001E-2</v>
          </cell>
        </row>
        <row r="7926">
          <cell r="N7926">
            <v>-15.33</v>
          </cell>
        </row>
        <row r="7927">
          <cell r="N7927">
            <v>-21.814</v>
          </cell>
        </row>
        <row r="7928">
          <cell r="N7928">
            <v>-5.6000000000000001E-2</v>
          </cell>
        </row>
        <row r="7929">
          <cell r="N7929">
            <v>-13.757</v>
          </cell>
        </row>
        <row r="7930">
          <cell r="N7930">
            <v>-11.414</v>
          </cell>
        </row>
        <row r="7931">
          <cell r="N7931">
            <v>-18.699000000000002</v>
          </cell>
        </row>
        <row r="7932">
          <cell r="N7932">
            <v>-2.8650000000000002</v>
          </cell>
        </row>
        <row r="7933">
          <cell r="N7933">
            <v>-5.6000000000000001E-2</v>
          </cell>
        </row>
        <row r="7934">
          <cell r="N7934">
            <v>-6.4000000000000001E-2</v>
          </cell>
        </row>
        <row r="7935">
          <cell r="N7935">
            <v>-6.2E-2</v>
          </cell>
        </row>
        <row r="7936">
          <cell r="N7936">
            <v>-7.8E-2</v>
          </cell>
        </row>
        <row r="7937">
          <cell r="N7937">
            <v>-6.0419999999999998</v>
          </cell>
        </row>
        <row r="7938">
          <cell r="N7938">
            <v>-475.488</v>
          </cell>
        </row>
        <row r="7939">
          <cell r="N7939">
            <v>-532</v>
          </cell>
        </row>
        <row r="7940">
          <cell r="N7940">
            <v>-13.87</v>
          </cell>
        </row>
        <row r="7941">
          <cell r="N7941">
            <v>-629.63</v>
          </cell>
        </row>
        <row r="7942">
          <cell r="N7942">
            <v>-4.4390000000000001</v>
          </cell>
        </row>
        <row r="7943">
          <cell r="N7943">
            <v>-15.442</v>
          </cell>
        </row>
        <row r="7944">
          <cell r="N7944">
            <v>-13.196</v>
          </cell>
        </row>
        <row r="7945">
          <cell r="N7945">
            <v>-13.083</v>
          </cell>
        </row>
        <row r="7946">
          <cell r="N7946">
            <v>-5.8970000000000002</v>
          </cell>
        </row>
        <row r="7947">
          <cell r="N7947">
            <v>-6.2E-2</v>
          </cell>
        </row>
        <row r="7948">
          <cell r="N7948">
            <v>-6.2E-2</v>
          </cell>
        </row>
        <row r="7949">
          <cell r="N7949">
            <v>-6.2E-2</v>
          </cell>
        </row>
        <row r="7950">
          <cell r="N7950">
            <v>-5.4669999999999996</v>
          </cell>
        </row>
        <row r="7951">
          <cell r="N7951">
            <v>-15.61</v>
          </cell>
        </row>
        <row r="7952">
          <cell r="N7952">
            <v>-6.2E-2</v>
          </cell>
        </row>
        <row r="7953">
          <cell r="N7953">
            <v>-532</v>
          </cell>
        </row>
        <row r="7954">
          <cell r="N7954">
            <v>-5.3019999999999996</v>
          </cell>
        </row>
        <row r="7955">
          <cell r="N7955">
            <v>-0.02</v>
          </cell>
        </row>
        <row r="7956">
          <cell r="N7956">
            <v>-6.2E-2</v>
          </cell>
        </row>
        <row r="7957">
          <cell r="N7957">
            <v>-11.96</v>
          </cell>
        </row>
        <row r="7958">
          <cell r="N7958">
            <v>-16.846</v>
          </cell>
        </row>
        <row r="7959">
          <cell r="N7959">
            <v>-14.6</v>
          </cell>
        </row>
        <row r="7960">
          <cell r="N7960">
            <v>-3.738</v>
          </cell>
        </row>
        <row r="7961">
          <cell r="N7961">
            <v>-4.0000000000000001E-3</v>
          </cell>
        </row>
        <row r="7962">
          <cell r="N7962">
            <v>-12.465999999999999</v>
          </cell>
        </row>
        <row r="7963">
          <cell r="N7963">
            <v>-7.0000000000000001E-3</v>
          </cell>
        </row>
        <row r="7964">
          <cell r="N7964">
            <v>-0.56200000000000006</v>
          </cell>
        </row>
        <row r="7965">
          <cell r="N7965">
            <v>-18.53</v>
          </cell>
        </row>
        <row r="7966">
          <cell r="N7966">
            <v>-14.88</v>
          </cell>
        </row>
        <row r="7967">
          <cell r="N7967">
            <v>-0.36699999999999999</v>
          </cell>
        </row>
        <row r="7968">
          <cell r="N7968">
            <v>-5.9480000000000004</v>
          </cell>
        </row>
        <row r="7969">
          <cell r="N7969">
            <v>-14.430999999999999</v>
          </cell>
        </row>
        <row r="7970">
          <cell r="N7970">
            <v>-3.2360000000000002</v>
          </cell>
        </row>
        <row r="7971">
          <cell r="N7971">
            <v>-26.187999999999999</v>
          </cell>
        </row>
        <row r="7972">
          <cell r="N7972">
            <v>-11.287000000000001</v>
          </cell>
        </row>
        <row r="7973">
          <cell r="N7973">
            <v>-12.914999999999999</v>
          </cell>
        </row>
        <row r="7974">
          <cell r="N7974">
            <v>-16.846</v>
          </cell>
        </row>
        <row r="7975">
          <cell r="N7975">
            <v>-0.153</v>
          </cell>
        </row>
        <row r="7976">
          <cell r="N7976">
            <v>-20.067</v>
          </cell>
        </row>
        <row r="7977">
          <cell r="N7977">
            <v>-88.632000000000005</v>
          </cell>
        </row>
        <row r="7978">
          <cell r="N7978">
            <v>-4.9139999999999997</v>
          </cell>
        </row>
        <row r="7979">
          <cell r="N7979">
            <v>-25.623000000000001</v>
          </cell>
        </row>
        <row r="7980">
          <cell r="N7980">
            <v>-12.185</v>
          </cell>
        </row>
        <row r="7981">
          <cell r="N7981">
            <v>-14.430999999999999</v>
          </cell>
        </row>
        <row r="7982">
          <cell r="N7982">
            <v>-2.7080000000000002</v>
          </cell>
        </row>
        <row r="7983">
          <cell r="N7983">
            <v>-1.0449999999999999</v>
          </cell>
        </row>
        <row r="7984">
          <cell r="N7984">
            <v>-26.094000000000001</v>
          </cell>
        </row>
        <row r="7985">
          <cell r="N7985">
            <v>-12.241</v>
          </cell>
        </row>
        <row r="7986">
          <cell r="N7986">
            <v>-0.71599999999999997</v>
          </cell>
        </row>
        <row r="7987">
          <cell r="N7987">
            <v>-13.364000000000001</v>
          </cell>
        </row>
        <row r="7988">
          <cell r="N7988">
            <v>-7.23</v>
          </cell>
        </row>
        <row r="7989">
          <cell r="N7989">
            <v>-10.988</v>
          </cell>
        </row>
        <row r="7990">
          <cell r="N7990">
            <v>-470.51100000000002</v>
          </cell>
        </row>
        <row r="7991">
          <cell r="N7991">
            <v>-1.976</v>
          </cell>
        </row>
        <row r="7992">
          <cell r="N7992">
            <v>-10.087999999999999</v>
          </cell>
        </row>
        <row r="7993">
          <cell r="N7993">
            <v>-905.452</v>
          </cell>
        </row>
        <row r="7994">
          <cell r="N7994">
            <v>-6.649</v>
          </cell>
        </row>
        <row r="7995">
          <cell r="N7995">
            <v>-8.9999999999999993E-3</v>
          </cell>
        </row>
        <row r="7996">
          <cell r="N7996">
            <v>-12.914999999999999</v>
          </cell>
        </row>
        <row r="7997">
          <cell r="N7997">
            <v>-7.4809999999999999</v>
          </cell>
        </row>
        <row r="7998">
          <cell r="N7998">
            <v>-2.427</v>
          </cell>
        </row>
        <row r="7999">
          <cell r="N7999">
            <v>-57.198</v>
          </cell>
        </row>
        <row r="8000">
          <cell r="N8000">
            <v>-24.869</v>
          </cell>
        </row>
        <row r="8001">
          <cell r="N8001">
            <v>-15.779</v>
          </cell>
        </row>
        <row r="8002">
          <cell r="N8002">
            <v>-11.792</v>
          </cell>
        </row>
        <row r="8003">
          <cell r="N8003">
            <v>-17.576000000000001</v>
          </cell>
        </row>
        <row r="8004">
          <cell r="N8004">
            <v>-23.927</v>
          </cell>
        </row>
        <row r="8005">
          <cell r="N8005">
            <v>-15.15</v>
          </cell>
        </row>
        <row r="8006">
          <cell r="N8006">
            <v>-10.051</v>
          </cell>
        </row>
        <row r="8007">
          <cell r="N8007">
            <v>-12.185</v>
          </cell>
        </row>
        <row r="8008">
          <cell r="N8008">
            <v>-15.15</v>
          </cell>
        </row>
        <row r="8009">
          <cell r="N8009">
            <v>-15.15</v>
          </cell>
        </row>
        <row r="8010">
          <cell r="N8010">
            <v>-3.68</v>
          </cell>
        </row>
        <row r="8011">
          <cell r="N8011">
            <v>-657.62300000000005</v>
          </cell>
        </row>
        <row r="8012">
          <cell r="N8012">
            <v>-3.6659999999999999</v>
          </cell>
        </row>
        <row r="8013">
          <cell r="N8013">
            <v>-15.105</v>
          </cell>
        </row>
        <row r="8014">
          <cell r="N8014">
            <v>-8.1059999999999999</v>
          </cell>
        </row>
        <row r="8015">
          <cell r="N8015">
            <v>-14.6</v>
          </cell>
        </row>
        <row r="8016">
          <cell r="N8016">
            <v>-18.626999999999999</v>
          </cell>
        </row>
        <row r="8017">
          <cell r="N8017">
            <v>-14.093999999999999</v>
          </cell>
        </row>
        <row r="8018">
          <cell r="N8018">
            <v>-13.42</v>
          </cell>
        </row>
        <row r="8019">
          <cell r="N8019">
            <v>-4.8840000000000003</v>
          </cell>
        </row>
        <row r="8020">
          <cell r="N8020">
            <v>-9.1530000000000005</v>
          </cell>
        </row>
        <row r="8021">
          <cell r="N8021">
            <v>-16.003</v>
          </cell>
        </row>
        <row r="8022">
          <cell r="N8022">
            <v>-16.34</v>
          </cell>
        </row>
        <row r="8023">
          <cell r="N8023">
            <v>-8.5139999999999993</v>
          </cell>
        </row>
        <row r="8024">
          <cell r="N8024">
            <v>-11.853999999999999</v>
          </cell>
        </row>
        <row r="8025">
          <cell r="N8025">
            <v>-3.4079999999999999</v>
          </cell>
        </row>
        <row r="8026">
          <cell r="N8026">
            <v>-29.108000000000001</v>
          </cell>
        </row>
        <row r="8027">
          <cell r="N8027">
            <v>-2.7749999999999999</v>
          </cell>
        </row>
        <row r="8028">
          <cell r="N8028">
            <v>-14.375</v>
          </cell>
        </row>
        <row r="8029">
          <cell r="N8029">
            <v>-13.083</v>
          </cell>
        </row>
        <row r="8030">
          <cell r="N8030">
            <v>-8.718</v>
          </cell>
        </row>
        <row r="8031">
          <cell r="N8031">
            <v>-18.585999999999999</v>
          </cell>
        </row>
        <row r="8032">
          <cell r="N8032">
            <v>-13.813000000000001</v>
          </cell>
        </row>
        <row r="8033">
          <cell r="N8033">
            <v>-13.981999999999999</v>
          </cell>
        </row>
        <row r="8034">
          <cell r="N8034">
            <v>-411.51100000000002</v>
          </cell>
        </row>
        <row r="8035">
          <cell r="N8035">
            <v>-24.303999999999998</v>
          </cell>
        </row>
        <row r="8036">
          <cell r="N8036">
            <v>-12.41</v>
          </cell>
        </row>
        <row r="8037">
          <cell r="N8037">
            <v>-14.88</v>
          </cell>
        </row>
        <row r="8038">
          <cell r="N8038">
            <v>-2.82</v>
          </cell>
        </row>
        <row r="8039">
          <cell r="N8039">
            <v>-14.093999999999999</v>
          </cell>
        </row>
        <row r="8040">
          <cell r="N8040">
            <v>-7.8440000000000003</v>
          </cell>
        </row>
        <row r="8041">
          <cell r="N8041">
            <v>-12.859</v>
          </cell>
        </row>
        <row r="8042">
          <cell r="N8042">
            <v>-24.869</v>
          </cell>
        </row>
        <row r="8043">
          <cell r="N8043">
            <v>-11.173999999999999</v>
          </cell>
        </row>
        <row r="8044">
          <cell r="N8044">
            <v>-13.364000000000001</v>
          </cell>
        </row>
        <row r="8045">
          <cell r="N8045">
            <v>-6.9560000000000004</v>
          </cell>
        </row>
        <row r="8046">
          <cell r="N8046">
            <v>-13.196</v>
          </cell>
        </row>
        <row r="8047">
          <cell r="N8047">
            <v>-533.851</v>
          </cell>
        </row>
        <row r="8048">
          <cell r="N8048">
            <v>-13.252000000000001</v>
          </cell>
        </row>
        <row r="8049">
          <cell r="N8049">
            <v>-533.851</v>
          </cell>
        </row>
        <row r="8050">
          <cell r="N8050">
            <v>-0.129</v>
          </cell>
        </row>
        <row r="8051">
          <cell r="N8051">
            <v>-3.766</v>
          </cell>
        </row>
        <row r="8052">
          <cell r="N8052">
            <v>-3.165</v>
          </cell>
        </row>
        <row r="8053">
          <cell r="N8053">
            <v>-2.6070000000000002</v>
          </cell>
        </row>
        <row r="8054">
          <cell r="N8054">
            <v>-11.061999999999999</v>
          </cell>
        </row>
        <row r="8055">
          <cell r="N8055">
            <v>-12.073</v>
          </cell>
        </row>
        <row r="8056">
          <cell r="N8056">
            <v>-26.094000000000001</v>
          </cell>
        </row>
        <row r="8057">
          <cell r="N8057">
            <v>-7.09</v>
          </cell>
        </row>
        <row r="8058">
          <cell r="N8058">
            <v>-13.757</v>
          </cell>
        </row>
        <row r="8059">
          <cell r="N8059">
            <v>-14.375</v>
          </cell>
        </row>
        <row r="8060">
          <cell r="N8060">
            <v>-18.024999999999999</v>
          </cell>
        </row>
        <row r="8061">
          <cell r="N8061">
            <v>-0.10199999999999999</v>
          </cell>
        </row>
        <row r="8062">
          <cell r="N8062">
            <v>-4.0000000000000001E-3</v>
          </cell>
        </row>
        <row r="8063">
          <cell r="N8063">
            <v>-15.723000000000001</v>
          </cell>
        </row>
        <row r="8064">
          <cell r="N8064">
            <v>-1.349</v>
          </cell>
        </row>
        <row r="8065">
          <cell r="N8065">
            <v>-15.497999999999999</v>
          </cell>
        </row>
        <row r="8066">
          <cell r="N8066">
            <v>-0.01</v>
          </cell>
        </row>
        <row r="8067">
          <cell r="N8067">
            <v>-1E-3</v>
          </cell>
        </row>
        <row r="8068">
          <cell r="N8068">
            <v>-7.0030000000000001</v>
          </cell>
        </row>
        <row r="8069">
          <cell r="N8069">
            <v>-8.9999999999999993E-3</v>
          </cell>
        </row>
        <row r="8070">
          <cell r="N8070">
            <v>-10.164</v>
          </cell>
        </row>
        <row r="8071">
          <cell r="N8071">
            <v>-8.7999999999999995E-2</v>
          </cell>
        </row>
        <row r="8072">
          <cell r="N8072">
            <v>-9.5000000000000001E-2</v>
          </cell>
        </row>
        <row r="8073">
          <cell r="N8073">
            <v>-9.5000000000000001E-2</v>
          </cell>
        </row>
        <row r="8074">
          <cell r="N8074">
            <v>-6.0000000000000001E-3</v>
          </cell>
        </row>
        <row r="8075">
          <cell r="N8075">
            <v>-432.85199999999998</v>
          </cell>
        </row>
        <row r="8076">
          <cell r="N8076">
            <v>-7.5369999999999999</v>
          </cell>
        </row>
        <row r="8077">
          <cell r="N8077">
            <v>-23.832999999999998</v>
          </cell>
        </row>
        <row r="8078">
          <cell r="N8078">
            <v>-15.105</v>
          </cell>
        </row>
        <row r="8079">
          <cell r="N8079">
            <v>-8.7999999999999995E-2</v>
          </cell>
        </row>
        <row r="8080">
          <cell r="N8080">
            <v>-13.252000000000001</v>
          </cell>
        </row>
        <row r="8081">
          <cell r="N8081">
            <v>-12.634</v>
          </cell>
        </row>
        <row r="8082">
          <cell r="N8082">
            <v>-450.166</v>
          </cell>
        </row>
        <row r="8083">
          <cell r="N8083">
            <v>-588.67899999999997</v>
          </cell>
        </row>
        <row r="8084">
          <cell r="N8084">
            <v>-3.05</v>
          </cell>
        </row>
        <row r="8085">
          <cell r="N8085">
            <v>-13.026999999999999</v>
          </cell>
        </row>
        <row r="8086">
          <cell r="N8086">
            <v>-3.8519999999999999</v>
          </cell>
        </row>
        <row r="8087">
          <cell r="N8087">
            <v>-5.0000000000000001E-3</v>
          </cell>
        </row>
        <row r="8088">
          <cell r="N8088">
            <v>-17.239000000000001</v>
          </cell>
        </row>
        <row r="8089">
          <cell r="N8089">
            <v>-8.7999999999999995E-2</v>
          </cell>
        </row>
        <row r="8090">
          <cell r="N8090">
            <v>-14.88</v>
          </cell>
        </row>
        <row r="8091">
          <cell r="N8091">
            <v>-8.9999999999999993E-3</v>
          </cell>
        </row>
        <row r="8092">
          <cell r="N8092">
            <v>-11.061999999999999</v>
          </cell>
        </row>
        <row r="8093">
          <cell r="N8093">
            <v>-4.0000000000000001E-3</v>
          </cell>
        </row>
        <row r="8094">
          <cell r="N8094">
            <v>-2.641</v>
          </cell>
        </row>
        <row r="8095">
          <cell r="N8095">
            <v>-11.96</v>
          </cell>
        </row>
        <row r="8096">
          <cell r="N8096">
            <v>-15.779</v>
          </cell>
        </row>
        <row r="8097">
          <cell r="N8097">
            <v>-2.8319999999999999</v>
          </cell>
        </row>
        <row r="8098">
          <cell r="N8098">
            <v>-2.9249999999999998</v>
          </cell>
        </row>
        <row r="8099">
          <cell r="N8099">
            <v>-16.509</v>
          </cell>
        </row>
        <row r="8100">
          <cell r="N8100">
            <v>-13.026999999999999</v>
          </cell>
        </row>
        <row r="8101">
          <cell r="N8101">
            <v>-2.629</v>
          </cell>
        </row>
        <row r="8102">
          <cell r="N8102">
            <v>-16.733000000000001</v>
          </cell>
        </row>
        <row r="8103">
          <cell r="N8103">
            <v>-17.295000000000002</v>
          </cell>
        </row>
        <row r="8104">
          <cell r="N8104">
            <v>-16.509</v>
          </cell>
        </row>
        <row r="8105">
          <cell r="N8105">
            <v>-11.96</v>
          </cell>
        </row>
        <row r="8106">
          <cell r="N8106">
            <v>-11.343</v>
          </cell>
        </row>
        <row r="8107">
          <cell r="N8107">
            <v>-13.757</v>
          </cell>
        </row>
        <row r="8108">
          <cell r="N8108">
            <v>-432.85199999999998</v>
          </cell>
        </row>
        <row r="8109">
          <cell r="N8109">
            <v>-14.6</v>
          </cell>
        </row>
        <row r="8110">
          <cell r="N8110">
            <v>-26.282</v>
          </cell>
        </row>
        <row r="8111">
          <cell r="N8111">
            <v>-72.141999999999996</v>
          </cell>
        </row>
        <row r="8112">
          <cell r="N8112">
            <v>-7.4249999999999998</v>
          </cell>
        </row>
        <row r="8113">
          <cell r="N8113">
            <v>-510.18799999999999</v>
          </cell>
        </row>
        <row r="8114">
          <cell r="N8114">
            <v>-13.476000000000001</v>
          </cell>
        </row>
        <row r="8115">
          <cell r="N8115">
            <v>-16.509</v>
          </cell>
        </row>
        <row r="8116">
          <cell r="N8116">
            <v>-0.59299999999999997</v>
          </cell>
        </row>
        <row r="8117">
          <cell r="N8117">
            <v>-15.442</v>
          </cell>
        </row>
        <row r="8118">
          <cell r="N8118">
            <v>-510.18799999999999</v>
          </cell>
        </row>
        <row r="8119">
          <cell r="N8119">
            <v>-14.206</v>
          </cell>
        </row>
        <row r="8120">
          <cell r="N8120">
            <v>-12.522</v>
          </cell>
        </row>
        <row r="8121">
          <cell r="N8121">
            <v>-5.0000000000000001E-3</v>
          </cell>
        </row>
        <row r="8122">
          <cell r="N8122">
            <v>-2.27</v>
          </cell>
        </row>
        <row r="8123">
          <cell r="N8123">
            <v>-4.4359999999999999</v>
          </cell>
        </row>
        <row r="8124">
          <cell r="N8124">
            <v>-138.053</v>
          </cell>
        </row>
        <row r="8125">
          <cell r="N8125">
            <v>-391.447</v>
          </cell>
        </row>
        <row r="8126">
          <cell r="N8126">
            <v>-614.48</v>
          </cell>
        </row>
        <row r="8127">
          <cell r="N8127">
            <v>-949.25800000000004</v>
          </cell>
        </row>
        <row r="8128">
          <cell r="N8128">
            <v>-1149.306</v>
          </cell>
        </row>
        <row r="8129">
          <cell r="N8129">
            <v>-3.6440000000000001</v>
          </cell>
        </row>
        <row r="8130">
          <cell r="N8130">
            <v>-15.356</v>
          </cell>
        </row>
        <row r="8131">
          <cell r="N8131">
            <v>-3</v>
          </cell>
        </row>
        <row r="8132">
          <cell r="N8132">
            <v>-8</v>
          </cell>
        </row>
        <row r="8133">
          <cell r="N8133">
            <v>-36.683999999999997</v>
          </cell>
        </row>
        <row r="8134">
          <cell r="N8134">
            <v>-20</v>
          </cell>
        </row>
        <row r="8135">
          <cell r="N8135">
            <v>-6.7880000000000003</v>
          </cell>
        </row>
        <row r="8136">
          <cell r="N8136">
            <v>-0.22800000000000001</v>
          </cell>
        </row>
        <row r="8137">
          <cell r="N8137">
            <v>-3.609</v>
          </cell>
        </row>
        <row r="8138">
          <cell r="N8138">
            <v>-3.891</v>
          </cell>
        </row>
        <row r="8139">
          <cell r="N8139">
            <v>-231</v>
          </cell>
        </row>
        <row r="8140">
          <cell r="N8140">
            <v>-231</v>
          </cell>
        </row>
        <row r="8141">
          <cell r="N8141">
            <v>-231</v>
          </cell>
        </row>
        <row r="8142">
          <cell r="N8142">
            <v>-231</v>
          </cell>
        </row>
        <row r="8143">
          <cell r="N8143">
            <v>-684</v>
          </cell>
        </row>
        <row r="8144">
          <cell r="N8144">
            <v>-231</v>
          </cell>
        </row>
        <row r="8145">
          <cell r="N8145">
            <v>-231</v>
          </cell>
        </row>
        <row r="8146">
          <cell r="N8146">
            <v>-231</v>
          </cell>
        </row>
        <row r="8147">
          <cell r="N8147">
            <v>-231</v>
          </cell>
        </row>
        <row r="8148">
          <cell r="N8148">
            <v>-231</v>
          </cell>
        </row>
        <row r="8149">
          <cell r="N8149">
            <v>-231</v>
          </cell>
        </row>
        <row r="8150">
          <cell r="N8150">
            <v>-21</v>
          </cell>
        </row>
        <row r="8151">
          <cell r="N8151">
            <v>-231</v>
          </cell>
        </row>
        <row r="8152">
          <cell r="N8152">
            <v>-50</v>
          </cell>
        </row>
        <row r="8153">
          <cell r="N8153">
            <v>-42</v>
          </cell>
        </row>
        <row r="8154">
          <cell r="N8154">
            <v>-50</v>
          </cell>
        </row>
        <row r="8155">
          <cell r="N8155">
            <v>-179</v>
          </cell>
        </row>
        <row r="8156">
          <cell r="N8156">
            <v>-231</v>
          </cell>
        </row>
        <row r="8157">
          <cell r="N8157">
            <v>-231</v>
          </cell>
        </row>
        <row r="8158">
          <cell r="N8158">
            <v>-302</v>
          </cell>
        </row>
        <row r="8159">
          <cell r="N8159">
            <v>-231</v>
          </cell>
        </row>
        <row r="8160">
          <cell r="N8160">
            <v>-231</v>
          </cell>
        </row>
        <row r="8161">
          <cell r="N8161">
            <v>-231</v>
          </cell>
        </row>
        <row r="8162">
          <cell r="N8162">
            <v>-684</v>
          </cell>
        </row>
        <row r="8163">
          <cell r="N8163">
            <v>-684</v>
          </cell>
        </row>
        <row r="8164">
          <cell r="N8164">
            <v>-33</v>
          </cell>
        </row>
        <row r="8165">
          <cell r="N8165">
            <v>-277</v>
          </cell>
        </row>
        <row r="8166">
          <cell r="N8166">
            <v>-100</v>
          </cell>
        </row>
        <row r="8167">
          <cell r="N8167">
            <v>-112</v>
          </cell>
        </row>
        <row r="8168">
          <cell r="N8168">
            <v>-231</v>
          </cell>
        </row>
        <row r="8169">
          <cell r="N8169">
            <v>-231</v>
          </cell>
        </row>
        <row r="8170">
          <cell r="N8170">
            <v>-231</v>
          </cell>
        </row>
        <row r="8171">
          <cell r="N8171">
            <v>-33</v>
          </cell>
        </row>
        <row r="8172">
          <cell r="N8172">
            <v>-100</v>
          </cell>
        </row>
        <row r="8173">
          <cell r="N8173">
            <v>-165</v>
          </cell>
        </row>
        <row r="8174">
          <cell r="N8174">
            <v>-231</v>
          </cell>
        </row>
        <row r="8175">
          <cell r="N8175">
            <v>-231</v>
          </cell>
        </row>
        <row r="8176">
          <cell r="N8176">
            <v>-231</v>
          </cell>
        </row>
        <row r="8177">
          <cell r="N8177">
            <v>-231</v>
          </cell>
        </row>
        <row r="8178">
          <cell r="N8178">
            <v>-302</v>
          </cell>
        </row>
        <row r="8179">
          <cell r="N8179">
            <v>-231</v>
          </cell>
        </row>
        <row r="8180">
          <cell r="N8180">
            <v>-231</v>
          </cell>
        </row>
        <row r="8181">
          <cell r="N8181">
            <v>-114.62</v>
          </cell>
        </row>
        <row r="8182">
          <cell r="N8182">
            <v>-231</v>
          </cell>
        </row>
        <row r="8183">
          <cell r="N8183">
            <v>-0.71699999999999997</v>
          </cell>
        </row>
        <row r="8184">
          <cell r="N8184">
            <v>-231</v>
          </cell>
        </row>
        <row r="8185">
          <cell r="N8185">
            <v>-231</v>
          </cell>
        </row>
        <row r="8186">
          <cell r="N8186">
            <v>-8</v>
          </cell>
        </row>
        <row r="8187">
          <cell r="N8187">
            <v>-231</v>
          </cell>
        </row>
        <row r="8188">
          <cell r="N8188">
            <v>-231</v>
          </cell>
        </row>
        <row r="8189">
          <cell r="N8189">
            <v>-231</v>
          </cell>
        </row>
        <row r="8190">
          <cell r="N8190">
            <v>-231</v>
          </cell>
        </row>
        <row r="8191">
          <cell r="N8191">
            <v>-231</v>
          </cell>
        </row>
        <row r="8192">
          <cell r="N8192">
            <v>-231</v>
          </cell>
        </row>
        <row r="8193">
          <cell r="N8193">
            <v>-231</v>
          </cell>
        </row>
        <row r="8194">
          <cell r="N8194">
            <v>-231</v>
          </cell>
        </row>
        <row r="8195">
          <cell r="N8195">
            <v>-231</v>
          </cell>
        </row>
        <row r="8196">
          <cell r="N8196">
            <v>-44</v>
          </cell>
        </row>
        <row r="8197">
          <cell r="N8197">
            <v>-35</v>
          </cell>
        </row>
        <row r="8198">
          <cell r="N8198">
            <v>-35</v>
          </cell>
        </row>
        <row r="8199">
          <cell r="N8199">
            <v>-277</v>
          </cell>
        </row>
        <row r="8200">
          <cell r="N8200">
            <v>-231</v>
          </cell>
        </row>
        <row r="8201">
          <cell r="N8201">
            <v>-231</v>
          </cell>
        </row>
        <row r="8202">
          <cell r="N8202">
            <v>-231</v>
          </cell>
        </row>
        <row r="8203">
          <cell r="N8203">
            <v>-231</v>
          </cell>
        </row>
        <row r="8204">
          <cell r="N8204">
            <v>-35</v>
          </cell>
        </row>
        <row r="8205">
          <cell r="N8205">
            <v>-231</v>
          </cell>
        </row>
        <row r="8206">
          <cell r="N8206">
            <v>-231</v>
          </cell>
        </row>
        <row r="8207">
          <cell r="N8207">
            <v>-231</v>
          </cell>
        </row>
        <row r="8208">
          <cell r="N8208">
            <v>-231</v>
          </cell>
        </row>
        <row r="8209">
          <cell r="N8209">
            <v>-231</v>
          </cell>
        </row>
        <row r="8210">
          <cell r="N8210">
            <v>-231</v>
          </cell>
        </row>
        <row r="8211">
          <cell r="N8211">
            <v>-231</v>
          </cell>
        </row>
        <row r="8212">
          <cell r="N8212">
            <v>-105</v>
          </cell>
        </row>
        <row r="8213">
          <cell r="N8213">
            <v>-10</v>
          </cell>
        </row>
        <row r="8214">
          <cell r="N8214">
            <v>-231</v>
          </cell>
        </row>
        <row r="8215">
          <cell r="N8215">
            <v>-35</v>
          </cell>
        </row>
        <row r="8216">
          <cell r="N8216">
            <v>-84</v>
          </cell>
        </row>
        <row r="8217">
          <cell r="N8217">
            <v>-231</v>
          </cell>
        </row>
        <row r="8218">
          <cell r="N8218">
            <v>-231</v>
          </cell>
        </row>
        <row r="8219">
          <cell r="N8219">
            <v>-231</v>
          </cell>
        </row>
        <row r="8220">
          <cell r="N8220">
            <v>-231</v>
          </cell>
        </row>
        <row r="8221">
          <cell r="N8221">
            <v>-231</v>
          </cell>
        </row>
        <row r="8222">
          <cell r="N8222">
            <v>-10</v>
          </cell>
        </row>
        <row r="8223">
          <cell r="N8223">
            <v>-231</v>
          </cell>
        </row>
        <row r="8224">
          <cell r="N8224">
            <v>-231</v>
          </cell>
        </row>
        <row r="8225">
          <cell r="N8225">
            <v>-12</v>
          </cell>
        </row>
        <row r="8226">
          <cell r="N8226">
            <v>-231</v>
          </cell>
        </row>
        <row r="8227">
          <cell r="N8227">
            <v>-231</v>
          </cell>
        </row>
        <row r="8228">
          <cell r="N8228">
            <v>-105</v>
          </cell>
        </row>
        <row r="8229">
          <cell r="N8229">
            <v>-8.4</v>
          </cell>
        </row>
        <row r="8230">
          <cell r="N8230">
            <v>-231</v>
          </cell>
        </row>
        <row r="8231">
          <cell r="N8231">
            <v>-12</v>
          </cell>
        </row>
        <row r="8232">
          <cell r="N8232">
            <v>-14</v>
          </cell>
        </row>
        <row r="8233">
          <cell r="N8233">
            <v>-14</v>
          </cell>
        </row>
        <row r="8234">
          <cell r="N8234">
            <v>-10</v>
          </cell>
        </row>
        <row r="8235">
          <cell r="N8235">
            <v>-84</v>
          </cell>
        </row>
        <row r="8236">
          <cell r="N8236">
            <v>-231</v>
          </cell>
        </row>
        <row r="8237">
          <cell r="N8237">
            <v>-14</v>
          </cell>
        </row>
        <row r="8238">
          <cell r="N8238">
            <v>-7</v>
          </cell>
        </row>
        <row r="8239">
          <cell r="N8239">
            <v>-8</v>
          </cell>
        </row>
        <row r="8240">
          <cell r="N8240">
            <v>-302</v>
          </cell>
        </row>
        <row r="8241">
          <cell r="N8241">
            <v>-11</v>
          </cell>
        </row>
        <row r="8242">
          <cell r="N8242">
            <v>-11</v>
          </cell>
        </row>
        <row r="8243">
          <cell r="N8243">
            <v>-44</v>
          </cell>
        </row>
        <row r="8244">
          <cell r="N8244">
            <v>-35</v>
          </cell>
        </row>
        <row r="8245">
          <cell r="N8245">
            <v>-231</v>
          </cell>
        </row>
        <row r="8246">
          <cell r="N8246">
            <v>-30</v>
          </cell>
        </row>
        <row r="8247">
          <cell r="N8247">
            <v>-302</v>
          </cell>
        </row>
        <row r="8248">
          <cell r="N8248">
            <v>-30</v>
          </cell>
        </row>
        <row r="8249">
          <cell r="N8249">
            <v>-277</v>
          </cell>
        </row>
        <row r="8250">
          <cell r="N8250">
            <v>-155.62100000000001</v>
          </cell>
        </row>
        <row r="8251">
          <cell r="N8251">
            <v>-4</v>
          </cell>
        </row>
        <row r="8252">
          <cell r="N8252">
            <v>-231</v>
          </cell>
        </row>
        <row r="8253">
          <cell r="N8253">
            <v>-231</v>
          </cell>
        </row>
        <row r="8254">
          <cell r="N8254">
            <v>-231</v>
          </cell>
        </row>
        <row r="8255">
          <cell r="N8255">
            <v>-50</v>
          </cell>
        </row>
        <row r="8256">
          <cell r="N8256">
            <v>-4</v>
          </cell>
        </row>
        <row r="8257">
          <cell r="N8257">
            <v>-25</v>
          </cell>
        </row>
        <row r="8258">
          <cell r="N8258">
            <v>-4</v>
          </cell>
        </row>
        <row r="8259">
          <cell r="N8259">
            <v>-4</v>
          </cell>
        </row>
        <row r="8260">
          <cell r="N8260">
            <v>-6</v>
          </cell>
        </row>
        <row r="8261">
          <cell r="N8261">
            <v>-238</v>
          </cell>
        </row>
        <row r="8262">
          <cell r="N8262">
            <v>-50</v>
          </cell>
        </row>
        <row r="8263">
          <cell r="N8263">
            <v>-231</v>
          </cell>
        </row>
        <row r="8264">
          <cell r="N8264">
            <v>-231</v>
          </cell>
        </row>
        <row r="8265">
          <cell r="N8265">
            <v>-231</v>
          </cell>
        </row>
        <row r="8266">
          <cell r="N8266">
            <v>-231</v>
          </cell>
        </row>
        <row r="8267">
          <cell r="N8267">
            <v>-302</v>
          </cell>
        </row>
        <row r="8268">
          <cell r="N8268">
            <v>-231</v>
          </cell>
        </row>
        <row r="8269">
          <cell r="N8269">
            <v>-231</v>
          </cell>
        </row>
        <row r="8270">
          <cell r="N8270">
            <v>-231</v>
          </cell>
        </row>
        <row r="8271">
          <cell r="N8271">
            <v>-4</v>
          </cell>
        </row>
        <row r="8272">
          <cell r="N8272">
            <v>-4</v>
          </cell>
        </row>
        <row r="8273">
          <cell r="N8273">
            <v>-6</v>
          </cell>
        </row>
        <row r="8274">
          <cell r="N8274">
            <v>-12</v>
          </cell>
        </row>
        <row r="8275">
          <cell r="N8275">
            <v>-30</v>
          </cell>
        </row>
        <row r="8276">
          <cell r="N8276">
            <v>-684</v>
          </cell>
        </row>
        <row r="8277">
          <cell r="N8277">
            <v>-231</v>
          </cell>
        </row>
        <row r="8278">
          <cell r="N8278">
            <v>-231</v>
          </cell>
        </row>
        <row r="8279">
          <cell r="N8279">
            <v>-30</v>
          </cell>
        </row>
        <row r="8280">
          <cell r="N8280">
            <v>-231</v>
          </cell>
        </row>
        <row r="8281">
          <cell r="N8281">
            <v>-231</v>
          </cell>
        </row>
        <row r="8282">
          <cell r="N8282">
            <v>-231</v>
          </cell>
        </row>
        <row r="8283">
          <cell r="N8283">
            <v>-302</v>
          </cell>
        </row>
        <row r="8284">
          <cell r="N8284">
            <v>-231</v>
          </cell>
        </row>
        <row r="8285">
          <cell r="N8285">
            <v>-684</v>
          </cell>
        </row>
        <row r="8286">
          <cell r="N8286">
            <v>-36</v>
          </cell>
        </row>
        <row r="8287">
          <cell r="N8287">
            <v>-1154</v>
          </cell>
        </row>
        <row r="8288">
          <cell r="N8288">
            <v>-1154</v>
          </cell>
        </row>
        <row r="8289">
          <cell r="N8289">
            <v>-1154</v>
          </cell>
        </row>
        <row r="8290">
          <cell r="N8290">
            <v>-152</v>
          </cell>
        </row>
        <row r="8291">
          <cell r="N8291">
            <v>-1081</v>
          </cell>
        </row>
        <row r="8292">
          <cell r="N8292">
            <v>-1154</v>
          </cell>
        </row>
        <row r="8293">
          <cell r="N8293">
            <v>-231</v>
          </cell>
        </row>
        <row r="8294">
          <cell r="N8294">
            <v>-152</v>
          </cell>
        </row>
        <row r="8295">
          <cell r="N8295">
            <v>-231</v>
          </cell>
        </row>
        <row r="8296">
          <cell r="N8296">
            <v>-302</v>
          </cell>
        </row>
        <row r="8297">
          <cell r="N8297">
            <v>-231</v>
          </cell>
        </row>
        <row r="8298">
          <cell r="N8298">
            <v>-231</v>
          </cell>
        </row>
        <row r="8299">
          <cell r="N8299">
            <v>-302</v>
          </cell>
        </row>
        <row r="8300">
          <cell r="N8300">
            <v>-231</v>
          </cell>
        </row>
        <row r="8301">
          <cell r="N8301">
            <v>-231</v>
          </cell>
        </row>
        <row r="8302">
          <cell r="N8302">
            <v>-1154</v>
          </cell>
        </row>
        <row r="8303">
          <cell r="N8303">
            <v>-231</v>
          </cell>
        </row>
        <row r="8304">
          <cell r="N8304">
            <v>-684</v>
          </cell>
        </row>
        <row r="8305">
          <cell r="N8305">
            <v>-1154</v>
          </cell>
        </row>
        <row r="8306">
          <cell r="N8306">
            <v>-42</v>
          </cell>
        </row>
        <row r="8307">
          <cell r="N8307">
            <v>-277</v>
          </cell>
        </row>
        <row r="8308">
          <cell r="N8308">
            <v>-231</v>
          </cell>
        </row>
        <row r="8309">
          <cell r="N8309">
            <v>-231</v>
          </cell>
        </row>
        <row r="8310">
          <cell r="N8310">
            <v>-1154</v>
          </cell>
        </row>
        <row r="8311">
          <cell r="N8311">
            <v>-231</v>
          </cell>
        </row>
        <row r="8312">
          <cell r="N8312">
            <v>-231</v>
          </cell>
        </row>
        <row r="8313">
          <cell r="N8313">
            <v>-231</v>
          </cell>
        </row>
        <row r="8314">
          <cell r="N8314">
            <v>-231</v>
          </cell>
        </row>
        <row r="8315">
          <cell r="N8315">
            <v>-684</v>
          </cell>
        </row>
        <row r="8316">
          <cell r="N8316">
            <v>-231</v>
          </cell>
        </row>
        <row r="8317">
          <cell r="N8317">
            <v>-684</v>
          </cell>
        </row>
        <row r="8318">
          <cell r="N8318">
            <v>-231</v>
          </cell>
        </row>
        <row r="8319">
          <cell r="N8319">
            <v>-231</v>
          </cell>
        </row>
        <row r="8320">
          <cell r="N8320">
            <v>-0.23100000000000001</v>
          </cell>
        </row>
        <row r="8321">
          <cell r="N8321">
            <v>-231</v>
          </cell>
        </row>
        <row r="8322">
          <cell r="N8322">
            <v>-1154</v>
          </cell>
        </row>
        <row r="8323">
          <cell r="N8323">
            <v>-1154</v>
          </cell>
        </row>
        <row r="8324">
          <cell r="N8324">
            <v>-42</v>
          </cell>
        </row>
        <row r="8325">
          <cell r="N8325">
            <v>-231</v>
          </cell>
        </row>
        <row r="8326">
          <cell r="N8326">
            <v>-42</v>
          </cell>
        </row>
        <row r="8327">
          <cell r="N8327">
            <v>-1154</v>
          </cell>
        </row>
        <row r="8328">
          <cell r="N8328">
            <v>-231</v>
          </cell>
        </row>
        <row r="8329">
          <cell r="N8329">
            <v>-1154</v>
          </cell>
        </row>
        <row r="8330">
          <cell r="N8330">
            <v>-231</v>
          </cell>
        </row>
        <row r="8331">
          <cell r="N8331">
            <v>-231</v>
          </cell>
        </row>
        <row r="8332">
          <cell r="N8332">
            <v>-22</v>
          </cell>
        </row>
        <row r="8333">
          <cell r="N8333">
            <v>-55</v>
          </cell>
        </row>
        <row r="8334">
          <cell r="N8334">
            <v>-231</v>
          </cell>
        </row>
        <row r="8335">
          <cell r="N8335">
            <v>-233.43100000000001</v>
          </cell>
        </row>
        <row r="8336">
          <cell r="N8336">
            <v>-231</v>
          </cell>
        </row>
        <row r="8337">
          <cell r="N8337">
            <v>-231</v>
          </cell>
        </row>
        <row r="8338">
          <cell r="N8338">
            <v>-1154</v>
          </cell>
        </row>
        <row r="8339">
          <cell r="N8339">
            <v>-55</v>
          </cell>
        </row>
        <row r="8340">
          <cell r="N8340">
            <v>-22</v>
          </cell>
        </row>
        <row r="8341">
          <cell r="N8341">
            <v>-22</v>
          </cell>
        </row>
        <row r="8342">
          <cell r="N8342">
            <v>-1154</v>
          </cell>
        </row>
        <row r="8343">
          <cell r="N8343">
            <v>-231</v>
          </cell>
        </row>
        <row r="8344">
          <cell r="N8344">
            <v>-231</v>
          </cell>
        </row>
        <row r="8345">
          <cell r="N8345">
            <v>-231</v>
          </cell>
        </row>
        <row r="8346">
          <cell r="N8346">
            <v>-231</v>
          </cell>
        </row>
        <row r="8347">
          <cell r="N8347">
            <v>-231</v>
          </cell>
        </row>
        <row r="8348">
          <cell r="N8348">
            <v>-231</v>
          </cell>
        </row>
        <row r="8349">
          <cell r="N8349">
            <v>-24</v>
          </cell>
        </row>
        <row r="8350">
          <cell r="N8350">
            <v>-28</v>
          </cell>
        </row>
        <row r="8351">
          <cell r="N8351">
            <v>-231</v>
          </cell>
        </row>
        <row r="8352">
          <cell r="N8352">
            <v>-302</v>
          </cell>
        </row>
        <row r="8353">
          <cell r="N8353">
            <v>-24</v>
          </cell>
        </row>
        <row r="8354">
          <cell r="N8354">
            <v>-24</v>
          </cell>
        </row>
        <row r="8355">
          <cell r="N8355">
            <v>-231</v>
          </cell>
        </row>
        <row r="8356">
          <cell r="N8356">
            <v>-42</v>
          </cell>
        </row>
        <row r="8357">
          <cell r="N8357">
            <v>-22</v>
          </cell>
        </row>
        <row r="8358">
          <cell r="N8358">
            <v>-22</v>
          </cell>
        </row>
        <row r="8359">
          <cell r="N8359">
            <v>-231</v>
          </cell>
        </row>
        <row r="8360">
          <cell r="N8360">
            <v>-1154</v>
          </cell>
        </row>
        <row r="8361">
          <cell r="N8361">
            <v>-231</v>
          </cell>
        </row>
        <row r="8362">
          <cell r="N8362">
            <v>-231</v>
          </cell>
        </row>
        <row r="8363">
          <cell r="N8363">
            <v>-231</v>
          </cell>
        </row>
        <row r="8364">
          <cell r="N8364">
            <v>-231</v>
          </cell>
        </row>
        <row r="8365">
          <cell r="N8365">
            <v>-11</v>
          </cell>
        </row>
        <row r="8366">
          <cell r="N8366">
            <v>-302</v>
          </cell>
        </row>
        <row r="8367">
          <cell r="N8367">
            <v>-231</v>
          </cell>
        </row>
        <row r="8368">
          <cell r="N8368">
            <v>-231</v>
          </cell>
        </row>
        <row r="8369">
          <cell r="N8369">
            <v>-1154</v>
          </cell>
        </row>
        <row r="8370">
          <cell r="N8370">
            <v>-56</v>
          </cell>
        </row>
        <row r="8371">
          <cell r="N8371">
            <v>-35</v>
          </cell>
        </row>
        <row r="8372">
          <cell r="N8372">
            <v>-73</v>
          </cell>
        </row>
        <row r="8373">
          <cell r="N8373">
            <v>-24</v>
          </cell>
        </row>
        <row r="8374">
          <cell r="N8374">
            <v>-50</v>
          </cell>
        </row>
        <row r="8375">
          <cell r="N8375">
            <v>-6</v>
          </cell>
        </row>
        <row r="8376">
          <cell r="N8376">
            <v>-231</v>
          </cell>
        </row>
        <row r="8377">
          <cell r="N8377">
            <v>-277</v>
          </cell>
        </row>
        <row r="8378">
          <cell r="N8378">
            <v>-231</v>
          </cell>
        </row>
        <row r="8379">
          <cell r="N8379">
            <v>-36</v>
          </cell>
        </row>
        <row r="8380">
          <cell r="N8380">
            <v>-231</v>
          </cell>
        </row>
        <row r="8381">
          <cell r="N8381">
            <v>-231</v>
          </cell>
        </row>
        <row r="8382">
          <cell r="N8382">
            <v>-231</v>
          </cell>
        </row>
        <row r="8383">
          <cell r="N8383">
            <v>-231</v>
          </cell>
        </row>
        <row r="8384">
          <cell r="N8384">
            <v>-18</v>
          </cell>
        </row>
        <row r="8385">
          <cell r="N8385">
            <v>-231</v>
          </cell>
        </row>
        <row r="8386">
          <cell r="N8386">
            <v>-231</v>
          </cell>
        </row>
        <row r="8387">
          <cell r="N8387">
            <v>-50</v>
          </cell>
        </row>
        <row r="8388">
          <cell r="N8388">
            <v>-231</v>
          </cell>
        </row>
        <row r="8389">
          <cell r="N8389">
            <v>-20</v>
          </cell>
        </row>
        <row r="8390">
          <cell r="N8390">
            <v>-231</v>
          </cell>
        </row>
        <row r="8391">
          <cell r="N8391">
            <v>-231</v>
          </cell>
        </row>
        <row r="8392">
          <cell r="N8392">
            <v>-28</v>
          </cell>
        </row>
        <row r="8393">
          <cell r="N8393">
            <v>-4.8869999999999996</v>
          </cell>
        </row>
        <row r="8394">
          <cell r="N8394">
            <v>-302</v>
          </cell>
        </row>
        <row r="8395">
          <cell r="N8395">
            <v>-231</v>
          </cell>
        </row>
        <row r="8396">
          <cell r="N8396">
            <v>-231</v>
          </cell>
        </row>
        <row r="8397">
          <cell r="N8397">
            <v>-36</v>
          </cell>
        </row>
        <row r="8398">
          <cell r="N8398">
            <v>-3.113</v>
          </cell>
        </row>
        <row r="8399">
          <cell r="N8399">
            <v>-126</v>
          </cell>
        </row>
        <row r="8400">
          <cell r="N8400">
            <v>-18</v>
          </cell>
        </row>
        <row r="8401">
          <cell r="N8401">
            <v>-56</v>
          </cell>
        </row>
        <row r="8402">
          <cell r="N8402">
            <v>-68</v>
          </cell>
        </row>
        <row r="8403">
          <cell r="N8403">
            <v>-231</v>
          </cell>
        </row>
        <row r="8404">
          <cell r="N8404">
            <v>-62.247999999999998</v>
          </cell>
        </row>
        <row r="8405">
          <cell r="N8405">
            <v>-231</v>
          </cell>
        </row>
        <row r="8406">
          <cell r="N8406">
            <v>-302</v>
          </cell>
        </row>
        <row r="8407">
          <cell r="N8407">
            <v>-231</v>
          </cell>
        </row>
        <row r="8408">
          <cell r="N8408">
            <v>-55</v>
          </cell>
        </row>
        <row r="8409">
          <cell r="N8409">
            <v>-302</v>
          </cell>
        </row>
        <row r="8410">
          <cell r="N8410">
            <v>-231</v>
          </cell>
        </row>
        <row r="8411">
          <cell r="N8411">
            <v>-55</v>
          </cell>
        </row>
        <row r="8412">
          <cell r="N8412">
            <v>-231</v>
          </cell>
        </row>
        <row r="8413">
          <cell r="N8413">
            <v>-327.75200000000001</v>
          </cell>
        </row>
        <row r="8414">
          <cell r="N8414">
            <v>-231</v>
          </cell>
        </row>
        <row r="8415">
          <cell r="N8415">
            <v>-290</v>
          </cell>
        </row>
        <row r="8416">
          <cell r="N8416">
            <v>-18</v>
          </cell>
        </row>
        <row r="8417">
          <cell r="N8417">
            <v>-20</v>
          </cell>
        </row>
        <row r="8418">
          <cell r="N8418">
            <v>-231</v>
          </cell>
        </row>
        <row r="8419">
          <cell r="N8419">
            <v>-231</v>
          </cell>
        </row>
        <row r="8420">
          <cell r="N8420">
            <v>-231</v>
          </cell>
        </row>
        <row r="8421">
          <cell r="N8421">
            <v>-36</v>
          </cell>
        </row>
        <row r="8422">
          <cell r="N8422">
            <v>-231</v>
          </cell>
        </row>
        <row r="8423">
          <cell r="N8423">
            <v>-231</v>
          </cell>
        </row>
        <row r="8424">
          <cell r="N8424">
            <v>-231</v>
          </cell>
        </row>
        <row r="8425">
          <cell r="N8425">
            <v>-17</v>
          </cell>
        </row>
        <row r="8426">
          <cell r="N8426">
            <v>-231</v>
          </cell>
        </row>
        <row r="8427">
          <cell r="N8427">
            <v>-11</v>
          </cell>
        </row>
        <row r="8428">
          <cell r="N8428">
            <v>-231</v>
          </cell>
        </row>
        <row r="8429">
          <cell r="N8429">
            <v>-231</v>
          </cell>
        </row>
        <row r="8430">
          <cell r="N8430">
            <v>-231</v>
          </cell>
        </row>
        <row r="8431">
          <cell r="N8431">
            <v>-35</v>
          </cell>
        </row>
        <row r="8432">
          <cell r="N8432">
            <v>-55</v>
          </cell>
        </row>
        <row r="8433">
          <cell r="N8433">
            <v>-20</v>
          </cell>
        </row>
        <row r="8434">
          <cell r="N8434">
            <v>-20</v>
          </cell>
        </row>
        <row r="8435">
          <cell r="N8435">
            <v>-231</v>
          </cell>
        </row>
        <row r="8436">
          <cell r="N8436">
            <v>-231</v>
          </cell>
        </row>
        <row r="8437">
          <cell r="N8437">
            <v>-302</v>
          </cell>
        </row>
        <row r="8438">
          <cell r="N8438">
            <v>-15</v>
          </cell>
        </row>
        <row r="8439">
          <cell r="N8439">
            <v>-28</v>
          </cell>
        </row>
        <row r="8440">
          <cell r="N8440">
            <v>-18</v>
          </cell>
        </row>
        <row r="8441">
          <cell r="N8441">
            <v>-18</v>
          </cell>
        </row>
        <row r="8442">
          <cell r="N8442">
            <v>-302</v>
          </cell>
        </row>
        <row r="8443">
          <cell r="N8443">
            <v>-12</v>
          </cell>
        </row>
        <row r="8444">
          <cell r="N8444">
            <v>-231</v>
          </cell>
        </row>
        <row r="8445">
          <cell r="N8445">
            <v>-24</v>
          </cell>
        </row>
        <row r="8446">
          <cell r="N8446">
            <v>-231</v>
          </cell>
        </row>
        <row r="8447">
          <cell r="N8447">
            <v>-231</v>
          </cell>
        </row>
        <row r="8448">
          <cell r="N8448">
            <v>-20</v>
          </cell>
        </row>
        <row r="8449">
          <cell r="N8449">
            <v>-231</v>
          </cell>
        </row>
        <row r="8450">
          <cell r="N8450">
            <v>-20</v>
          </cell>
        </row>
        <row r="8451">
          <cell r="N8451">
            <v>-20</v>
          </cell>
        </row>
        <row r="8452">
          <cell r="N8452">
            <v>-231</v>
          </cell>
        </row>
        <row r="8453">
          <cell r="N8453">
            <v>-11</v>
          </cell>
        </row>
        <row r="8454">
          <cell r="N8454">
            <v>-18</v>
          </cell>
        </row>
        <row r="8455">
          <cell r="N8455">
            <v>-21</v>
          </cell>
        </row>
        <row r="8456">
          <cell r="N8456">
            <v>-20</v>
          </cell>
        </row>
        <row r="8457">
          <cell r="N8457">
            <v>-231</v>
          </cell>
        </row>
        <row r="8458">
          <cell r="N8458">
            <v>-18</v>
          </cell>
        </row>
        <row r="8459">
          <cell r="N8459">
            <v>-302</v>
          </cell>
        </row>
        <row r="8460">
          <cell r="N8460">
            <v>-231</v>
          </cell>
        </row>
        <row r="8461">
          <cell r="N8461">
            <v>-0.85</v>
          </cell>
        </row>
        <row r="8462">
          <cell r="N8462">
            <v>-18</v>
          </cell>
        </row>
        <row r="8463">
          <cell r="N8463">
            <v>-28</v>
          </cell>
        </row>
        <row r="8464">
          <cell r="N8464">
            <v>-98.548000000000002</v>
          </cell>
        </row>
        <row r="8465">
          <cell r="N8465">
            <v>-105</v>
          </cell>
        </row>
        <row r="8466">
          <cell r="N8466">
            <v>-24</v>
          </cell>
        </row>
        <row r="8467">
          <cell r="N8467">
            <v>-15.452</v>
          </cell>
        </row>
        <row r="8468">
          <cell r="N8468">
            <v>-277</v>
          </cell>
        </row>
        <row r="8469">
          <cell r="N8469">
            <v>-165</v>
          </cell>
        </row>
        <row r="8470">
          <cell r="N8470">
            <v>-277</v>
          </cell>
        </row>
        <row r="8471">
          <cell r="N8471">
            <v>-30</v>
          </cell>
        </row>
        <row r="8472">
          <cell r="N8472">
            <v>-2.75</v>
          </cell>
        </row>
        <row r="8473">
          <cell r="N8473">
            <v>-4</v>
          </cell>
        </row>
        <row r="8474">
          <cell r="N8474">
            <v>-11</v>
          </cell>
        </row>
        <row r="8475">
          <cell r="N8475">
            <v>-24</v>
          </cell>
        </row>
        <row r="8476">
          <cell r="N8476">
            <v>-0.57599999999999996</v>
          </cell>
        </row>
        <row r="8477">
          <cell r="N8477">
            <v>-2.4239999999999999</v>
          </cell>
        </row>
        <row r="8478">
          <cell r="N8478">
            <v>-246</v>
          </cell>
        </row>
        <row r="8479">
          <cell r="N8479">
            <v>-25</v>
          </cell>
        </row>
        <row r="8480">
          <cell r="N8480">
            <v>-25</v>
          </cell>
        </row>
        <row r="8481">
          <cell r="N8481">
            <v>-12</v>
          </cell>
        </row>
        <row r="8482">
          <cell r="N8482">
            <v>-13</v>
          </cell>
        </row>
        <row r="8483">
          <cell r="N8483">
            <v>-15.917</v>
          </cell>
        </row>
        <row r="8484">
          <cell r="N8484">
            <v>-90.078000000000003</v>
          </cell>
        </row>
        <row r="8485">
          <cell r="N8485">
            <v>-6.907</v>
          </cell>
        </row>
        <row r="8486">
          <cell r="N8486">
            <v>-28.363</v>
          </cell>
        </row>
        <row r="8487">
          <cell r="N8487">
            <v>-0.73599999999999999</v>
          </cell>
        </row>
        <row r="8488">
          <cell r="N8488">
            <v>-0.70499999999999996</v>
          </cell>
        </row>
        <row r="8489">
          <cell r="N8489">
            <v>-65</v>
          </cell>
        </row>
        <row r="8490">
          <cell r="N8490">
            <v>-31.021999999999998</v>
          </cell>
        </row>
        <row r="8491">
          <cell r="N8491">
            <v>-36</v>
          </cell>
        </row>
        <row r="8492">
          <cell r="N8492">
            <v>-33.25</v>
          </cell>
        </row>
        <row r="8493">
          <cell r="N8493">
            <v>-34.200000000000003</v>
          </cell>
        </row>
        <row r="8494">
          <cell r="N8494">
            <v>-62.4</v>
          </cell>
        </row>
        <row r="8495">
          <cell r="N8495">
            <v>-20</v>
          </cell>
        </row>
        <row r="8496">
          <cell r="N8496">
            <v>-12.486000000000001</v>
          </cell>
        </row>
        <row r="8497">
          <cell r="N8497">
            <v>-9.2569999999999997</v>
          </cell>
        </row>
        <row r="8498">
          <cell r="N8498">
            <v>-9.2569999999999997</v>
          </cell>
        </row>
        <row r="8499">
          <cell r="N8499">
            <v>-13</v>
          </cell>
        </row>
        <row r="8500">
          <cell r="N8500">
            <v>-1083.5519999999999</v>
          </cell>
        </row>
        <row r="8501">
          <cell r="N8501">
            <v>-3.4710000000000001</v>
          </cell>
        </row>
        <row r="8502">
          <cell r="N8502">
            <v>-2.7770000000000001</v>
          </cell>
        </row>
        <row r="8503">
          <cell r="N8503">
            <v>-14.054</v>
          </cell>
        </row>
        <row r="8504">
          <cell r="N8504">
            <v>-1.613</v>
          </cell>
        </row>
        <row r="8505">
          <cell r="N8505">
            <v>-10.996</v>
          </cell>
        </row>
        <row r="8506">
          <cell r="N8506">
            <v>-10.500999999999999</v>
          </cell>
        </row>
        <row r="8507">
          <cell r="N8507">
            <v>-90</v>
          </cell>
        </row>
        <row r="8508">
          <cell r="N8508">
            <v>-13.169</v>
          </cell>
        </row>
        <row r="8509">
          <cell r="N8509">
            <v>-3.0870000000000002</v>
          </cell>
        </row>
        <row r="8510">
          <cell r="N8510">
            <v>-2.8919999999999999</v>
          </cell>
        </row>
        <row r="8511">
          <cell r="N8511">
            <v>-1.6359999999999999</v>
          </cell>
        </row>
        <row r="8512">
          <cell r="N8512">
            <v>-12.353</v>
          </cell>
        </row>
        <row r="8513">
          <cell r="N8513">
            <v>-1.83</v>
          </cell>
        </row>
        <row r="8514">
          <cell r="N8514">
            <v>-9.4359999999999999</v>
          </cell>
        </row>
        <row r="8515">
          <cell r="N8515">
            <v>-10.449</v>
          </cell>
        </row>
        <row r="8516">
          <cell r="N8516">
            <v>-1.4119999999999999</v>
          </cell>
        </row>
        <row r="8517">
          <cell r="N8517">
            <v>-4.3959999999999999</v>
          </cell>
        </row>
        <row r="8518">
          <cell r="N8518">
            <v>-8.5609999999999999</v>
          </cell>
        </row>
        <row r="8519">
          <cell r="N8519">
            <v>-10.996</v>
          </cell>
        </row>
        <row r="8520">
          <cell r="N8520">
            <v>-5.49</v>
          </cell>
        </row>
        <row r="8521">
          <cell r="N8521">
            <v>-11.79</v>
          </cell>
        </row>
        <row r="8522">
          <cell r="N8522">
            <v>-277</v>
          </cell>
        </row>
        <row r="8523">
          <cell r="N8523">
            <v>-2.5110000000000001</v>
          </cell>
        </row>
        <row r="8524">
          <cell r="N8524">
            <v>-5.423</v>
          </cell>
        </row>
        <row r="8525">
          <cell r="N8525">
            <v>-1.5529999999999999</v>
          </cell>
        </row>
        <row r="8526">
          <cell r="N8526">
            <v>-8.4459999999999997</v>
          </cell>
        </row>
        <row r="8527">
          <cell r="N8527">
            <v>-2.7770000000000001</v>
          </cell>
        </row>
        <row r="8528">
          <cell r="N8528">
            <v>-11.34</v>
          </cell>
        </row>
        <row r="8529">
          <cell r="N8529">
            <v>-8.9410000000000007</v>
          </cell>
        </row>
        <row r="8530">
          <cell r="N8530">
            <v>-13.723000000000001</v>
          </cell>
        </row>
        <row r="8531">
          <cell r="N8531">
            <v>-15.456</v>
          </cell>
        </row>
        <row r="8532">
          <cell r="N8532">
            <v>-2.7389999999999999</v>
          </cell>
        </row>
        <row r="8533">
          <cell r="N8533">
            <v>-2.93</v>
          </cell>
        </row>
        <row r="8534">
          <cell r="N8534">
            <v>-17.754999999999999</v>
          </cell>
        </row>
        <row r="8535">
          <cell r="N8535">
            <v>-2.6629999999999998</v>
          </cell>
        </row>
        <row r="8536">
          <cell r="N8536">
            <v>-1.5529999999999999</v>
          </cell>
        </row>
        <row r="8537">
          <cell r="N8537">
            <v>-254</v>
          </cell>
        </row>
        <row r="8538">
          <cell r="N8538">
            <v>-2.7010000000000001</v>
          </cell>
        </row>
        <row r="8539">
          <cell r="N8539">
            <v>-13.223000000000001</v>
          </cell>
        </row>
        <row r="8540">
          <cell r="N8540">
            <v>-5.7450000000000001</v>
          </cell>
        </row>
        <row r="8541">
          <cell r="N8541">
            <v>-10.367000000000001</v>
          </cell>
        </row>
        <row r="8542">
          <cell r="N8542">
            <v>-11.643000000000001</v>
          </cell>
        </row>
        <row r="8543">
          <cell r="N8543">
            <v>-13.721</v>
          </cell>
        </row>
        <row r="8544">
          <cell r="N8544">
            <v>-17.117999999999999</v>
          </cell>
        </row>
        <row r="8545">
          <cell r="N8545">
            <v>-4.9329999999999998</v>
          </cell>
        </row>
        <row r="8546">
          <cell r="N8546">
            <v>-4.9279999999999999</v>
          </cell>
        </row>
        <row r="8547">
          <cell r="N8547">
            <v>-9.6259999999999994</v>
          </cell>
        </row>
        <row r="8548">
          <cell r="N8548">
            <v>-0.76800000000000002</v>
          </cell>
        </row>
        <row r="8549">
          <cell r="N8549">
            <v>-10.615</v>
          </cell>
        </row>
        <row r="8550">
          <cell r="N8550">
            <v>-3.0129999999999999</v>
          </cell>
        </row>
        <row r="8551">
          <cell r="N8551">
            <v>-500.34500000000003</v>
          </cell>
        </row>
        <row r="8552">
          <cell r="N8552">
            <v>-524.16700000000003</v>
          </cell>
        </row>
        <row r="8553">
          <cell r="N8553">
            <v>-8.4079999999999995</v>
          </cell>
        </row>
        <row r="8554">
          <cell r="N8554">
            <v>-2.448</v>
          </cell>
        </row>
        <row r="8555">
          <cell r="N8555">
            <v>-0.13400000000000001</v>
          </cell>
        </row>
        <row r="8556">
          <cell r="N8556">
            <v>-12.012</v>
          </cell>
        </row>
        <row r="8557">
          <cell r="N8557">
            <v>-3.6749999999999998</v>
          </cell>
        </row>
        <row r="8558">
          <cell r="N8558">
            <v>-0.24</v>
          </cell>
        </row>
        <row r="8559">
          <cell r="N8559">
            <v>-2.1000000000000001E-2</v>
          </cell>
        </row>
        <row r="8560">
          <cell r="N8560">
            <v>-0.24</v>
          </cell>
        </row>
        <row r="8561">
          <cell r="N8561">
            <v>-0.13400000000000001</v>
          </cell>
        </row>
        <row r="8562">
          <cell r="N8562">
            <v>-2.1000000000000001E-2</v>
          </cell>
        </row>
        <row r="8563">
          <cell r="N8563">
            <v>-277</v>
          </cell>
        </row>
        <row r="8564">
          <cell r="N8564">
            <v>-302.94299999999998</v>
          </cell>
        </row>
        <row r="8565">
          <cell r="N8565">
            <v>-484.99200000000002</v>
          </cell>
        </row>
        <row r="8566">
          <cell r="N8566">
            <v>-265.89499999999998</v>
          </cell>
        </row>
        <row r="8567">
          <cell r="N8567">
            <v>-1154</v>
          </cell>
        </row>
        <row r="8568">
          <cell r="N8568">
            <v>-584.35</v>
          </cell>
        </row>
        <row r="8569">
          <cell r="N8569">
            <v>-7.5709999999999997</v>
          </cell>
        </row>
        <row r="8570">
          <cell r="N8570">
            <v>-0.434</v>
          </cell>
        </row>
        <row r="8571">
          <cell r="N8571">
            <v>-8.4849999999999994</v>
          </cell>
        </row>
        <row r="8572">
          <cell r="N8572">
            <v>-5.4880000000000004</v>
          </cell>
        </row>
        <row r="8573">
          <cell r="N8573">
            <v>-5.4390000000000001</v>
          </cell>
        </row>
        <row r="8574">
          <cell r="N8574">
            <v>-30</v>
          </cell>
        </row>
        <row r="8575">
          <cell r="N8575">
            <v>-11.375999999999999</v>
          </cell>
        </row>
        <row r="8576">
          <cell r="N8576">
            <v>-2.8660000000000001</v>
          </cell>
        </row>
        <row r="8577">
          <cell r="N8577">
            <v>-2.359</v>
          </cell>
        </row>
        <row r="8578">
          <cell r="N8578">
            <v>-2.2829999999999999</v>
          </cell>
        </row>
        <row r="8579">
          <cell r="N8579">
            <v>-11.49</v>
          </cell>
        </row>
        <row r="8580">
          <cell r="N8580">
            <v>-6.9550000000000001</v>
          </cell>
        </row>
        <row r="8581">
          <cell r="N8581">
            <v>-3.7130000000000001</v>
          </cell>
        </row>
        <row r="8582">
          <cell r="N8582">
            <v>-8.3320000000000007</v>
          </cell>
        </row>
        <row r="8583">
          <cell r="N8583">
            <v>-2.5870000000000002</v>
          </cell>
        </row>
        <row r="8584">
          <cell r="N8584">
            <v>-10.779</v>
          </cell>
        </row>
        <row r="8585">
          <cell r="N8585">
            <v>-11.452</v>
          </cell>
        </row>
        <row r="8586">
          <cell r="N8586">
            <v>-10.361000000000001</v>
          </cell>
        </row>
        <row r="8587">
          <cell r="N8587">
            <v>-1.5089999999999999</v>
          </cell>
        </row>
        <row r="8588">
          <cell r="N8588">
            <v>-2.2069999999999999</v>
          </cell>
        </row>
        <row r="8589">
          <cell r="N8589">
            <v>-2.5110000000000001</v>
          </cell>
        </row>
        <row r="8590">
          <cell r="N8590">
            <v>-277</v>
          </cell>
        </row>
        <row r="8591">
          <cell r="N8591">
            <v>-9.3800000000000008</v>
          </cell>
        </row>
        <row r="8592">
          <cell r="N8592">
            <v>-277</v>
          </cell>
        </row>
        <row r="8593">
          <cell r="N8593">
            <v>-16.056999999999999</v>
          </cell>
        </row>
        <row r="8594">
          <cell r="N8594">
            <v>-10.407999999999999</v>
          </cell>
        </row>
        <row r="8595">
          <cell r="N8595">
            <v>-0.61399999999999999</v>
          </cell>
        </row>
        <row r="8596">
          <cell r="N8596">
            <v>-4.0789999999999997</v>
          </cell>
        </row>
        <row r="8597">
          <cell r="N8597">
            <v>-2.968</v>
          </cell>
        </row>
        <row r="8598">
          <cell r="N8598">
            <v>-14.962</v>
          </cell>
        </row>
        <row r="8599">
          <cell r="N8599">
            <v>-24</v>
          </cell>
        </row>
        <row r="8600">
          <cell r="N8600">
            <v>-2.5870000000000002</v>
          </cell>
        </row>
        <row r="8601">
          <cell r="N8601">
            <v>-1.5009999999999999</v>
          </cell>
        </row>
        <row r="8602">
          <cell r="N8602">
            <v>-19.661000000000001</v>
          </cell>
        </row>
        <row r="8603">
          <cell r="N8603">
            <v>-10.159000000000001</v>
          </cell>
        </row>
        <row r="8604">
          <cell r="N8604">
            <v>-9.9510000000000005</v>
          </cell>
        </row>
        <row r="8605">
          <cell r="N8605">
            <v>-2.7010000000000001</v>
          </cell>
        </row>
        <row r="8606">
          <cell r="N8606">
            <v>-3.0059999999999998</v>
          </cell>
        </row>
        <row r="8607">
          <cell r="N8607">
            <v>-10.387</v>
          </cell>
        </row>
        <row r="8608">
          <cell r="N8608">
            <v>-277</v>
          </cell>
        </row>
        <row r="8609">
          <cell r="N8609">
            <v>-3.915</v>
          </cell>
        </row>
        <row r="8610">
          <cell r="N8610">
            <v>-8.2929999999999993</v>
          </cell>
        </row>
        <row r="8611">
          <cell r="N8611">
            <v>-277</v>
          </cell>
        </row>
        <row r="8612">
          <cell r="N8612">
            <v>-9.74</v>
          </cell>
        </row>
        <row r="8613">
          <cell r="N8613">
            <v>-1.5009999999999999</v>
          </cell>
        </row>
        <row r="8614">
          <cell r="N8614">
            <v>-12.548999999999999</v>
          </cell>
        </row>
        <row r="8615">
          <cell r="N8615">
            <v>-8.5609999999999999</v>
          </cell>
        </row>
        <row r="8616">
          <cell r="N8616">
            <v>-8.8650000000000002</v>
          </cell>
        </row>
        <row r="8617">
          <cell r="N8617">
            <v>-277</v>
          </cell>
        </row>
        <row r="8618">
          <cell r="N8618">
            <v>-4.9669999999999996</v>
          </cell>
        </row>
        <row r="8619">
          <cell r="N8619">
            <v>-10.425000000000001</v>
          </cell>
        </row>
        <row r="8620">
          <cell r="N8620">
            <v>-684</v>
          </cell>
        </row>
        <row r="8621">
          <cell r="N8621">
            <v>-4.24</v>
          </cell>
        </row>
        <row r="8622">
          <cell r="N8622">
            <v>-2.2450000000000001</v>
          </cell>
        </row>
        <row r="8623">
          <cell r="N8623">
            <v>-13.239000000000001</v>
          </cell>
        </row>
        <row r="8624">
          <cell r="N8624">
            <v>-9.36</v>
          </cell>
        </row>
        <row r="8625">
          <cell r="N8625">
            <v>-1154</v>
          </cell>
        </row>
        <row r="8626">
          <cell r="N8626">
            <v>-12.061</v>
          </cell>
        </row>
        <row r="8627">
          <cell r="N8627">
            <v>-1154</v>
          </cell>
        </row>
        <row r="8628">
          <cell r="N8628">
            <v>-277</v>
          </cell>
        </row>
        <row r="8629">
          <cell r="N8629">
            <v>-1154</v>
          </cell>
        </row>
        <row r="8630">
          <cell r="N8630">
            <v>-56</v>
          </cell>
        </row>
        <row r="8631">
          <cell r="N8631">
            <v>-3.794</v>
          </cell>
        </row>
        <row r="8632">
          <cell r="N8632">
            <v>-3.0819999999999999</v>
          </cell>
        </row>
        <row r="8633">
          <cell r="N8633">
            <v>-9.6519999999999992</v>
          </cell>
        </row>
        <row r="8634">
          <cell r="N8634">
            <v>-4.3250000000000002</v>
          </cell>
        </row>
        <row r="8635">
          <cell r="N8635">
            <v>-3.044</v>
          </cell>
        </row>
        <row r="8636">
          <cell r="N8636">
            <v>-2.5110000000000001</v>
          </cell>
        </row>
        <row r="8637">
          <cell r="N8637">
            <v>-11.262</v>
          </cell>
        </row>
        <row r="8638">
          <cell r="N8638">
            <v>-15.208</v>
          </cell>
        </row>
        <row r="8639">
          <cell r="N8639">
            <v>-3.5750000000000002</v>
          </cell>
        </row>
        <row r="8640">
          <cell r="N8640">
            <v>-2.1309999999999998</v>
          </cell>
        </row>
        <row r="8641">
          <cell r="N8641">
            <v>-11.116</v>
          </cell>
        </row>
        <row r="8642">
          <cell r="N8642">
            <v>-5.5129999999999999</v>
          </cell>
        </row>
        <row r="8643">
          <cell r="N8643">
            <v>-8.3699999999999992</v>
          </cell>
        </row>
        <row r="8644">
          <cell r="N8644">
            <v>-17.047999999999998</v>
          </cell>
        </row>
        <row r="8645">
          <cell r="N8645">
            <v>-9.8160000000000007</v>
          </cell>
        </row>
        <row r="8646">
          <cell r="N8646">
            <v>-8.5990000000000002</v>
          </cell>
        </row>
        <row r="8647">
          <cell r="N8647">
            <v>-8.2560000000000002</v>
          </cell>
        </row>
        <row r="8648">
          <cell r="N8648">
            <v>-14.962</v>
          </cell>
        </row>
        <row r="8649">
          <cell r="N8649">
            <v>-10.234999999999999</v>
          </cell>
        </row>
        <row r="8650">
          <cell r="N8650">
            <v>-1.5760000000000001</v>
          </cell>
        </row>
        <row r="8651">
          <cell r="N8651">
            <v>-10.615</v>
          </cell>
        </row>
        <row r="8652">
          <cell r="N8652">
            <v>-9.8160000000000007</v>
          </cell>
        </row>
        <row r="8653">
          <cell r="N8653">
            <v>-4.5609999999999999</v>
          </cell>
        </row>
        <row r="8654">
          <cell r="N8654">
            <v>-1.538</v>
          </cell>
        </row>
        <row r="8655">
          <cell r="N8655">
            <v>-8.827</v>
          </cell>
        </row>
        <row r="8656">
          <cell r="N8656">
            <v>-11.564</v>
          </cell>
        </row>
        <row r="8657">
          <cell r="N8657">
            <v>-9.3979999999999997</v>
          </cell>
        </row>
        <row r="8658">
          <cell r="N8658">
            <v>-146.57499999999999</v>
          </cell>
        </row>
        <row r="8659">
          <cell r="N8659">
            <v>-196</v>
          </cell>
        </row>
        <row r="8660">
          <cell r="N8660">
            <v>-2.2829999999999999</v>
          </cell>
        </row>
        <row r="8661">
          <cell r="N8661">
            <v>-112.41200000000001</v>
          </cell>
        </row>
        <row r="8662">
          <cell r="N8662">
            <v>-145.88</v>
          </cell>
        </row>
        <row r="8663">
          <cell r="N8663">
            <v>-231.58799999999999</v>
          </cell>
        </row>
        <row r="8664">
          <cell r="N8664">
            <v>-294.88400000000001</v>
          </cell>
        </row>
        <row r="8665">
          <cell r="N8665">
            <v>-0.56200000000000006</v>
          </cell>
        </row>
        <row r="8666">
          <cell r="N8666">
            <v>-3.3210000000000002</v>
          </cell>
        </row>
        <row r="8667">
          <cell r="N8667">
            <v>-18.745000000000001</v>
          </cell>
        </row>
        <row r="8668">
          <cell r="N8668">
            <v>-12.135</v>
          </cell>
        </row>
        <row r="8669">
          <cell r="N8669">
            <v>-2.4350000000000001</v>
          </cell>
        </row>
        <row r="8670">
          <cell r="N8670">
            <v>-4.8259999999999996</v>
          </cell>
        </row>
        <row r="8671">
          <cell r="N8671">
            <v>-4.4800000000000004</v>
          </cell>
        </row>
        <row r="8672">
          <cell r="N8672">
            <v>-30</v>
          </cell>
        </row>
        <row r="8673">
          <cell r="N8673">
            <v>-20</v>
          </cell>
        </row>
        <row r="8674">
          <cell r="N8674">
            <v>-12</v>
          </cell>
        </row>
        <row r="8675">
          <cell r="N8675">
            <v>-7.1630000000000003</v>
          </cell>
        </row>
        <row r="8676">
          <cell r="N8676">
            <v>-5.6520000000000001</v>
          </cell>
        </row>
        <row r="8677">
          <cell r="N8677">
            <v>-11.683999999999999</v>
          </cell>
        </row>
        <row r="8678">
          <cell r="N8678">
            <v>-110.934</v>
          </cell>
        </row>
        <row r="8679">
          <cell r="N8679">
            <v>-148.90799999999999</v>
          </cell>
        </row>
        <row r="8680">
          <cell r="N8680">
            <v>-3.5329999999999999</v>
          </cell>
        </row>
        <row r="8681">
          <cell r="N8681">
            <v>-2.5489999999999999</v>
          </cell>
        </row>
        <row r="8682">
          <cell r="N8682">
            <v>-7.609</v>
          </cell>
        </row>
        <row r="8683">
          <cell r="N8683">
            <v>-3.5920000000000001</v>
          </cell>
        </row>
        <row r="8684">
          <cell r="N8684">
            <v>-1.7549999999999999</v>
          </cell>
        </row>
        <row r="8685">
          <cell r="N8685">
            <v>-9.2070000000000007</v>
          </cell>
        </row>
        <row r="8686">
          <cell r="N8686">
            <v>-10.92</v>
          </cell>
        </row>
        <row r="8687">
          <cell r="N8687">
            <v>-14.36</v>
          </cell>
        </row>
        <row r="8688">
          <cell r="N8688">
            <v>-13.651999999999999</v>
          </cell>
        </row>
        <row r="8689">
          <cell r="N8689">
            <v>-9.2539999999999996</v>
          </cell>
        </row>
        <row r="8690">
          <cell r="N8690">
            <v>-17.099</v>
          </cell>
        </row>
        <row r="8691">
          <cell r="N8691">
            <v>-1083.5530000000001</v>
          </cell>
        </row>
        <row r="8692">
          <cell r="N8692">
            <v>-11.224</v>
          </cell>
        </row>
        <row r="8693">
          <cell r="N8693">
            <v>-1024.2670000000001</v>
          </cell>
        </row>
        <row r="8694">
          <cell r="N8694">
            <v>-2.3210000000000002</v>
          </cell>
        </row>
        <row r="8695">
          <cell r="N8695">
            <v>-3.31</v>
          </cell>
        </row>
        <row r="8696">
          <cell r="N8696">
            <v>-16.128</v>
          </cell>
        </row>
        <row r="8697">
          <cell r="N8697">
            <v>-531.68700000000001</v>
          </cell>
        </row>
        <row r="8698">
          <cell r="N8698">
            <v>-435.666</v>
          </cell>
        </row>
        <row r="8699">
          <cell r="N8699">
            <v>-4.6420000000000003</v>
          </cell>
        </row>
        <row r="8700">
          <cell r="N8700">
            <v>-3.5859999999999999</v>
          </cell>
        </row>
        <row r="8701">
          <cell r="N8701">
            <v>-134</v>
          </cell>
        </row>
        <row r="8702">
          <cell r="N8702">
            <v>-8.4849999999999994</v>
          </cell>
        </row>
        <row r="8703">
          <cell r="N8703">
            <v>-3.5110000000000001</v>
          </cell>
        </row>
        <row r="8704">
          <cell r="N8704">
            <v>-12.403</v>
          </cell>
        </row>
        <row r="8705">
          <cell r="N8705">
            <v>-0.57499999999999996</v>
          </cell>
        </row>
        <row r="8706">
          <cell r="N8706">
            <v>-2.6629999999999998</v>
          </cell>
        </row>
        <row r="8707">
          <cell r="N8707">
            <v>-9.1329999999999991</v>
          </cell>
        </row>
        <row r="8708">
          <cell r="N8708">
            <v>-14.686</v>
          </cell>
        </row>
        <row r="8709">
          <cell r="N8709">
            <v>-11.108000000000001</v>
          </cell>
        </row>
        <row r="8710">
          <cell r="N8710">
            <v>-3.431</v>
          </cell>
        </row>
        <row r="8711">
          <cell r="N8711">
            <v>-5.4740000000000002</v>
          </cell>
        </row>
        <row r="8712">
          <cell r="N8712">
            <v>-1.9039999999999999</v>
          </cell>
        </row>
        <row r="8713">
          <cell r="N8713">
            <v>-2.169</v>
          </cell>
        </row>
        <row r="8714">
          <cell r="N8714">
            <v>-6.9080000000000004</v>
          </cell>
        </row>
        <row r="8715">
          <cell r="N8715">
            <v>-3.6709999999999998</v>
          </cell>
        </row>
        <row r="8716">
          <cell r="N8716">
            <v>-3.234</v>
          </cell>
        </row>
        <row r="8717">
          <cell r="N8717">
            <v>-20.097999999999999</v>
          </cell>
        </row>
        <row r="8718">
          <cell r="N8718">
            <v>-3.4089999999999998</v>
          </cell>
        </row>
        <row r="8719">
          <cell r="N8719">
            <v>-1.335</v>
          </cell>
        </row>
        <row r="8720">
          <cell r="N8720">
            <v>-3.5329999999999999</v>
          </cell>
        </row>
        <row r="8721">
          <cell r="N8721">
            <v>-15.356</v>
          </cell>
        </row>
        <row r="8722">
          <cell r="N8722">
            <v>-1.5620000000000001</v>
          </cell>
        </row>
        <row r="8723">
          <cell r="N8723">
            <v>-370.25400000000002</v>
          </cell>
        </row>
        <row r="8724">
          <cell r="N8724">
            <v>-2.4350000000000001</v>
          </cell>
        </row>
        <row r="8725">
          <cell r="N8725">
            <v>-4.7300000000000004</v>
          </cell>
        </row>
        <row r="8726">
          <cell r="N8726">
            <v>-880.58600000000001</v>
          </cell>
        </row>
        <row r="8727">
          <cell r="N8727">
            <v>-5.1210000000000004</v>
          </cell>
        </row>
        <row r="8728">
          <cell r="N8728">
            <v>-10.539</v>
          </cell>
        </row>
        <row r="8729">
          <cell r="N8729">
            <v>-5.6029999999999998</v>
          </cell>
        </row>
        <row r="8730">
          <cell r="N8730">
            <v>-3.6320000000000001</v>
          </cell>
        </row>
        <row r="8731">
          <cell r="N8731">
            <v>-10.805</v>
          </cell>
        </row>
        <row r="8732">
          <cell r="N8732">
            <v>-5.0469999999999997</v>
          </cell>
        </row>
        <row r="8733">
          <cell r="N8733">
            <v>-11.206</v>
          </cell>
        </row>
        <row r="8734">
          <cell r="N8734">
            <v>-0.60799999999999998</v>
          </cell>
        </row>
        <row r="8735">
          <cell r="N8735">
            <v>-2.3410000000000002</v>
          </cell>
        </row>
        <row r="8736">
          <cell r="N8736">
            <v>-13.223000000000001</v>
          </cell>
        </row>
        <row r="8737">
          <cell r="N8737">
            <v>-469.02600000000001</v>
          </cell>
        </row>
        <row r="8738">
          <cell r="N8738">
            <v>-2.3969999999999998</v>
          </cell>
        </row>
        <row r="8739">
          <cell r="N8739">
            <v>-469.02600000000001</v>
          </cell>
        </row>
        <row r="8740">
          <cell r="N8740">
            <v>-2.8149999999999999</v>
          </cell>
        </row>
        <row r="8741">
          <cell r="N8741">
            <v>-8.5229999999999997</v>
          </cell>
        </row>
        <row r="8742">
          <cell r="N8742">
            <v>-8.3699999999999992</v>
          </cell>
        </row>
        <row r="8743">
          <cell r="N8743">
            <v>-57.713999999999999</v>
          </cell>
        </row>
        <row r="8744">
          <cell r="N8744">
            <v>-620.42100000000005</v>
          </cell>
        </row>
        <row r="8745">
          <cell r="N8745">
            <v>-346.00400000000002</v>
          </cell>
        </row>
        <row r="8746">
          <cell r="N8746">
            <v>-176.7</v>
          </cell>
        </row>
        <row r="8747">
          <cell r="N8747">
            <v>-9.577</v>
          </cell>
        </row>
        <row r="8748">
          <cell r="N8748">
            <v>-11.375999999999999</v>
          </cell>
        </row>
        <row r="8749">
          <cell r="N8749">
            <v>-9.7910000000000004</v>
          </cell>
        </row>
        <row r="8750">
          <cell r="N8750">
            <v>-6.9080000000000004</v>
          </cell>
        </row>
        <row r="8751">
          <cell r="N8751">
            <v>-3.4239999999999999</v>
          </cell>
        </row>
        <row r="8752">
          <cell r="N8752">
            <v>-2.8919999999999999</v>
          </cell>
        </row>
        <row r="8753">
          <cell r="N8753">
            <v>-2.3969999999999998</v>
          </cell>
        </row>
        <row r="8754">
          <cell r="N8754">
            <v>-9.4740000000000002</v>
          </cell>
        </row>
        <row r="8755">
          <cell r="N8755">
            <v>-6.9080000000000004</v>
          </cell>
        </row>
        <row r="8756">
          <cell r="N8756">
            <v>-11.603999999999999</v>
          </cell>
        </row>
        <row r="8757">
          <cell r="N8757">
            <v>-9.2449999999999992</v>
          </cell>
        </row>
        <row r="8758">
          <cell r="N8758">
            <v>-1.583</v>
          </cell>
        </row>
        <row r="8759">
          <cell r="N8759">
            <v>-10.539</v>
          </cell>
        </row>
        <row r="8760">
          <cell r="N8760">
            <v>-1.6950000000000001</v>
          </cell>
        </row>
        <row r="8761">
          <cell r="N8761">
            <v>-13.445</v>
          </cell>
        </row>
        <row r="8762">
          <cell r="N8762">
            <v>-2.641</v>
          </cell>
        </row>
        <row r="8763">
          <cell r="N8763">
            <v>-1154</v>
          </cell>
        </row>
        <row r="8764">
          <cell r="N8764">
            <v>-1154</v>
          </cell>
        </row>
        <row r="8765">
          <cell r="N8765">
            <v>-35</v>
          </cell>
        </row>
        <row r="8766">
          <cell r="N8766">
            <v>-8.7509999999999994</v>
          </cell>
        </row>
        <row r="8767">
          <cell r="N8767">
            <v>-6.9080000000000004</v>
          </cell>
        </row>
        <row r="8768">
          <cell r="N8768">
            <v>-13.593</v>
          </cell>
        </row>
        <row r="8769">
          <cell r="N8769">
            <v>-19.027999999999999</v>
          </cell>
        </row>
        <row r="8770">
          <cell r="N8770">
            <v>-7.5010000000000003</v>
          </cell>
        </row>
        <row r="8771">
          <cell r="N8771">
            <v>-12.618</v>
          </cell>
        </row>
        <row r="8772">
          <cell r="N8772">
            <v>-277</v>
          </cell>
        </row>
        <row r="8773">
          <cell r="N8773">
            <v>-277</v>
          </cell>
        </row>
        <row r="8774">
          <cell r="N8774">
            <v>-8.2940000000000005</v>
          </cell>
        </row>
        <row r="8775">
          <cell r="N8775">
            <v>-10.285</v>
          </cell>
        </row>
        <row r="8776">
          <cell r="N8776">
            <v>-1154</v>
          </cell>
        </row>
        <row r="8777">
          <cell r="N8777">
            <v>-3.6320000000000001</v>
          </cell>
        </row>
        <row r="8778">
          <cell r="N8778">
            <v>-9.968</v>
          </cell>
        </row>
        <row r="8779">
          <cell r="N8779">
            <v>-1.867</v>
          </cell>
        </row>
        <row r="8780">
          <cell r="N8780">
            <v>-277</v>
          </cell>
        </row>
        <row r="8781">
          <cell r="N8781">
            <v>-12.84</v>
          </cell>
        </row>
        <row r="8782">
          <cell r="N8782">
            <v>-15.987</v>
          </cell>
        </row>
        <row r="8783">
          <cell r="N8783">
            <v>-302</v>
          </cell>
        </row>
        <row r="8784">
          <cell r="N8784">
            <v>-12.962</v>
          </cell>
        </row>
        <row r="8785">
          <cell r="N8785">
            <v>-1154</v>
          </cell>
        </row>
        <row r="8786">
          <cell r="N8786">
            <v>-0.52900000000000003</v>
          </cell>
        </row>
        <row r="8787">
          <cell r="N8787">
            <v>-474.08800000000002</v>
          </cell>
        </row>
        <row r="8788">
          <cell r="N8788">
            <v>-9.7780000000000005</v>
          </cell>
        </row>
        <row r="8789">
          <cell r="N8789">
            <v>-9.702</v>
          </cell>
        </row>
        <row r="8790">
          <cell r="N8790">
            <v>-10.196999999999999</v>
          </cell>
        </row>
        <row r="8791">
          <cell r="N8791">
            <v>-3.496</v>
          </cell>
        </row>
        <row r="8792">
          <cell r="N8792">
            <v>-10.539</v>
          </cell>
        </row>
        <row r="8793">
          <cell r="N8793">
            <v>-9.5920000000000005</v>
          </cell>
        </row>
        <row r="8794">
          <cell r="N8794">
            <v>-24.632000000000001</v>
          </cell>
        </row>
        <row r="8795">
          <cell r="N8795">
            <v>-14.077</v>
          </cell>
        </row>
        <row r="8796">
          <cell r="N8796">
            <v>-600.77</v>
          </cell>
        </row>
        <row r="8797">
          <cell r="N8797">
            <v>-12.598000000000001</v>
          </cell>
        </row>
        <row r="8798">
          <cell r="N8798">
            <v>-15.632999999999999</v>
          </cell>
        </row>
        <row r="8799">
          <cell r="N8799">
            <v>-3.1480000000000001</v>
          </cell>
        </row>
        <row r="8800">
          <cell r="N8800">
            <v>-3.794</v>
          </cell>
        </row>
        <row r="8801">
          <cell r="N8801">
            <v>-10.159000000000001</v>
          </cell>
        </row>
        <row r="8802">
          <cell r="N8802">
            <v>-13.657999999999999</v>
          </cell>
        </row>
        <row r="8803">
          <cell r="N8803">
            <v>-5.2169999999999996</v>
          </cell>
        </row>
        <row r="8804">
          <cell r="N8804">
            <v>-9.9969999999999999</v>
          </cell>
        </row>
        <row r="8805">
          <cell r="N8805">
            <v>-2.6629999999999998</v>
          </cell>
        </row>
        <row r="8806">
          <cell r="N8806">
            <v>-9.2070000000000007</v>
          </cell>
        </row>
        <row r="8807">
          <cell r="N8807">
            <v>-3.2690000000000001</v>
          </cell>
        </row>
        <row r="8808">
          <cell r="N8808">
            <v>-280.32100000000003</v>
          </cell>
        </row>
        <row r="8809">
          <cell r="N8809">
            <v>-10.349</v>
          </cell>
        </row>
        <row r="8810">
          <cell r="N8810">
            <v>-116.203</v>
          </cell>
        </row>
        <row r="8811">
          <cell r="N8811">
            <v>-9.0169999999999995</v>
          </cell>
        </row>
        <row r="8812">
          <cell r="N8812">
            <v>-9.8539999999999992</v>
          </cell>
        </row>
        <row r="8813">
          <cell r="N8813">
            <v>-12.954000000000001</v>
          </cell>
        </row>
        <row r="8814">
          <cell r="N8814">
            <v>-7.298</v>
          </cell>
        </row>
        <row r="8815">
          <cell r="N8815">
            <v>-16.199000000000002</v>
          </cell>
        </row>
        <row r="8816">
          <cell r="N8816">
            <v>-3.8340000000000001</v>
          </cell>
        </row>
        <row r="8817">
          <cell r="N8817">
            <v>-1459.33</v>
          </cell>
        </row>
        <row r="8818">
          <cell r="N8818">
            <v>-2.3969999999999998</v>
          </cell>
        </row>
        <row r="8819">
          <cell r="N8819">
            <v>-3.4710000000000001</v>
          </cell>
        </row>
        <row r="8820">
          <cell r="N8820">
            <v>-2.6629999999999998</v>
          </cell>
        </row>
        <row r="8821">
          <cell r="N8821">
            <v>-1047.069</v>
          </cell>
        </row>
        <row r="8822">
          <cell r="N8822">
            <v>-8.1039999999999992</v>
          </cell>
        </row>
        <row r="8823">
          <cell r="N8823">
            <v>-9.3219999999999992</v>
          </cell>
        </row>
        <row r="8824">
          <cell r="N8824">
            <v>-5.1360000000000001</v>
          </cell>
        </row>
        <row r="8825">
          <cell r="N8825">
            <v>-10.121</v>
          </cell>
        </row>
        <row r="8826">
          <cell r="N8826">
            <v>-4.9470000000000001</v>
          </cell>
        </row>
        <row r="8827">
          <cell r="N8827">
            <v>-0.67300000000000004</v>
          </cell>
        </row>
        <row r="8828">
          <cell r="N8828">
            <v>-175.066</v>
          </cell>
        </row>
        <row r="8829">
          <cell r="N8829">
            <v>-4.5599999999999996</v>
          </cell>
        </row>
        <row r="8830">
          <cell r="N8830">
            <v>-4.6820000000000004</v>
          </cell>
        </row>
        <row r="8831">
          <cell r="N8831">
            <v>-9.3219999999999992</v>
          </cell>
        </row>
        <row r="8832">
          <cell r="N8832">
            <v>-70.165999999999997</v>
          </cell>
        </row>
        <row r="8833">
          <cell r="N8833">
            <v>-5.4459999999999997</v>
          </cell>
        </row>
        <row r="8834">
          <cell r="N8834">
            <v>-333.63600000000002</v>
          </cell>
        </row>
        <row r="8835">
          <cell r="N8835">
            <v>-334.04399999999998</v>
          </cell>
        </row>
        <row r="8836">
          <cell r="N8836">
            <v>-2.968</v>
          </cell>
        </row>
        <row r="8837">
          <cell r="N8837">
            <v>-111.679</v>
          </cell>
        </row>
        <row r="8838">
          <cell r="N8838">
            <v>-11</v>
          </cell>
        </row>
        <row r="8839">
          <cell r="N8839">
            <v>-3.6230000000000002</v>
          </cell>
        </row>
        <row r="8840">
          <cell r="N8840">
            <v>-19.916</v>
          </cell>
        </row>
        <row r="8841">
          <cell r="N8841">
            <v>-334.04399999999998</v>
          </cell>
        </row>
        <row r="8842">
          <cell r="N8842">
            <v>-10.082000000000001</v>
          </cell>
        </row>
        <row r="8843">
          <cell r="N8843">
            <v>-2.5870000000000002</v>
          </cell>
        </row>
        <row r="8844">
          <cell r="N8844">
            <v>-4.0170000000000003</v>
          </cell>
        </row>
        <row r="8845">
          <cell r="N8845">
            <v>-9.5120000000000005</v>
          </cell>
        </row>
        <row r="8846">
          <cell r="N8846">
            <v>-10.805</v>
          </cell>
        </row>
        <row r="8847">
          <cell r="N8847">
            <v>-8.218</v>
          </cell>
        </row>
        <row r="8848">
          <cell r="N8848">
            <v>-2.6629999999999998</v>
          </cell>
        </row>
        <row r="8849">
          <cell r="N8849">
            <v>-3.0819999999999999</v>
          </cell>
        </row>
        <row r="8850">
          <cell r="N8850">
            <v>-11.025</v>
          </cell>
        </row>
        <row r="8851">
          <cell r="N8851">
            <v>-1154</v>
          </cell>
        </row>
        <row r="8852">
          <cell r="N8852">
            <v>-11.17</v>
          </cell>
        </row>
        <row r="8853">
          <cell r="N8853">
            <v>-3.944</v>
          </cell>
        </row>
        <row r="8854">
          <cell r="N8854">
            <v>-2.359</v>
          </cell>
        </row>
        <row r="8855">
          <cell r="N8855">
            <v>-3.1080000000000001</v>
          </cell>
        </row>
        <row r="8856">
          <cell r="N8856">
            <v>-2.359</v>
          </cell>
        </row>
        <row r="8857">
          <cell r="N8857">
            <v>-12.353</v>
          </cell>
        </row>
        <row r="8858">
          <cell r="N8858">
            <v>-18.686</v>
          </cell>
        </row>
        <row r="8859">
          <cell r="N8859">
            <v>-1.6879999999999999</v>
          </cell>
        </row>
        <row r="8860">
          <cell r="N8860">
            <v>-3.7679999999999998</v>
          </cell>
        </row>
        <row r="8861">
          <cell r="N8861">
            <v>-15.067</v>
          </cell>
        </row>
        <row r="8862">
          <cell r="N8862">
            <v>-9.0549999999999997</v>
          </cell>
        </row>
        <row r="8863">
          <cell r="N8863">
            <v>-3.1480000000000001</v>
          </cell>
        </row>
        <row r="8864">
          <cell r="N8864">
            <v>-0.56899999999999995</v>
          </cell>
        </row>
        <row r="8865">
          <cell r="N8865">
            <v>-2.6629999999999998</v>
          </cell>
        </row>
        <row r="8866">
          <cell r="N8866">
            <v>-684</v>
          </cell>
        </row>
        <row r="8867">
          <cell r="N8867">
            <v>-3.2759999999999998</v>
          </cell>
        </row>
        <row r="8868">
          <cell r="N8868">
            <v>-732</v>
          </cell>
        </row>
        <row r="8869">
          <cell r="N8869">
            <v>-277</v>
          </cell>
        </row>
        <row r="8870">
          <cell r="N8870">
            <v>-1.583</v>
          </cell>
        </row>
        <row r="8871">
          <cell r="N8871">
            <v>-277</v>
          </cell>
        </row>
        <row r="8872">
          <cell r="N8872">
            <v>-18.831</v>
          </cell>
        </row>
        <row r="8873">
          <cell r="N8873">
            <v>-5.782</v>
          </cell>
        </row>
        <row r="8874">
          <cell r="N8874">
            <v>-10.311</v>
          </cell>
        </row>
        <row r="8875">
          <cell r="N8875">
            <v>-12.137</v>
          </cell>
        </row>
        <row r="8876">
          <cell r="N8876">
            <v>-2.4350000000000001</v>
          </cell>
        </row>
        <row r="8877">
          <cell r="N8877">
            <v>-1154</v>
          </cell>
        </row>
        <row r="8878">
          <cell r="N8878">
            <v>-277</v>
          </cell>
        </row>
        <row r="8879">
          <cell r="N8879">
            <v>-210</v>
          </cell>
        </row>
        <row r="8880">
          <cell r="N8880">
            <v>-277</v>
          </cell>
        </row>
        <row r="8881">
          <cell r="N8881">
            <v>-119.42700000000001</v>
          </cell>
        </row>
        <row r="8882">
          <cell r="N8882">
            <v>-3.754</v>
          </cell>
        </row>
        <row r="8883">
          <cell r="N8883">
            <v>-11.071</v>
          </cell>
        </row>
        <row r="8884">
          <cell r="N8884">
            <v>-20</v>
          </cell>
        </row>
        <row r="8885">
          <cell r="N8885">
            <v>-5.3650000000000002</v>
          </cell>
        </row>
        <row r="8886">
          <cell r="N8886">
            <v>-17.260000000000002</v>
          </cell>
        </row>
        <row r="8887">
          <cell r="N8887">
            <v>-583.19600000000003</v>
          </cell>
        </row>
        <row r="8888">
          <cell r="N8888">
            <v>-9.5879999999999992</v>
          </cell>
        </row>
        <row r="8889">
          <cell r="N8889">
            <v>-21.89</v>
          </cell>
        </row>
        <row r="8890">
          <cell r="N8890">
            <v>-12.909000000000001</v>
          </cell>
        </row>
        <row r="8891">
          <cell r="N8891">
            <v>-8.9789999999999992</v>
          </cell>
        </row>
        <row r="8892">
          <cell r="N8892">
            <v>-559.02800000000002</v>
          </cell>
        </row>
        <row r="8893">
          <cell r="N8893">
            <v>-3.9049999999999998</v>
          </cell>
        </row>
        <row r="8894">
          <cell r="N8894">
            <v>-584.08199999999999</v>
          </cell>
        </row>
        <row r="8895">
          <cell r="N8895">
            <v>-10.196999999999999</v>
          </cell>
        </row>
        <row r="8896">
          <cell r="N8896">
            <v>-9.8539999999999992</v>
          </cell>
        </row>
        <row r="8897">
          <cell r="N8897">
            <v>-18.321000000000002</v>
          </cell>
        </row>
        <row r="8898">
          <cell r="N8898">
            <v>-2.625</v>
          </cell>
        </row>
        <row r="8899">
          <cell r="N8899">
            <v>-10.082000000000001</v>
          </cell>
        </row>
        <row r="8900">
          <cell r="N8900">
            <v>-9.3219999999999992</v>
          </cell>
        </row>
        <row r="8901">
          <cell r="N8901">
            <v>-1.837</v>
          </cell>
        </row>
        <row r="8902">
          <cell r="N8902">
            <v>-9.1690000000000005</v>
          </cell>
        </row>
        <row r="8903">
          <cell r="N8903">
            <v>-3.1480000000000001</v>
          </cell>
        </row>
        <row r="8904">
          <cell r="N8904">
            <v>-4.2030000000000003</v>
          </cell>
        </row>
        <row r="8905">
          <cell r="N8905">
            <v>-23.957000000000001</v>
          </cell>
        </row>
        <row r="8906">
          <cell r="N8906">
            <v>-2.7010000000000001</v>
          </cell>
        </row>
        <row r="8907">
          <cell r="N8907">
            <v>-0.54900000000000004</v>
          </cell>
        </row>
        <row r="8908">
          <cell r="N8908">
            <v>-559.02800000000002</v>
          </cell>
        </row>
        <row r="8909">
          <cell r="N8909">
            <v>-1.7330000000000001</v>
          </cell>
        </row>
        <row r="8910">
          <cell r="N8910">
            <v>-5.1550000000000002</v>
          </cell>
        </row>
        <row r="8911">
          <cell r="N8911">
            <v>-19.027999999999999</v>
          </cell>
        </row>
        <row r="8912">
          <cell r="N8912">
            <v>-1017.8819999999999</v>
          </cell>
        </row>
        <row r="8913">
          <cell r="N8913">
            <v>-277</v>
          </cell>
        </row>
        <row r="8914">
          <cell r="N8914">
            <v>-277</v>
          </cell>
        </row>
        <row r="8915">
          <cell r="N8915">
            <v>-277</v>
          </cell>
        </row>
        <row r="8916">
          <cell r="N8916">
            <v>-2.5489999999999999</v>
          </cell>
        </row>
        <row r="8917">
          <cell r="N8917">
            <v>-7.9139999999999997</v>
          </cell>
        </row>
        <row r="8918">
          <cell r="N8918">
            <v>-2.2450000000000001</v>
          </cell>
        </row>
        <row r="8919">
          <cell r="N8919">
            <v>-12.057</v>
          </cell>
        </row>
        <row r="8920">
          <cell r="N8920">
            <v>-684</v>
          </cell>
        </row>
        <row r="8921">
          <cell r="N8921">
            <v>-10.285</v>
          </cell>
        </row>
        <row r="8922">
          <cell r="N8922">
            <v>-11.833</v>
          </cell>
        </row>
        <row r="8923">
          <cell r="N8923">
            <v>-3.496</v>
          </cell>
        </row>
        <row r="8924">
          <cell r="N8924">
            <v>-4.0170000000000003</v>
          </cell>
        </row>
        <row r="8925">
          <cell r="N8925">
            <v>-2.359</v>
          </cell>
        </row>
        <row r="8926">
          <cell r="N8926">
            <v>-3.6080000000000001</v>
          </cell>
        </row>
        <row r="8927">
          <cell r="N8927">
            <v>-0.60799999999999998</v>
          </cell>
        </row>
        <row r="8928">
          <cell r="N8928">
            <v>-5.0449999999999999</v>
          </cell>
        </row>
        <row r="8929">
          <cell r="N8929">
            <v>-3.3210000000000002</v>
          </cell>
        </row>
        <row r="8930">
          <cell r="N8930">
            <v>-3.552</v>
          </cell>
        </row>
        <row r="8931">
          <cell r="N8931">
            <v>-3.81</v>
          </cell>
        </row>
        <row r="8932">
          <cell r="N8932">
            <v>-3.5110000000000001</v>
          </cell>
        </row>
        <row r="8933">
          <cell r="N8933">
            <v>-10.044</v>
          </cell>
        </row>
        <row r="8934">
          <cell r="N8934">
            <v>-10.984</v>
          </cell>
        </row>
        <row r="8935">
          <cell r="N8935">
            <v>-3.673</v>
          </cell>
        </row>
        <row r="8936">
          <cell r="N8936">
            <v>-1154</v>
          </cell>
        </row>
        <row r="8937">
          <cell r="N8937">
            <v>-14.893000000000001</v>
          </cell>
        </row>
        <row r="8938">
          <cell r="N8938">
            <v>-1154</v>
          </cell>
        </row>
        <row r="8939">
          <cell r="N8939">
            <v>-12.023</v>
          </cell>
        </row>
        <row r="8940">
          <cell r="N8940">
            <v>-684</v>
          </cell>
        </row>
        <row r="8941">
          <cell r="N8941">
            <v>-1.524</v>
          </cell>
        </row>
        <row r="8942">
          <cell r="N8942">
            <v>-9.0169999999999995</v>
          </cell>
        </row>
        <row r="8943">
          <cell r="N8943">
            <v>-1.8520000000000001</v>
          </cell>
        </row>
        <row r="8944">
          <cell r="N8944">
            <v>-2.2450000000000001</v>
          </cell>
        </row>
        <row r="8945">
          <cell r="N8945">
            <v>-3.2690000000000001</v>
          </cell>
        </row>
        <row r="8946">
          <cell r="N8946">
            <v>-2.8540000000000001</v>
          </cell>
        </row>
        <row r="8947">
          <cell r="N8947">
            <v>-9.1649999999999991</v>
          </cell>
        </row>
        <row r="8948">
          <cell r="N8948">
            <v>-2.1309999999999998</v>
          </cell>
        </row>
        <row r="8949">
          <cell r="N8949">
            <v>-11.032</v>
          </cell>
        </row>
        <row r="8950">
          <cell r="N8950">
            <v>-6.0140000000000002</v>
          </cell>
        </row>
        <row r="8951">
          <cell r="N8951">
            <v>-215</v>
          </cell>
        </row>
        <row r="8952">
          <cell r="N8952">
            <v>-10.044</v>
          </cell>
        </row>
        <row r="8953">
          <cell r="N8953">
            <v>-3.5750000000000002</v>
          </cell>
        </row>
        <row r="8954">
          <cell r="N8954">
            <v>-2.8919999999999999</v>
          </cell>
        </row>
        <row r="8955">
          <cell r="N8955">
            <v>-9.5120000000000005</v>
          </cell>
        </row>
        <row r="8956">
          <cell r="N8956">
            <v>-0.47099999999999997</v>
          </cell>
        </row>
        <row r="8957">
          <cell r="N8957">
            <v>-13.042999999999999</v>
          </cell>
        </row>
        <row r="8958">
          <cell r="N8958">
            <v>-3.7130000000000001</v>
          </cell>
        </row>
        <row r="8959">
          <cell r="N8959">
            <v>-7.3659999999999997</v>
          </cell>
        </row>
        <row r="8960">
          <cell r="N8960">
            <v>-4.5199999999999996</v>
          </cell>
        </row>
        <row r="8961">
          <cell r="N8961">
            <v>-12.061</v>
          </cell>
        </row>
        <row r="8962">
          <cell r="N8962">
            <v>-3.4089999999999998</v>
          </cell>
        </row>
        <row r="8963">
          <cell r="N8963">
            <v>-277</v>
          </cell>
        </row>
        <row r="8964">
          <cell r="N8964">
            <v>-277</v>
          </cell>
        </row>
        <row r="8965">
          <cell r="N8965">
            <v>-15.704000000000001</v>
          </cell>
        </row>
        <row r="8966">
          <cell r="N8966">
            <v>-3.0059999999999998</v>
          </cell>
        </row>
        <row r="8967">
          <cell r="N8967">
            <v>-9.1690000000000005</v>
          </cell>
        </row>
        <row r="8968">
          <cell r="N8968">
            <v>-2.2069999999999999</v>
          </cell>
        </row>
        <row r="8969">
          <cell r="N8969">
            <v>-277</v>
          </cell>
        </row>
        <row r="8970">
          <cell r="N8970">
            <v>-3.1989999999999998</v>
          </cell>
        </row>
        <row r="8971">
          <cell r="N8971">
            <v>-1071.845</v>
          </cell>
        </row>
        <row r="8972">
          <cell r="N8972">
            <v>-12.864000000000001</v>
          </cell>
        </row>
        <row r="8973">
          <cell r="N8973">
            <v>-3.673</v>
          </cell>
        </row>
        <row r="8974">
          <cell r="N8974">
            <v>-3.855</v>
          </cell>
        </row>
        <row r="8975">
          <cell r="N8975">
            <v>-9.8320000000000007</v>
          </cell>
        </row>
        <row r="8976">
          <cell r="N8976">
            <v>-302</v>
          </cell>
        </row>
        <row r="8977">
          <cell r="N8977">
            <v>-126</v>
          </cell>
        </row>
        <row r="8978">
          <cell r="N8978">
            <v>-18.734999999999999</v>
          </cell>
        </row>
        <row r="8979">
          <cell r="N8979">
            <v>-168.25200000000001</v>
          </cell>
        </row>
        <row r="8980">
          <cell r="N8980">
            <v>-3.1579999999999999</v>
          </cell>
        </row>
        <row r="8981">
          <cell r="N8981">
            <v>-9.4359999999999999</v>
          </cell>
        </row>
        <row r="8982">
          <cell r="N8982">
            <v>-1.919</v>
          </cell>
        </row>
        <row r="8983">
          <cell r="N8983">
            <v>-12.773999999999999</v>
          </cell>
        </row>
        <row r="8984">
          <cell r="N8984">
            <v>-9.4740000000000002</v>
          </cell>
        </row>
        <row r="8985">
          <cell r="N8985">
            <v>-1.6279999999999999</v>
          </cell>
        </row>
        <row r="8986">
          <cell r="N8986">
            <v>-3.2730000000000001</v>
          </cell>
        </row>
        <row r="8987">
          <cell r="N8987">
            <v>-7.0010000000000003</v>
          </cell>
        </row>
        <row r="8988">
          <cell r="N8988">
            <v>-10.082000000000001</v>
          </cell>
        </row>
        <row r="8989">
          <cell r="N8989">
            <v>-2.8919999999999999</v>
          </cell>
        </row>
        <row r="8990">
          <cell r="N8990">
            <v>-22.137</v>
          </cell>
        </row>
        <row r="8991">
          <cell r="N8991">
            <v>-9.8919999999999995</v>
          </cell>
        </row>
        <row r="8992">
          <cell r="N8992">
            <v>-5.024</v>
          </cell>
        </row>
        <row r="8993">
          <cell r="N8993">
            <v>-6.3520000000000003</v>
          </cell>
        </row>
        <row r="8994">
          <cell r="N8994">
            <v>-9.4359999999999999</v>
          </cell>
        </row>
        <row r="8995">
          <cell r="N8995">
            <v>-2.3410000000000002</v>
          </cell>
        </row>
        <row r="8996">
          <cell r="N8996">
            <v>-2.3969999999999998</v>
          </cell>
        </row>
        <row r="8997">
          <cell r="N8997">
            <v>-1.5609999999999999</v>
          </cell>
        </row>
        <row r="8998">
          <cell r="N8998">
            <v>-3.0819999999999999</v>
          </cell>
        </row>
        <row r="8999">
          <cell r="N8999">
            <v>-1.26</v>
          </cell>
        </row>
        <row r="9000">
          <cell r="N9000">
            <v>-1.585</v>
          </cell>
        </row>
        <row r="9001">
          <cell r="N9001">
            <v>-15.35</v>
          </cell>
        </row>
        <row r="9002">
          <cell r="N9002">
            <v>-9.3219999999999992</v>
          </cell>
        </row>
        <row r="9003">
          <cell r="N9003">
            <v>-3.3849999999999998</v>
          </cell>
        </row>
        <row r="9004">
          <cell r="N9004">
            <v>-9.3979999999999997</v>
          </cell>
        </row>
        <row r="9005">
          <cell r="N9005">
            <v>-12.099</v>
          </cell>
        </row>
        <row r="9006">
          <cell r="N9006">
            <v>-0.51</v>
          </cell>
        </row>
        <row r="9007">
          <cell r="N9007">
            <v>-10.577</v>
          </cell>
        </row>
        <row r="9008">
          <cell r="N9008">
            <v>-5.7370000000000001</v>
          </cell>
        </row>
        <row r="9009">
          <cell r="N9009">
            <v>-12.135999999999999</v>
          </cell>
        </row>
        <row r="9010">
          <cell r="N9010">
            <v>-3.31</v>
          </cell>
        </row>
        <row r="9011">
          <cell r="N9011">
            <v>-2.0550000000000002</v>
          </cell>
        </row>
        <row r="9012">
          <cell r="N9012">
            <v>-3.673</v>
          </cell>
        </row>
        <row r="9013">
          <cell r="N9013">
            <v>-10.218999999999999</v>
          </cell>
        </row>
        <row r="9014">
          <cell r="N9014">
            <v>-10.311</v>
          </cell>
        </row>
        <row r="9015">
          <cell r="N9015">
            <v>-10.273</v>
          </cell>
        </row>
        <row r="9016">
          <cell r="N9016">
            <v>-3.35</v>
          </cell>
        </row>
        <row r="9017">
          <cell r="N9017">
            <v>-3.4039999999999999</v>
          </cell>
        </row>
        <row r="9018">
          <cell r="N9018">
            <v>-10.311</v>
          </cell>
        </row>
        <row r="9019">
          <cell r="N9019">
            <v>-2.9350000000000001</v>
          </cell>
        </row>
        <row r="9020">
          <cell r="N9020">
            <v>-17.047999999999998</v>
          </cell>
        </row>
        <row r="9021">
          <cell r="N9021">
            <v>-11.643000000000001</v>
          </cell>
        </row>
        <row r="9022">
          <cell r="N9022">
            <v>-5.3570000000000002</v>
          </cell>
        </row>
        <row r="9023">
          <cell r="N9023">
            <v>-2.5110000000000001</v>
          </cell>
        </row>
        <row r="9024">
          <cell r="N9024">
            <v>-4.319</v>
          </cell>
        </row>
        <row r="9025">
          <cell r="N9025">
            <v>-2.169</v>
          </cell>
        </row>
        <row r="9026">
          <cell r="N9026">
            <v>-9.5120000000000005</v>
          </cell>
        </row>
        <row r="9027">
          <cell r="N9027">
            <v>-2.5870000000000002</v>
          </cell>
        </row>
        <row r="9028">
          <cell r="N9028">
            <v>-11.071999999999999</v>
          </cell>
        </row>
        <row r="9029">
          <cell r="N9029">
            <v>-3.6909999999999998</v>
          </cell>
        </row>
        <row r="9030">
          <cell r="N9030">
            <v>-11.026</v>
          </cell>
        </row>
        <row r="9031">
          <cell r="N9031">
            <v>-10.121</v>
          </cell>
        </row>
        <row r="9032">
          <cell r="N9032">
            <v>-0.56899999999999995</v>
          </cell>
        </row>
        <row r="9033">
          <cell r="N9033">
            <v>-684</v>
          </cell>
        </row>
        <row r="9034">
          <cell r="N9034">
            <v>-684</v>
          </cell>
        </row>
        <row r="9035">
          <cell r="N9035">
            <v>-4.5750000000000002</v>
          </cell>
        </row>
        <row r="9036">
          <cell r="N9036">
            <v>-1154</v>
          </cell>
        </row>
        <row r="9037">
          <cell r="N9037">
            <v>-1011</v>
          </cell>
        </row>
        <row r="9038">
          <cell r="N9038">
            <v>-6.69</v>
          </cell>
        </row>
        <row r="9039">
          <cell r="N9039">
            <v>-1.516</v>
          </cell>
        </row>
        <row r="9040">
          <cell r="N9040">
            <v>-4.2510000000000003</v>
          </cell>
        </row>
        <row r="9041">
          <cell r="N9041">
            <v>-9.4740000000000002</v>
          </cell>
        </row>
        <row r="9042">
          <cell r="N9042">
            <v>-8.5990000000000002</v>
          </cell>
        </row>
        <row r="9043">
          <cell r="N9043">
            <v>-1.3740000000000001</v>
          </cell>
        </row>
        <row r="9044">
          <cell r="N9044">
            <v>-1.7609999999999999</v>
          </cell>
        </row>
        <row r="9045">
          <cell r="N9045">
            <v>-587.95699999999999</v>
          </cell>
        </row>
        <row r="9046">
          <cell r="N9046">
            <v>-3.39</v>
          </cell>
        </row>
        <row r="9047">
          <cell r="N9047">
            <v>-611.55799999999999</v>
          </cell>
        </row>
        <row r="9048">
          <cell r="N9048">
            <v>-10.958</v>
          </cell>
        </row>
        <row r="9049">
          <cell r="N9049">
            <v>-2.6629999999999998</v>
          </cell>
        </row>
        <row r="9050">
          <cell r="N9050">
            <v>-3.5859999999999999</v>
          </cell>
        </row>
        <row r="9051">
          <cell r="N9051">
            <v>-1.3360000000000001</v>
          </cell>
        </row>
        <row r="9052">
          <cell r="N9052">
            <v>-4.2510000000000003</v>
          </cell>
        </row>
        <row r="9053">
          <cell r="N9053">
            <v>-611.55799999999999</v>
          </cell>
        </row>
        <row r="9054">
          <cell r="N9054">
            <v>-10.577</v>
          </cell>
        </row>
        <row r="9055">
          <cell r="N9055">
            <v>-7.3920000000000003</v>
          </cell>
        </row>
        <row r="9056">
          <cell r="N9056">
            <v>-8.0350000000000001</v>
          </cell>
        </row>
        <row r="9057">
          <cell r="N9057">
            <v>-4.782</v>
          </cell>
        </row>
        <row r="9058">
          <cell r="N9058">
            <v>-11</v>
          </cell>
        </row>
        <row r="9059">
          <cell r="N9059">
            <v>-11.034000000000001</v>
          </cell>
        </row>
        <row r="9060">
          <cell r="N9060">
            <v>-11.067</v>
          </cell>
        </row>
        <row r="9061">
          <cell r="N9061">
            <v>-921.35699999999997</v>
          </cell>
        </row>
        <row r="9062">
          <cell r="N9062">
            <v>-4.4400000000000004</v>
          </cell>
        </row>
        <row r="9063">
          <cell r="N9063">
            <v>-9.36</v>
          </cell>
        </row>
        <row r="9064">
          <cell r="N9064">
            <v>-1154</v>
          </cell>
        </row>
        <row r="9065">
          <cell r="N9065">
            <v>-1.516</v>
          </cell>
        </row>
        <row r="9066">
          <cell r="N9066">
            <v>-277</v>
          </cell>
        </row>
        <row r="9067">
          <cell r="N9067">
            <v>-277</v>
          </cell>
        </row>
        <row r="9068">
          <cell r="N9068">
            <v>-17.542999999999999</v>
          </cell>
        </row>
        <row r="9069">
          <cell r="N9069">
            <v>-277</v>
          </cell>
        </row>
        <row r="9070">
          <cell r="N9070">
            <v>-277</v>
          </cell>
        </row>
        <row r="9071">
          <cell r="N9071">
            <v>-2.2829999999999999</v>
          </cell>
        </row>
        <row r="9072">
          <cell r="N9072">
            <v>-126</v>
          </cell>
        </row>
        <row r="9073">
          <cell r="N9073">
            <v>-2.5870000000000002</v>
          </cell>
        </row>
        <row r="9074">
          <cell r="N9074">
            <v>-3.645</v>
          </cell>
        </row>
        <row r="9075">
          <cell r="N9075">
            <v>-7.8760000000000003</v>
          </cell>
        </row>
        <row r="9076">
          <cell r="N9076">
            <v>-2.5870000000000002</v>
          </cell>
        </row>
        <row r="9077">
          <cell r="N9077">
            <v>-10.308999999999999</v>
          </cell>
        </row>
        <row r="9078">
          <cell r="N9078">
            <v>-3.875</v>
          </cell>
        </row>
        <row r="9079">
          <cell r="N9079">
            <v>-2.8149999999999999</v>
          </cell>
        </row>
        <row r="9080">
          <cell r="N9080">
            <v>-3.0870000000000002</v>
          </cell>
        </row>
        <row r="9081">
          <cell r="N9081">
            <v>-0.60099999999999998</v>
          </cell>
        </row>
        <row r="9082">
          <cell r="N9082">
            <v>-11.474</v>
          </cell>
        </row>
        <row r="9083">
          <cell r="N9083">
            <v>-3.7130000000000001</v>
          </cell>
        </row>
        <row r="9084">
          <cell r="N9084">
            <v>-10.006</v>
          </cell>
        </row>
        <row r="9085">
          <cell r="N9085">
            <v>-6.2850000000000001</v>
          </cell>
        </row>
        <row r="9086">
          <cell r="N9086">
            <v>-2.968</v>
          </cell>
        </row>
        <row r="9087">
          <cell r="N9087">
            <v>-1.6990000000000001</v>
          </cell>
        </row>
        <row r="9088">
          <cell r="N9088">
            <v>-2.093</v>
          </cell>
        </row>
        <row r="9089">
          <cell r="N9089">
            <v>-10.996</v>
          </cell>
        </row>
        <row r="9090">
          <cell r="N9090">
            <v>-8.0280000000000005</v>
          </cell>
        </row>
        <row r="9091">
          <cell r="N9091">
            <v>-8.3699999999999992</v>
          </cell>
        </row>
        <row r="9092">
          <cell r="N9092">
            <v>-2.6629999999999998</v>
          </cell>
        </row>
        <row r="9093">
          <cell r="N9093">
            <v>-4.4930000000000003</v>
          </cell>
        </row>
        <row r="9094">
          <cell r="N9094">
            <v>-9.4740000000000002</v>
          </cell>
        </row>
        <row r="9095">
          <cell r="N9095">
            <v>-1.2989999999999999</v>
          </cell>
        </row>
        <row r="9096">
          <cell r="N9096">
            <v>-543.55700000000002</v>
          </cell>
        </row>
        <row r="9097">
          <cell r="N9097">
            <v>-611.55799999999999</v>
          </cell>
        </row>
        <row r="9098">
          <cell r="N9098">
            <v>-611.55799999999999</v>
          </cell>
        </row>
        <row r="9099">
          <cell r="N9099">
            <v>-17.331</v>
          </cell>
        </row>
        <row r="9100">
          <cell r="N9100">
            <v>-1.837</v>
          </cell>
        </row>
        <row r="9101">
          <cell r="N9101">
            <v>-3.9889999999999999</v>
          </cell>
        </row>
        <row r="9102">
          <cell r="N9102">
            <v>-3.6749999999999998</v>
          </cell>
        </row>
        <row r="9103">
          <cell r="N9103">
            <v>-11.807</v>
          </cell>
        </row>
        <row r="9104">
          <cell r="N9104">
            <v>-2.7770000000000001</v>
          </cell>
        </row>
        <row r="9105">
          <cell r="N9105">
            <v>-2.1960000000000002</v>
          </cell>
        </row>
        <row r="9106">
          <cell r="N9106">
            <v>-11.071</v>
          </cell>
        </row>
        <row r="9107">
          <cell r="N9107">
            <v>-11.452</v>
          </cell>
        </row>
        <row r="9108">
          <cell r="N9108">
            <v>-14.218</v>
          </cell>
        </row>
        <row r="9109">
          <cell r="N9109">
            <v>-21.846</v>
          </cell>
        </row>
        <row r="9110">
          <cell r="N9110">
            <v>-0.80400000000000005</v>
          </cell>
        </row>
        <row r="9111">
          <cell r="N9111">
            <v>-9.5879999999999992</v>
          </cell>
        </row>
        <row r="9112">
          <cell r="N9112">
            <v>-4.7960000000000003</v>
          </cell>
        </row>
        <row r="9113">
          <cell r="N9113">
            <v>-4.7380000000000004</v>
          </cell>
        </row>
        <row r="9114">
          <cell r="N9114">
            <v>-2.7850000000000001</v>
          </cell>
        </row>
        <row r="9115">
          <cell r="N9115">
            <v>-1.456</v>
          </cell>
        </row>
        <row r="9116">
          <cell r="N9116">
            <v>-2.968</v>
          </cell>
        </row>
        <row r="9117">
          <cell r="N9117">
            <v>-3.6549999999999998</v>
          </cell>
        </row>
        <row r="9118">
          <cell r="N9118">
            <v>-4.2249999999999996</v>
          </cell>
        </row>
        <row r="9119">
          <cell r="N9119">
            <v>-7.907</v>
          </cell>
        </row>
        <row r="9120">
          <cell r="N9120">
            <v>-10.805</v>
          </cell>
        </row>
        <row r="9121">
          <cell r="N9121">
            <v>-4.7830000000000004</v>
          </cell>
        </row>
        <row r="9122">
          <cell r="N9122">
            <v>-8.5990000000000002</v>
          </cell>
        </row>
        <row r="9123">
          <cell r="N9123">
            <v>-1.8320000000000001</v>
          </cell>
        </row>
        <row r="9124">
          <cell r="N9124">
            <v>-10.349</v>
          </cell>
        </row>
        <row r="9125">
          <cell r="N9125">
            <v>-4.0910000000000002</v>
          </cell>
        </row>
        <row r="9126">
          <cell r="N9126">
            <v>-11.972</v>
          </cell>
        </row>
        <row r="9127">
          <cell r="N9127">
            <v>-9.3219999999999992</v>
          </cell>
        </row>
        <row r="9128">
          <cell r="N9128">
            <v>-7.4569999999999999</v>
          </cell>
        </row>
        <row r="9129">
          <cell r="N9129">
            <v>-2.5489999999999999</v>
          </cell>
        </row>
        <row r="9130">
          <cell r="N9130">
            <v>-9.3979999999999997</v>
          </cell>
        </row>
        <row r="9131">
          <cell r="N9131">
            <v>-2.7010000000000001</v>
          </cell>
        </row>
        <row r="9132">
          <cell r="N9132">
            <v>-1.56</v>
          </cell>
        </row>
        <row r="9133">
          <cell r="N9133">
            <v>-3.552</v>
          </cell>
        </row>
        <row r="9134">
          <cell r="N9134">
            <v>-21.846</v>
          </cell>
        </row>
        <row r="9135">
          <cell r="N9135">
            <v>-8.7509999999999994</v>
          </cell>
        </row>
        <row r="9136">
          <cell r="N9136">
            <v>-3.2719999999999998</v>
          </cell>
        </row>
        <row r="9137">
          <cell r="N9137">
            <v>-10.936999999999999</v>
          </cell>
        </row>
        <row r="9138">
          <cell r="N9138">
            <v>-1.389</v>
          </cell>
        </row>
        <row r="9139">
          <cell r="N9139">
            <v>-8.0660000000000007</v>
          </cell>
        </row>
        <row r="9140">
          <cell r="N9140">
            <v>-3.673</v>
          </cell>
        </row>
        <row r="9141">
          <cell r="N9141">
            <v>-3.5110000000000001</v>
          </cell>
        </row>
        <row r="9142">
          <cell r="N9142">
            <v>-2.2450000000000001</v>
          </cell>
        </row>
        <row r="9143">
          <cell r="N9143">
            <v>-2.5489999999999999</v>
          </cell>
        </row>
        <row r="9144">
          <cell r="N9144">
            <v>-411.98200000000003</v>
          </cell>
        </row>
        <row r="9145">
          <cell r="N9145">
            <v>-200.709</v>
          </cell>
        </row>
        <row r="9146">
          <cell r="N9146">
            <v>-211.273</v>
          </cell>
        </row>
        <row r="9147">
          <cell r="N9147">
            <v>-10.958</v>
          </cell>
        </row>
        <row r="9148">
          <cell r="N9148">
            <v>-50.499000000000002</v>
          </cell>
        </row>
        <row r="9149">
          <cell r="N9149">
            <v>-15.138</v>
          </cell>
        </row>
        <row r="9150">
          <cell r="N9150">
            <v>-7.6859999999999999</v>
          </cell>
        </row>
        <row r="9151">
          <cell r="N9151">
            <v>-1.845</v>
          </cell>
        </row>
        <row r="9152">
          <cell r="N9152">
            <v>-2.7389999999999999</v>
          </cell>
        </row>
        <row r="9153">
          <cell r="N9153">
            <v>-10.196999999999999</v>
          </cell>
        </row>
        <row r="9154">
          <cell r="N9154">
            <v>-0.75800000000000001</v>
          </cell>
        </row>
        <row r="9155">
          <cell r="N9155">
            <v>-5.3810000000000002</v>
          </cell>
        </row>
        <row r="9156">
          <cell r="N9156">
            <v>-1154</v>
          </cell>
        </row>
        <row r="9157">
          <cell r="N9157">
            <v>-1154</v>
          </cell>
        </row>
        <row r="9158">
          <cell r="N9158">
            <v>-35.520000000000003</v>
          </cell>
        </row>
        <row r="9159">
          <cell r="N9159">
            <v>-2.2450000000000001</v>
          </cell>
        </row>
        <row r="9160">
          <cell r="N9160">
            <v>-1154</v>
          </cell>
        </row>
        <row r="9161">
          <cell r="N9161">
            <v>-1154</v>
          </cell>
        </row>
        <row r="9162">
          <cell r="N9162">
            <v>-1154</v>
          </cell>
        </row>
        <row r="9163">
          <cell r="N9163">
            <v>-684</v>
          </cell>
        </row>
        <row r="9164">
          <cell r="N9164">
            <v>-277</v>
          </cell>
        </row>
        <row r="9165">
          <cell r="N9165">
            <v>-1.9039999999999999</v>
          </cell>
        </row>
        <row r="9166">
          <cell r="N9166">
            <v>-277</v>
          </cell>
        </row>
        <row r="9167">
          <cell r="N9167">
            <v>-4.2510000000000003</v>
          </cell>
        </row>
        <row r="9168">
          <cell r="N9168">
            <v>-8.5229999999999997</v>
          </cell>
        </row>
        <row r="9169">
          <cell r="N9169">
            <v>-1.5760000000000001</v>
          </cell>
        </row>
        <row r="9170">
          <cell r="N9170">
            <v>-11.848000000000001</v>
          </cell>
        </row>
        <row r="9171">
          <cell r="N9171">
            <v>-4.9640000000000004</v>
          </cell>
        </row>
        <row r="9172">
          <cell r="N9172">
            <v>-2.93</v>
          </cell>
        </row>
        <row r="9173">
          <cell r="N9173">
            <v>-2.9460000000000002</v>
          </cell>
        </row>
        <row r="9174">
          <cell r="N9174">
            <v>-2.9750000000000001</v>
          </cell>
        </row>
        <row r="9175">
          <cell r="N9175">
            <v>-176.233</v>
          </cell>
        </row>
        <row r="9176">
          <cell r="N9176">
            <v>-3.3079999999999998</v>
          </cell>
        </row>
        <row r="9177">
          <cell r="N9177">
            <v>-34</v>
          </cell>
        </row>
        <row r="9178">
          <cell r="N9178">
            <v>-302</v>
          </cell>
        </row>
        <row r="9179">
          <cell r="N9179">
            <v>-11.945</v>
          </cell>
        </row>
        <row r="9180">
          <cell r="N9180">
            <v>-5.7370000000000001</v>
          </cell>
        </row>
        <row r="9181">
          <cell r="N9181">
            <v>-15.987</v>
          </cell>
        </row>
        <row r="9182">
          <cell r="N9182">
            <v>-3.6309999999999998</v>
          </cell>
        </row>
        <row r="9183">
          <cell r="N9183">
            <v>-8.5609999999999999</v>
          </cell>
        </row>
        <row r="9184">
          <cell r="N9184">
            <v>-10.130000000000001</v>
          </cell>
        </row>
        <row r="9185">
          <cell r="N9185">
            <v>-2.93</v>
          </cell>
        </row>
        <row r="9186">
          <cell r="N9186">
            <v>-13.311999999999999</v>
          </cell>
        </row>
        <row r="9187">
          <cell r="N9187">
            <v>-9.968</v>
          </cell>
        </row>
        <row r="9188">
          <cell r="N9188">
            <v>-1.202</v>
          </cell>
        </row>
        <row r="9189">
          <cell r="N9189">
            <v>-0.64</v>
          </cell>
        </row>
        <row r="9190">
          <cell r="N9190">
            <v>-277</v>
          </cell>
        </row>
        <row r="9191">
          <cell r="N9191">
            <v>-12.685</v>
          </cell>
        </row>
        <row r="9192">
          <cell r="N9192">
            <v>-9.6639999999999997</v>
          </cell>
        </row>
        <row r="9193">
          <cell r="N9193">
            <v>-277</v>
          </cell>
        </row>
        <row r="9194">
          <cell r="N9194">
            <v>-2</v>
          </cell>
        </row>
        <row r="9195">
          <cell r="N9195">
            <v>-9.8919999999999995</v>
          </cell>
        </row>
        <row r="9196">
          <cell r="N9196">
            <v>-11.603999999999999</v>
          </cell>
        </row>
        <row r="9197">
          <cell r="N9197">
            <v>-3.0990000000000002</v>
          </cell>
        </row>
        <row r="9198">
          <cell r="N9198">
            <v>-3.3849999999999998</v>
          </cell>
        </row>
        <row r="9199">
          <cell r="N9199">
            <v>-10</v>
          </cell>
        </row>
        <row r="9200">
          <cell r="N9200">
            <v>-11</v>
          </cell>
        </row>
        <row r="9201">
          <cell r="N9201">
            <v>-0.52300000000000002</v>
          </cell>
        </row>
        <row r="9202">
          <cell r="N9202">
            <v>-11</v>
          </cell>
        </row>
        <row r="9203">
          <cell r="N9203">
            <v>-10</v>
          </cell>
        </row>
        <row r="9204">
          <cell r="N9204">
            <v>-8.7889999999999997</v>
          </cell>
        </row>
        <row r="9205">
          <cell r="N9205">
            <v>-216</v>
          </cell>
        </row>
        <row r="9206">
          <cell r="N9206">
            <v>-78</v>
          </cell>
        </row>
        <row r="9207">
          <cell r="N9207">
            <v>-10</v>
          </cell>
        </row>
        <row r="9208">
          <cell r="N9208">
            <v>-370</v>
          </cell>
        </row>
        <row r="9209">
          <cell r="N9209">
            <v>-8.2940000000000005</v>
          </cell>
        </row>
        <row r="9210">
          <cell r="N9210">
            <v>-0.80700000000000005</v>
          </cell>
        </row>
        <row r="9211">
          <cell r="N9211">
            <v>-1154</v>
          </cell>
        </row>
        <row r="9212">
          <cell r="N9212">
            <v>-18.25</v>
          </cell>
        </row>
        <row r="9213">
          <cell r="N9213">
            <v>-4.6929999999999996</v>
          </cell>
        </row>
        <row r="9214">
          <cell r="N9214">
            <v>-0.309</v>
          </cell>
        </row>
        <row r="9215">
          <cell r="N9215">
            <v>-1.9370000000000001</v>
          </cell>
        </row>
        <row r="9216">
          <cell r="N9216">
            <v>-3.8519999999999999</v>
          </cell>
        </row>
        <row r="9217">
          <cell r="N9217">
            <v>-3.1890000000000001</v>
          </cell>
        </row>
        <row r="9218">
          <cell r="N9218">
            <v>-2.625</v>
          </cell>
        </row>
        <row r="9219">
          <cell r="N9219">
            <v>-21.919</v>
          </cell>
        </row>
        <row r="9220">
          <cell r="N9220">
            <v>-22.797000000000001</v>
          </cell>
        </row>
        <row r="9221">
          <cell r="N9221">
            <v>-3.1760000000000002</v>
          </cell>
        </row>
        <row r="9222">
          <cell r="N9222">
            <v>-10.943</v>
          </cell>
        </row>
        <row r="9223">
          <cell r="N9223">
            <v>-1.546</v>
          </cell>
        </row>
        <row r="9224">
          <cell r="N9224">
            <v>-2.7450000000000001</v>
          </cell>
        </row>
        <row r="9225">
          <cell r="N9225">
            <v>-15.704000000000001</v>
          </cell>
        </row>
        <row r="9226">
          <cell r="N9226">
            <v>-3.0270000000000001</v>
          </cell>
        </row>
        <row r="9227">
          <cell r="N9227">
            <v>-8.8650000000000002</v>
          </cell>
        </row>
        <row r="9228">
          <cell r="N9228">
            <v>-8.1129999999999995</v>
          </cell>
        </row>
        <row r="9229">
          <cell r="N9229">
            <v>-1.621</v>
          </cell>
        </row>
        <row r="9230">
          <cell r="N9230">
            <v>-9.8659999999999997</v>
          </cell>
        </row>
        <row r="9231">
          <cell r="N9231">
            <v>-9.1310000000000002</v>
          </cell>
        </row>
        <row r="9232">
          <cell r="N9232">
            <v>-10.121</v>
          </cell>
        </row>
        <row r="9233">
          <cell r="N9233">
            <v>-2.5870000000000002</v>
          </cell>
        </row>
        <row r="9234">
          <cell r="N9234">
            <v>-1.8520000000000001</v>
          </cell>
        </row>
        <row r="9235">
          <cell r="N9235">
            <v>-10.766999999999999</v>
          </cell>
        </row>
        <row r="9236">
          <cell r="N9236">
            <v>-3.1989999999999998</v>
          </cell>
        </row>
        <row r="9237">
          <cell r="N9237">
            <v>-2.4729999999999999</v>
          </cell>
        </row>
        <row r="9238">
          <cell r="N9238">
            <v>-0.58199999999999996</v>
          </cell>
        </row>
        <row r="9239">
          <cell r="N9239">
            <v>-1.74</v>
          </cell>
        </row>
        <row r="9240">
          <cell r="N9240">
            <v>-1.794</v>
          </cell>
        </row>
        <row r="9241">
          <cell r="N9241">
            <v>-1.484</v>
          </cell>
        </row>
        <row r="9242">
          <cell r="N9242">
            <v>-9.8919999999999995</v>
          </cell>
        </row>
        <row r="9243">
          <cell r="N9243">
            <v>-9.2070000000000007</v>
          </cell>
        </row>
        <row r="9244">
          <cell r="N9244">
            <v>-6.8929999999999998</v>
          </cell>
        </row>
        <row r="9245">
          <cell r="N9245">
            <v>-0.53600000000000003</v>
          </cell>
        </row>
        <row r="9246">
          <cell r="N9246">
            <v>-7.2830000000000004</v>
          </cell>
        </row>
        <row r="9247">
          <cell r="N9247">
            <v>-2.8919999999999999</v>
          </cell>
        </row>
        <row r="9248">
          <cell r="N9248">
            <v>-17.260000000000002</v>
          </cell>
        </row>
        <row r="9249">
          <cell r="N9249">
            <v>-5.6769999999999996</v>
          </cell>
        </row>
        <row r="9250">
          <cell r="N9250">
            <v>-2.5659999999999998</v>
          </cell>
        </row>
        <row r="9251">
          <cell r="N9251">
            <v>-10.779</v>
          </cell>
        </row>
        <row r="9252">
          <cell r="N9252">
            <v>-3.2290000000000001</v>
          </cell>
        </row>
        <row r="9253">
          <cell r="N9253">
            <v>-10.159000000000001</v>
          </cell>
        </row>
        <row r="9254">
          <cell r="N9254">
            <v>-4.2030000000000003</v>
          </cell>
        </row>
        <row r="9255">
          <cell r="N9255">
            <v>-346.80900000000003</v>
          </cell>
        </row>
        <row r="9256">
          <cell r="N9256">
            <v>-1.5009999999999999</v>
          </cell>
        </row>
        <row r="9257">
          <cell r="N9257">
            <v>-10.539</v>
          </cell>
        </row>
        <row r="9258">
          <cell r="N9258">
            <v>-8.5820000000000007</v>
          </cell>
        </row>
        <row r="9259">
          <cell r="N9259">
            <v>-4.9279999999999999</v>
          </cell>
        </row>
        <row r="9260">
          <cell r="N9260">
            <v>-3.919</v>
          </cell>
        </row>
        <row r="9261">
          <cell r="N9261">
            <v>-5.4740000000000002</v>
          </cell>
        </row>
        <row r="9262">
          <cell r="N9262">
            <v>-1.5529999999999999</v>
          </cell>
        </row>
        <row r="9263">
          <cell r="N9263">
            <v>-10.843</v>
          </cell>
        </row>
        <row r="9264">
          <cell r="N9264">
            <v>-2.7770000000000001</v>
          </cell>
        </row>
        <row r="9265">
          <cell r="N9265">
            <v>-2.359</v>
          </cell>
        </row>
        <row r="9266">
          <cell r="N9266">
            <v>-7.952</v>
          </cell>
        </row>
        <row r="9267">
          <cell r="N9267">
            <v>-8.218</v>
          </cell>
        </row>
        <row r="9268">
          <cell r="N9268">
            <v>-4.9279999999999999</v>
          </cell>
        </row>
        <row r="9269">
          <cell r="N9269">
            <v>-7.1630000000000003</v>
          </cell>
        </row>
        <row r="9270">
          <cell r="N9270">
            <v>-8.5609999999999999</v>
          </cell>
        </row>
        <row r="9271">
          <cell r="N9271">
            <v>-9.4359999999999999</v>
          </cell>
        </row>
        <row r="9272">
          <cell r="N9272">
            <v>-3.996</v>
          </cell>
        </row>
        <row r="9273">
          <cell r="N9273">
            <v>-6.1820000000000004</v>
          </cell>
        </row>
        <row r="9274">
          <cell r="N9274">
            <v>-1020.717</v>
          </cell>
        </row>
        <row r="9275">
          <cell r="N9275">
            <v>-2.4729999999999999</v>
          </cell>
        </row>
        <row r="9276">
          <cell r="N9276">
            <v>-11.11</v>
          </cell>
        </row>
        <row r="9277">
          <cell r="N9277">
            <v>-1.5609999999999999</v>
          </cell>
        </row>
        <row r="9278">
          <cell r="N9278">
            <v>-9.2449999999999992</v>
          </cell>
        </row>
        <row r="9279">
          <cell r="N9279">
            <v>-10.444000000000001</v>
          </cell>
        </row>
        <row r="9280">
          <cell r="N9280">
            <v>-1.298</v>
          </cell>
        </row>
        <row r="9281">
          <cell r="N9281">
            <v>-0.60099999999999998</v>
          </cell>
        </row>
        <row r="9282">
          <cell r="N9282">
            <v>-3.05</v>
          </cell>
        </row>
        <row r="9283">
          <cell r="N9283">
            <v>-1.179</v>
          </cell>
        </row>
        <row r="9284">
          <cell r="N9284">
            <v>-5.2709999999999999</v>
          </cell>
        </row>
        <row r="9285">
          <cell r="N9285">
            <v>-1.8520000000000001</v>
          </cell>
        </row>
        <row r="9286">
          <cell r="N9286">
            <v>-2.9870000000000001</v>
          </cell>
        </row>
        <row r="9287">
          <cell r="N9287">
            <v>-2.6629999999999998</v>
          </cell>
        </row>
        <row r="9288">
          <cell r="N9288">
            <v>-10</v>
          </cell>
        </row>
        <row r="9289">
          <cell r="N9289">
            <v>-0.02</v>
          </cell>
        </row>
        <row r="9290">
          <cell r="N9290">
            <v>-25</v>
          </cell>
        </row>
        <row r="9291">
          <cell r="N9291">
            <v>-1154</v>
          </cell>
        </row>
        <row r="9292">
          <cell r="N9292">
            <v>-324</v>
          </cell>
        </row>
        <row r="9293">
          <cell r="N9293">
            <v>-302</v>
          </cell>
        </row>
        <row r="9294">
          <cell r="N9294">
            <v>-302</v>
          </cell>
        </row>
        <row r="9295">
          <cell r="N9295">
            <v>-302</v>
          </cell>
        </row>
        <row r="9296">
          <cell r="N9296">
            <v>-302</v>
          </cell>
        </row>
        <row r="9297">
          <cell r="N9297">
            <v>-277</v>
          </cell>
        </row>
        <row r="9298">
          <cell r="N9298">
            <v>-277</v>
          </cell>
        </row>
        <row r="9299">
          <cell r="N9299">
            <v>-298</v>
          </cell>
        </row>
        <row r="9300">
          <cell r="N9300">
            <v>-277</v>
          </cell>
        </row>
        <row r="9301">
          <cell r="N9301">
            <v>-152</v>
          </cell>
        </row>
        <row r="9302">
          <cell r="N9302">
            <v>-10.843</v>
          </cell>
        </row>
        <row r="9303">
          <cell r="N9303">
            <v>-9.0549999999999997</v>
          </cell>
        </row>
        <row r="9304">
          <cell r="N9304">
            <v>-12.177</v>
          </cell>
        </row>
        <row r="9305">
          <cell r="N9305">
            <v>-4.24</v>
          </cell>
        </row>
        <row r="9306">
          <cell r="N9306">
            <v>-3.8959999999999999</v>
          </cell>
        </row>
        <row r="9307">
          <cell r="N9307">
            <v>-9.0510000000000002</v>
          </cell>
        </row>
        <row r="9308">
          <cell r="N9308">
            <v>-3.0270000000000001</v>
          </cell>
        </row>
        <row r="9309">
          <cell r="N9309">
            <v>-8.4459999999999997</v>
          </cell>
        </row>
        <row r="9310">
          <cell r="N9310">
            <v>-1.794</v>
          </cell>
        </row>
        <row r="9311">
          <cell r="N9311">
            <v>-10.121</v>
          </cell>
        </row>
        <row r="9312">
          <cell r="N9312">
            <v>-1.5529999999999999</v>
          </cell>
        </row>
        <row r="9313">
          <cell r="N9313">
            <v>-8.9789999999999992</v>
          </cell>
        </row>
        <row r="9314">
          <cell r="N9314">
            <v>-1.994</v>
          </cell>
        </row>
        <row r="9315">
          <cell r="N9315">
            <v>-1.978</v>
          </cell>
        </row>
        <row r="9316">
          <cell r="N9316">
            <v>-5.8209999999999997</v>
          </cell>
        </row>
        <row r="9317">
          <cell r="N9317">
            <v>-4.4930000000000003</v>
          </cell>
        </row>
        <row r="9318">
          <cell r="N9318">
            <v>-0.60099999999999998</v>
          </cell>
        </row>
        <row r="9319">
          <cell r="N9319">
            <v>-7.7709999999999999</v>
          </cell>
        </row>
        <row r="9320">
          <cell r="N9320">
            <v>-7.343</v>
          </cell>
        </row>
        <row r="9321">
          <cell r="N9321">
            <v>-3.552</v>
          </cell>
        </row>
        <row r="9322">
          <cell r="N9322">
            <v>-3.552</v>
          </cell>
        </row>
        <row r="9323">
          <cell r="N9323">
            <v>-3.9420000000000002</v>
          </cell>
        </row>
        <row r="9324">
          <cell r="N9324">
            <v>-2.3969999999999998</v>
          </cell>
        </row>
        <row r="9325">
          <cell r="N9325">
            <v>-6.665</v>
          </cell>
        </row>
        <row r="9326">
          <cell r="N9326">
            <v>-437.84</v>
          </cell>
        </row>
        <row r="9327">
          <cell r="N9327">
            <v>-620.42100000000005</v>
          </cell>
        </row>
        <row r="9328">
          <cell r="N9328">
            <v>-7.8380000000000001</v>
          </cell>
        </row>
        <row r="9329">
          <cell r="N9329">
            <v>-4.9329999999999998</v>
          </cell>
        </row>
        <row r="9330">
          <cell r="N9330">
            <v>-5.5549999999999997</v>
          </cell>
        </row>
        <row r="9331">
          <cell r="N9331">
            <v>-3.2290000000000001</v>
          </cell>
        </row>
        <row r="9332">
          <cell r="N9332">
            <v>-3.431</v>
          </cell>
        </row>
        <row r="9333">
          <cell r="N9333">
            <v>-569.92200000000003</v>
          </cell>
        </row>
        <row r="9334">
          <cell r="N9334">
            <v>-2.6629999999999998</v>
          </cell>
        </row>
        <row r="9335">
          <cell r="N9335">
            <v>-0.53600000000000003</v>
          </cell>
        </row>
        <row r="9336">
          <cell r="N9336">
            <v>-14.43</v>
          </cell>
        </row>
        <row r="9337">
          <cell r="N9337">
            <v>-20.364999999999998</v>
          </cell>
        </row>
        <row r="9338">
          <cell r="N9338">
            <v>-5.609</v>
          </cell>
        </row>
        <row r="9339">
          <cell r="N9339">
            <v>-3.044</v>
          </cell>
        </row>
        <row r="9340">
          <cell r="N9340">
            <v>-11.474</v>
          </cell>
        </row>
        <row r="9341">
          <cell r="N9341">
            <v>-7.952</v>
          </cell>
        </row>
        <row r="9342">
          <cell r="N9342">
            <v>-9.5500000000000007</v>
          </cell>
        </row>
        <row r="9343">
          <cell r="N9343">
            <v>-8.7889999999999997</v>
          </cell>
        </row>
        <row r="9344">
          <cell r="N9344">
            <v>-7.7039999999999997</v>
          </cell>
        </row>
        <row r="9345">
          <cell r="N9345">
            <v>-10.234999999999999</v>
          </cell>
        </row>
        <row r="9346">
          <cell r="N9346">
            <v>-10.477</v>
          </cell>
        </row>
        <row r="9347">
          <cell r="N9347">
            <v>-2.2450000000000001</v>
          </cell>
        </row>
        <row r="9348">
          <cell r="N9348">
            <v>-19.664999999999999</v>
          </cell>
        </row>
        <row r="9349">
          <cell r="N9349">
            <v>-8.3699999999999992</v>
          </cell>
        </row>
        <row r="9350">
          <cell r="N9350">
            <v>-3.234</v>
          </cell>
        </row>
        <row r="9351">
          <cell r="N9351">
            <v>-10.92</v>
          </cell>
        </row>
        <row r="9352">
          <cell r="N9352">
            <v>-10.696</v>
          </cell>
        </row>
        <row r="9353">
          <cell r="N9353">
            <v>-0.50800000000000001</v>
          </cell>
        </row>
        <row r="9354">
          <cell r="N9354">
            <v>-5.8789999999999996</v>
          </cell>
        </row>
        <row r="9355">
          <cell r="N9355">
            <v>-0.28199999999999997</v>
          </cell>
        </row>
        <row r="9356">
          <cell r="N9356">
            <v>-8.1199999999999992</v>
          </cell>
        </row>
        <row r="9357">
          <cell r="N9357">
            <v>-15.188000000000001</v>
          </cell>
        </row>
        <row r="9358">
          <cell r="N9358">
            <v>-4.4459999999999997</v>
          </cell>
        </row>
        <row r="9359">
          <cell r="N9359">
            <v>-7.4859999999999998</v>
          </cell>
        </row>
        <row r="9360">
          <cell r="N9360">
            <v>-36.981000000000002</v>
          </cell>
        </row>
        <row r="9361">
          <cell r="N9361">
            <v>-268.44600000000003</v>
          </cell>
        </row>
        <row r="9362">
          <cell r="N9362">
            <v>-1.516</v>
          </cell>
        </row>
        <row r="9363">
          <cell r="N9363">
            <v>-8.4849999999999994</v>
          </cell>
        </row>
        <row r="9364">
          <cell r="N9364">
            <v>-7.4569999999999999</v>
          </cell>
        </row>
        <row r="9365">
          <cell r="N9365">
            <v>-9.5879999999999992</v>
          </cell>
        </row>
        <row r="9366">
          <cell r="N9366">
            <v>-8.9030000000000005</v>
          </cell>
        </row>
        <row r="9367">
          <cell r="N9367">
            <v>-9.1440000000000001</v>
          </cell>
        </row>
        <row r="9368">
          <cell r="N9368">
            <v>-0.621</v>
          </cell>
        </row>
        <row r="9369">
          <cell r="N9369">
            <v>-9.7439999999999998</v>
          </cell>
        </row>
        <row r="9370">
          <cell r="N9370">
            <v>-3.2719999999999998</v>
          </cell>
        </row>
        <row r="9371">
          <cell r="N9371">
            <v>-17.472000000000001</v>
          </cell>
        </row>
        <row r="9372">
          <cell r="N9372">
            <v>-9.968</v>
          </cell>
        </row>
        <row r="9373">
          <cell r="N9373">
            <v>-10.691000000000001</v>
          </cell>
        </row>
        <row r="9374">
          <cell r="N9374">
            <v>-1.897</v>
          </cell>
        </row>
        <row r="9375">
          <cell r="N9375">
            <v>-9.4740000000000002</v>
          </cell>
        </row>
        <row r="9376">
          <cell r="N9376">
            <v>-6.3159999999999998</v>
          </cell>
        </row>
        <row r="9377">
          <cell r="N9377">
            <v>-0.59499999999999997</v>
          </cell>
        </row>
        <row r="9378">
          <cell r="N9378">
            <v>-3.5760000000000001</v>
          </cell>
        </row>
        <row r="9379">
          <cell r="N9379">
            <v>-9.8919999999999995</v>
          </cell>
        </row>
        <row r="9380">
          <cell r="N9380">
            <v>-6.42</v>
          </cell>
        </row>
        <row r="9381">
          <cell r="N9381">
            <v>-3.8140000000000001</v>
          </cell>
        </row>
        <row r="9382">
          <cell r="N9382">
            <v>-14.000999999999999</v>
          </cell>
        </row>
        <row r="9383">
          <cell r="N9383">
            <v>-5.8789999999999996</v>
          </cell>
        </row>
        <row r="9384">
          <cell r="N9384">
            <v>-6.758</v>
          </cell>
        </row>
        <row r="9385">
          <cell r="N9385">
            <v>-3.0129999999999999</v>
          </cell>
        </row>
        <row r="9386">
          <cell r="N9386">
            <v>-1.546</v>
          </cell>
        </row>
        <row r="9387">
          <cell r="N9387">
            <v>-5.0010000000000003</v>
          </cell>
        </row>
        <row r="9388">
          <cell r="N9388">
            <v>-2.7770000000000001</v>
          </cell>
        </row>
        <row r="9389">
          <cell r="N9389">
            <v>-1.8819999999999999</v>
          </cell>
        </row>
        <row r="9390">
          <cell r="N9390">
            <v>-14.006</v>
          </cell>
        </row>
        <row r="9391">
          <cell r="N9391">
            <v>-2.7770000000000001</v>
          </cell>
        </row>
        <row r="9392">
          <cell r="N9392">
            <v>-3.5110000000000001</v>
          </cell>
        </row>
        <row r="9393">
          <cell r="N9393">
            <v>-3.2290000000000001</v>
          </cell>
        </row>
        <row r="9394">
          <cell r="N9394">
            <v>-171.94499999999999</v>
          </cell>
        </row>
        <row r="9395">
          <cell r="N9395">
            <v>-2.7040000000000002</v>
          </cell>
        </row>
        <row r="9396">
          <cell r="N9396">
            <v>-2.7010000000000001</v>
          </cell>
        </row>
        <row r="9397">
          <cell r="N9397">
            <v>-2.2450000000000001</v>
          </cell>
        </row>
        <row r="9398">
          <cell r="N9398">
            <v>-5.1360000000000001</v>
          </cell>
        </row>
        <row r="9399">
          <cell r="N9399">
            <v>-13.794</v>
          </cell>
        </row>
        <row r="9400">
          <cell r="N9400">
            <v>-8.5229999999999997</v>
          </cell>
        </row>
        <row r="9401">
          <cell r="N9401">
            <v>-2.2829999999999999</v>
          </cell>
        </row>
        <row r="9402">
          <cell r="N9402">
            <v>-10.234999999999999</v>
          </cell>
        </row>
        <row r="9403">
          <cell r="N9403">
            <v>-0.64</v>
          </cell>
        </row>
        <row r="9404">
          <cell r="N9404">
            <v>-1.5089999999999999</v>
          </cell>
        </row>
        <row r="9405">
          <cell r="N9405">
            <v>-9.5879999999999992</v>
          </cell>
        </row>
        <row r="9406">
          <cell r="N9406">
            <v>-3.4940000000000002</v>
          </cell>
        </row>
        <row r="9407">
          <cell r="N9407">
            <v>-6.0890000000000004</v>
          </cell>
        </row>
        <row r="9408">
          <cell r="N9408">
            <v>-10</v>
          </cell>
        </row>
        <row r="9409">
          <cell r="N9409">
            <v>-529.13099999999997</v>
          </cell>
        </row>
        <row r="9410">
          <cell r="N9410">
            <v>-529.13099999999997</v>
          </cell>
        </row>
        <row r="9411">
          <cell r="N9411">
            <v>-1154</v>
          </cell>
        </row>
        <row r="9412">
          <cell r="N9412">
            <v>-1154</v>
          </cell>
        </row>
        <row r="9413">
          <cell r="N9413">
            <v>-1154</v>
          </cell>
        </row>
        <row r="9414">
          <cell r="N9414">
            <v>-1154</v>
          </cell>
        </row>
        <row r="9415">
          <cell r="N9415">
            <v>-302</v>
          </cell>
        </row>
        <row r="9416">
          <cell r="N9416">
            <v>-324</v>
          </cell>
        </row>
        <row r="9417">
          <cell r="N9417">
            <v>-277</v>
          </cell>
        </row>
        <row r="9418">
          <cell r="N9418">
            <v>-277</v>
          </cell>
        </row>
        <row r="9419">
          <cell r="N9419">
            <v>-162</v>
          </cell>
        </row>
        <row r="9420">
          <cell r="N9420">
            <v>-4</v>
          </cell>
        </row>
        <row r="9421">
          <cell r="N9421">
            <v>-7.6360000000000001</v>
          </cell>
        </row>
        <row r="9422">
          <cell r="N9422">
            <v>-7.7240000000000002</v>
          </cell>
        </row>
        <row r="9423">
          <cell r="N9423">
            <v>-12.054</v>
          </cell>
        </row>
        <row r="9424">
          <cell r="N9424">
            <v>-2.93</v>
          </cell>
        </row>
        <row r="9425">
          <cell r="N9425">
            <v>-7.0960000000000001</v>
          </cell>
        </row>
        <row r="9426">
          <cell r="N9426">
            <v>-2.93</v>
          </cell>
        </row>
        <row r="9427">
          <cell r="N9427">
            <v>-9.3979999999999997</v>
          </cell>
        </row>
        <row r="9428">
          <cell r="N9428">
            <v>-7</v>
          </cell>
        </row>
        <row r="9429">
          <cell r="N9429">
            <v>-1.9850000000000001</v>
          </cell>
        </row>
        <row r="9430">
          <cell r="N9430">
            <v>-7.0960000000000001</v>
          </cell>
        </row>
        <row r="9431">
          <cell r="N9431">
            <v>-4</v>
          </cell>
        </row>
        <row r="9432">
          <cell r="N9432">
            <v>-1.643</v>
          </cell>
        </row>
        <row r="9433">
          <cell r="N9433">
            <v>-8</v>
          </cell>
        </row>
        <row r="9434">
          <cell r="N9434">
            <v>-2.8660000000000001</v>
          </cell>
        </row>
        <row r="9435">
          <cell r="N9435">
            <v>-3.496</v>
          </cell>
        </row>
        <row r="9436">
          <cell r="N9436">
            <v>-19.664999999999999</v>
          </cell>
        </row>
        <row r="9437">
          <cell r="N9437">
            <v>-517.60900000000004</v>
          </cell>
        </row>
        <row r="9438">
          <cell r="N9438">
            <v>-10.234999999999999</v>
          </cell>
        </row>
        <row r="9439">
          <cell r="N9439">
            <v>-8.9789999999999992</v>
          </cell>
        </row>
        <row r="9440">
          <cell r="N9440">
            <v>-1.897</v>
          </cell>
        </row>
        <row r="9441">
          <cell r="N9441">
            <v>-1.718</v>
          </cell>
        </row>
        <row r="9442">
          <cell r="N9442">
            <v>-4.0910000000000002</v>
          </cell>
        </row>
        <row r="9443">
          <cell r="N9443">
            <v>-3.4710000000000001</v>
          </cell>
        </row>
        <row r="9444">
          <cell r="N9444">
            <v>-2.8919999999999999</v>
          </cell>
        </row>
        <row r="9445">
          <cell r="N9445">
            <v>-4.7220000000000004</v>
          </cell>
        </row>
        <row r="9446">
          <cell r="N9446">
            <v>-2.5870000000000002</v>
          </cell>
        </row>
        <row r="9447">
          <cell r="N9447">
            <v>-1.5269999999999999</v>
          </cell>
        </row>
        <row r="9448">
          <cell r="N9448">
            <v>-9.2140000000000004</v>
          </cell>
        </row>
        <row r="9449">
          <cell r="N9449">
            <v>-10.881</v>
          </cell>
        </row>
        <row r="9450">
          <cell r="N9450">
            <v>-9.4359999999999999</v>
          </cell>
        </row>
        <row r="9451">
          <cell r="N9451">
            <v>-1.9570000000000001</v>
          </cell>
        </row>
        <row r="9452">
          <cell r="N9452">
            <v>-2.0310000000000001</v>
          </cell>
        </row>
        <row r="9453">
          <cell r="N9453">
            <v>-10.263999999999999</v>
          </cell>
        </row>
        <row r="9454">
          <cell r="N9454">
            <v>-4.8029999999999999</v>
          </cell>
        </row>
        <row r="9455">
          <cell r="N9455">
            <v>-1.5009999999999999</v>
          </cell>
        </row>
        <row r="9456">
          <cell r="N9456">
            <v>-7.3810000000000002</v>
          </cell>
        </row>
        <row r="9457">
          <cell r="N9457">
            <v>-9.5120000000000005</v>
          </cell>
        </row>
        <row r="9458">
          <cell r="N9458">
            <v>-0.58799999999999997</v>
          </cell>
        </row>
        <row r="9459">
          <cell r="N9459">
            <v>-2.5489999999999999</v>
          </cell>
        </row>
        <row r="9460">
          <cell r="N9460">
            <v>-5.9470000000000001</v>
          </cell>
        </row>
        <row r="9461">
          <cell r="N9461">
            <v>-12.289</v>
          </cell>
        </row>
        <row r="9462">
          <cell r="N9462">
            <v>-8.0660000000000007</v>
          </cell>
        </row>
        <row r="9463">
          <cell r="N9463">
            <v>-8.718</v>
          </cell>
        </row>
        <row r="9464">
          <cell r="N9464">
            <v>-0.56899999999999995</v>
          </cell>
        </row>
        <row r="9465">
          <cell r="N9465">
            <v>-8.1039999999999992</v>
          </cell>
        </row>
        <row r="9466">
          <cell r="N9466">
            <v>-531.79</v>
          </cell>
        </row>
        <row r="9467">
          <cell r="N9467">
            <v>-1.7250000000000001</v>
          </cell>
        </row>
        <row r="9468">
          <cell r="N9468">
            <v>-12.86</v>
          </cell>
        </row>
        <row r="9469">
          <cell r="N9469">
            <v>-4.2030000000000003</v>
          </cell>
        </row>
        <row r="9470">
          <cell r="N9470">
            <v>-10.285</v>
          </cell>
        </row>
        <row r="9471">
          <cell r="N9471">
            <v>-10.285</v>
          </cell>
        </row>
        <row r="9472">
          <cell r="N9472">
            <v>-12.821999999999999</v>
          </cell>
        </row>
        <row r="9473">
          <cell r="N9473">
            <v>-473.96100000000001</v>
          </cell>
        </row>
        <row r="9474">
          <cell r="N9474">
            <v>-3.552</v>
          </cell>
        </row>
        <row r="9475">
          <cell r="N9475">
            <v>-9.4130000000000003</v>
          </cell>
        </row>
        <row r="9476">
          <cell r="N9476">
            <v>-531.79</v>
          </cell>
        </row>
        <row r="9477">
          <cell r="N9477">
            <v>-4.2779999999999996</v>
          </cell>
        </row>
        <row r="9478">
          <cell r="N9478">
            <v>-3.1960000000000002</v>
          </cell>
        </row>
        <row r="9479">
          <cell r="N9479">
            <v>-2.6629999999999998</v>
          </cell>
        </row>
        <row r="9480">
          <cell r="N9480">
            <v>-3.4710000000000001</v>
          </cell>
        </row>
        <row r="9481">
          <cell r="N9481">
            <v>-2.5870000000000002</v>
          </cell>
        </row>
        <row r="9482">
          <cell r="N9482">
            <v>-9.36</v>
          </cell>
        </row>
        <row r="9483">
          <cell r="N9483">
            <v>-7.1150000000000002</v>
          </cell>
        </row>
        <row r="9484">
          <cell r="N9484">
            <v>-77</v>
          </cell>
        </row>
        <row r="9485">
          <cell r="N9485">
            <v>-30</v>
          </cell>
        </row>
        <row r="9486">
          <cell r="N9486">
            <v>-11.436999999999999</v>
          </cell>
        </row>
        <row r="9487">
          <cell r="N9487">
            <v>-105</v>
          </cell>
        </row>
        <row r="9488">
          <cell r="N9488">
            <v>-298</v>
          </cell>
        </row>
        <row r="9489">
          <cell r="N9489">
            <v>-277</v>
          </cell>
        </row>
        <row r="9490">
          <cell r="N9490">
            <v>-277</v>
          </cell>
        </row>
        <row r="9491">
          <cell r="N9491">
            <v>-277</v>
          </cell>
        </row>
        <row r="9492">
          <cell r="N9492">
            <v>-684</v>
          </cell>
        </row>
        <row r="9493">
          <cell r="N9493">
            <v>-0.53600000000000003</v>
          </cell>
        </row>
        <row r="9494">
          <cell r="N9494">
            <v>-684</v>
          </cell>
        </row>
        <row r="9495">
          <cell r="N9495">
            <v>-216</v>
          </cell>
        </row>
        <row r="9496">
          <cell r="N9496">
            <v>-17</v>
          </cell>
        </row>
        <row r="9497">
          <cell r="N9497">
            <v>-218</v>
          </cell>
        </row>
        <row r="9498">
          <cell r="N9498">
            <v>-105</v>
          </cell>
        </row>
        <row r="9499">
          <cell r="N9499">
            <v>-302</v>
          </cell>
        </row>
        <row r="9500">
          <cell r="N9500">
            <v>-9.6620000000000008</v>
          </cell>
        </row>
        <row r="9501">
          <cell r="N9501">
            <v>-1.294</v>
          </cell>
        </row>
        <row r="9502">
          <cell r="N9502">
            <v>-8.218</v>
          </cell>
        </row>
        <row r="9503">
          <cell r="N9503">
            <v>-10.218999999999999</v>
          </cell>
        </row>
        <row r="9504">
          <cell r="N9504">
            <v>-9.4740000000000002</v>
          </cell>
        </row>
        <row r="9505">
          <cell r="N9505">
            <v>-3.31</v>
          </cell>
        </row>
        <row r="9506">
          <cell r="N9506">
            <v>-3.5</v>
          </cell>
        </row>
        <row r="9507">
          <cell r="N9507">
            <v>-2.625</v>
          </cell>
        </row>
        <row r="9508">
          <cell r="N9508">
            <v>-7.2309999999999999</v>
          </cell>
        </row>
        <row r="9509">
          <cell r="N9509">
            <v>-8.5990000000000002</v>
          </cell>
        </row>
        <row r="9510">
          <cell r="N9510">
            <v>-430</v>
          </cell>
        </row>
        <row r="9511">
          <cell r="N9511">
            <v>-520</v>
          </cell>
        </row>
        <row r="9512">
          <cell r="N9512">
            <v>-9.74</v>
          </cell>
        </row>
        <row r="9513">
          <cell r="N9513">
            <v>-530</v>
          </cell>
        </row>
        <row r="9514">
          <cell r="N9514">
            <v>-527.49199999999996</v>
          </cell>
        </row>
        <row r="9515">
          <cell r="N9515">
            <v>-1154</v>
          </cell>
        </row>
        <row r="9516">
          <cell r="N9516">
            <v>-1154</v>
          </cell>
        </row>
        <row r="9517">
          <cell r="N9517">
            <v>-277</v>
          </cell>
        </row>
        <row r="9518">
          <cell r="N9518">
            <v>-152</v>
          </cell>
        </row>
        <row r="9519">
          <cell r="N9519">
            <v>-5</v>
          </cell>
        </row>
        <row r="9520">
          <cell r="N9520">
            <v>-7.62</v>
          </cell>
        </row>
        <row r="9521">
          <cell r="N9521">
            <v>-11.034000000000001</v>
          </cell>
        </row>
        <row r="9522">
          <cell r="N9522">
            <v>-1154</v>
          </cell>
        </row>
        <row r="9523">
          <cell r="N9523">
            <v>-7.1630000000000003</v>
          </cell>
        </row>
        <row r="9524">
          <cell r="N9524">
            <v>-322</v>
          </cell>
        </row>
        <row r="9525">
          <cell r="N9525">
            <v>-7.8380000000000001</v>
          </cell>
        </row>
        <row r="9526">
          <cell r="N9526">
            <v>-3.234</v>
          </cell>
        </row>
        <row r="9527">
          <cell r="N9527">
            <v>-36</v>
          </cell>
        </row>
        <row r="9528">
          <cell r="N9528">
            <v>-10</v>
          </cell>
        </row>
        <row r="9529">
          <cell r="N9529">
            <v>-4.5449999999999999</v>
          </cell>
        </row>
        <row r="9530">
          <cell r="N9530">
            <v>-9.36</v>
          </cell>
        </row>
        <row r="9531">
          <cell r="N9531">
            <v>-2.3969999999999998</v>
          </cell>
        </row>
        <row r="9532">
          <cell r="N9532">
            <v>-1.83</v>
          </cell>
        </row>
        <row r="9533">
          <cell r="N9533">
            <v>-2.9009999999999998</v>
          </cell>
        </row>
        <row r="9534">
          <cell r="N9534">
            <v>-3.31</v>
          </cell>
        </row>
        <row r="9535">
          <cell r="N9535">
            <v>-3.8519999999999999</v>
          </cell>
        </row>
        <row r="9536">
          <cell r="N9536">
            <v>-3.1480000000000001</v>
          </cell>
        </row>
        <row r="9537">
          <cell r="N9537">
            <v>-0.627</v>
          </cell>
        </row>
        <row r="9538">
          <cell r="N9538">
            <v>-575.58500000000004</v>
          </cell>
        </row>
        <row r="9539">
          <cell r="N9539">
            <v>-580.58799999999997</v>
          </cell>
        </row>
        <row r="9540">
          <cell r="N9540">
            <v>-10.696</v>
          </cell>
        </row>
        <row r="9541">
          <cell r="N9541">
            <v>-8.6059999999999999</v>
          </cell>
        </row>
        <row r="9542">
          <cell r="N9542">
            <v>-8.5609999999999999</v>
          </cell>
        </row>
        <row r="9543">
          <cell r="N9543">
            <v>-2.7010000000000001</v>
          </cell>
        </row>
        <row r="9544">
          <cell r="N9544">
            <v>-3.1480000000000001</v>
          </cell>
        </row>
        <row r="9545">
          <cell r="N9545">
            <v>-10.611000000000001</v>
          </cell>
        </row>
        <row r="9546">
          <cell r="N9546">
            <v>-6.15</v>
          </cell>
        </row>
        <row r="9547">
          <cell r="N9547">
            <v>-5.3390000000000004</v>
          </cell>
        </row>
        <row r="9548">
          <cell r="N9548">
            <v>-10.367000000000001</v>
          </cell>
        </row>
        <row r="9549">
          <cell r="N9549">
            <v>-13.132999999999999</v>
          </cell>
        </row>
        <row r="9550">
          <cell r="N9550">
            <v>-489.74099999999999</v>
          </cell>
        </row>
        <row r="9551">
          <cell r="N9551">
            <v>-489.74099999999999</v>
          </cell>
        </row>
        <row r="9552">
          <cell r="N9552">
            <v>-3.3479999999999999</v>
          </cell>
        </row>
        <row r="9553">
          <cell r="N9553">
            <v>-20.867999999999999</v>
          </cell>
        </row>
        <row r="9554">
          <cell r="N9554">
            <v>-3.552</v>
          </cell>
        </row>
        <row r="9555">
          <cell r="N9555">
            <v>-3.0819999999999999</v>
          </cell>
        </row>
        <row r="9556">
          <cell r="N9556">
            <v>-4.1710000000000003</v>
          </cell>
        </row>
        <row r="9557">
          <cell r="N9557">
            <v>-9.36</v>
          </cell>
        </row>
        <row r="9558">
          <cell r="N9558">
            <v>-7.4340000000000002</v>
          </cell>
        </row>
        <row r="9559">
          <cell r="N9559">
            <v>-16.643999999999998</v>
          </cell>
        </row>
        <row r="9560">
          <cell r="N9560">
            <v>-0.60099999999999998</v>
          </cell>
        </row>
        <row r="9561">
          <cell r="N9561">
            <v>-11.414</v>
          </cell>
        </row>
        <row r="9562">
          <cell r="N9562">
            <v>-2.8540000000000001</v>
          </cell>
        </row>
        <row r="9563">
          <cell r="N9563">
            <v>-0.61399999999999999</v>
          </cell>
        </row>
        <row r="9564">
          <cell r="N9564">
            <v>-0.56899999999999995</v>
          </cell>
        </row>
        <row r="9565">
          <cell r="N9565">
            <v>-11.609</v>
          </cell>
        </row>
        <row r="9566">
          <cell r="N9566">
            <v>-11.56</v>
          </cell>
        </row>
        <row r="9567">
          <cell r="N9567">
            <v>-5.0919999999999996</v>
          </cell>
        </row>
        <row r="9568">
          <cell r="N9568">
            <v>-5.1639999999999997</v>
          </cell>
        </row>
        <row r="9569">
          <cell r="N9569">
            <v>-1.851</v>
          </cell>
        </row>
        <row r="9570">
          <cell r="N9570">
            <v>-3.31</v>
          </cell>
        </row>
        <row r="9571">
          <cell r="N9571">
            <v>-4.7229999999999999</v>
          </cell>
        </row>
        <row r="9572">
          <cell r="N9572">
            <v>-9.1310000000000002</v>
          </cell>
        </row>
        <row r="9573">
          <cell r="N9573">
            <v>-7.952</v>
          </cell>
        </row>
        <row r="9574">
          <cell r="N9574">
            <v>-10.881</v>
          </cell>
        </row>
        <row r="9575">
          <cell r="N9575">
            <v>-7.952</v>
          </cell>
        </row>
        <row r="9576">
          <cell r="N9576">
            <v>-6.2850000000000001</v>
          </cell>
        </row>
        <row r="9577">
          <cell r="N9577">
            <v>-3.8050000000000002</v>
          </cell>
        </row>
        <row r="9578">
          <cell r="N9578">
            <v>-10.691000000000001</v>
          </cell>
        </row>
        <row r="9579">
          <cell r="N9579">
            <v>-7.5449999999999999</v>
          </cell>
        </row>
        <row r="9580">
          <cell r="N9580">
            <v>-5.4740000000000002</v>
          </cell>
        </row>
        <row r="9581">
          <cell r="N9581">
            <v>-10.532</v>
          </cell>
        </row>
        <row r="9582">
          <cell r="N9582">
            <v>-8.1419999999999995</v>
          </cell>
        </row>
        <row r="9583">
          <cell r="N9583">
            <v>-1.643</v>
          </cell>
        </row>
        <row r="9584">
          <cell r="N9584">
            <v>-1.9339999999999999</v>
          </cell>
        </row>
        <row r="9585">
          <cell r="N9585">
            <v>-9.5500000000000007</v>
          </cell>
        </row>
        <row r="9586">
          <cell r="N9586">
            <v>-9.74</v>
          </cell>
        </row>
        <row r="9587">
          <cell r="N9587">
            <v>-0.56200000000000006</v>
          </cell>
        </row>
        <row r="9588">
          <cell r="N9588">
            <v>-11.456</v>
          </cell>
        </row>
        <row r="9589">
          <cell r="N9589">
            <v>-10.006</v>
          </cell>
        </row>
        <row r="9590">
          <cell r="N9590">
            <v>-17.001999999999999</v>
          </cell>
        </row>
        <row r="9591">
          <cell r="N9591">
            <v>-10.039999999999999</v>
          </cell>
        </row>
        <row r="9592">
          <cell r="N9592">
            <v>-8.1039999999999992</v>
          </cell>
        </row>
        <row r="9593">
          <cell r="N9593">
            <v>-1</v>
          </cell>
        </row>
        <row r="9594">
          <cell r="N9594">
            <v>-1</v>
          </cell>
        </row>
        <row r="9595">
          <cell r="N9595">
            <v>-2</v>
          </cell>
        </row>
        <row r="9596">
          <cell r="N9596">
            <v>-298</v>
          </cell>
        </row>
        <row r="9597">
          <cell r="N9597">
            <v>-684</v>
          </cell>
        </row>
        <row r="9598">
          <cell r="N9598">
            <v>-1.613</v>
          </cell>
        </row>
        <row r="9599">
          <cell r="N9599">
            <v>-9.702</v>
          </cell>
        </row>
        <row r="9600">
          <cell r="N9600">
            <v>-13.266999999999999</v>
          </cell>
        </row>
        <row r="9601">
          <cell r="N9601">
            <v>-20.268999999999998</v>
          </cell>
        </row>
        <row r="9602">
          <cell r="N9602">
            <v>-1.927</v>
          </cell>
        </row>
        <row r="9603">
          <cell r="N9603">
            <v>-2.7010000000000001</v>
          </cell>
        </row>
        <row r="9604">
          <cell r="N9604">
            <v>-11.396000000000001</v>
          </cell>
        </row>
        <row r="9605">
          <cell r="N9605">
            <v>-8.7509999999999994</v>
          </cell>
        </row>
        <row r="9606">
          <cell r="N9606">
            <v>-3.645</v>
          </cell>
        </row>
        <row r="9607">
          <cell r="N9607">
            <v>-12.73</v>
          </cell>
        </row>
        <row r="9608">
          <cell r="N9608">
            <v>-9.4740000000000002</v>
          </cell>
        </row>
        <row r="9609">
          <cell r="N9609">
            <v>-17.117999999999999</v>
          </cell>
        </row>
        <row r="9610">
          <cell r="N9610">
            <v>-11.519</v>
          </cell>
        </row>
        <row r="9611">
          <cell r="N9611">
            <v>-11.742000000000001</v>
          </cell>
        </row>
        <row r="9612">
          <cell r="N9612">
            <v>-4.1710000000000003</v>
          </cell>
        </row>
        <row r="9613">
          <cell r="N9613">
            <v>-1.456</v>
          </cell>
        </row>
        <row r="9614">
          <cell r="N9614">
            <v>-18.462</v>
          </cell>
        </row>
        <row r="9615">
          <cell r="N9615">
            <v>-2.8540000000000001</v>
          </cell>
        </row>
        <row r="9616">
          <cell r="N9616">
            <v>-5.0010000000000003</v>
          </cell>
        </row>
        <row r="9617">
          <cell r="N9617">
            <v>-3.0670000000000002</v>
          </cell>
        </row>
        <row r="9618">
          <cell r="N9618">
            <v>-9.1310000000000002</v>
          </cell>
        </row>
        <row r="9619">
          <cell r="N9619">
            <v>-10.500999999999999</v>
          </cell>
        </row>
        <row r="9620">
          <cell r="N9620">
            <v>-10.958</v>
          </cell>
        </row>
        <row r="9621">
          <cell r="N9621">
            <v>-2.5430000000000001</v>
          </cell>
        </row>
        <row r="9622">
          <cell r="N9622">
            <v>-10.425000000000001</v>
          </cell>
        </row>
        <row r="9623">
          <cell r="N9623">
            <v>-9.5879999999999992</v>
          </cell>
        </row>
        <row r="9624">
          <cell r="N9624">
            <v>-1.875</v>
          </cell>
        </row>
        <row r="9625">
          <cell r="N9625">
            <v>-127.691</v>
          </cell>
        </row>
        <row r="9626">
          <cell r="N9626">
            <v>-3.1480000000000001</v>
          </cell>
        </row>
        <row r="9627">
          <cell r="N9627">
            <v>-3.044</v>
          </cell>
        </row>
        <row r="9628">
          <cell r="N9628">
            <v>-2.8919999999999999</v>
          </cell>
        </row>
        <row r="9629">
          <cell r="N9629">
            <v>-6.42</v>
          </cell>
        </row>
        <row r="9630">
          <cell r="N9630">
            <v>-9.36</v>
          </cell>
        </row>
        <row r="9631">
          <cell r="N9631">
            <v>-17.684000000000001</v>
          </cell>
        </row>
        <row r="9632">
          <cell r="N9632">
            <v>-5.2709999999999999</v>
          </cell>
        </row>
        <row r="9633">
          <cell r="N9633">
            <v>-1.399</v>
          </cell>
        </row>
        <row r="9634">
          <cell r="N9634">
            <v>-2.8540000000000001</v>
          </cell>
        </row>
        <row r="9635">
          <cell r="N9635">
            <v>-7.0279999999999996</v>
          </cell>
        </row>
        <row r="9636">
          <cell r="N9636">
            <v>-1.679</v>
          </cell>
        </row>
        <row r="9637">
          <cell r="N9637">
            <v>-9.7780000000000005</v>
          </cell>
        </row>
        <row r="9638">
          <cell r="N9638">
            <v>-8.6750000000000007</v>
          </cell>
        </row>
        <row r="9639">
          <cell r="N9639">
            <v>-1.508</v>
          </cell>
        </row>
        <row r="9640">
          <cell r="N9640">
            <v>-11.49</v>
          </cell>
        </row>
        <row r="9641">
          <cell r="N9641">
            <v>-302</v>
          </cell>
        </row>
        <row r="9642">
          <cell r="N9642">
            <v>-302</v>
          </cell>
        </row>
        <row r="9643">
          <cell r="N9643">
            <v>-7.077</v>
          </cell>
        </row>
        <row r="9644">
          <cell r="N9644">
            <v>-277</v>
          </cell>
        </row>
        <row r="9645">
          <cell r="N9645">
            <v>-3.161</v>
          </cell>
        </row>
        <row r="9646">
          <cell r="N9646">
            <v>-277</v>
          </cell>
        </row>
        <row r="9647">
          <cell r="N9647">
            <v>-8.5990000000000002</v>
          </cell>
        </row>
        <row r="9648">
          <cell r="N9648">
            <v>-277</v>
          </cell>
        </row>
        <row r="9649">
          <cell r="N9649">
            <v>-302</v>
          </cell>
        </row>
        <row r="9650">
          <cell r="N9650">
            <v>-1.837</v>
          </cell>
        </row>
        <row r="9651">
          <cell r="N9651">
            <v>-57.116</v>
          </cell>
        </row>
        <row r="9652">
          <cell r="N9652">
            <v>-8.6750000000000007</v>
          </cell>
        </row>
        <row r="9653">
          <cell r="N9653">
            <v>-1.3819999999999999</v>
          </cell>
        </row>
        <row r="9654">
          <cell r="N9654">
            <v>-10.349</v>
          </cell>
        </row>
        <row r="9655">
          <cell r="N9655">
            <v>-2.7770000000000001</v>
          </cell>
        </row>
        <row r="9656">
          <cell r="N9656">
            <v>-2.169</v>
          </cell>
        </row>
        <row r="9657">
          <cell r="N9657">
            <v>-3.0270000000000001</v>
          </cell>
        </row>
        <row r="9658">
          <cell r="N9658">
            <v>-2.8540000000000001</v>
          </cell>
        </row>
        <row r="9659">
          <cell r="N9659">
            <v>-6.9249999999999998</v>
          </cell>
        </row>
        <row r="9660">
          <cell r="N9660">
            <v>-9.2070000000000007</v>
          </cell>
        </row>
        <row r="9661">
          <cell r="N9661">
            <v>-8.3170000000000002</v>
          </cell>
        </row>
        <row r="9662">
          <cell r="N9662">
            <v>-9.1690000000000005</v>
          </cell>
        </row>
        <row r="9663">
          <cell r="N9663">
            <v>-5.4740000000000002</v>
          </cell>
        </row>
        <row r="9664">
          <cell r="N9664">
            <v>-6.15</v>
          </cell>
        </row>
        <row r="9665">
          <cell r="N9665">
            <v>-1.4039999999999999</v>
          </cell>
        </row>
        <row r="9666">
          <cell r="N9666">
            <v>-3.6909999999999998</v>
          </cell>
        </row>
        <row r="9667">
          <cell r="N9667">
            <v>-2.7770000000000001</v>
          </cell>
        </row>
        <row r="9668">
          <cell r="N9668">
            <v>-13</v>
          </cell>
        </row>
        <row r="9669">
          <cell r="N9669">
            <v>-302</v>
          </cell>
        </row>
        <row r="9670">
          <cell r="N9670">
            <v>-1154</v>
          </cell>
        </row>
        <row r="9671">
          <cell r="N9671">
            <v>-11.385</v>
          </cell>
        </row>
        <row r="9672">
          <cell r="N9672">
            <v>-1154</v>
          </cell>
        </row>
        <row r="9673">
          <cell r="N9673">
            <v>-9.6639999999999997</v>
          </cell>
        </row>
        <row r="9674">
          <cell r="N9674">
            <v>-684</v>
          </cell>
        </row>
        <row r="9675">
          <cell r="N9675">
            <v>-302</v>
          </cell>
        </row>
        <row r="9676">
          <cell r="N9676">
            <v>-9.702</v>
          </cell>
        </row>
        <row r="9677">
          <cell r="N9677">
            <v>-1.6359999999999999</v>
          </cell>
        </row>
        <row r="9678">
          <cell r="N9678">
            <v>-10.444000000000001</v>
          </cell>
        </row>
        <row r="9679">
          <cell r="N9679">
            <v>-11.272</v>
          </cell>
        </row>
        <row r="9680">
          <cell r="N9680">
            <v>-2.3809999999999998</v>
          </cell>
        </row>
        <row r="9681">
          <cell r="N9681">
            <v>-2.4620000000000002</v>
          </cell>
        </row>
        <row r="9682">
          <cell r="N9682">
            <v>-1.994</v>
          </cell>
        </row>
        <row r="9683">
          <cell r="N9683">
            <v>-3.0270000000000001</v>
          </cell>
        </row>
        <row r="9684">
          <cell r="N9684">
            <v>-8.9030000000000005</v>
          </cell>
        </row>
        <row r="9685">
          <cell r="N9685">
            <v>-9.4740000000000002</v>
          </cell>
        </row>
        <row r="9686">
          <cell r="N9686">
            <v>-6.42</v>
          </cell>
        </row>
        <row r="9687">
          <cell r="N9687">
            <v>-10.349</v>
          </cell>
        </row>
        <row r="9688">
          <cell r="N9688">
            <v>-11.833</v>
          </cell>
        </row>
        <row r="9689">
          <cell r="N9689">
            <v>-9.36</v>
          </cell>
        </row>
        <row r="9690">
          <cell r="N9690">
            <v>-7.1630000000000003</v>
          </cell>
        </row>
        <row r="9691">
          <cell r="N9691">
            <v>-1.66</v>
          </cell>
        </row>
        <row r="9692">
          <cell r="N9692">
            <v>-8.6370000000000005</v>
          </cell>
        </row>
        <row r="9693">
          <cell r="N9693">
            <v>-4.3929999999999998</v>
          </cell>
        </row>
        <row r="9694">
          <cell r="N9694">
            <v>-0.67100000000000004</v>
          </cell>
        </row>
        <row r="9695">
          <cell r="N9695">
            <v>-9.4359999999999999</v>
          </cell>
        </row>
        <row r="9696">
          <cell r="N9696">
            <v>-3.653</v>
          </cell>
        </row>
        <row r="9697">
          <cell r="N9697">
            <v>-1.7849999999999999</v>
          </cell>
        </row>
        <row r="9698">
          <cell r="N9698">
            <v>-8.9030000000000005</v>
          </cell>
        </row>
        <row r="9699">
          <cell r="N9699">
            <v>-0.21299999999999999</v>
          </cell>
        </row>
        <row r="9700">
          <cell r="N9700">
            <v>-2.968</v>
          </cell>
        </row>
        <row r="9701">
          <cell r="N9701">
            <v>-6.9630000000000001</v>
          </cell>
        </row>
        <row r="9702">
          <cell r="N9702">
            <v>-5.5410000000000004</v>
          </cell>
        </row>
        <row r="9703">
          <cell r="N9703">
            <v>-7.6470000000000002</v>
          </cell>
        </row>
        <row r="9704">
          <cell r="N9704">
            <v>-0.97799999999999998</v>
          </cell>
        </row>
        <row r="9705">
          <cell r="N9705">
            <v>-4.0170000000000003</v>
          </cell>
        </row>
        <row r="9706">
          <cell r="N9706">
            <v>-1.94</v>
          </cell>
        </row>
        <row r="9707">
          <cell r="N9707">
            <v>-3.919</v>
          </cell>
        </row>
        <row r="9708">
          <cell r="N9708">
            <v>-9.3710000000000004</v>
          </cell>
        </row>
        <row r="9709">
          <cell r="N9709">
            <v>-3.0059999999999998</v>
          </cell>
        </row>
        <row r="9710">
          <cell r="N9710">
            <v>-2.7269999999999999</v>
          </cell>
        </row>
        <row r="9711">
          <cell r="N9711">
            <v>-516.72199999999998</v>
          </cell>
        </row>
        <row r="9712">
          <cell r="N9712">
            <v>-2.3210000000000002</v>
          </cell>
        </row>
        <row r="9713">
          <cell r="N9713">
            <v>-10.082000000000001</v>
          </cell>
        </row>
        <row r="9714">
          <cell r="N9714">
            <v>-9.3219999999999992</v>
          </cell>
        </row>
        <row r="9715">
          <cell r="N9715">
            <v>-3.39</v>
          </cell>
        </row>
        <row r="9716">
          <cell r="N9716">
            <v>-10.202999999999999</v>
          </cell>
        </row>
        <row r="9717">
          <cell r="N9717">
            <v>-531.79</v>
          </cell>
        </row>
        <row r="9718">
          <cell r="N9718">
            <v>-63.381999999999998</v>
          </cell>
        </row>
        <row r="9719">
          <cell r="N9719">
            <v>-401.41899999999998</v>
          </cell>
        </row>
        <row r="9720">
          <cell r="N9720">
            <v>-1.6220000000000001</v>
          </cell>
        </row>
        <row r="9721">
          <cell r="N9721">
            <v>-20.372</v>
          </cell>
        </row>
        <row r="9722">
          <cell r="N9722">
            <v>-0.69099999999999995</v>
          </cell>
        </row>
        <row r="9723">
          <cell r="N9723">
            <v>-0.47599999999999998</v>
          </cell>
        </row>
        <row r="9724">
          <cell r="N9724">
            <v>-401.41899999999998</v>
          </cell>
        </row>
        <row r="9725">
          <cell r="N9725">
            <v>-19.452999999999999</v>
          </cell>
        </row>
        <row r="9726">
          <cell r="N9726">
            <v>-3.3849999999999998</v>
          </cell>
        </row>
        <row r="9727">
          <cell r="N9727">
            <v>-18.123999999999999</v>
          </cell>
        </row>
        <row r="9728">
          <cell r="N9728">
            <v>-130.46600000000001</v>
          </cell>
        </row>
        <row r="9729">
          <cell r="N9729">
            <v>-16.977</v>
          </cell>
        </row>
        <row r="9730">
          <cell r="N9730">
            <v>-254.15899999999999</v>
          </cell>
        </row>
        <row r="9731">
          <cell r="N9731">
            <v>-52.414000000000001</v>
          </cell>
        </row>
        <row r="9732">
          <cell r="N9732">
            <v>-262.56400000000002</v>
          </cell>
        </row>
        <row r="9733">
          <cell r="N9733">
            <v>-11.385</v>
          </cell>
        </row>
        <row r="9734">
          <cell r="N9734">
            <v>-7.4189999999999996</v>
          </cell>
        </row>
        <row r="9735">
          <cell r="N9735">
            <v>-0.77100000000000002</v>
          </cell>
        </row>
        <row r="9736">
          <cell r="N9736">
            <v>-9.4359999999999999</v>
          </cell>
        </row>
        <row r="9737">
          <cell r="N9737">
            <v>-10.349</v>
          </cell>
        </row>
        <row r="9738">
          <cell r="N9738">
            <v>-10.311</v>
          </cell>
        </row>
        <row r="9739">
          <cell r="N9739">
            <v>-528.24400000000003</v>
          </cell>
        </row>
        <row r="9740">
          <cell r="N9740">
            <v>-3.6539999999999999</v>
          </cell>
        </row>
        <row r="9741">
          <cell r="N9741">
            <v>-1.8919999999999999</v>
          </cell>
        </row>
        <row r="9742">
          <cell r="N9742">
            <v>-3.2290000000000001</v>
          </cell>
        </row>
        <row r="9743">
          <cell r="N9743">
            <v>-0.77100000000000002</v>
          </cell>
        </row>
        <row r="9744">
          <cell r="N9744">
            <v>-0.47099999999999997</v>
          </cell>
        </row>
        <row r="9745">
          <cell r="N9745">
            <v>-0.23100000000000001</v>
          </cell>
        </row>
        <row r="9746">
          <cell r="N9746">
            <v>-11.067</v>
          </cell>
        </row>
        <row r="9747">
          <cell r="N9747">
            <v>-1.994</v>
          </cell>
        </row>
        <row r="9748">
          <cell r="N9748">
            <v>-1.893</v>
          </cell>
        </row>
        <row r="9749">
          <cell r="N9749">
            <v>-2.7040000000000002</v>
          </cell>
        </row>
        <row r="9750">
          <cell r="N9750">
            <v>-3.6509999999999998</v>
          </cell>
        </row>
        <row r="9751">
          <cell r="N9751">
            <v>-3.4620000000000002</v>
          </cell>
        </row>
        <row r="9752">
          <cell r="N9752">
            <v>-4.8479999999999999</v>
          </cell>
        </row>
        <row r="9753">
          <cell r="N9753">
            <v>-7.242</v>
          </cell>
        </row>
        <row r="9754">
          <cell r="N9754">
            <v>-6.9610000000000003</v>
          </cell>
        </row>
        <row r="9755">
          <cell r="N9755">
            <v>-0.66100000000000003</v>
          </cell>
        </row>
        <row r="9756">
          <cell r="N9756">
            <v>-0.88500000000000001</v>
          </cell>
        </row>
        <row r="9757">
          <cell r="N9757">
            <v>-0.91500000000000004</v>
          </cell>
        </row>
        <row r="9758">
          <cell r="N9758">
            <v>-0.66</v>
          </cell>
        </row>
        <row r="9759">
          <cell r="N9759">
            <v>-1.101</v>
          </cell>
        </row>
        <row r="9760">
          <cell r="N9760">
            <v>-0.50600000000000001</v>
          </cell>
        </row>
        <row r="9761">
          <cell r="N9761">
            <v>-1.27</v>
          </cell>
        </row>
        <row r="9762">
          <cell r="N9762">
            <v>-0.497</v>
          </cell>
        </row>
        <row r="9763">
          <cell r="N9763">
            <v>-1.3480000000000001</v>
          </cell>
        </row>
        <row r="9764">
          <cell r="N9764">
            <v>-1.427</v>
          </cell>
        </row>
        <row r="9765">
          <cell r="N9765">
            <v>-0.39900000000000002</v>
          </cell>
        </row>
        <row r="9766">
          <cell r="N9766">
            <v>-9.6259999999999994</v>
          </cell>
        </row>
        <row r="9767">
          <cell r="N9767">
            <v>-1.756</v>
          </cell>
        </row>
        <row r="9768">
          <cell r="N9768">
            <v>-9.1890000000000001</v>
          </cell>
        </row>
        <row r="9769">
          <cell r="N9769">
            <v>-845.42200000000003</v>
          </cell>
        </row>
        <row r="9770">
          <cell r="N9770">
            <v>-9.093</v>
          </cell>
        </row>
        <row r="9771">
          <cell r="N9771">
            <v>-277</v>
          </cell>
        </row>
        <row r="9772">
          <cell r="N9772">
            <v>-152</v>
          </cell>
        </row>
        <row r="9773">
          <cell r="N9773">
            <v>-152</v>
          </cell>
        </row>
        <row r="9774">
          <cell r="N9774">
            <v>-3.1890000000000001</v>
          </cell>
        </row>
        <row r="9775">
          <cell r="N9775">
            <v>-3.347</v>
          </cell>
        </row>
        <row r="9776">
          <cell r="N9776">
            <v>-3.3860000000000001</v>
          </cell>
        </row>
        <row r="9777">
          <cell r="N9777">
            <v>-16.056999999999999</v>
          </cell>
        </row>
        <row r="9778">
          <cell r="N9778">
            <v>-1.5309999999999999</v>
          </cell>
        </row>
        <row r="9779">
          <cell r="N9779">
            <v>-6.69</v>
          </cell>
        </row>
        <row r="9780">
          <cell r="N9780">
            <v>-4.8659999999999997</v>
          </cell>
        </row>
        <row r="9781">
          <cell r="N9781">
            <v>-1.6950000000000001</v>
          </cell>
        </row>
        <row r="9782">
          <cell r="N9782">
            <v>-0.81</v>
          </cell>
        </row>
        <row r="9783">
          <cell r="N9783">
            <v>-1.794</v>
          </cell>
        </row>
        <row r="9784">
          <cell r="N9784">
            <v>-8.6539999999999999</v>
          </cell>
        </row>
        <row r="9785">
          <cell r="N9785">
            <v>-7.1150000000000002</v>
          </cell>
        </row>
        <row r="9786">
          <cell r="N9786">
            <v>-9.4169999999999998</v>
          </cell>
        </row>
        <row r="9787">
          <cell r="N9787">
            <v>-9.3219999999999992</v>
          </cell>
        </row>
        <row r="9788">
          <cell r="N9788">
            <v>-35</v>
          </cell>
        </row>
        <row r="9789">
          <cell r="N9789">
            <v>-15.420999999999999</v>
          </cell>
        </row>
        <row r="9790">
          <cell r="N9790">
            <v>-302</v>
          </cell>
        </row>
        <row r="9791">
          <cell r="N9791">
            <v>-684</v>
          </cell>
        </row>
        <row r="9792">
          <cell r="N9792">
            <v>-3.1579999999999999</v>
          </cell>
        </row>
        <row r="9793">
          <cell r="N9793">
            <v>-302</v>
          </cell>
        </row>
        <row r="9794">
          <cell r="N9794">
            <v>-277</v>
          </cell>
        </row>
        <row r="9795">
          <cell r="N9795">
            <v>-10.202999999999999</v>
          </cell>
        </row>
        <row r="9796">
          <cell r="N9796">
            <v>-277</v>
          </cell>
        </row>
        <row r="9797">
          <cell r="N9797">
            <v>-277</v>
          </cell>
        </row>
        <row r="9798">
          <cell r="N9798">
            <v>-5.2050000000000001</v>
          </cell>
        </row>
        <row r="9799">
          <cell r="N9799">
            <v>-528.24400000000003</v>
          </cell>
        </row>
        <row r="9800">
          <cell r="N9800">
            <v>-127.461</v>
          </cell>
        </row>
        <row r="9801">
          <cell r="N9801">
            <v>-399.07900000000001</v>
          </cell>
        </row>
        <row r="9802">
          <cell r="N9802">
            <v>-528.24400000000003</v>
          </cell>
        </row>
        <row r="9803">
          <cell r="N9803">
            <v>-21.08</v>
          </cell>
        </row>
        <row r="9804">
          <cell r="N9804">
            <v>-17.331</v>
          </cell>
        </row>
        <row r="9805">
          <cell r="N9805">
            <v>-9.6780000000000008</v>
          </cell>
        </row>
        <row r="9806">
          <cell r="N9806">
            <v>-2.5870000000000002</v>
          </cell>
        </row>
        <row r="9807">
          <cell r="N9807">
            <v>-10.029</v>
          </cell>
        </row>
        <row r="9808">
          <cell r="N9808">
            <v>-1.47</v>
          </cell>
        </row>
        <row r="9809">
          <cell r="N9809">
            <v>-9.4740000000000002</v>
          </cell>
        </row>
        <row r="9810">
          <cell r="N9810">
            <v>-0.77700000000000002</v>
          </cell>
        </row>
        <row r="9811">
          <cell r="N9811">
            <v>-0.90600000000000003</v>
          </cell>
        </row>
        <row r="9812">
          <cell r="N9812">
            <v>-8.109</v>
          </cell>
        </row>
        <row r="9813">
          <cell r="N9813">
            <v>-6.4870000000000001</v>
          </cell>
        </row>
        <row r="9814">
          <cell r="N9814">
            <v>-1.6220000000000001</v>
          </cell>
        </row>
        <row r="9815">
          <cell r="N9815">
            <v>-2.9009999999999998</v>
          </cell>
        </row>
        <row r="9816">
          <cell r="N9816">
            <v>-14.298</v>
          </cell>
        </row>
        <row r="9817">
          <cell r="N9817">
            <v>-7.4340000000000002</v>
          </cell>
        </row>
        <row r="9818">
          <cell r="N9818">
            <v>-13.446999999999999</v>
          </cell>
        </row>
        <row r="9819">
          <cell r="N9819">
            <v>-540.24900000000002</v>
          </cell>
        </row>
        <row r="9820">
          <cell r="N9820">
            <v>-1.94</v>
          </cell>
        </row>
        <row r="9821">
          <cell r="N9821">
            <v>-540.24900000000002</v>
          </cell>
        </row>
        <row r="9822">
          <cell r="N9822">
            <v>-4.46</v>
          </cell>
        </row>
        <row r="9823">
          <cell r="N9823">
            <v>-10.653</v>
          </cell>
        </row>
        <row r="9824">
          <cell r="N9824">
            <v>-0.94699999999999995</v>
          </cell>
        </row>
        <row r="9825">
          <cell r="N9825">
            <v>-11.262</v>
          </cell>
        </row>
        <row r="9826">
          <cell r="N9826">
            <v>-528.24400000000003</v>
          </cell>
        </row>
        <row r="9827">
          <cell r="N9827">
            <v>-1.6359999999999999</v>
          </cell>
        </row>
        <row r="9828">
          <cell r="N9828">
            <v>-1.9870000000000001</v>
          </cell>
        </row>
        <row r="9829">
          <cell r="N9829">
            <v>-10.766999999999999</v>
          </cell>
        </row>
        <row r="9830">
          <cell r="N9830">
            <v>-425.43200000000002</v>
          </cell>
        </row>
        <row r="9831">
          <cell r="N9831">
            <v>-2.7010000000000001</v>
          </cell>
        </row>
        <row r="9832">
          <cell r="N9832">
            <v>-21.303999999999998</v>
          </cell>
        </row>
        <row r="9833">
          <cell r="N9833">
            <v>-425.43200000000002</v>
          </cell>
        </row>
        <row r="9834">
          <cell r="N9834">
            <v>-2.8919999999999999</v>
          </cell>
        </row>
        <row r="9835">
          <cell r="N9835">
            <v>-7.5010000000000003</v>
          </cell>
        </row>
        <row r="9836">
          <cell r="N9836">
            <v>-1.875</v>
          </cell>
        </row>
        <row r="9837">
          <cell r="N9837">
            <v>-2.794</v>
          </cell>
        </row>
        <row r="9838">
          <cell r="N9838">
            <v>-1.6339999999999999</v>
          </cell>
        </row>
        <row r="9839">
          <cell r="N9839">
            <v>-1.18</v>
          </cell>
        </row>
        <row r="9840">
          <cell r="N9840">
            <v>-2.2919999999999998</v>
          </cell>
        </row>
        <row r="9841">
          <cell r="N9841">
            <v>-9.702</v>
          </cell>
        </row>
        <row r="9842">
          <cell r="N9842">
            <v>-7.1150000000000002</v>
          </cell>
        </row>
        <row r="9843">
          <cell r="N9843">
            <v>-12.327</v>
          </cell>
        </row>
        <row r="9844">
          <cell r="N9844">
            <v>-18.109000000000002</v>
          </cell>
        </row>
        <row r="9845">
          <cell r="N9845">
            <v>-3.0670000000000002</v>
          </cell>
        </row>
        <row r="9846">
          <cell r="N9846">
            <v>-10.326000000000001</v>
          </cell>
        </row>
        <row r="9847">
          <cell r="N9847">
            <v>-11.067</v>
          </cell>
        </row>
        <row r="9848">
          <cell r="N9848">
            <v>-1.7629999999999999</v>
          </cell>
        </row>
        <row r="9849">
          <cell r="N9849">
            <v>-1.8440000000000001</v>
          </cell>
        </row>
        <row r="9850">
          <cell r="N9850">
            <v>-4.1280000000000001</v>
          </cell>
        </row>
        <row r="9851">
          <cell r="N9851">
            <v>-3.3860000000000001</v>
          </cell>
        </row>
        <row r="9852">
          <cell r="N9852">
            <v>-3.919</v>
          </cell>
        </row>
        <row r="9853">
          <cell r="N9853">
            <v>-1.919</v>
          </cell>
        </row>
        <row r="9854">
          <cell r="N9854">
            <v>-302</v>
          </cell>
        </row>
        <row r="9855">
          <cell r="N9855">
            <v>-201</v>
          </cell>
        </row>
        <row r="9856">
          <cell r="N9856">
            <v>-1.5609999999999999</v>
          </cell>
        </row>
        <row r="9857">
          <cell r="N9857">
            <v>-3.044</v>
          </cell>
        </row>
        <row r="9858">
          <cell r="N9858">
            <v>-277</v>
          </cell>
        </row>
        <row r="9859">
          <cell r="N9859">
            <v>-277</v>
          </cell>
        </row>
        <row r="9860">
          <cell r="N9860">
            <v>-277</v>
          </cell>
        </row>
        <row r="9861">
          <cell r="N9861">
            <v>-0.64800000000000002</v>
          </cell>
        </row>
        <row r="9862">
          <cell r="N9862">
            <v>-10.196999999999999</v>
          </cell>
        </row>
        <row r="9863">
          <cell r="N9863">
            <v>-12.192</v>
          </cell>
        </row>
        <row r="9864">
          <cell r="N9864">
            <v>-1.0960000000000001</v>
          </cell>
        </row>
        <row r="9865">
          <cell r="N9865">
            <v>-2.359</v>
          </cell>
        </row>
        <row r="9866">
          <cell r="N9866">
            <v>-20.268999999999998</v>
          </cell>
        </row>
        <row r="9867">
          <cell r="N9867">
            <v>-10.273</v>
          </cell>
        </row>
        <row r="9868">
          <cell r="N9868">
            <v>-12.057</v>
          </cell>
        </row>
        <row r="9869">
          <cell r="N9869">
            <v>-10.805</v>
          </cell>
        </row>
        <row r="9870">
          <cell r="N9870">
            <v>-7.4189999999999996</v>
          </cell>
        </row>
        <row r="9871">
          <cell r="N9871">
            <v>-7.6859999999999999</v>
          </cell>
        </row>
        <row r="9872">
          <cell r="N9872">
            <v>-684</v>
          </cell>
        </row>
        <row r="9873">
          <cell r="N9873">
            <v>-302</v>
          </cell>
        </row>
        <row r="9874">
          <cell r="N9874">
            <v>-17.260000000000002</v>
          </cell>
        </row>
        <row r="9875">
          <cell r="N9875">
            <v>-3.552</v>
          </cell>
        </row>
        <row r="9876">
          <cell r="N9876">
            <v>-12.371</v>
          </cell>
        </row>
        <row r="9877">
          <cell r="N9877">
            <v>-302</v>
          </cell>
        </row>
        <row r="9878">
          <cell r="N9878">
            <v>-302</v>
          </cell>
        </row>
        <row r="9879">
          <cell r="N9879">
            <v>-277</v>
          </cell>
        </row>
        <row r="9880">
          <cell r="N9880">
            <v>-416.66800000000001</v>
          </cell>
        </row>
        <row r="9881">
          <cell r="N9881">
            <v>-277</v>
          </cell>
        </row>
        <row r="9882">
          <cell r="N9882">
            <v>-15.24</v>
          </cell>
        </row>
        <row r="9883">
          <cell r="N9883">
            <v>-2.8660000000000001</v>
          </cell>
        </row>
        <row r="9884">
          <cell r="N9884">
            <v>-6.0819999999999999</v>
          </cell>
        </row>
        <row r="9885">
          <cell r="N9885">
            <v>-17.613</v>
          </cell>
        </row>
        <row r="9886">
          <cell r="N9886">
            <v>-302</v>
          </cell>
        </row>
        <row r="9887">
          <cell r="N9887">
            <v>-2.625</v>
          </cell>
        </row>
        <row r="9888">
          <cell r="N9888">
            <v>-10.805</v>
          </cell>
        </row>
        <row r="9889">
          <cell r="N9889">
            <v>-3.2360000000000002</v>
          </cell>
        </row>
        <row r="9890">
          <cell r="N9890">
            <v>-21.363</v>
          </cell>
        </row>
        <row r="9891">
          <cell r="N9891">
            <v>-0.78100000000000003</v>
          </cell>
        </row>
        <row r="9892">
          <cell r="N9892">
            <v>-1.4790000000000001</v>
          </cell>
        </row>
        <row r="9893">
          <cell r="N9893">
            <v>-277</v>
          </cell>
        </row>
        <row r="9894">
          <cell r="N9894">
            <v>-2.7519999999999998</v>
          </cell>
        </row>
        <row r="9895">
          <cell r="N9895">
            <v>-1154</v>
          </cell>
        </row>
        <row r="9896">
          <cell r="N9896">
            <v>-1.1539999999999999</v>
          </cell>
        </row>
        <row r="9897">
          <cell r="N9897">
            <v>-7.1150000000000002</v>
          </cell>
        </row>
        <row r="9898">
          <cell r="N9898">
            <v>-8.2349999999999994</v>
          </cell>
        </row>
        <row r="9899">
          <cell r="N9899">
            <v>-4.798</v>
          </cell>
        </row>
        <row r="9900">
          <cell r="N9900">
            <v>-8.3119999999999994</v>
          </cell>
        </row>
        <row r="9901">
          <cell r="N9901">
            <v>-2.3860000000000001</v>
          </cell>
        </row>
        <row r="9902">
          <cell r="N9902">
            <v>-2.0550000000000002</v>
          </cell>
        </row>
        <row r="9903">
          <cell r="N9903">
            <v>-3.0270000000000001</v>
          </cell>
        </row>
        <row r="9904">
          <cell r="N9904">
            <v>-10.387</v>
          </cell>
        </row>
        <row r="9905">
          <cell r="N9905">
            <v>-4.6520000000000001</v>
          </cell>
        </row>
        <row r="9906">
          <cell r="N9906">
            <v>-277</v>
          </cell>
        </row>
        <row r="9907">
          <cell r="N9907">
            <v>-1.994</v>
          </cell>
        </row>
        <row r="9908">
          <cell r="N9908">
            <v>-2.625</v>
          </cell>
        </row>
        <row r="9909">
          <cell r="N9909">
            <v>-8.2759999999999998</v>
          </cell>
        </row>
        <row r="9910">
          <cell r="N9910">
            <v>-10.006</v>
          </cell>
        </row>
        <row r="9911">
          <cell r="N9911">
            <v>-277</v>
          </cell>
        </row>
        <row r="9912">
          <cell r="N9912">
            <v>-2.7389999999999999</v>
          </cell>
        </row>
        <row r="9913">
          <cell r="N9913">
            <v>-3.12</v>
          </cell>
        </row>
        <row r="9914">
          <cell r="N9914">
            <v>-1.6579999999999999</v>
          </cell>
        </row>
        <row r="9915">
          <cell r="N9915">
            <v>-277</v>
          </cell>
        </row>
        <row r="9916">
          <cell r="N9916">
            <v>-302</v>
          </cell>
        </row>
        <row r="9917">
          <cell r="N9917">
            <v>-1.86</v>
          </cell>
        </row>
        <row r="9918">
          <cell r="N9918">
            <v>-11.025</v>
          </cell>
        </row>
        <row r="9919">
          <cell r="N9919">
            <v>-17.401</v>
          </cell>
        </row>
        <row r="9920">
          <cell r="N9920">
            <v>-8.7140000000000004</v>
          </cell>
        </row>
        <row r="9921">
          <cell r="N9921">
            <v>-1.9339999999999999</v>
          </cell>
        </row>
        <row r="9922">
          <cell r="N9922">
            <v>-37.1</v>
          </cell>
        </row>
        <row r="9923">
          <cell r="N9923">
            <v>-3.0059999999999998</v>
          </cell>
        </row>
        <row r="9924">
          <cell r="N9924">
            <v>-4.7409999999999997</v>
          </cell>
        </row>
        <row r="9925">
          <cell r="N9925">
            <v>-4.0540000000000003</v>
          </cell>
        </row>
        <row r="9926">
          <cell r="N9926">
            <v>-4.5270000000000001</v>
          </cell>
        </row>
        <row r="9927">
          <cell r="N9927">
            <v>-2.8540000000000001</v>
          </cell>
        </row>
        <row r="9928">
          <cell r="N9928">
            <v>-3.31</v>
          </cell>
        </row>
        <row r="9929">
          <cell r="N9929">
            <v>-5.8789999999999996</v>
          </cell>
        </row>
        <row r="9930">
          <cell r="N9930">
            <v>-1.4E-2</v>
          </cell>
        </row>
        <row r="9931">
          <cell r="N9931">
            <v>-5.8789999999999996</v>
          </cell>
        </row>
        <row r="9932">
          <cell r="N9932">
            <v>-6.0819999999999999</v>
          </cell>
        </row>
        <row r="9933">
          <cell r="N9933">
            <v>-2.7970000000000002</v>
          </cell>
        </row>
        <row r="9934">
          <cell r="N9934">
            <v>-3.0870000000000002</v>
          </cell>
        </row>
        <row r="9935">
          <cell r="N9935">
            <v>-10.843</v>
          </cell>
        </row>
        <row r="9936">
          <cell r="N9936">
            <v>-11.972</v>
          </cell>
        </row>
        <row r="9937">
          <cell r="N9937">
            <v>-10.805</v>
          </cell>
        </row>
        <row r="9938">
          <cell r="N9938">
            <v>-1.643</v>
          </cell>
        </row>
        <row r="9939">
          <cell r="N9939">
            <v>-2.4510000000000001</v>
          </cell>
        </row>
        <row r="9940">
          <cell r="N9940">
            <v>-14.343</v>
          </cell>
        </row>
        <row r="9941">
          <cell r="N9941">
            <v>-8.5820000000000007</v>
          </cell>
        </row>
        <row r="9942">
          <cell r="N9942">
            <v>-10.577</v>
          </cell>
        </row>
        <row r="9943">
          <cell r="N9943">
            <v>-3.4590000000000001</v>
          </cell>
        </row>
        <row r="9944">
          <cell r="N9944">
            <v>-9.8919999999999995</v>
          </cell>
        </row>
        <row r="9945">
          <cell r="N9945">
            <v>-8.4079999999999995</v>
          </cell>
        </row>
        <row r="9946">
          <cell r="N9946">
            <v>-3.996</v>
          </cell>
        </row>
        <row r="9947">
          <cell r="N9947">
            <v>-2.0990000000000002</v>
          </cell>
        </row>
        <row r="9948">
          <cell r="N9948">
            <v>-9.74</v>
          </cell>
        </row>
        <row r="9949">
          <cell r="N9949">
            <v>-3.8</v>
          </cell>
        </row>
        <row r="9950">
          <cell r="N9950">
            <v>-1.9279999999999999</v>
          </cell>
        </row>
        <row r="9951">
          <cell r="N9951">
            <v>-2.7770000000000001</v>
          </cell>
        </row>
        <row r="9952">
          <cell r="N9952">
            <v>-10.728999999999999</v>
          </cell>
        </row>
        <row r="9953">
          <cell r="N9953">
            <v>-10.079000000000001</v>
          </cell>
        </row>
        <row r="9954">
          <cell r="N9954">
            <v>-2.5720000000000001</v>
          </cell>
        </row>
        <row r="9955">
          <cell r="N9955">
            <v>-15.208</v>
          </cell>
        </row>
        <row r="9956">
          <cell r="N9956">
            <v>-2.9209999999999998</v>
          </cell>
        </row>
        <row r="9957">
          <cell r="N9957">
            <v>-11.654</v>
          </cell>
        </row>
        <row r="9958">
          <cell r="N9958">
            <v>-20.786999999999999</v>
          </cell>
        </row>
        <row r="9959">
          <cell r="N9959">
            <v>-6.15</v>
          </cell>
        </row>
        <row r="9960">
          <cell r="N9960">
            <v>-159.589</v>
          </cell>
        </row>
        <row r="9961">
          <cell r="N9961">
            <v>-174.584</v>
          </cell>
        </row>
        <row r="9962">
          <cell r="N9962">
            <v>-9.74</v>
          </cell>
        </row>
        <row r="9963">
          <cell r="N9963">
            <v>-11.148</v>
          </cell>
        </row>
        <row r="9964">
          <cell r="N9964">
            <v>-7.1529999999999996</v>
          </cell>
        </row>
        <row r="9965">
          <cell r="N9965">
            <v>-1.5980000000000001</v>
          </cell>
        </row>
        <row r="9966">
          <cell r="N9966">
            <v>-2.375</v>
          </cell>
        </row>
        <row r="9967">
          <cell r="N9967">
            <v>-2.323</v>
          </cell>
        </row>
        <row r="9968">
          <cell r="N9968">
            <v>-18.603999999999999</v>
          </cell>
        </row>
        <row r="9969">
          <cell r="N9969">
            <v>-1.47</v>
          </cell>
        </row>
        <row r="9970">
          <cell r="N9970">
            <v>-28</v>
          </cell>
        </row>
        <row r="9971">
          <cell r="N9971">
            <v>-5.9729999999999999</v>
          </cell>
        </row>
        <row r="9972">
          <cell r="N9972">
            <v>-8.8650000000000002</v>
          </cell>
        </row>
        <row r="9973">
          <cell r="N9973">
            <v>-14.784000000000001</v>
          </cell>
        </row>
        <row r="9974">
          <cell r="N9974">
            <v>-8.3320000000000007</v>
          </cell>
        </row>
        <row r="9975">
          <cell r="N9975">
            <v>-28</v>
          </cell>
        </row>
        <row r="9976">
          <cell r="N9976">
            <v>-684</v>
          </cell>
        </row>
        <row r="9977">
          <cell r="N9977">
            <v>-3.1240000000000001</v>
          </cell>
        </row>
        <row r="9978">
          <cell r="N9978">
            <v>-2.5489999999999999</v>
          </cell>
        </row>
        <row r="9979">
          <cell r="N9979">
            <v>-6.2169999999999996</v>
          </cell>
        </row>
        <row r="9980">
          <cell r="N9980">
            <v>-1.9279999999999999</v>
          </cell>
        </row>
        <row r="9981">
          <cell r="N9981">
            <v>-11.414</v>
          </cell>
        </row>
        <row r="9982">
          <cell r="N9982">
            <v>-36</v>
          </cell>
        </row>
        <row r="9983">
          <cell r="N9983">
            <v>-1.875</v>
          </cell>
        </row>
        <row r="9984">
          <cell r="N9984">
            <v>-11.718999999999999</v>
          </cell>
        </row>
        <row r="9985">
          <cell r="N9985">
            <v>-0.49299999999999999</v>
          </cell>
        </row>
        <row r="9986">
          <cell r="N9986">
            <v>-9.093</v>
          </cell>
        </row>
        <row r="9987">
          <cell r="N9987">
            <v>-12.175000000000001</v>
          </cell>
        </row>
        <row r="9988">
          <cell r="N9988">
            <v>-2.56</v>
          </cell>
        </row>
        <row r="9989">
          <cell r="N9989">
            <v>-2.8919999999999999</v>
          </cell>
        </row>
        <row r="9990">
          <cell r="N9990">
            <v>-1.74</v>
          </cell>
        </row>
        <row r="9991">
          <cell r="N9991">
            <v>-2.8159999999999998</v>
          </cell>
        </row>
        <row r="9992">
          <cell r="N9992">
            <v>-85.489000000000004</v>
          </cell>
        </row>
        <row r="9993">
          <cell r="N9993">
            <v>-2.0990000000000002</v>
          </cell>
        </row>
        <row r="9994">
          <cell r="N9994">
            <v>-1.9570000000000001</v>
          </cell>
        </row>
        <row r="9995">
          <cell r="N9995">
            <v>-1.9319999999999999</v>
          </cell>
        </row>
        <row r="9996">
          <cell r="N9996">
            <v>-2.093</v>
          </cell>
        </row>
        <row r="9997">
          <cell r="N9997">
            <v>-11.108000000000001</v>
          </cell>
        </row>
        <row r="9998">
          <cell r="N9998">
            <v>-7.7709999999999999</v>
          </cell>
        </row>
        <row r="9999">
          <cell r="N9999">
            <v>-4.0540000000000003</v>
          </cell>
        </row>
        <row r="10000">
          <cell r="N10000">
            <v>-277</v>
          </cell>
        </row>
        <row r="10001">
          <cell r="N10001">
            <v>-8.9770000000000003</v>
          </cell>
        </row>
        <row r="10002">
          <cell r="N10002">
            <v>-9.7260000000000009</v>
          </cell>
        </row>
        <row r="10003">
          <cell r="N10003">
            <v>-5.1120000000000001</v>
          </cell>
        </row>
        <row r="10004">
          <cell r="N10004">
            <v>-100</v>
          </cell>
        </row>
        <row r="10005">
          <cell r="N10005">
            <v>-19.664999999999999</v>
          </cell>
        </row>
        <row r="10006">
          <cell r="N10006">
            <v>-476.137</v>
          </cell>
        </row>
        <row r="10007">
          <cell r="N10007">
            <v>-476.137</v>
          </cell>
        </row>
        <row r="10008">
          <cell r="N10008">
            <v>-3.31</v>
          </cell>
        </row>
        <row r="10009">
          <cell r="N10009">
            <v>-4.5</v>
          </cell>
        </row>
        <row r="10010">
          <cell r="N10010">
            <v>-587.44200000000001</v>
          </cell>
        </row>
        <row r="10011">
          <cell r="N10011">
            <v>-90.403999999999996</v>
          </cell>
        </row>
        <row r="10012">
          <cell r="N10012">
            <v>-1154</v>
          </cell>
        </row>
        <row r="10013">
          <cell r="N10013">
            <v>-587.44200000000001</v>
          </cell>
        </row>
        <row r="10014">
          <cell r="N10014">
            <v>-1154</v>
          </cell>
        </row>
        <row r="10015">
          <cell r="N10015">
            <v>-1.4339999999999999</v>
          </cell>
        </row>
        <row r="10016">
          <cell r="N10016">
            <v>-7.3810000000000002</v>
          </cell>
        </row>
        <row r="10017">
          <cell r="N10017">
            <v>-14.712999999999999</v>
          </cell>
        </row>
        <row r="10018">
          <cell r="N10018">
            <v>-9.968</v>
          </cell>
        </row>
        <row r="10019">
          <cell r="N10019">
            <v>-39.643000000000001</v>
          </cell>
        </row>
        <row r="10020">
          <cell r="N10020">
            <v>-395.62900000000002</v>
          </cell>
        </row>
        <row r="10021">
          <cell r="N10021">
            <v>-277</v>
          </cell>
        </row>
        <row r="10022">
          <cell r="N10022">
            <v>-3.2360000000000002</v>
          </cell>
        </row>
        <row r="10023">
          <cell r="N10023">
            <v>-502</v>
          </cell>
        </row>
        <row r="10024">
          <cell r="N10024">
            <v>-45</v>
          </cell>
        </row>
        <row r="10025">
          <cell r="N10025">
            <v>-6</v>
          </cell>
        </row>
        <row r="10026">
          <cell r="N10026">
            <v>-8.7129999999999992</v>
          </cell>
        </row>
        <row r="10027">
          <cell r="N10027">
            <v>-9.5500000000000007</v>
          </cell>
        </row>
        <row r="10028">
          <cell r="N10028">
            <v>-20.195</v>
          </cell>
        </row>
        <row r="10029">
          <cell r="N10029">
            <v>-2.8540000000000001</v>
          </cell>
        </row>
        <row r="10030">
          <cell r="N10030">
            <v>-7.0279999999999996</v>
          </cell>
        </row>
        <row r="10031">
          <cell r="N10031">
            <v>-5</v>
          </cell>
        </row>
        <row r="10032">
          <cell r="N10032">
            <v>-9.8919999999999995</v>
          </cell>
        </row>
        <row r="10033">
          <cell r="N10033">
            <v>-0.29599999999999999</v>
          </cell>
        </row>
        <row r="10034">
          <cell r="N10034">
            <v>-0.28100000000000003</v>
          </cell>
        </row>
        <row r="10035">
          <cell r="N10035">
            <v>-2.0840000000000001</v>
          </cell>
        </row>
        <row r="10036">
          <cell r="N10036">
            <v>-20.088999999999999</v>
          </cell>
        </row>
        <row r="10037">
          <cell r="N10037">
            <v>-36</v>
          </cell>
        </row>
        <row r="10038">
          <cell r="N10038">
            <v>-5</v>
          </cell>
        </row>
        <row r="10039">
          <cell r="N10039">
            <v>-6</v>
          </cell>
        </row>
        <row r="10040">
          <cell r="N10040">
            <v>-3.3849999999999998</v>
          </cell>
        </row>
        <row r="10041">
          <cell r="N10041">
            <v>-0.36199999999999999</v>
          </cell>
        </row>
        <row r="10042">
          <cell r="N10042">
            <v>-8.8889999999999993</v>
          </cell>
        </row>
        <row r="10043">
          <cell r="N10043">
            <v>-1.9039999999999999</v>
          </cell>
        </row>
        <row r="10044">
          <cell r="N10044">
            <v>-2.2410000000000001</v>
          </cell>
        </row>
        <row r="10045">
          <cell r="N10045">
            <v>-18.715</v>
          </cell>
        </row>
        <row r="10046">
          <cell r="N10046">
            <v>-996.35699999999997</v>
          </cell>
        </row>
        <row r="10047">
          <cell r="N10047">
            <v>-1.3560000000000001</v>
          </cell>
        </row>
        <row r="10048">
          <cell r="N10048">
            <v>-0.88700000000000001</v>
          </cell>
        </row>
        <row r="10049">
          <cell r="N10049">
            <v>-1.591</v>
          </cell>
        </row>
        <row r="10050">
          <cell r="N10050">
            <v>-1.9119999999999999</v>
          </cell>
        </row>
        <row r="10051">
          <cell r="N10051">
            <v>-4.8659999999999997</v>
          </cell>
        </row>
        <row r="10052">
          <cell r="N10052">
            <v>-20</v>
          </cell>
        </row>
        <row r="10053">
          <cell r="N10053">
            <v>-2.2480000000000002</v>
          </cell>
        </row>
        <row r="10054">
          <cell r="N10054">
            <v>-14.253</v>
          </cell>
        </row>
        <row r="10055">
          <cell r="N10055">
            <v>-22</v>
          </cell>
        </row>
        <row r="10056">
          <cell r="N10056">
            <v>-2.016</v>
          </cell>
        </row>
        <row r="10057">
          <cell r="N10057">
            <v>-4.0170000000000003</v>
          </cell>
        </row>
        <row r="10058">
          <cell r="N10058">
            <v>-1.9570000000000001</v>
          </cell>
        </row>
        <row r="10059">
          <cell r="N10059">
            <v>-11.071</v>
          </cell>
        </row>
        <row r="10060">
          <cell r="N10060">
            <v>-527.89</v>
          </cell>
        </row>
        <row r="10061">
          <cell r="N10061">
            <v>-9.93</v>
          </cell>
        </row>
        <row r="10062">
          <cell r="N10062">
            <v>-11.452</v>
          </cell>
        </row>
        <row r="10063">
          <cell r="N10063">
            <v>-3.6819999999999999</v>
          </cell>
        </row>
        <row r="10064">
          <cell r="N10064">
            <v>-10.175000000000001</v>
          </cell>
        </row>
        <row r="10065">
          <cell r="N10065">
            <v>-20</v>
          </cell>
        </row>
        <row r="10066">
          <cell r="N10066">
            <v>-10.500999999999999</v>
          </cell>
        </row>
        <row r="10067">
          <cell r="N10067">
            <v>-7.1909999999999998</v>
          </cell>
        </row>
        <row r="10068">
          <cell r="N10068">
            <v>-10.691000000000001</v>
          </cell>
        </row>
        <row r="10069">
          <cell r="N10069">
            <v>-5.2030000000000003</v>
          </cell>
        </row>
        <row r="10070">
          <cell r="N10070">
            <v>-11.452</v>
          </cell>
        </row>
        <row r="10071">
          <cell r="N10071">
            <v>-527.89</v>
          </cell>
        </row>
        <row r="10072">
          <cell r="N10072">
            <v>-84.674000000000007</v>
          </cell>
        </row>
        <row r="10073">
          <cell r="N10073">
            <v>-22.57</v>
          </cell>
        </row>
        <row r="10074">
          <cell r="N10074">
            <v>-2.8149999999999999</v>
          </cell>
        </row>
        <row r="10075">
          <cell r="N10075">
            <v>-1.6359999999999999</v>
          </cell>
        </row>
        <row r="10076">
          <cell r="N10076">
            <v>-1.613</v>
          </cell>
        </row>
        <row r="10077">
          <cell r="N10077">
            <v>-1.8080000000000001</v>
          </cell>
        </row>
        <row r="10078">
          <cell r="N10078">
            <v>-277</v>
          </cell>
        </row>
        <row r="10079">
          <cell r="N10079">
            <v>-22</v>
          </cell>
        </row>
        <row r="10080">
          <cell r="N10080">
            <v>-2.1379999999999999</v>
          </cell>
        </row>
        <row r="10081">
          <cell r="N10081">
            <v>-4.0819999999999999</v>
          </cell>
        </row>
        <row r="10082">
          <cell r="N10082">
            <v>-8.8000000000000007</v>
          </cell>
        </row>
        <row r="10083">
          <cell r="N10083">
            <v>-5.6769999999999996</v>
          </cell>
        </row>
        <row r="10084">
          <cell r="N10084">
            <v>-8.0419999999999998</v>
          </cell>
        </row>
        <row r="10085">
          <cell r="N10085">
            <v>-684</v>
          </cell>
        </row>
        <row r="10086">
          <cell r="N10086">
            <v>-3.4590000000000001</v>
          </cell>
        </row>
        <row r="10087">
          <cell r="N10087">
            <v>-684</v>
          </cell>
        </row>
        <row r="10088">
          <cell r="N10088">
            <v>-1154</v>
          </cell>
        </row>
        <row r="10089">
          <cell r="N10089">
            <v>-5.5460000000000003</v>
          </cell>
        </row>
        <row r="10090">
          <cell r="N10090">
            <v>-4.1660000000000004</v>
          </cell>
        </row>
        <row r="10091">
          <cell r="N10091">
            <v>-1154</v>
          </cell>
        </row>
        <row r="10092">
          <cell r="N10092">
            <v>-2.7029999999999998</v>
          </cell>
        </row>
        <row r="10093">
          <cell r="N10093">
            <v>-6.6230000000000002</v>
          </cell>
        </row>
        <row r="10094">
          <cell r="N10094">
            <v>-21.221</v>
          </cell>
        </row>
        <row r="10095">
          <cell r="N10095">
            <v>-0.84899999999999998</v>
          </cell>
        </row>
        <row r="10096">
          <cell r="N10096">
            <v>-9.702</v>
          </cell>
        </row>
        <row r="10097">
          <cell r="N10097">
            <v>-2.93</v>
          </cell>
        </row>
        <row r="10098">
          <cell r="N10098">
            <v>-152</v>
          </cell>
        </row>
        <row r="10099">
          <cell r="N10099">
            <v>-10.159000000000001</v>
          </cell>
        </row>
        <row r="10100">
          <cell r="N10100">
            <v>-8.8019999999999996</v>
          </cell>
        </row>
        <row r="10101">
          <cell r="N10101">
            <v>-277</v>
          </cell>
        </row>
        <row r="10102">
          <cell r="N10102">
            <v>-527.58500000000004</v>
          </cell>
        </row>
        <row r="10103">
          <cell r="N10103">
            <v>-5</v>
          </cell>
        </row>
        <row r="10104">
          <cell r="N10104">
            <v>-527.58500000000004</v>
          </cell>
        </row>
        <row r="10105">
          <cell r="N10105">
            <v>-9.8320000000000007</v>
          </cell>
        </row>
        <row r="10106">
          <cell r="N10106">
            <v>-4.5990000000000002</v>
          </cell>
        </row>
        <row r="10107">
          <cell r="N10107">
            <v>-14.855</v>
          </cell>
        </row>
        <row r="10108">
          <cell r="N10108">
            <v>-10.881</v>
          </cell>
        </row>
        <row r="10109">
          <cell r="N10109">
            <v>-302</v>
          </cell>
        </row>
        <row r="10110">
          <cell r="N10110">
            <v>-7</v>
          </cell>
        </row>
        <row r="10111">
          <cell r="N10111">
            <v>-16.552</v>
          </cell>
        </row>
        <row r="10112">
          <cell r="N10112">
            <v>-11.19</v>
          </cell>
        </row>
        <row r="10113">
          <cell r="N10113">
            <v>-1.7070000000000001</v>
          </cell>
        </row>
        <row r="10114">
          <cell r="N10114">
            <v>-4.0030000000000001</v>
          </cell>
        </row>
        <row r="10115">
          <cell r="N10115">
            <v>-1.972</v>
          </cell>
        </row>
        <row r="10116">
          <cell r="N10116">
            <v>-2.3149999999999999</v>
          </cell>
        </row>
        <row r="10117">
          <cell r="N10117">
            <v>-16.623000000000001</v>
          </cell>
        </row>
        <row r="10118">
          <cell r="N10118">
            <v>-80</v>
          </cell>
        </row>
        <row r="10119">
          <cell r="N10119">
            <v>-3.1579999999999999</v>
          </cell>
        </row>
        <row r="10120">
          <cell r="N10120">
            <v>-9.74</v>
          </cell>
        </row>
        <row r="10121">
          <cell r="N10121">
            <v>-2.1659999999999999</v>
          </cell>
        </row>
        <row r="10122">
          <cell r="N10122">
            <v>-42</v>
          </cell>
        </row>
        <row r="10123">
          <cell r="N10123">
            <v>-1.83</v>
          </cell>
        </row>
        <row r="10124">
          <cell r="N10124">
            <v>-6.2850000000000001</v>
          </cell>
        </row>
        <row r="10125">
          <cell r="N10125">
            <v>-20.268999999999998</v>
          </cell>
        </row>
        <row r="10126">
          <cell r="N10126">
            <v>-1.296</v>
          </cell>
        </row>
        <row r="10127">
          <cell r="N10127">
            <v>-15.491</v>
          </cell>
        </row>
        <row r="10128">
          <cell r="N10128">
            <v>-684</v>
          </cell>
        </row>
        <row r="10129">
          <cell r="N10129">
            <v>-36</v>
          </cell>
        </row>
        <row r="10130">
          <cell r="N10130">
            <v>-12.137</v>
          </cell>
        </row>
        <row r="10131">
          <cell r="N10131">
            <v>-3.1E-2</v>
          </cell>
        </row>
        <row r="10132">
          <cell r="N10132">
            <v>-302</v>
          </cell>
        </row>
        <row r="10133">
          <cell r="N10133">
            <v>-20.268999999999998</v>
          </cell>
        </row>
        <row r="10134">
          <cell r="N10134">
            <v>-1.5009999999999999</v>
          </cell>
        </row>
        <row r="10135">
          <cell r="N10135">
            <v>-10.044</v>
          </cell>
        </row>
        <row r="10136">
          <cell r="N10136">
            <v>-13.984999999999999</v>
          </cell>
        </row>
        <row r="10137">
          <cell r="N10137">
            <v>-584.35</v>
          </cell>
        </row>
        <row r="10138">
          <cell r="N10138">
            <v>-10.425000000000001</v>
          </cell>
        </row>
        <row r="10139">
          <cell r="N10139">
            <v>-2.903</v>
          </cell>
        </row>
        <row r="10140">
          <cell r="N10140">
            <v>-1.38</v>
          </cell>
        </row>
        <row r="10141">
          <cell r="N10141">
            <v>-584.35</v>
          </cell>
        </row>
        <row r="10142">
          <cell r="N10142">
            <v>-3.31</v>
          </cell>
        </row>
        <row r="10143">
          <cell r="N10143">
            <v>-1.5609999999999999</v>
          </cell>
        </row>
        <row r="10144">
          <cell r="N10144">
            <v>-1.046</v>
          </cell>
        </row>
        <row r="10145">
          <cell r="N10145">
            <v>-6.0140000000000002</v>
          </cell>
        </row>
        <row r="10146">
          <cell r="N10146">
            <v>-4.5949999999999998</v>
          </cell>
        </row>
        <row r="10147">
          <cell r="N10147">
            <v>-2.4550000000000001</v>
          </cell>
        </row>
        <row r="10148">
          <cell r="N10148">
            <v>-5.0010000000000003</v>
          </cell>
        </row>
        <row r="10149">
          <cell r="N10149">
            <v>-2.5289999999999999</v>
          </cell>
        </row>
        <row r="10150">
          <cell r="N10150">
            <v>-3.2309999999999999</v>
          </cell>
        </row>
        <row r="10151">
          <cell r="N10151">
            <v>-10.349</v>
          </cell>
        </row>
        <row r="10152">
          <cell r="N10152">
            <v>-10.387</v>
          </cell>
        </row>
        <row r="10153">
          <cell r="N10153">
            <v>-2.2069999999999999</v>
          </cell>
        </row>
        <row r="10154">
          <cell r="N10154">
            <v>-8.8650000000000002</v>
          </cell>
        </row>
        <row r="10155">
          <cell r="N10155">
            <v>-3.5470000000000002</v>
          </cell>
        </row>
        <row r="10156">
          <cell r="N10156">
            <v>-8.92</v>
          </cell>
        </row>
        <row r="10157">
          <cell r="N10157">
            <v>-2.9750000000000001</v>
          </cell>
        </row>
        <row r="10158">
          <cell r="N10158">
            <v>-18.038</v>
          </cell>
        </row>
        <row r="10159">
          <cell r="N10159">
            <v>-1154</v>
          </cell>
        </row>
        <row r="10160">
          <cell r="N10160">
            <v>-2.9359999999999999</v>
          </cell>
        </row>
        <row r="10161">
          <cell r="N10161">
            <v>-11.337999999999999</v>
          </cell>
        </row>
        <row r="10162">
          <cell r="N10162">
            <v>-10.577</v>
          </cell>
        </row>
        <row r="10163">
          <cell r="N10163">
            <v>-2.492</v>
          </cell>
        </row>
        <row r="10164">
          <cell r="N10164">
            <v>-2.6629999999999998</v>
          </cell>
        </row>
        <row r="10165">
          <cell r="N10165">
            <v>-1.389</v>
          </cell>
        </row>
        <row r="10166">
          <cell r="N10166">
            <v>-4.9329999999999998</v>
          </cell>
        </row>
        <row r="10167">
          <cell r="N10167">
            <v>-7.2309999999999999</v>
          </cell>
        </row>
        <row r="10168">
          <cell r="N10168">
            <v>-3.4590000000000001</v>
          </cell>
        </row>
        <row r="10169">
          <cell r="N10169">
            <v>-0.57499999999999996</v>
          </cell>
        </row>
        <row r="10170">
          <cell r="N10170">
            <v>-2.6629999999999998</v>
          </cell>
        </row>
        <row r="10171">
          <cell r="N10171">
            <v>-9.3979999999999997</v>
          </cell>
        </row>
        <row r="10172">
          <cell r="N10172">
            <v>-17.613</v>
          </cell>
        </row>
        <row r="10173">
          <cell r="N10173">
            <v>-1.393</v>
          </cell>
        </row>
        <row r="10174">
          <cell r="N10174">
            <v>-7.5709999999999997</v>
          </cell>
        </row>
        <row r="10175">
          <cell r="N10175">
            <v>-684</v>
          </cell>
        </row>
        <row r="10176">
          <cell r="N10176">
            <v>-5.9470000000000001</v>
          </cell>
        </row>
        <row r="10177">
          <cell r="N10177">
            <v>-9.6259999999999994</v>
          </cell>
        </row>
        <row r="10178">
          <cell r="N10178">
            <v>-20.417000000000002</v>
          </cell>
        </row>
        <row r="10179">
          <cell r="N10179">
            <v>-5.3650000000000002</v>
          </cell>
        </row>
        <row r="10180">
          <cell r="N10180">
            <v>-531.79</v>
          </cell>
        </row>
        <row r="10181">
          <cell r="N10181">
            <v>-684</v>
          </cell>
        </row>
        <row r="10182">
          <cell r="N10182">
            <v>-1154</v>
          </cell>
        </row>
        <row r="10183">
          <cell r="N10183">
            <v>-56</v>
          </cell>
        </row>
        <row r="10184">
          <cell r="N10184">
            <v>-1.583</v>
          </cell>
        </row>
        <row r="10185">
          <cell r="N10185">
            <v>-5.4740000000000002</v>
          </cell>
        </row>
        <row r="10186">
          <cell r="N10186">
            <v>-5.8239999999999998</v>
          </cell>
        </row>
        <row r="10187">
          <cell r="N10187">
            <v>-3.05</v>
          </cell>
        </row>
        <row r="10188">
          <cell r="N10188">
            <v>-531.79</v>
          </cell>
        </row>
        <row r="10189">
          <cell r="N10189">
            <v>-6.4870000000000001</v>
          </cell>
        </row>
        <row r="10190">
          <cell r="N10190">
            <v>-8.0229999999999997</v>
          </cell>
        </row>
        <row r="10191">
          <cell r="N10191">
            <v>-7.8760000000000003</v>
          </cell>
        </row>
        <row r="10192">
          <cell r="N10192">
            <v>-513.17700000000002</v>
          </cell>
        </row>
        <row r="10193">
          <cell r="N10193">
            <v>-513.17700000000002</v>
          </cell>
        </row>
        <row r="10194">
          <cell r="N10194">
            <v>-3.9420000000000002</v>
          </cell>
        </row>
        <row r="10195">
          <cell r="N10195">
            <v>-7.6859999999999999</v>
          </cell>
        </row>
        <row r="10196">
          <cell r="N10196">
            <v>-531.79</v>
          </cell>
        </row>
        <row r="10197">
          <cell r="N10197">
            <v>-16.34</v>
          </cell>
        </row>
        <row r="10198">
          <cell r="N10198">
            <v>-7.99</v>
          </cell>
        </row>
        <row r="10199">
          <cell r="N10199">
            <v>-1.966</v>
          </cell>
        </row>
        <row r="10200">
          <cell r="N10200">
            <v>-277</v>
          </cell>
        </row>
        <row r="10201">
          <cell r="N10201">
            <v>-9.4740000000000002</v>
          </cell>
        </row>
        <row r="10202">
          <cell r="N10202">
            <v>-277</v>
          </cell>
        </row>
        <row r="10203">
          <cell r="N10203">
            <v>-277</v>
          </cell>
        </row>
        <row r="10204">
          <cell r="N10204">
            <v>-277</v>
          </cell>
        </row>
        <row r="10205">
          <cell r="N10205">
            <v>-277</v>
          </cell>
        </row>
        <row r="10206">
          <cell r="N10206">
            <v>-10.728999999999999</v>
          </cell>
        </row>
        <row r="10207">
          <cell r="N10207">
            <v>-277</v>
          </cell>
        </row>
        <row r="10208">
          <cell r="N10208">
            <v>-18.745000000000001</v>
          </cell>
        </row>
        <row r="10209">
          <cell r="N10209">
            <v>-105</v>
          </cell>
        </row>
        <row r="10210">
          <cell r="N10210">
            <v>-1.2470000000000001</v>
          </cell>
        </row>
        <row r="10211">
          <cell r="N10211">
            <v>-302</v>
          </cell>
        </row>
        <row r="10212">
          <cell r="N10212">
            <v>-302</v>
          </cell>
        </row>
        <row r="10213">
          <cell r="N10213">
            <v>-9.4359999999999999</v>
          </cell>
        </row>
        <row r="10214">
          <cell r="N10214">
            <v>-3.161</v>
          </cell>
        </row>
        <row r="10215">
          <cell r="N10215">
            <v>-177.26300000000001</v>
          </cell>
        </row>
        <row r="10216">
          <cell r="N10216">
            <v>-20</v>
          </cell>
        </row>
        <row r="10217">
          <cell r="N10217">
            <v>-684</v>
          </cell>
        </row>
        <row r="10218">
          <cell r="N10218">
            <v>-58.682000000000002</v>
          </cell>
        </row>
        <row r="10219">
          <cell r="N10219">
            <v>-684</v>
          </cell>
        </row>
        <row r="10220">
          <cell r="N10220">
            <v>-3.347</v>
          </cell>
        </row>
        <row r="10221">
          <cell r="N10221">
            <v>-9.3219999999999992</v>
          </cell>
        </row>
        <row r="10222">
          <cell r="N10222">
            <v>-5.0010000000000003</v>
          </cell>
        </row>
        <row r="10223">
          <cell r="N10223">
            <v>-4.3849999999999998</v>
          </cell>
        </row>
        <row r="10224">
          <cell r="N10224">
            <v>-10.92</v>
          </cell>
        </row>
        <row r="10225">
          <cell r="N10225">
            <v>-2.7949999999999999</v>
          </cell>
        </row>
        <row r="10226">
          <cell r="N10226">
            <v>-5.3390000000000004</v>
          </cell>
        </row>
        <row r="10227">
          <cell r="N10227">
            <v>-8.9789999999999992</v>
          </cell>
        </row>
        <row r="10228">
          <cell r="N10228">
            <v>-5.8120000000000003</v>
          </cell>
        </row>
        <row r="10229">
          <cell r="N10229">
            <v>-2.839</v>
          </cell>
        </row>
        <row r="10230">
          <cell r="N10230">
            <v>-4.2569999999999997</v>
          </cell>
        </row>
        <row r="10231">
          <cell r="N10231">
            <v>-13.491</v>
          </cell>
        </row>
        <row r="10232">
          <cell r="N10232">
            <v>-9.8539999999999992</v>
          </cell>
        </row>
        <row r="10233">
          <cell r="N10233">
            <v>-7.0960000000000001</v>
          </cell>
        </row>
        <row r="10234">
          <cell r="N10234">
            <v>-11.414</v>
          </cell>
        </row>
        <row r="10235">
          <cell r="N10235">
            <v>-1.47</v>
          </cell>
        </row>
        <row r="10236">
          <cell r="N10236">
            <v>-9.0540000000000003</v>
          </cell>
        </row>
        <row r="10237">
          <cell r="N10237">
            <v>-1.8819999999999999</v>
          </cell>
        </row>
        <row r="10238">
          <cell r="N10238">
            <v>-13.935</v>
          </cell>
        </row>
        <row r="10239">
          <cell r="N10239">
            <v>-1.68</v>
          </cell>
        </row>
        <row r="10240">
          <cell r="N10240">
            <v>-9.984</v>
          </cell>
        </row>
        <row r="10241">
          <cell r="N10241">
            <v>-3.9750000000000001</v>
          </cell>
        </row>
        <row r="10242">
          <cell r="N10242">
            <v>-11.923</v>
          </cell>
        </row>
        <row r="10243">
          <cell r="N10243">
            <v>-2.7519999999999998</v>
          </cell>
        </row>
        <row r="10244">
          <cell r="N10244">
            <v>-1.748</v>
          </cell>
        </row>
        <row r="10245">
          <cell r="N10245">
            <v>-7.0279999999999996</v>
          </cell>
        </row>
        <row r="10246">
          <cell r="N10246">
            <v>-13.086</v>
          </cell>
        </row>
        <row r="10247">
          <cell r="N10247">
            <v>-2.839</v>
          </cell>
        </row>
        <row r="10248">
          <cell r="N10248">
            <v>-2.827</v>
          </cell>
        </row>
        <row r="10249">
          <cell r="N10249">
            <v>-2.0019999999999998</v>
          </cell>
        </row>
        <row r="10250">
          <cell r="N10250">
            <v>-569.12300000000005</v>
          </cell>
        </row>
        <row r="10251">
          <cell r="N10251">
            <v>-2.2029999999999998</v>
          </cell>
        </row>
        <row r="10252">
          <cell r="N10252">
            <v>-11.224</v>
          </cell>
        </row>
        <row r="10253">
          <cell r="N10253">
            <v>-15.374000000000001</v>
          </cell>
        </row>
        <row r="10254">
          <cell r="N10254">
            <v>-3.6539999999999999</v>
          </cell>
        </row>
        <row r="10255">
          <cell r="N10255">
            <v>-9.8919999999999995</v>
          </cell>
        </row>
        <row r="10256">
          <cell r="N10256">
            <v>-2.1179999999999999</v>
          </cell>
        </row>
        <row r="10257">
          <cell r="N10257">
            <v>-3.0129999999999999</v>
          </cell>
        </row>
        <row r="10258">
          <cell r="N10258">
            <v>-2.9009999999999998</v>
          </cell>
        </row>
        <row r="10259">
          <cell r="N10259">
            <v>-15.773999999999999</v>
          </cell>
        </row>
        <row r="10260">
          <cell r="N10260">
            <v>-1.8220000000000001</v>
          </cell>
        </row>
        <row r="10261">
          <cell r="N10261">
            <v>-4.5279999999999996</v>
          </cell>
        </row>
        <row r="10262">
          <cell r="N10262">
            <v>-1.153</v>
          </cell>
        </row>
        <row r="10263">
          <cell r="N10263">
            <v>-10.615</v>
          </cell>
        </row>
        <row r="10264">
          <cell r="N10264">
            <v>-9.8160000000000007</v>
          </cell>
        </row>
        <row r="10265">
          <cell r="N10265">
            <v>-3.0230000000000001</v>
          </cell>
        </row>
        <row r="10266">
          <cell r="N10266">
            <v>-3.4620000000000002</v>
          </cell>
        </row>
        <row r="10267">
          <cell r="N10267">
            <v>-207.15100000000001</v>
          </cell>
        </row>
        <row r="10268">
          <cell r="N10268">
            <v>-4.798</v>
          </cell>
        </row>
        <row r="10269">
          <cell r="N10269">
            <v>-2.5739999999999998</v>
          </cell>
        </row>
        <row r="10270">
          <cell r="N10270">
            <v>-2.4169999999999998</v>
          </cell>
        </row>
        <row r="10271">
          <cell r="N10271">
            <v>-15</v>
          </cell>
        </row>
        <row r="10272">
          <cell r="N10272">
            <v>-5.17</v>
          </cell>
        </row>
        <row r="10273">
          <cell r="N10273">
            <v>-277</v>
          </cell>
        </row>
        <row r="10274">
          <cell r="N10274">
            <v>-2.5289999999999999</v>
          </cell>
        </row>
        <row r="10275">
          <cell r="N10275">
            <v>-11.3</v>
          </cell>
        </row>
        <row r="10276">
          <cell r="N10276">
            <v>-1154</v>
          </cell>
        </row>
        <row r="10277">
          <cell r="N10277">
            <v>-4.7300000000000004</v>
          </cell>
        </row>
        <row r="10278">
          <cell r="N10278">
            <v>-9.2070000000000007</v>
          </cell>
        </row>
        <row r="10279">
          <cell r="N10279">
            <v>-11.49</v>
          </cell>
        </row>
        <row r="10280">
          <cell r="N10280">
            <v>-3.347</v>
          </cell>
        </row>
        <row r="10281">
          <cell r="N10281">
            <v>-3.0129999999999999</v>
          </cell>
        </row>
        <row r="10282">
          <cell r="N10282">
            <v>-12.654999999999999</v>
          </cell>
        </row>
        <row r="10283">
          <cell r="N10283">
            <v>-12.099</v>
          </cell>
        </row>
        <row r="10284">
          <cell r="N10284">
            <v>-8.3119999999999994</v>
          </cell>
        </row>
        <row r="10285">
          <cell r="N10285">
            <v>-3.5289999999999999</v>
          </cell>
        </row>
        <row r="10286">
          <cell r="N10286">
            <v>-3.347</v>
          </cell>
        </row>
        <row r="10287">
          <cell r="N10287">
            <v>-10.615</v>
          </cell>
        </row>
        <row r="10288">
          <cell r="N10288">
            <v>-277</v>
          </cell>
        </row>
        <row r="10289">
          <cell r="N10289">
            <v>-529.13099999999997</v>
          </cell>
        </row>
        <row r="10290">
          <cell r="N10290">
            <v>-529.13099999999997</v>
          </cell>
        </row>
        <row r="10291">
          <cell r="N10291">
            <v>-9.4570000000000007</v>
          </cell>
        </row>
        <row r="10292">
          <cell r="N10292">
            <v>-20.934999999999999</v>
          </cell>
        </row>
        <row r="10293">
          <cell r="N10293">
            <v>-3.0939999999999999</v>
          </cell>
        </row>
        <row r="10294">
          <cell r="N10294">
            <v>-11.385999999999999</v>
          </cell>
        </row>
        <row r="10295">
          <cell r="N10295">
            <v>-0.70499999999999996</v>
          </cell>
        </row>
        <row r="10296">
          <cell r="N10296">
            <v>-684</v>
          </cell>
        </row>
        <row r="10297">
          <cell r="N10297">
            <v>-1.897</v>
          </cell>
        </row>
        <row r="10298">
          <cell r="N10298">
            <v>-277</v>
          </cell>
        </row>
        <row r="10299">
          <cell r="N10299">
            <v>-2.1429999999999998</v>
          </cell>
        </row>
        <row r="10300">
          <cell r="N10300">
            <v>-152</v>
          </cell>
        </row>
        <row r="10301">
          <cell r="N10301">
            <v>-277</v>
          </cell>
        </row>
        <row r="10302">
          <cell r="N10302">
            <v>-8.1769999999999996</v>
          </cell>
        </row>
        <row r="10303">
          <cell r="N10303">
            <v>-8.0229999999999997</v>
          </cell>
        </row>
        <row r="10304">
          <cell r="N10304">
            <v>-1236</v>
          </cell>
        </row>
        <row r="10305">
          <cell r="N10305">
            <v>-529.13099999999997</v>
          </cell>
        </row>
        <row r="10306">
          <cell r="N10306">
            <v>-20.565000000000001</v>
          </cell>
        </row>
        <row r="10307">
          <cell r="N10307">
            <v>-10.615</v>
          </cell>
        </row>
        <row r="10308">
          <cell r="N10308">
            <v>-1154</v>
          </cell>
        </row>
        <row r="10309">
          <cell r="N10309">
            <v>-2.625</v>
          </cell>
        </row>
        <row r="10310">
          <cell r="N10310">
            <v>-2.8639999999999999</v>
          </cell>
        </row>
        <row r="10311">
          <cell r="N10311">
            <v>-3.2360000000000002</v>
          </cell>
        </row>
        <row r="10312">
          <cell r="N10312">
            <v>-487</v>
          </cell>
        </row>
        <row r="10313">
          <cell r="N10313">
            <v>-2.9380000000000002</v>
          </cell>
        </row>
        <row r="10314">
          <cell r="N10314">
            <v>-15</v>
          </cell>
        </row>
        <row r="10315">
          <cell r="N10315">
            <v>-15</v>
          </cell>
        </row>
        <row r="10316">
          <cell r="N10316">
            <v>-6.0819999999999999</v>
          </cell>
        </row>
        <row r="10317">
          <cell r="N10317">
            <v>-11</v>
          </cell>
        </row>
        <row r="10318">
          <cell r="N10318">
            <v>-581.42899999999997</v>
          </cell>
        </row>
        <row r="10319">
          <cell r="N10319">
            <v>-8.0660000000000007</v>
          </cell>
        </row>
        <row r="10320">
          <cell r="N10320">
            <v>-181.17500000000001</v>
          </cell>
        </row>
        <row r="10321">
          <cell r="N10321">
            <v>-49.13</v>
          </cell>
        </row>
        <row r="10322">
          <cell r="N10322">
            <v>-859.86800000000005</v>
          </cell>
        </row>
        <row r="10323">
          <cell r="N10323">
            <v>-133.31899999999999</v>
          </cell>
        </row>
        <row r="10324">
          <cell r="N10324">
            <v>-277</v>
          </cell>
        </row>
        <row r="10325">
          <cell r="N10325">
            <v>-9.968</v>
          </cell>
        </row>
        <row r="10326">
          <cell r="N10326">
            <v>-277</v>
          </cell>
        </row>
        <row r="10327">
          <cell r="N10327">
            <v>-277</v>
          </cell>
        </row>
        <row r="10328">
          <cell r="N10328">
            <v>-105</v>
          </cell>
        </row>
        <row r="10329">
          <cell r="N10329">
            <v>-529.13099999999997</v>
          </cell>
        </row>
        <row r="10330">
          <cell r="N10330">
            <v>-2.4350000000000001</v>
          </cell>
        </row>
        <row r="10331">
          <cell r="N10331">
            <v>-3.9420000000000002</v>
          </cell>
        </row>
        <row r="10332">
          <cell r="N10332">
            <v>-8.8650000000000002</v>
          </cell>
        </row>
        <row r="10333">
          <cell r="N10333">
            <v>-4.242</v>
          </cell>
        </row>
        <row r="10334">
          <cell r="N10334">
            <v>-9.5500000000000007</v>
          </cell>
        </row>
        <row r="10335">
          <cell r="N10335">
            <v>-7.99</v>
          </cell>
        </row>
        <row r="10336">
          <cell r="N10336">
            <v>-1.794</v>
          </cell>
        </row>
        <row r="10337">
          <cell r="N10337">
            <v>-11.528</v>
          </cell>
        </row>
        <row r="10338">
          <cell r="N10338">
            <v>-8.2560000000000002</v>
          </cell>
        </row>
        <row r="10339">
          <cell r="N10339">
            <v>-0.20100000000000001</v>
          </cell>
        </row>
        <row r="10340">
          <cell r="N10340">
            <v>-529.13099999999997</v>
          </cell>
        </row>
        <row r="10341">
          <cell r="N10341">
            <v>-529.13099999999997</v>
          </cell>
        </row>
        <row r="10342">
          <cell r="N10342">
            <v>-8.5609999999999999</v>
          </cell>
        </row>
        <row r="10343">
          <cell r="N10343">
            <v>-2.83</v>
          </cell>
        </row>
        <row r="10344">
          <cell r="N10344">
            <v>-4.3929999999999998</v>
          </cell>
        </row>
        <row r="10345">
          <cell r="N10345">
            <v>-2.641</v>
          </cell>
        </row>
        <row r="10346">
          <cell r="N10346">
            <v>-7.8390000000000004</v>
          </cell>
        </row>
        <row r="10347">
          <cell r="N10347">
            <v>-2.359</v>
          </cell>
        </row>
        <row r="10348">
          <cell r="N10348">
            <v>-10.006</v>
          </cell>
        </row>
        <row r="10349">
          <cell r="N10349">
            <v>-10.425000000000001</v>
          </cell>
        </row>
        <row r="10350">
          <cell r="N10350">
            <v>-1.919</v>
          </cell>
        </row>
        <row r="10351">
          <cell r="N10351">
            <v>-11.519</v>
          </cell>
        </row>
        <row r="10352">
          <cell r="N10352">
            <v>-445.786</v>
          </cell>
        </row>
        <row r="10353">
          <cell r="N10353">
            <v>-446.84199999999998</v>
          </cell>
        </row>
        <row r="10354">
          <cell r="N10354">
            <v>-41.198</v>
          </cell>
        </row>
        <row r="10355">
          <cell r="N10355">
            <v>-195.78800000000001</v>
          </cell>
        </row>
        <row r="10356">
          <cell r="N10356">
            <v>-2.5870000000000002</v>
          </cell>
        </row>
        <row r="10357">
          <cell r="N10357">
            <v>-3.0129999999999999</v>
          </cell>
        </row>
        <row r="10358">
          <cell r="N10358">
            <v>-0.66800000000000004</v>
          </cell>
        </row>
        <row r="10359">
          <cell r="N10359">
            <v>-12.281000000000001</v>
          </cell>
        </row>
        <row r="10360">
          <cell r="N10360">
            <v>-4.649</v>
          </cell>
        </row>
        <row r="10361">
          <cell r="N10361">
            <v>-3.496</v>
          </cell>
        </row>
        <row r="10362">
          <cell r="N10362">
            <v>-13.137</v>
          </cell>
        </row>
        <row r="10363">
          <cell r="N10363">
            <v>-13.792</v>
          </cell>
        </row>
        <row r="10364">
          <cell r="N10364">
            <v>-5.609</v>
          </cell>
        </row>
        <row r="10365">
          <cell r="N10365">
            <v>-3.2450000000000001</v>
          </cell>
        </row>
        <row r="10366">
          <cell r="N10366">
            <v>-3.05</v>
          </cell>
        </row>
        <row r="10367">
          <cell r="N10367">
            <v>-3.45</v>
          </cell>
        </row>
        <row r="10368">
          <cell r="N10368">
            <v>-2.7519999999999998</v>
          </cell>
        </row>
        <row r="10369">
          <cell r="N10369">
            <v>-20.268999999999998</v>
          </cell>
        </row>
        <row r="10370">
          <cell r="N10370">
            <v>-3.31</v>
          </cell>
        </row>
        <row r="10371">
          <cell r="N10371">
            <v>-12.819000000000001</v>
          </cell>
        </row>
        <row r="10372">
          <cell r="N10372">
            <v>-302</v>
          </cell>
        </row>
        <row r="10373">
          <cell r="N10373">
            <v>-11.741</v>
          </cell>
        </row>
        <row r="10374">
          <cell r="N10374">
            <v>-3.0939999999999999</v>
          </cell>
        </row>
        <row r="10375">
          <cell r="N10375">
            <v>-2.359</v>
          </cell>
        </row>
        <row r="10376">
          <cell r="N10376">
            <v>-302</v>
          </cell>
        </row>
        <row r="10377">
          <cell r="N10377">
            <v>-1154</v>
          </cell>
        </row>
        <row r="10378">
          <cell r="N10378">
            <v>-9.3219999999999992</v>
          </cell>
        </row>
        <row r="10379">
          <cell r="N10379">
            <v>-10.234999999999999</v>
          </cell>
        </row>
        <row r="10380">
          <cell r="N10380">
            <v>-3.4590000000000001</v>
          </cell>
        </row>
        <row r="10381">
          <cell r="N10381">
            <v>-11.968</v>
          </cell>
        </row>
        <row r="10382">
          <cell r="N10382">
            <v>-11.079000000000001</v>
          </cell>
        </row>
        <row r="10383">
          <cell r="N10383">
            <v>-30.3</v>
          </cell>
        </row>
        <row r="10384">
          <cell r="N10384">
            <v>-9.2840000000000007</v>
          </cell>
        </row>
        <row r="10385">
          <cell r="N10385">
            <v>-1.8819999999999999</v>
          </cell>
        </row>
        <row r="10386">
          <cell r="N10386">
            <v>-7.343</v>
          </cell>
        </row>
        <row r="10387">
          <cell r="N10387">
            <v>-2.4350000000000001</v>
          </cell>
        </row>
        <row r="10388">
          <cell r="N10388">
            <v>-4.7590000000000003</v>
          </cell>
        </row>
        <row r="10389">
          <cell r="N10389">
            <v>-4.8659999999999997</v>
          </cell>
        </row>
        <row r="10390">
          <cell r="N10390">
            <v>-684</v>
          </cell>
        </row>
        <row r="10391">
          <cell r="N10391">
            <v>-4</v>
          </cell>
        </row>
        <row r="10392">
          <cell r="N10392">
            <v>-7.4950000000000001</v>
          </cell>
        </row>
        <row r="10393">
          <cell r="N10393">
            <v>-1058.261</v>
          </cell>
        </row>
        <row r="10394">
          <cell r="N10394">
            <v>-3.3849999999999998</v>
          </cell>
        </row>
        <row r="10395">
          <cell r="N10395">
            <v>-6.7720000000000002</v>
          </cell>
        </row>
        <row r="10396">
          <cell r="N10396">
            <v>-4.5750000000000002</v>
          </cell>
        </row>
        <row r="10397">
          <cell r="N10397">
            <v>-3.1579999999999999</v>
          </cell>
        </row>
        <row r="10398">
          <cell r="N10398">
            <v>-485.70100000000002</v>
          </cell>
        </row>
        <row r="10399">
          <cell r="N10399">
            <v>-5.7450000000000001</v>
          </cell>
        </row>
        <row r="10400">
          <cell r="N10400">
            <v>-9.5120000000000005</v>
          </cell>
        </row>
        <row r="10401">
          <cell r="N10401">
            <v>-9.1319999999999997</v>
          </cell>
        </row>
        <row r="10402">
          <cell r="N10402">
            <v>-1.8220000000000001</v>
          </cell>
        </row>
        <row r="10403">
          <cell r="N10403">
            <v>-684</v>
          </cell>
        </row>
        <row r="10404">
          <cell r="N10404">
            <v>-3.1240000000000001</v>
          </cell>
        </row>
        <row r="10405">
          <cell r="N10405">
            <v>-15</v>
          </cell>
        </row>
        <row r="10406">
          <cell r="N10406">
            <v>-108.935</v>
          </cell>
        </row>
        <row r="10407">
          <cell r="N10407">
            <v>-3.0129999999999999</v>
          </cell>
        </row>
        <row r="10408">
          <cell r="N10408">
            <v>-277</v>
          </cell>
        </row>
        <row r="10409">
          <cell r="N10409">
            <v>-277</v>
          </cell>
        </row>
        <row r="10410">
          <cell r="N10410">
            <v>-3.2360000000000002</v>
          </cell>
        </row>
        <row r="10411">
          <cell r="N10411">
            <v>-26</v>
          </cell>
        </row>
        <row r="10412">
          <cell r="N10412">
            <v>-5.8789999999999996</v>
          </cell>
        </row>
        <row r="10413">
          <cell r="N10413">
            <v>-11.262</v>
          </cell>
        </row>
        <row r="10414">
          <cell r="N10414">
            <v>-33</v>
          </cell>
        </row>
        <row r="10415">
          <cell r="N10415">
            <v>-16.236999999999998</v>
          </cell>
        </row>
        <row r="10416">
          <cell r="N10416">
            <v>-37</v>
          </cell>
        </row>
        <row r="10417">
          <cell r="N10417">
            <v>-15</v>
          </cell>
        </row>
        <row r="10418">
          <cell r="N10418">
            <v>-56</v>
          </cell>
        </row>
        <row r="10419">
          <cell r="N10419">
            <v>-55</v>
          </cell>
        </row>
        <row r="10420">
          <cell r="N10420">
            <v>-7.7619999999999996</v>
          </cell>
        </row>
        <row r="10421">
          <cell r="N10421">
            <v>-22.488</v>
          </cell>
        </row>
        <row r="10422">
          <cell r="N10422">
            <v>-4.6630000000000003</v>
          </cell>
        </row>
        <row r="10423">
          <cell r="N10423">
            <v>-14.494999999999999</v>
          </cell>
        </row>
        <row r="10424">
          <cell r="N10424">
            <v>-2.419</v>
          </cell>
        </row>
        <row r="10425">
          <cell r="N10425">
            <v>-9.8539999999999992</v>
          </cell>
        </row>
        <row r="10426">
          <cell r="N10426">
            <v>-10.691000000000001</v>
          </cell>
        </row>
        <row r="10427">
          <cell r="N10427">
            <v>-3.4220000000000002</v>
          </cell>
        </row>
        <row r="10428">
          <cell r="N10428">
            <v>-7.4340000000000002</v>
          </cell>
        </row>
        <row r="10429">
          <cell r="N10429">
            <v>-4.6859999999999999</v>
          </cell>
        </row>
        <row r="10430">
          <cell r="N10430">
            <v>-0.46200000000000002</v>
          </cell>
        </row>
        <row r="10431">
          <cell r="N10431">
            <v>-4.1349999999999998</v>
          </cell>
        </row>
        <row r="10432">
          <cell r="N10432">
            <v>-7.2290000000000001</v>
          </cell>
        </row>
        <row r="10433">
          <cell r="N10433">
            <v>-3.6819999999999999</v>
          </cell>
        </row>
        <row r="10434">
          <cell r="N10434">
            <v>-3.4590000000000001</v>
          </cell>
        </row>
        <row r="10435">
          <cell r="N10435">
            <v>-0.23400000000000001</v>
          </cell>
        </row>
        <row r="10436">
          <cell r="N10436">
            <v>-684</v>
          </cell>
        </row>
        <row r="10437">
          <cell r="N10437">
            <v>-6.4870000000000001</v>
          </cell>
        </row>
        <row r="10438">
          <cell r="N10438">
            <v>-277</v>
          </cell>
        </row>
        <row r="10439">
          <cell r="N10439">
            <v>-13.882</v>
          </cell>
        </row>
        <row r="10440">
          <cell r="N10440">
            <v>-12.327</v>
          </cell>
        </row>
        <row r="10441">
          <cell r="N10441">
            <v>-8.2560000000000002</v>
          </cell>
        </row>
        <row r="10442">
          <cell r="N10442">
            <v>-4.4560000000000004</v>
          </cell>
        </row>
        <row r="10443">
          <cell r="N10443">
            <v>-277</v>
          </cell>
        </row>
        <row r="10444">
          <cell r="N10444">
            <v>-277</v>
          </cell>
        </row>
        <row r="10445">
          <cell r="N10445">
            <v>-2.7519999999999998</v>
          </cell>
        </row>
        <row r="10446">
          <cell r="N10446">
            <v>-12.365</v>
          </cell>
        </row>
        <row r="10447">
          <cell r="N10447">
            <v>-10.349</v>
          </cell>
        </row>
        <row r="10448">
          <cell r="N10448">
            <v>-8.6430000000000007</v>
          </cell>
        </row>
        <row r="10449">
          <cell r="N10449">
            <v>-3.05</v>
          </cell>
        </row>
        <row r="10450">
          <cell r="N10450">
            <v>-277</v>
          </cell>
        </row>
        <row r="10451">
          <cell r="N10451">
            <v>-277</v>
          </cell>
        </row>
        <row r="10452">
          <cell r="N10452">
            <v>-485.70100000000002</v>
          </cell>
        </row>
        <row r="10453">
          <cell r="N10453">
            <v>-3.7189999999999999</v>
          </cell>
        </row>
        <row r="10454">
          <cell r="N10454">
            <v>-4.9470000000000001</v>
          </cell>
        </row>
        <row r="10455">
          <cell r="N10455">
            <v>-7.298</v>
          </cell>
        </row>
        <row r="10456">
          <cell r="N10456">
            <v>-0.152</v>
          </cell>
        </row>
        <row r="10457">
          <cell r="N10457">
            <v>-3.2730000000000001</v>
          </cell>
        </row>
        <row r="10458">
          <cell r="N10458">
            <v>-22.117999999999999</v>
          </cell>
        </row>
        <row r="10459">
          <cell r="N10459">
            <v>-11.375999999999999</v>
          </cell>
        </row>
        <row r="10460">
          <cell r="N10460">
            <v>-4.649</v>
          </cell>
        </row>
        <row r="10461">
          <cell r="N10461">
            <v>-14</v>
          </cell>
        </row>
        <row r="10462">
          <cell r="N10462">
            <v>-11.984999999999999</v>
          </cell>
        </row>
        <row r="10463">
          <cell r="N10463">
            <v>-9.8160000000000007</v>
          </cell>
        </row>
        <row r="10464">
          <cell r="N10464">
            <v>-2.4900000000000002</v>
          </cell>
        </row>
        <row r="10465">
          <cell r="N10465">
            <v>-10.691000000000001</v>
          </cell>
        </row>
        <row r="10466">
          <cell r="N10466">
            <v>-3.2360000000000002</v>
          </cell>
        </row>
        <row r="10467">
          <cell r="N10467">
            <v>-50</v>
          </cell>
        </row>
        <row r="10468">
          <cell r="N10468">
            <v>-5.4059999999999997</v>
          </cell>
        </row>
        <row r="10469">
          <cell r="N10469">
            <v>-1154</v>
          </cell>
        </row>
        <row r="10470">
          <cell r="N10470">
            <v>-684</v>
          </cell>
        </row>
        <row r="10471">
          <cell r="N10471">
            <v>-2.641</v>
          </cell>
        </row>
        <row r="10472">
          <cell r="N10472">
            <v>-444.34899999999999</v>
          </cell>
        </row>
        <row r="10473">
          <cell r="N10473">
            <v>-9.0549999999999997</v>
          </cell>
        </row>
        <row r="10474">
          <cell r="N10474">
            <v>-3.0369999999999999</v>
          </cell>
        </row>
        <row r="10475">
          <cell r="N10475">
            <v>-9.2070000000000007</v>
          </cell>
        </row>
        <row r="10476">
          <cell r="N10476">
            <v>-2.1280000000000001</v>
          </cell>
        </row>
        <row r="10477">
          <cell r="N10477">
            <v>-444.34899999999999</v>
          </cell>
        </row>
        <row r="10478">
          <cell r="N10478">
            <v>-14.298</v>
          </cell>
        </row>
        <row r="10479">
          <cell r="N10479">
            <v>-273.62400000000002</v>
          </cell>
        </row>
        <row r="10480">
          <cell r="N10480">
            <v>-3.8820000000000001</v>
          </cell>
        </row>
        <row r="10481">
          <cell r="N10481">
            <v>-273.62400000000002</v>
          </cell>
        </row>
        <row r="10482">
          <cell r="N10482">
            <v>-485.70100000000002</v>
          </cell>
        </row>
        <row r="10483">
          <cell r="N10483">
            <v>-10.398999999999999</v>
          </cell>
        </row>
        <row r="10484">
          <cell r="N10484">
            <v>-485.70100000000002</v>
          </cell>
        </row>
        <row r="10485">
          <cell r="N10485">
            <v>-9.2840000000000007</v>
          </cell>
        </row>
        <row r="10486">
          <cell r="N10486">
            <v>-9.968</v>
          </cell>
        </row>
        <row r="10487">
          <cell r="N10487">
            <v>-3.05</v>
          </cell>
        </row>
        <row r="10488">
          <cell r="N10488">
            <v>-11.079000000000001</v>
          </cell>
        </row>
        <row r="10489">
          <cell r="N10489">
            <v>-9.702</v>
          </cell>
        </row>
        <row r="10490">
          <cell r="N10490">
            <v>-4.0170000000000003</v>
          </cell>
        </row>
        <row r="10491">
          <cell r="N10491">
            <v>-11.946999999999999</v>
          </cell>
        </row>
        <row r="10492">
          <cell r="N10492">
            <v>-8.9789999999999992</v>
          </cell>
        </row>
        <row r="10493">
          <cell r="N10493">
            <v>-530.78499999999997</v>
          </cell>
        </row>
        <row r="10494">
          <cell r="N10494">
            <v>-0.35899999999999999</v>
          </cell>
        </row>
        <row r="10495">
          <cell r="N10495">
            <v>-2.827</v>
          </cell>
        </row>
        <row r="10496">
          <cell r="N10496">
            <v>-14</v>
          </cell>
        </row>
        <row r="10497">
          <cell r="N10497">
            <v>-277</v>
          </cell>
        </row>
        <row r="10498">
          <cell r="N10498">
            <v>-12</v>
          </cell>
        </row>
        <row r="10499">
          <cell r="N10499">
            <v>-0.32300000000000001</v>
          </cell>
        </row>
        <row r="10500">
          <cell r="N10500">
            <v>-10.082000000000001</v>
          </cell>
        </row>
        <row r="10501">
          <cell r="N10501">
            <v>-4.2770000000000001</v>
          </cell>
        </row>
        <row r="10502">
          <cell r="N10502">
            <v>-5.9470000000000001</v>
          </cell>
        </row>
        <row r="10503">
          <cell r="N10503">
            <v>-4.798</v>
          </cell>
        </row>
        <row r="10504">
          <cell r="N10504">
            <v>-9.2070000000000007</v>
          </cell>
        </row>
        <row r="10505">
          <cell r="N10505">
            <v>-4.0540000000000003</v>
          </cell>
        </row>
        <row r="10506">
          <cell r="N10506">
            <v>-0.314</v>
          </cell>
        </row>
        <row r="10507">
          <cell r="N10507">
            <v>-10.577</v>
          </cell>
        </row>
        <row r="10508">
          <cell r="N10508">
            <v>-4.3890000000000002</v>
          </cell>
        </row>
        <row r="10509">
          <cell r="N10509">
            <v>-0.375</v>
          </cell>
        </row>
        <row r="10510">
          <cell r="N10510">
            <v>-0.35299999999999998</v>
          </cell>
        </row>
        <row r="10511">
          <cell r="N10511">
            <v>-7.4340000000000002</v>
          </cell>
        </row>
        <row r="10512">
          <cell r="N10512">
            <v>-20.861000000000001</v>
          </cell>
        </row>
        <row r="10513">
          <cell r="N10513">
            <v>-12.685</v>
          </cell>
        </row>
        <row r="10514">
          <cell r="N10514">
            <v>-11.122999999999999</v>
          </cell>
        </row>
        <row r="10515">
          <cell r="N10515">
            <v>-528.83699999999999</v>
          </cell>
        </row>
        <row r="10516">
          <cell r="N10516">
            <v>-0.27700000000000002</v>
          </cell>
        </row>
        <row r="10517">
          <cell r="N10517">
            <v>-3.2730000000000001</v>
          </cell>
        </row>
        <row r="10518">
          <cell r="N10518">
            <v>-10.044</v>
          </cell>
        </row>
        <row r="10519">
          <cell r="N10519">
            <v>-8.2940000000000005</v>
          </cell>
        </row>
        <row r="10520">
          <cell r="N10520">
            <v>-0.36799999999999999</v>
          </cell>
        </row>
        <row r="10521">
          <cell r="N10521">
            <v>-1154</v>
          </cell>
        </row>
        <row r="10522">
          <cell r="N10522">
            <v>-10.728999999999999</v>
          </cell>
        </row>
        <row r="10523">
          <cell r="N10523">
            <v>-14.702</v>
          </cell>
        </row>
        <row r="10524">
          <cell r="N10524">
            <v>-10.121</v>
          </cell>
        </row>
        <row r="10525">
          <cell r="N10525">
            <v>-8.6370000000000005</v>
          </cell>
        </row>
        <row r="10526">
          <cell r="N10526">
            <v>-277</v>
          </cell>
        </row>
        <row r="10527">
          <cell r="N10527">
            <v>-4.7590000000000003</v>
          </cell>
        </row>
        <row r="10528">
          <cell r="N10528">
            <v>-2.867</v>
          </cell>
        </row>
        <row r="10529">
          <cell r="N10529">
            <v>-684</v>
          </cell>
        </row>
        <row r="10530">
          <cell r="N10530">
            <v>-4.1280000000000001</v>
          </cell>
        </row>
        <row r="10531">
          <cell r="N10531">
            <v>-4.6120000000000001</v>
          </cell>
        </row>
        <row r="10532">
          <cell r="N10532">
            <v>-9.0169999999999995</v>
          </cell>
        </row>
        <row r="10533">
          <cell r="N10533">
            <v>-2.7919999999999998</v>
          </cell>
        </row>
        <row r="10534">
          <cell r="N10534">
            <v>-11.955</v>
          </cell>
        </row>
        <row r="10535">
          <cell r="N10535">
            <v>-10.958</v>
          </cell>
        </row>
        <row r="10536">
          <cell r="N10536">
            <v>-10.597</v>
          </cell>
        </row>
        <row r="10537">
          <cell r="N10537">
            <v>-3.7559999999999998</v>
          </cell>
        </row>
        <row r="10538">
          <cell r="N10538">
            <v>-3.9420000000000002</v>
          </cell>
        </row>
        <row r="10539">
          <cell r="N10539">
            <v>-0.105</v>
          </cell>
        </row>
        <row r="10540">
          <cell r="N10540">
            <v>-9.0990000000000002</v>
          </cell>
        </row>
        <row r="10541">
          <cell r="N10541">
            <v>-9.5500000000000007</v>
          </cell>
        </row>
        <row r="10542">
          <cell r="N10542">
            <v>-1.889</v>
          </cell>
        </row>
        <row r="10543">
          <cell r="N10543">
            <v>-11.071999999999999</v>
          </cell>
        </row>
        <row r="10544">
          <cell r="N10544">
            <v>-277</v>
          </cell>
        </row>
        <row r="10545">
          <cell r="N10545">
            <v>-113.511</v>
          </cell>
        </row>
        <row r="10546">
          <cell r="N10546">
            <v>-1154</v>
          </cell>
        </row>
        <row r="10547">
          <cell r="N10547">
            <v>-0.95599999999999996</v>
          </cell>
        </row>
        <row r="10548">
          <cell r="N10548">
            <v>-14.478</v>
          </cell>
        </row>
        <row r="10549">
          <cell r="N10549">
            <v>-414.30200000000002</v>
          </cell>
        </row>
        <row r="10550">
          <cell r="N10550">
            <v>-4.492</v>
          </cell>
        </row>
        <row r="10551">
          <cell r="N10551">
            <v>-14</v>
          </cell>
        </row>
        <row r="10552">
          <cell r="N10552">
            <v>-10.766999999999999</v>
          </cell>
        </row>
        <row r="10553">
          <cell r="N10553">
            <v>-14</v>
          </cell>
        </row>
        <row r="10554">
          <cell r="N10554">
            <v>-10.311</v>
          </cell>
        </row>
        <row r="10555">
          <cell r="N10555">
            <v>-277</v>
          </cell>
        </row>
        <row r="10556">
          <cell r="N10556">
            <v>-684</v>
          </cell>
        </row>
        <row r="10557">
          <cell r="N10557">
            <v>-4.4260000000000002</v>
          </cell>
        </row>
        <row r="10558">
          <cell r="N10558">
            <v>-7.0279999999999996</v>
          </cell>
        </row>
        <row r="10559">
          <cell r="N10559">
            <v>-11.718999999999999</v>
          </cell>
        </row>
        <row r="10560">
          <cell r="N10560">
            <v>-11.566000000000001</v>
          </cell>
        </row>
        <row r="10561">
          <cell r="N10561">
            <v>-3.98</v>
          </cell>
        </row>
        <row r="10562">
          <cell r="N10562">
            <v>-2.827</v>
          </cell>
        </row>
        <row r="10563">
          <cell r="N10563">
            <v>-1154</v>
          </cell>
        </row>
        <row r="10564">
          <cell r="N10564">
            <v>-491.01900000000001</v>
          </cell>
        </row>
        <row r="10565">
          <cell r="N10565">
            <v>-3.4220000000000002</v>
          </cell>
        </row>
        <row r="10566">
          <cell r="N10566">
            <v>-11.122999999999999</v>
          </cell>
        </row>
        <row r="10567">
          <cell r="N10567">
            <v>-2.9380000000000002</v>
          </cell>
        </row>
        <row r="10568">
          <cell r="N10568">
            <v>-122</v>
          </cell>
        </row>
        <row r="10569">
          <cell r="N10569">
            <v>-3.2360000000000002</v>
          </cell>
        </row>
        <row r="10570">
          <cell r="N10570">
            <v>-11.186</v>
          </cell>
        </row>
        <row r="10571">
          <cell r="N10571">
            <v>-3.3849999999999998</v>
          </cell>
        </row>
        <row r="10572">
          <cell r="N10572">
            <v>-2.9750000000000001</v>
          </cell>
        </row>
        <row r="10573">
          <cell r="N10573">
            <v>-8.8650000000000002</v>
          </cell>
        </row>
        <row r="10574">
          <cell r="N10574">
            <v>-2.6030000000000002</v>
          </cell>
        </row>
        <row r="10575">
          <cell r="N10575">
            <v>-8.4849999999999994</v>
          </cell>
        </row>
        <row r="10576">
          <cell r="N10576">
            <v>-148.37799999999999</v>
          </cell>
        </row>
        <row r="10577">
          <cell r="N10577">
            <v>-19.972999999999999</v>
          </cell>
        </row>
        <row r="10578">
          <cell r="N10578">
            <v>-523.79</v>
          </cell>
        </row>
        <row r="10579">
          <cell r="N10579">
            <v>-155.827</v>
          </cell>
        </row>
        <row r="10580">
          <cell r="N10580">
            <v>-5.6769999999999996</v>
          </cell>
        </row>
        <row r="10581">
          <cell r="N10581">
            <v>-5.0259999999999998</v>
          </cell>
        </row>
        <row r="10582">
          <cell r="N10582">
            <v>-3.7559999999999998</v>
          </cell>
        </row>
        <row r="10583">
          <cell r="N10583">
            <v>-2.0169999999999999</v>
          </cell>
        </row>
        <row r="10584">
          <cell r="N10584">
            <v>-9.5500000000000007</v>
          </cell>
        </row>
        <row r="10585">
          <cell r="N10585">
            <v>-2.1579999999999999</v>
          </cell>
        </row>
        <row r="10586">
          <cell r="N10586">
            <v>-15</v>
          </cell>
        </row>
        <row r="10587">
          <cell r="N10587">
            <v>-4.1660000000000004</v>
          </cell>
        </row>
        <row r="10588">
          <cell r="N10588">
            <v>-20.417000000000002</v>
          </cell>
        </row>
        <row r="10589">
          <cell r="N10589">
            <v>-4.4029999999999996</v>
          </cell>
        </row>
        <row r="10590">
          <cell r="N10590">
            <v>-3</v>
          </cell>
        </row>
        <row r="10591">
          <cell r="N10591">
            <v>-4.5650000000000004</v>
          </cell>
        </row>
        <row r="10592">
          <cell r="N10592">
            <v>-1154</v>
          </cell>
        </row>
        <row r="10593">
          <cell r="N10593">
            <v>-1154</v>
          </cell>
        </row>
        <row r="10594">
          <cell r="N10594">
            <v>-1154</v>
          </cell>
        </row>
        <row r="10595">
          <cell r="N10595">
            <v>-3.05</v>
          </cell>
        </row>
        <row r="10596">
          <cell r="N10596">
            <v>-4.7249999999999996</v>
          </cell>
        </row>
        <row r="10597">
          <cell r="N10597">
            <v>-9.74</v>
          </cell>
        </row>
        <row r="10598">
          <cell r="N10598">
            <v>-0.86599999999999999</v>
          </cell>
        </row>
        <row r="10599">
          <cell r="N10599">
            <v>-9.8539999999999992</v>
          </cell>
        </row>
        <row r="10600">
          <cell r="N10600">
            <v>-2.5179999999999998</v>
          </cell>
        </row>
        <row r="10601">
          <cell r="N10601">
            <v>-9.5120000000000005</v>
          </cell>
        </row>
        <row r="10602">
          <cell r="N10602">
            <v>-6.0000000000000001E-3</v>
          </cell>
        </row>
        <row r="10603">
          <cell r="N10603">
            <v>-20.713000000000001</v>
          </cell>
        </row>
        <row r="10604">
          <cell r="N10604">
            <v>-4.6859999999999999</v>
          </cell>
        </row>
        <row r="10605">
          <cell r="N10605">
            <v>-245.27799999999999</v>
          </cell>
        </row>
        <row r="10606">
          <cell r="N10606">
            <v>-3.3849999999999998</v>
          </cell>
        </row>
        <row r="10607">
          <cell r="N10607">
            <v>-150</v>
          </cell>
        </row>
        <row r="10608">
          <cell r="N10608">
            <v>-5.2119999999999997</v>
          </cell>
        </row>
        <row r="10609">
          <cell r="N10609">
            <v>-10.196999999999999</v>
          </cell>
        </row>
        <row r="10610">
          <cell r="N10610">
            <v>-5.8789999999999996</v>
          </cell>
        </row>
        <row r="10611">
          <cell r="N10611">
            <v>-13.715999999999999</v>
          </cell>
        </row>
        <row r="10612">
          <cell r="N10612">
            <v>-8.0000000000000002E-3</v>
          </cell>
        </row>
        <row r="10613">
          <cell r="N10613">
            <v>-3.4220000000000002</v>
          </cell>
        </row>
        <row r="10614">
          <cell r="N10614">
            <v>-10.349</v>
          </cell>
        </row>
        <row r="10615">
          <cell r="N10615">
            <v>-3.8220000000000001</v>
          </cell>
        </row>
        <row r="10616">
          <cell r="N10616">
            <v>-1.9490000000000001</v>
          </cell>
        </row>
        <row r="10617">
          <cell r="N10617">
            <v>-12.962</v>
          </cell>
        </row>
        <row r="10618">
          <cell r="N10618">
            <v>-567.24199999999996</v>
          </cell>
        </row>
        <row r="10619">
          <cell r="N10619">
            <v>-10.273</v>
          </cell>
        </row>
        <row r="10620">
          <cell r="N10620">
            <v>-10.728999999999999</v>
          </cell>
        </row>
        <row r="10621">
          <cell r="N10621">
            <v>-5.0949999999999998</v>
          </cell>
        </row>
        <row r="10622">
          <cell r="N10622">
            <v>-10.539</v>
          </cell>
        </row>
        <row r="10623">
          <cell r="N10623">
            <v>-12</v>
          </cell>
        </row>
        <row r="10624">
          <cell r="N10624">
            <v>-103</v>
          </cell>
        </row>
        <row r="10625">
          <cell r="N10625">
            <v>-11.528</v>
          </cell>
        </row>
        <row r="10626">
          <cell r="N10626">
            <v>-3.1240000000000001</v>
          </cell>
        </row>
        <row r="10627">
          <cell r="N10627">
            <v>-9.702</v>
          </cell>
        </row>
        <row r="10628">
          <cell r="N10628">
            <v>-1.2E-2</v>
          </cell>
        </row>
        <row r="10629">
          <cell r="N10629">
            <v>-2.9380000000000002</v>
          </cell>
        </row>
        <row r="10630">
          <cell r="N10630">
            <v>-10.653</v>
          </cell>
        </row>
        <row r="10631">
          <cell r="N10631">
            <v>-3.6080000000000001</v>
          </cell>
        </row>
        <row r="10632">
          <cell r="N10632">
            <v>-11.43</v>
          </cell>
        </row>
        <row r="10633">
          <cell r="N10633">
            <v>-47</v>
          </cell>
        </row>
        <row r="10634">
          <cell r="N10634">
            <v>-9.6259999999999994</v>
          </cell>
        </row>
        <row r="10635">
          <cell r="N10635">
            <v>-16</v>
          </cell>
        </row>
        <row r="10636">
          <cell r="N10636">
            <v>-277</v>
          </cell>
        </row>
        <row r="10637">
          <cell r="N10637">
            <v>-642.27</v>
          </cell>
        </row>
        <row r="10638">
          <cell r="N10638">
            <v>-277</v>
          </cell>
        </row>
        <row r="10639">
          <cell r="N10639">
            <v>-277</v>
          </cell>
        </row>
        <row r="10640">
          <cell r="N10640">
            <v>-277</v>
          </cell>
        </row>
        <row r="10641">
          <cell r="N10641">
            <v>-529.13099999999997</v>
          </cell>
        </row>
        <row r="10642">
          <cell r="N10642">
            <v>-1.68</v>
          </cell>
        </row>
        <row r="10643">
          <cell r="N10643">
            <v>-302</v>
          </cell>
        </row>
        <row r="10644">
          <cell r="N10644">
            <v>-3.3620000000000001</v>
          </cell>
        </row>
        <row r="10645">
          <cell r="N10645">
            <v>-684</v>
          </cell>
        </row>
        <row r="10646">
          <cell r="N10646">
            <v>-1.8520000000000001</v>
          </cell>
        </row>
        <row r="10647">
          <cell r="N10647">
            <v>-11</v>
          </cell>
        </row>
        <row r="10648">
          <cell r="N10648">
            <v>-519.89700000000005</v>
          </cell>
        </row>
        <row r="10649">
          <cell r="N10649">
            <v>-47</v>
          </cell>
        </row>
        <row r="10650">
          <cell r="N10650">
            <v>-9.4359999999999999</v>
          </cell>
        </row>
        <row r="10651">
          <cell r="N10651">
            <v>-7</v>
          </cell>
        </row>
        <row r="10652">
          <cell r="N10652">
            <v>-10.263999999999999</v>
          </cell>
        </row>
        <row r="10653">
          <cell r="N10653">
            <v>-60</v>
          </cell>
        </row>
        <row r="10654">
          <cell r="N10654">
            <v>-12</v>
          </cell>
        </row>
        <row r="10655">
          <cell r="N10655">
            <v>-3.161</v>
          </cell>
        </row>
        <row r="10656">
          <cell r="N10656">
            <v>-11.911</v>
          </cell>
        </row>
        <row r="10657">
          <cell r="N10657">
            <v>-6.8310000000000004</v>
          </cell>
        </row>
        <row r="10658">
          <cell r="N10658">
            <v>-2.7890000000000001</v>
          </cell>
        </row>
        <row r="10659">
          <cell r="N10659">
            <v>-9.2070000000000007</v>
          </cell>
        </row>
        <row r="10660">
          <cell r="N10660">
            <v>-5.8120000000000003</v>
          </cell>
        </row>
        <row r="10661">
          <cell r="N10661">
            <v>-0.47099999999999997</v>
          </cell>
        </row>
        <row r="10662">
          <cell r="N10662">
            <v>-1.24</v>
          </cell>
        </row>
        <row r="10663">
          <cell r="N10663">
            <v>-15</v>
          </cell>
        </row>
        <row r="10664">
          <cell r="N10664">
            <v>-3.57</v>
          </cell>
        </row>
        <row r="10665">
          <cell r="N10665">
            <v>-8.1039999999999992</v>
          </cell>
        </row>
        <row r="10666">
          <cell r="N10666">
            <v>-10.92</v>
          </cell>
        </row>
        <row r="10667">
          <cell r="N10667">
            <v>-1154</v>
          </cell>
        </row>
        <row r="10668">
          <cell r="N10668">
            <v>-3.794</v>
          </cell>
        </row>
        <row r="10669">
          <cell r="N10669">
            <v>-4.0679999999999996</v>
          </cell>
        </row>
        <row r="10670">
          <cell r="N10670">
            <v>-36</v>
          </cell>
        </row>
        <row r="10671">
          <cell r="N10671">
            <v>-14.164</v>
          </cell>
        </row>
        <row r="10672">
          <cell r="N10672">
            <v>-10.996</v>
          </cell>
        </row>
        <row r="10673">
          <cell r="N10673">
            <v>-1.9790000000000001</v>
          </cell>
        </row>
        <row r="10674">
          <cell r="N10674">
            <v>-9.5879999999999992</v>
          </cell>
        </row>
        <row r="10675">
          <cell r="N10675">
            <v>-10.539</v>
          </cell>
        </row>
        <row r="10676">
          <cell r="N10676">
            <v>-2.4340000000000002</v>
          </cell>
        </row>
        <row r="10677">
          <cell r="N10677">
            <v>-7.952</v>
          </cell>
        </row>
        <row r="10678">
          <cell r="N10678">
            <v>-18</v>
          </cell>
        </row>
        <row r="10679">
          <cell r="N10679">
            <v>-684</v>
          </cell>
        </row>
        <row r="10680">
          <cell r="N10680">
            <v>-11</v>
          </cell>
        </row>
        <row r="10681">
          <cell r="N10681">
            <v>-4.3490000000000002</v>
          </cell>
        </row>
        <row r="10682">
          <cell r="N10682">
            <v>-3.161</v>
          </cell>
        </row>
        <row r="10683">
          <cell r="N10683">
            <v>-18</v>
          </cell>
        </row>
        <row r="10684">
          <cell r="N10684">
            <v>-8.827</v>
          </cell>
        </row>
        <row r="10685">
          <cell r="N10685">
            <v>-4.24</v>
          </cell>
        </row>
        <row r="10686">
          <cell r="N10686">
            <v>-10.981</v>
          </cell>
        </row>
        <row r="10687">
          <cell r="N10687">
            <v>-7.7039999999999997</v>
          </cell>
        </row>
        <row r="10688">
          <cell r="N10688">
            <v>-8.0280000000000005</v>
          </cell>
        </row>
        <row r="10689">
          <cell r="N10689">
            <v>-4.5659999999999998</v>
          </cell>
        </row>
        <row r="10690">
          <cell r="N10690">
            <v>-7</v>
          </cell>
        </row>
        <row r="10691">
          <cell r="N10691">
            <v>-4.6120000000000001</v>
          </cell>
        </row>
        <row r="10692">
          <cell r="N10692">
            <v>-14.757</v>
          </cell>
        </row>
        <row r="10693">
          <cell r="N10693">
            <v>-20.713000000000001</v>
          </cell>
        </row>
        <row r="10694">
          <cell r="N10694">
            <v>-1154</v>
          </cell>
        </row>
        <row r="10695">
          <cell r="N10695">
            <v>-7.9139999999999997</v>
          </cell>
        </row>
        <row r="10696">
          <cell r="N10696">
            <v>-2.698</v>
          </cell>
        </row>
        <row r="10697">
          <cell r="N10697">
            <v>-7.8380000000000001</v>
          </cell>
        </row>
        <row r="10698">
          <cell r="N10698">
            <v>-8.1419999999999995</v>
          </cell>
        </row>
        <row r="10699">
          <cell r="N10699">
            <v>-3.0870000000000002</v>
          </cell>
        </row>
        <row r="10700">
          <cell r="N10700">
            <v>-9.5120000000000005</v>
          </cell>
        </row>
        <row r="10701">
          <cell r="N10701">
            <v>-2.0299999999999998</v>
          </cell>
        </row>
        <row r="10702">
          <cell r="N10702">
            <v>-3.31</v>
          </cell>
        </row>
        <row r="10703">
          <cell r="N10703">
            <v>-4.4560000000000004</v>
          </cell>
        </row>
        <row r="10704">
          <cell r="N10704">
            <v>-277</v>
          </cell>
        </row>
        <row r="10705">
          <cell r="N10705">
            <v>-277</v>
          </cell>
        </row>
        <row r="10706">
          <cell r="N10706">
            <v>-2.7149999999999999</v>
          </cell>
        </row>
        <row r="10707">
          <cell r="N10707">
            <v>-10.958</v>
          </cell>
        </row>
        <row r="10708">
          <cell r="N10708">
            <v>-18</v>
          </cell>
        </row>
        <row r="10709">
          <cell r="N10709">
            <v>-1.7549999999999999</v>
          </cell>
        </row>
        <row r="10710">
          <cell r="N10710">
            <v>-0.78</v>
          </cell>
        </row>
        <row r="10711">
          <cell r="N10711">
            <v>-4.5119999999999996</v>
          </cell>
        </row>
        <row r="10712">
          <cell r="N10712">
            <v>-13.042999999999999</v>
          </cell>
        </row>
        <row r="10713">
          <cell r="N10713">
            <v>-1.7549999999999999</v>
          </cell>
        </row>
        <row r="10714">
          <cell r="N10714">
            <v>-15</v>
          </cell>
        </row>
        <row r="10715">
          <cell r="N10715">
            <v>-684</v>
          </cell>
        </row>
        <row r="10716">
          <cell r="N10716">
            <v>-21</v>
          </cell>
        </row>
        <row r="10717">
          <cell r="N10717">
            <v>-6.0869999999999997</v>
          </cell>
        </row>
        <row r="10718">
          <cell r="N10718">
            <v>-0.127</v>
          </cell>
        </row>
        <row r="10719">
          <cell r="N10719">
            <v>-3.7189999999999999</v>
          </cell>
        </row>
        <row r="10720">
          <cell r="N10720">
            <v>-10.728999999999999</v>
          </cell>
        </row>
        <row r="10721">
          <cell r="N10721">
            <v>-10.539</v>
          </cell>
        </row>
        <row r="10722">
          <cell r="N10722">
            <v>-3.2360000000000002</v>
          </cell>
        </row>
        <row r="10723">
          <cell r="N10723">
            <v>-1.105</v>
          </cell>
        </row>
        <row r="10724">
          <cell r="N10724">
            <v>-530.90300000000002</v>
          </cell>
        </row>
        <row r="10725">
          <cell r="N10725">
            <v>-122.682</v>
          </cell>
        </row>
        <row r="10726">
          <cell r="N10726">
            <v>-14.702</v>
          </cell>
        </row>
        <row r="10727">
          <cell r="N10727">
            <v>-232.054</v>
          </cell>
        </row>
        <row r="10728">
          <cell r="N10728">
            <v>-1.8069999999999999</v>
          </cell>
        </row>
        <row r="10729">
          <cell r="N10729">
            <v>-4.1710000000000003</v>
          </cell>
        </row>
        <row r="10730">
          <cell r="N10730">
            <v>-3.0790000000000002</v>
          </cell>
        </row>
        <row r="10731">
          <cell r="N10731">
            <v>-155.41399999999999</v>
          </cell>
        </row>
        <row r="10732">
          <cell r="N10732">
            <v>-9.702</v>
          </cell>
        </row>
        <row r="10733">
          <cell r="N10733">
            <v>-2.9750000000000001</v>
          </cell>
        </row>
        <row r="10734">
          <cell r="N10734">
            <v>-10.349</v>
          </cell>
        </row>
        <row r="10735">
          <cell r="N10735">
            <v>-0.20100000000000001</v>
          </cell>
        </row>
        <row r="10736">
          <cell r="N10736">
            <v>-9.7780000000000005</v>
          </cell>
        </row>
        <row r="10737">
          <cell r="N10737">
            <v>-10.116</v>
          </cell>
        </row>
        <row r="10738">
          <cell r="N10738">
            <v>-12.997999999999999</v>
          </cell>
        </row>
        <row r="10739">
          <cell r="N10739">
            <v>-4.4130000000000003</v>
          </cell>
        </row>
        <row r="10740">
          <cell r="N10740">
            <v>-2.0310000000000001</v>
          </cell>
        </row>
        <row r="10741">
          <cell r="N10741">
            <v>-12.042</v>
          </cell>
        </row>
        <row r="10742">
          <cell r="N10742">
            <v>-1154</v>
          </cell>
        </row>
        <row r="10743">
          <cell r="N10743">
            <v>-3.6819999999999999</v>
          </cell>
        </row>
        <row r="10744">
          <cell r="N10744">
            <v>-1154</v>
          </cell>
        </row>
        <row r="10745">
          <cell r="N10745">
            <v>-46</v>
          </cell>
        </row>
        <row r="10746">
          <cell r="N10746">
            <v>-12.909000000000001</v>
          </cell>
        </row>
        <row r="10747">
          <cell r="N10747">
            <v>-684</v>
          </cell>
        </row>
        <row r="10748">
          <cell r="N10748">
            <v>-0.32100000000000001</v>
          </cell>
        </row>
        <row r="10749">
          <cell r="N10749">
            <v>-277</v>
          </cell>
        </row>
        <row r="10750">
          <cell r="N10750">
            <v>-277</v>
          </cell>
        </row>
        <row r="10751">
          <cell r="N10751">
            <v>-277</v>
          </cell>
        </row>
        <row r="10752">
          <cell r="N10752">
            <v>-504.78800000000001</v>
          </cell>
        </row>
        <row r="10753">
          <cell r="N10753">
            <v>-584.35</v>
          </cell>
        </row>
        <row r="10754">
          <cell r="N10754">
            <v>-578.50699999999995</v>
          </cell>
        </row>
        <row r="10755">
          <cell r="N10755">
            <v>-9.093</v>
          </cell>
        </row>
        <row r="10756">
          <cell r="N10756">
            <v>-5.782</v>
          </cell>
        </row>
        <row r="10757">
          <cell r="N10757">
            <v>-11.795</v>
          </cell>
        </row>
        <row r="10758">
          <cell r="N10758">
            <v>-10.196999999999999</v>
          </cell>
        </row>
        <row r="10759">
          <cell r="N10759">
            <v>-4.6710000000000003</v>
          </cell>
        </row>
        <row r="10760">
          <cell r="N10760">
            <v>-2.8959999999999999</v>
          </cell>
        </row>
        <row r="10761">
          <cell r="N10761">
            <v>-20.713000000000001</v>
          </cell>
        </row>
        <row r="10762">
          <cell r="N10762">
            <v>-4.7229999999999999</v>
          </cell>
        </row>
        <row r="10763">
          <cell r="N10763">
            <v>-11.034000000000001</v>
          </cell>
        </row>
        <row r="10764">
          <cell r="N10764">
            <v>-3.1240000000000001</v>
          </cell>
        </row>
        <row r="10765">
          <cell r="N10765">
            <v>-9.8160000000000007</v>
          </cell>
        </row>
        <row r="10766">
          <cell r="N10766">
            <v>-10.291</v>
          </cell>
        </row>
        <row r="10767">
          <cell r="N10767">
            <v>-25.934999999999999</v>
          </cell>
        </row>
        <row r="10768">
          <cell r="N10768">
            <v>-11.224</v>
          </cell>
        </row>
        <row r="10769">
          <cell r="N10769">
            <v>-11.375999999999999</v>
          </cell>
        </row>
        <row r="10770">
          <cell r="N10770">
            <v>-1.123</v>
          </cell>
        </row>
        <row r="10771">
          <cell r="N10771">
            <v>-1.837</v>
          </cell>
        </row>
        <row r="10772">
          <cell r="N10772">
            <v>-4.6420000000000003</v>
          </cell>
        </row>
        <row r="10773">
          <cell r="N10773">
            <v>-95</v>
          </cell>
        </row>
        <row r="10774">
          <cell r="N10774">
            <v>-3.9209999999999998</v>
          </cell>
        </row>
        <row r="10775">
          <cell r="N10775">
            <v>-150</v>
          </cell>
        </row>
        <row r="10776">
          <cell r="N10776">
            <v>-10.881</v>
          </cell>
        </row>
        <row r="10777">
          <cell r="N10777">
            <v>-8</v>
          </cell>
        </row>
        <row r="10778">
          <cell r="N10778">
            <v>-2.7149999999999999</v>
          </cell>
        </row>
        <row r="10779">
          <cell r="N10779">
            <v>-10.273</v>
          </cell>
        </row>
        <row r="10780">
          <cell r="N10780">
            <v>-5</v>
          </cell>
        </row>
        <row r="10781">
          <cell r="N10781">
            <v>-4</v>
          </cell>
        </row>
        <row r="10782">
          <cell r="N10782">
            <v>-10.196999999999999</v>
          </cell>
        </row>
        <row r="10783">
          <cell r="N10783">
            <v>-8</v>
          </cell>
        </row>
        <row r="10784">
          <cell r="N10784">
            <v>-4</v>
          </cell>
        </row>
        <row r="10785">
          <cell r="N10785">
            <v>-118</v>
          </cell>
        </row>
        <row r="10786">
          <cell r="N10786">
            <v>-11.224</v>
          </cell>
        </row>
        <row r="10787">
          <cell r="N10787">
            <v>-3.8220000000000001</v>
          </cell>
        </row>
        <row r="10788">
          <cell r="N10788">
            <v>-9.968</v>
          </cell>
        </row>
        <row r="10789">
          <cell r="N10789">
            <v>-3.9049999999999998</v>
          </cell>
        </row>
        <row r="10790">
          <cell r="N10790">
            <v>-2.9750000000000001</v>
          </cell>
        </row>
        <row r="10791">
          <cell r="N10791">
            <v>-59.244</v>
          </cell>
        </row>
        <row r="10792">
          <cell r="N10792">
            <v>-870.125</v>
          </cell>
        </row>
        <row r="10793">
          <cell r="N10793">
            <v>-3.1240000000000001</v>
          </cell>
        </row>
        <row r="10794">
          <cell r="N10794">
            <v>-13</v>
          </cell>
        </row>
        <row r="10795">
          <cell r="N10795">
            <v>-14.029</v>
          </cell>
        </row>
        <row r="10796">
          <cell r="N10796">
            <v>-2.4119999999999999</v>
          </cell>
        </row>
        <row r="10797">
          <cell r="N10797">
            <v>-5</v>
          </cell>
        </row>
        <row r="10798">
          <cell r="N10798">
            <v>-15</v>
          </cell>
        </row>
        <row r="10799">
          <cell r="N10799">
            <v>-103</v>
          </cell>
        </row>
        <row r="10800">
          <cell r="N10800">
            <v>-9.8539999999999992</v>
          </cell>
        </row>
        <row r="10801">
          <cell r="N10801">
            <v>-9.1310000000000002</v>
          </cell>
        </row>
        <row r="10802">
          <cell r="N10802">
            <v>-7.2309999999999999</v>
          </cell>
        </row>
        <row r="10803">
          <cell r="N10803">
            <v>-5</v>
          </cell>
        </row>
        <row r="10804">
          <cell r="N10804">
            <v>-4.5449999999999999</v>
          </cell>
        </row>
        <row r="10805">
          <cell r="N10805">
            <v>-11.429</v>
          </cell>
        </row>
        <row r="10806">
          <cell r="N10806">
            <v>-4.3</v>
          </cell>
        </row>
        <row r="10807">
          <cell r="N10807">
            <v>-2.4049999999999998</v>
          </cell>
        </row>
        <row r="10808">
          <cell r="N10808">
            <v>-1154</v>
          </cell>
        </row>
        <row r="10809">
          <cell r="N10809">
            <v>-1154</v>
          </cell>
        </row>
        <row r="10810">
          <cell r="N10810">
            <v>-684</v>
          </cell>
        </row>
        <row r="10811">
          <cell r="N10811">
            <v>-8.3119999999999994</v>
          </cell>
        </row>
        <row r="10812">
          <cell r="N10812">
            <v>-231</v>
          </cell>
        </row>
        <row r="10813">
          <cell r="N10813">
            <v>-10.444000000000001</v>
          </cell>
        </row>
        <row r="10814">
          <cell r="N10814">
            <v>-18</v>
          </cell>
        </row>
        <row r="10815">
          <cell r="N10815">
            <v>-8.5229999999999997</v>
          </cell>
        </row>
        <row r="10816">
          <cell r="N10816">
            <v>-12</v>
          </cell>
        </row>
        <row r="10817">
          <cell r="N10817">
            <v>-6.0140000000000002</v>
          </cell>
        </row>
        <row r="10818">
          <cell r="N10818">
            <v>-13.087999999999999</v>
          </cell>
        </row>
        <row r="10819">
          <cell r="N10819">
            <v>-684</v>
          </cell>
        </row>
        <row r="10820">
          <cell r="N10820">
            <v>-277</v>
          </cell>
        </row>
        <row r="10821">
          <cell r="N10821">
            <v>-3.7160000000000002</v>
          </cell>
        </row>
        <row r="10822">
          <cell r="N10822">
            <v>-302</v>
          </cell>
        </row>
        <row r="10823">
          <cell r="N10823">
            <v>-4.1660000000000004</v>
          </cell>
        </row>
        <row r="10824">
          <cell r="N10824">
            <v>-0.16700000000000001</v>
          </cell>
        </row>
        <row r="10825">
          <cell r="N10825">
            <v>-3.1240000000000001</v>
          </cell>
        </row>
        <row r="10826">
          <cell r="N10826">
            <v>-277</v>
          </cell>
        </row>
        <row r="10827">
          <cell r="N10827">
            <v>-277</v>
          </cell>
        </row>
        <row r="10828">
          <cell r="N10828">
            <v>-2.9750000000000001</v>
          </cell>
        </row>
        <row r="10829">
          <cell r="N10829">
            <v>-2.827</v>
          </cell>
        </row>
        <row r="10830">
          <cell r="N10830">
            <v>-3.2360000000000002</v>
          </cell>
        </row>
        <row r="10831">
          <cell r="N10831">
            <v>-10.51</v>
          </cell>
        </row>
        <row r="10832">
          <cell r="N10832">
            <v>-302</v>
          </cell>
        </row>
        <row r="10833">
          <cell r="N10833">
            <v>-11.516999999999999</v>
          </cell>
        </row>
        <row r="10834">
          <cell r="N10834">
            <v>-9.984</v>
          </cell>
        </row>
        <row r="10835">
          <cell r="N10835">
            <v>-3.161</v>
          </cell>
        </row>
        <row r="10836">
          <cell r="N10836">
            <v>-3.31</v>
          </cell>
        </row>
        <row r="10837">
          <cell r="N10837">
            <v>-7.99</v>
          </cell>
        </row>
        <row r="10838">
          <cell r="N10838">
            <v>-3.6819999999999999</v>
          </cell>
        </row>
        <row r="10839">
          <cell r="N10839">
            <v>-7.4189999999999996</v>
          </cell>
        </row>
        <row r="10840">
          <cell r="N10840">
            <v>-8.6370000000000005</v>
          </cell>
        </row>
        <row r="10841">
          <cell r="N10841">
            <v>-0.46800000000000003</v>
          </cell>
        </row>
        <row r="10842">
          <cell r="N10842">
            <v>-2E-3</v>
          </cell>
        </row>
        <row r="10843">
          <cell r="N10843">
            <v>-0.98299999999999998</v>
          </cell>
        </row>
        <row r="10844">
          <cell r="N10844">
            <v>-1.748</v>
          </cell>
        </row>
        <row r="10845">
          <cell r="N10845">
            <v>-12.997999999999999</v>
          </cell>
        </row>
        <row r="10846">
          <cell r="N10846">
            <v>-1.9790000000000001</v>
          </cell>
        </row>
        <row r="10847">
          <cell r="N10847">
            <v>-3.6779999999999999</v>
          </cell>
        </row>
        <row r="10848">
          <cell r="N10848">
            <v>-1.8069999999999999</v>
          </cell>
        </row>
        <row r="10849">
          <cell r="N10849">
            <v>-4.8840000000000003</v>
          </cell>
        </row>
        <row r="10850">
          <cell r="N10850">
            <v>-10.958</v>
          </cell>
        </row>
        <row r="10851">
          <cell r="N10851">
            <v>-3.0129999999999999</v>
          </cell>
        </row>
        <row r="10852">
          <cell r="N10852">
            <v>-9.702</v>
          </cell>
        </row>
        <row r="10853">
          <cell r="N10853">
            <v>-9.4149999999999991</v>
          </cell>
        </row>
        <row r="10854">
          <cell r="N10854">
            <v>-514.06299999999999</v>
          </cell>
        </row>
        <row r="10855">
          <cell r="N10855">
            <v>-3.9420000000000002</v>
          </cell>
        </row>
        <row r="10856">
          <cell r="N10856">
            <v>-20.786999999999999</v>
          </cell>
        </row>
        <row r="10857">
          <cell r="N10857">
            <v>-9.5030000000000001</v>
          </cell>
        </row>
        <row r="10858">
          <cell r="N10858">
            <v>-13.042999999999999</v>
          </cell>
        </row>
        <row r="10859">
          <cell r="N10859">
            <v>-7.3049999999999997</v>
          </cell>
        </row>
        <row r="10860">
          <cell r="N10860">
            <v>-1.792</v>
          </cell>
        </row>
        <row r="10861">
          <cell r="N10861">
            <v>-35.453000000000003</v>
          </cell>
        </row>
        <row r="10862">
          <cell r="N10862">
            <v>-2.915</v>
          </cell>
        </row>
        <row r="10863">
          <cell r="N10863">
            <v>-514.06299999999999</v>
          </cell>
        </row>
        <row r="10864">
          <cell r="N10864">
            <v>-16</v>
          </cell>
        </row>
        <row r="10865">
          <cell r="N10865">
            <v>-1.1779999999999999</v>
          </cell>
        </row>
        <row r="10866">
          <cell r="N10866">
            <v>-16</v>
          </cell>
        </row>
        <row r="10867">
          <cell r="N10867">
            <v>-7</v>
          </cell>
        </row>
        <row r="10868">
          <cell r="N10868">
            <v>-592.05899999999997</v>
          </cell>
        </row>
        <row r="10869">
          <cell r="N10869">
            <v>-587.94100000000003</v>
          </cell>
        </row>
        <row r="10870">
          <cell r="N10870">
            <v>-16</v>
          </cell>
        </row>
        <row r="10871">
          <cell r="N10871">
            <v>-14</v>
          </cell>
        </row>
        <row r="10872">
          <cell r="N10872">
            <v>-14</v>
          </cell>
        </row>
        <row r="10873">
          <cell r="N10873">
            <v>-22</v>
          </cell>
        </row>
        <row r="10874">
          <cell r="N10874">
            <v>-66</v>
          </cell>
        </row>
        <row r="10875">
          <cell r="N10875">
            <v>-18</v>
          </cell>
        </row>
        <row r="10876">
          <cell r="N10876">
            <v>-21</v>
          </cell>
        </row>
        <row r="10877">
          <cell r="N10877">
            <v>-35</v>
          </cell>
        </row>
        <row r="10878">
          <cell r="N10878">
            <v>-7.03</v>
          </cell>
        </row>
        <row r="10879">
          <cell r="N10879">
            <v>-4.97</v>
          </cell>
        </row>
        <row r="10880">
          <cell r="N10880">
            <v>-20.966999999999999</v>
          </cell>
        </row>
        <row r="10881">
          <cell r="N10881">
            <v>-343.61200000000002</v>
          </cell>
        </row>
        <row r="10882">
          <cell r="N10882">
            <v>-3.153</v>
          </cell>
        </row>
        <row r="10883">
          <cell r="N10883">
            <v>-185.6</v>
          </cell>
        </row>
        <row r="10884">
          <cell r="N10884">
            <v>-17.263000000000002</v>
          </cell>
        </row>
        <row r="10885">
          <cell r="N10885">
            <v>-4.359</v>
          </cell>
        </row>
        <row r="10886">
          <cell r="N10886">
            <v>-2.0419999999999998</v>
          </cell>
        </row>
        <row r="10887">
          <cell r="N10887">
            <v>-15</v>
          </cell>
        </row>
        <row r="10888">
          <cell r="N10888">
            <v>-62.5</v>
          </cell>
        </row>
        <row r="10889">
          <cell r="N10889">
            <v>-22.298999999999999</v>
          </cell>
        </row>
        <row r="10890">
          <cell r="N10890">
            <v>-97.700999999999993</v>
          </cell>
        </row>
        <row r="10891">
          <cell r="N10891">
            <v>-10.8</v>
          </cell>
        </row>
        <row r="10892">
          <cell r="N10892">
            <v>-5</v>
          </cell>
        </row>
        <row r="10893">
          <cell r="N10893">
            <v>-18</v>
          </cell>
        </row>
        <row r="10894">
          <cell r="N10894">
            <v>-12</v>
          </cell>
        </row>
        <row r="10895">
          <cell r="N10895">
            <v>-2</v>
          </cell>
        </row>
        <row r="10896">
          <cell r="N10896">
            <v>-16</v>
          </cell>
        </row>
        <row r="10897">
          <cell r="N10897">
            <v>-17</v>
          </cell>
        </row>
        <row r="10898">
          <cell r="N10898">
            <v>-15</v>
          </cell>
        </row>
        <row r="10899">
          <cell r="N10899">
            <v>-267.05</v>
          </cell>
        </row>
        <row r="10900">
          <cell r="N10900">
            <v>-25.6</v>
          </cell>
        </row>
        <row r="10901">
          <cell r="N10901">
            <v>-73.7</v>
          </cell>
        </row>
        <row r="10902">
          <cell r="N10902">
            <v>-150.518</v>
          </cell>
        </row>
        <row r="10903">
          <cell r="N10903">
            <v>-31.908000000000001</v>
          </cell>
        </row>
        <row r="10904">
          <cell r="N10904">
            <v>-36.561</v>
          </cell>
        </row>
        <row r="10905">
          <cell r="N10905">
            <v>-14.167999999999999</v>
          </cell>
        </row>
        <row r="10906">
          <cell r="N10906">
            <v>-98.382000000000005</v>
          </cell>
        </row>
        <row r="10907">
          <cell r="N10907">
            <v>-38.200000000000003</v>
          </cell>
        </row>
        <row r="10908">
          <cell r="N10908">
            <v>-110.85</v>
          </cell>
        </row>
        <row r="10909">
          <cell r="N10909">
            <v>-38.35</v>
          </cell>
        </row>
        <row r="10910">
          <cell r="N10910">
            <v>-89.4</v>
          </cell>
        </row>
        <row r="10911">
          <cell r="N10911">
            <v>-80.150000000000006</v>
          </cell>
        </row>
        <row r="10912">
          <cell r="N10912">
            <v>-81.400000000000006</v>
          </cell>
        </row>
        <row r="10913">
          <cell r="N10913">
            <v>-121.35</v>
          </cell>
        </row>
        <row r="10914">
          <cell r="N10914">
            <v>-53</v>
          </cell>
        </row>
        <row r="10915">
          <cell r="N10915">
            <v>-47.65</v>
          </cell>
        </row>
        <row r="10916">
          <cell r="N10916">
            <v>-29</v>
          </cell>
        </row>
        <row r="10917">
          <cell r="N10917">
            <v>-61</v>
          </cell>
        </row>
        <row r="10918">
          <cell r="N10918">
            <v>-564.09799999999996</v>
          </cell>
        </row>
        <row r="10919">
          <cell r="N10919">
            <v>-300</v>
          </cell>
        </row>
        <row r="10920">
          <cell r="N10920">
            <v>-401.47</v>
          </cell>
        </row>
        <row r="10921">
          <cell r="N10921">
            <v>-403.28800000000001</v>
          </cell>
        </row>
        <row r="10922">
          <cell r="N10922">
            <v>-100</v>
          </cell>
        </row>
        <row r="10923">
          <cell r="N10923">
            <v>-41.759</v>
          </cell>
        </row>
        <row r="10924">
          <cell r="N10924">
            <v>-130.87899999999999</v>
          </cell>
        </row>
        <row r="10925">
          <cell r="N10925">
            <v>-556.34400000000005</v>
          </cell>
        </row>
        <row r="10926">
          <cell r="N10926">
            <v>-277</v>
          </cell>
        </row>
        <row r="10927">
          <cell r="N10927">
            <v>-556.34400000000005</v>
          </cell>
        </row>
        <row r="10928">
          <cell r="N10928">
            <v>-277</v>
          </cell>
        </row>
        <row r="10929">
          <cell r="N10929">
            <v>-46.48</v>
          </cell>
        </row>
        <row r="10930">
          <cell r="N10930">
            <v>-592.37300000000005</v>
          </cell>
        </row>
        <row r="10931">
          <cell r="N10931">
            <v>-294.95699999999999</v>
          </cell>
        </row>
        <row r="10932">
          <cell r="N10932">
            <v>-986.16800000000001</v>
          </cell>
        </row>
        <row r="10933">
          <cell r="N10933">
            <v>-294.95800000000003</v>
          </cell>
        </row>
        <row r="10934">
          <cell r="N10934">
            <v>-277</v>
          </cell>
        </row>
        <row r="10935">
          <cell r="N10935">
            <v>-249.52600000000001</v>
          </cell>
        </row>
        <row r="10936">
          <cell r="N10936">
            <v>-543.12099999999998</v>
          </cell>
        </row>
        <row r="10937">
          <cell r="N10937">
            <v>-9.173</v>
          </cell>
        </row>
        <row r="10938">
          <cell r="N10938">
            <v>-9.9559999999999995</v>
          </cell>
        </row>
        <row r="10939">
          <cell r="N10939">
            <v>-8.3629999999999995</v>
          </cell>
        </row>
        <row r="10940">
          <cell r="N10940">
            <v>-79.748000000000005</v>
          </cell>
        </row>
        <row r="10941">
          <cell r="N10941">
            <v>-2</v>
          </cell>
        </row>
        <row r="10942">
          <cell r="N10942">
            <v>-9</v>
          </cell>
        </row>
        <row r="10943">
          <cell r="N10943">
            <v>-2</v>
          </cell>
        </row>
        <row r="10944">
          <cell r="N10944">
            <v>-2</v>
          </cell>
        </row>
        <row r="10945">
          <cell r="N10945">
            <v>-1</v>
          </cell>
        </row>
        <row r="10946">
          <cell r="N10946">
            <v>-12</v>
          </cell>
        </row>
        <row r="10947">
          <cell r="N10947">
            <v>-11</v>
          </cell>
        </row>
        <row r="10948">
          <cell r="N10948">
            <v>-34.649000000000001</v>
          </cell>
        </row>
        <row r="10949">
          <cell r="N10949">
            <v>-277</v>
          </cell>
        </row>
        <row r="10950">
          <cell r="N10950">
            <v>-215</v>
          </cell>
        </row>
        <row r="10951">
          <cell r="N10951">
            <v>-277</v>
          </cell>
        </row>
        <row r="10952">
          <cell r="N10952">
            <v>-232.298</v>
          </cell>
        </row>
        <row r="10953">
          <cell r="N10953">
            <v>-415.30700000000002</v>
          </cell>
        </row>
        <row r="10954">
          <cell r="N10954">
            <v>-591.56399999999996</v>
          </cell>
        </row>
        <row r="10955">
          <cell r="N10955">
            <v>-298</v>
          </cell>
        </row>
        <row r="10956">
          <cell r="N10956">
            <v>-20</v>
          </cell>
        </row>
        <row r="10957">
          <cell r="N10957">
            <v>-4.8</v>
          </cell>
        </row>
        <row r="10958">
          <cell r="N10958">
            <v>-0.63100000000000001</v>
          </cell>
        </row>
        <row r="10959">
          <cell r="N10959">
            <v>-6.3689999999999998</v>
          </cell>
        </row>
        <row r="10960">
          <cell r="N10960">
            <v>-41.4</v>
          </cell>
        </row>
        <row r="10961">
          <cell r="N10961">
            <v>-14.35</v>
          </cell>
        </row>
        <row r="10962">
          <cell r="N10962">
            <v>-31.8</v>
          </cell>
        </row>
        <row r="10963">
          <cell r="N10963">
            <v>-13.8</v>
          </cell>
        </row>
        <row r="10964">
          <cell r="N10964">
            <v>-49.997</v>
          </cell>
        </row>
        <row r="10965">
          <cell r="N10965">
            <v>-37.927</v>
          </cell>
        </row>
        <row r="10966">
          <cell r="N10966">
            <v>-21.972999999999999</v>
          </cell>
        </row>
        <row r="10967">
          <cell r="N10967">
            <v>-17.3</v>
          </cell>
        </row>
        <row r="10968">
          <cell r="N10968">
            <v>-59.296999999999997</v>
          </cell>
        </row>
        <row r="10969">
          <cell r="N10969">
            <v>-16.472999999999999</v>
          </cell>
        </row>
        <row r="10970">
          <cell r="N10970">
            <v>-37.75</v>
          </cell>
        </row>
        <row r="10971">
          <cell r="N10971">
            <v>17.818999999999999</v>
          </cell>
        </row>
        <row r="10972">
          <cell r="N10972">
            <v>14.859</v>
          </cell>
        </row>
        <row r="10973">
          <cell r="N10973">
            <v>100</v>
          </cell>
        </row>
        <row r="10974">
          <cell r="N10974">
            <v>31.337</v>
          </cell>
        </row>
        <row r="10975">
          <cell r="N10975">
            <v>8.673</v>
          </cell>
        </row>
        <row r="10976">
          <cell r="N10976">
            <v>21.411999999999999</v>
          </cell>
        </row>
        <row r="10977">
          <cell r="N10977">
            <v>1.1819999999999999</v>
          </cell>
        </row>
        <row r="10978">
          <cell r="N10978">
            <v>1204.136</v>
          </cell>
        </row>
        <row r="10979">
          <cell r="N10979">
            <v>162</v>
          </cell>
        </row>
        <row r="10980">
          <cell r="N10980">
            <v>11.734999999999999</v>
          </cell>
        </row>
        <row r="10981">
          <cell r="N10981">
            <v>29.245999999999999</v>
          </cell>
        </row>
        <row r="10982">
          <cell r="N10982">
            <v>38.655999999999999</v>
          </cell>
        </row>
        <row r="10983">
          <cell r="N10983">
            <v>41.753999999999998</v>
          </cell>
        </row>
        <row r="10984">
          <cell r="N10984">
            <v>0.46899999999999997</v>
          </cell>
        </row>
        <row r="10985">
          <cell r="N10985">
            <v>10.090999999999999</v>
          </cell>
        </row>
        <row r="10986">
          <cell r="N10986">
            <v>26.524999999999999</v>
          </cell>
        </row>
        <row r="10987">
          <cell r="N10987">
            <v>1.81</v>
          </cell>
        </row>
        <row r="10988">
          <cell r="N10988">
            <v>13.727</v>
          </cell>
        </row>
        <row r="10989">
          <cell r="N10989">
            <v>28.751999999999999</v>
          </cell>
        </row>
        <row r="10990">
          <cell r="N10990">
            <v>10.467000000000001</v>
          </cell>
        </row>
        <row r="10991">
          <cell r="N10991">
            <v>30.283999999999999</v>
          </cell>
        </row>
        <row r="10992">
          <cell r="N10992">
            <v>2.4820000000000002</v>
          </cell>
        </row>
        <row r="10993">
          <cell r="N10993">
            <v>11.356</v>
          </cell>
        </row>
        <row r="10994">
          <cell r="N10994">
            <v>31.652999999999999</v>
          </cell>
        </row>
        <row r="10995">
          <cell r="N10995">
            <v>34.162999999999997</v>
          </cell>
        </row>
        <row r="10996">
          <cell r="N10996">
            <v>34.302</v>
          </cell>
        </row>
        <row r="10997">
          <cell r="N10997">
            <v>24.245999999999999</v>
          </cell>
        </row>
        <row r="10998">
          <cell r="N10998">
            <v>14.629</v>
          </cell>
        </row>
        <row r="10999">
          <cell r="N10999">
            <v>2475.3000000000002</v>
          </cell>
        </row>
        <row r="11000">
          <cell r="N11000">
            <v>732</v>
          </cell>
        </row>
        <row r="11001">
          <cell r="N11001">
            <v>732</v>
          </cell>
        </row>
        <row r="11002">
          <cell r="N11002">
            <v>85</v>
          </cell>
        </row>
        <row r="11003">
          <cell r="N11003">
            <v>100</v>
          </cell>
        </row>
        <row r="11004">
          <cell r="N11004">
            <v>350</v>
          </cell>
        </row>
        <row r="11005">
          <cell r="N11005">
            <v>1.44</v>
          </cell>
        </row>
        <row r="11006">
          <cell r="N11006">
            <v>17.891999999999999</v>
          </cell>
        </row>
        <row r="11007">
          <cell r="N11007">
            <v>3.0619999999999998</v>
          </cell>
        </row>
        <row r="11008">
          <cell r="N11008">
            <v>8.9969999999999999</v>
          </cell>
        </row>
        <row r="11009">
          <cell r="N11009">
            <v>1.2789999999999999</v>
          </cell>
        </row>
        <row r="11010">
          <cell r="N11010">
            <v>0.16900000000000001</v>
          </cell>
        </row>
        <row r="11011">
          <cell r="N11011">
            <v>9.6739999999999995</v>
          </cell>
        </row>
        <row r="11012">
          <cell r="N11012">
            <v>5.5949999999999998</v>
          </cell>
        </row>
        <row r="11013">
          <cell r="N11013">
            <v>9.8369999999999997</v>
          </cell>
        </row>
        <row r="11014">
          <cell r="N11014">
            <v>60</v>
          </cell>
        </row>
        <row r="11015">
          <cell r="N11015">
            <v>12</v>
          </cell>
        </row>
        <row r="11016">
          <cell r="N11016">
            <v>13.701000000000001</v>
          </cell>
        </row>
        <row r="11017">
          <cell r="N11017">
            <v>14.430999999999999</v>
          </cell>
        </row>
        <row r="11018">
          <cell r="N11018">
            <v>24.869</v>
          </cell>
        </row>
        <row r="11019">
          <cell r="N11019">
            <v>4.0000000000000001E-3</v>
          </cell>
        </row>
        <row r="11020">
          <cell r="N11020">
            <v>6.0000000000000001E-3</v>
          </cell>
        </row>
        <row r="11021">
          <cell r="N11021">
            <v>8.9999999999999993E-3</v>
          </cell>
        </row>
        <row r="11022">
          <cell r="N11022">
            <v>8.9999999999999993E-3</v>
          </cell>
        </row>
        <row r="11023">
          <cell r="N11023">
            <v>4.0000000000000001E-3</v>
          </cell>
        </row>
        <row r="11024">
          <cell r="N11024">
            <v>0.01</v>
          </cell>
        </row>
        <row r="11025">
          <cell r="N11025">
            <v>5.0000000000000001E-3</v>
          </cell>
        </row>
        <row r="11026">
          <cell r="N11026">
            <v>1E-3</v>
          </cell>
        </row>
        <row r="11027">
          <cell r="N11027">
            <v>231</v>
          </cell>
        </row>
        <row r="11028">
          <cell r="N11028">
            <v>231</v>
          </cell>
        </row>
        <row r="11029">
          <cell r="N11029">
            <v>100</v>
          </cell>
        </row>
        <row r="11030">
          <cell r="N11030">
            <v>33</v>
          </cell>
        </row>
        <row r="11031">
          <cell r="N11031">
            <v>684</v>
          </cell>
        </row>
        <row r="11032">
          <cell r="N11032">
            <v>3.1989999999999998</v>
          </cell>
        </row>
        <row r="11033">
          <cell r="N11033">
            <v>3500</v>
          </cell>
        </row>
        <row r="11034">
          <cell r="N11034">
            <v>277</v>
          </cell>
        </row>
        <row r="11035">
          <cell r="N11035">
            <v>1154</v>
          </cell>
        </row>
        <row r="11036">
          <cell r="N11036">
            <v>100</v>
          </cell>
        </row>
        <row r="11037">
          <cell r="N11037">
            <v>3.1579999999999999</v>
          </cell>
        </row>
        <row r="11038">
          <cell r="N11038">
            <v>9.5500000000000007</v>
          </cell>
        </row>
        <row r="11039">
          <cell r="N11039">
            <v>1154</v>
          </cell>
        </row>
        <row r="11040">
          <cell r="N11040">
            <v>1154</v>
          </cell>
        </row>
        <row r="11041">
          <cell r="N11041">
            <v>4.4130000000000003</v>
          </cell>
        </row>
        <row r="11042">
          <cell r="N11042">
            <v>5940</v>
          </cell>
        </row>
        <row r="11043">
          <cell r="N11043">
            <v>2.0310000000000001</v>
          </cell>
        </row>
      </sheetData>
      <sheetData sheetId="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Assumptions"/>
      <sheetName val="2.Profit Reco from Version V"/>
      <sheetName val="3.P&amp;L_Comp_F06&amp;F07"/>
      <sheetName val="4.Qtrly P&amp;L Reduced Volume"/>
      <sheetName val="5.Qtrly P&amp;L Full Volume"/>
      <sheetName val="6.Yarn Reqmt_Full Volume"/>
      <sheetName val="7Yarn Reqmt_Reduced Volume"/>
      <sheetName val="3.Activiy Cost"/>
      <sheetName val="8 Monthly Sales"/>
      <sheetName val="9 Sales Price in $"/>
      <sheetName val="8.Buyerwise Contribution"/>
      <sheetName val="9.Product Profitability"/>
      <sheetName val="10Yarn Rates"/>
      <sheetName val="11Yarn Recovery"/>
      <sheetName val="12 P&amp;L_F07 old"/>
      <sheetName val="WGSRL"/>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 summary"/>
      <sheetName val="Production Planning"/>
      <sheetName val="Grey Prodn"/>
      <sheetName val="Sales Budget"/>
      <sheetName val="Sales"/>
      <sheetName val="Inputs"/>
      <sheetName val="Sales inputs "/>
      <sheetName val="Capacity"/>
      <sheetName val="9 Sales Price in $"/>
      <sheetName val="Fixed Cost"/>
      <sheetName val="BL-Bud"/>
      <sheetName val="BS-Bud"/>
      <sheetName val="GW-Bud"/>
      <sheetName val="Head Office-Bud"/>
      <sheetName val="MS-Bud"/>
      <sheetName val="PL-Bud"/>
      <sheetName val="TB-Bud"/>
      <sheetName val="TM-Bud"/>
      <sheetName val="YS-Bud"/>
      <sheetName val="Sheet1"/>
      <sheetName val="Working"/>
      <sheetName val="debt schedule"/>
      <sheetName val="Excise on RM"/>
    </sheetNames>
    <sheetDataSet>
      <sheetData sheetId="0"/>
      <sheetData sheetId="1"/>
      <sheetData sheetId="2">
        <row r="4">
          <cell r="AB4" t="str">
            <v>Key3</v>
          </cell>
        </row>
      </sheetData>
      <sheetData sheetId="3">
        <row r="4">
          <cell r="AB4" t="str">
            <v>Key3</v>
          </cell>
        </row>
      </sheetData>
      <sheetData sheetId="4"/>
      <sheetData sheetId="5" refreshError="1">
        <row r="4">
          <cell r="K4" t="str">
            <v>Key -3</v>
          </cell>
        </row>
        <row r="109">
          <cell r="K109" t="str">
            <v>ExportTargetWaverlyUSABath76x142L</v>
          </cell>
          <cell r="L109">
            <v>0</v>
          </cell>
          <cell r="M109">
            <v>2.5000000000000001E-3</v>
          </cell>
          <cell r="N109">
            <v>6.5000000000000002E-2</v>
          </cell>
          <cell r="O109">
            <v>1.4999999999999999E-2</v>
          </cell>
          <cell r="Q109">
            <v>8.2500000000000004E-2</v>
          </cell>
          <cell r="R109">
            <v>0.91749999999999998</v>
          </cell>
        </row>
        <row r="110">
          <cell r="K110" t="str">
            <v>ExportTargetWaverlyUSABath76x142M</v>
          </cell>
          <cell r="L110">
            <v>0</v>
          </cell>
          <cell r="M110">
            <v>2.5000000000000001E-3</v>
          </cell>
          <cell r="N110">
            <v>6.5000000000000002E-2</v>
          </cell>
          <cell r="O110">
            <v>1.4999999999999999E-2</v>
          </cell>
          <cell r="Q110">
            <v>8.2500000000000004E-2</v>
          </cell>
          <cell r="R110">
            <v>0.91749999999999998</v>
          </cell>
        </row>
        <row r="111">
          <cell r="K111" t="str">
            <v>ExportTargetWaverlyUSABath76x142D</v>
          </cell>
          <cell r="L111">
            <v>0</v>
          </cell>
          <cell r="M111">
            <v>2.5000000000000001E-3</v>
          </cell>
          <cell r="N111">
            <v>6.5000000000000002E-2</v>
          </cell>
          <cell r="O111">
            <v>1.4999999999999999E-2</v>
          </cell>
          <cell r="Q111">
            <v>8.2500000000000004E-2</v>
          </cell>
          <cell r="R111">
            <v>0.91749999999999998</v>
          </cell>
        </row>
        <row r="112">
          <cell r="K112" t="str">
            <v>ExportTargetWaverlyUSAHand41x76L</v>
          </cell>
          <cell r="L112">
            <v>0</v>
          </cell>
          <cell r="M112">
            <v>2.5000000000000001E-3</v>
          </cell>
          <cell r="N112">
            <v>6.5000000000000002E-2</v>
          </cell>
          <cell r="O112">
            <v>1.4999999999999999E-2</v>
          </cell>
          <cell r="Q112">
            <v>8.2500000000000004E-2</v>
          </cell>
          <cell r="R112">
            <v>0.91749999999999998</v>
          </cell>
        </row>
        <row r="113">
          <cell r="K113" t="str">
            <v>ExportTargetWaverlyUSAHand41x76M</v>
          </cell>
          <cell r="L113">
            <v>0</v>
          </cell>
          <cell r="M113">
            <v>2.5000000000000001E-3</v>
          </cell>
          <cell r="N113">
            <v>6.5000000000000002E-2</v>
          </cell>
          <cell r="O113">
            <v>1.4999999999999999E-2</v>
          </cell>
          <cell r="Q113">
            <v>8.2500000000000004E-2</v>
          </cell>
          <cell r="R113">
            <v>0.91749999999999998</v>
          </cell>
        </row>
        <row r="114">
          <cell r="K114" t="str">
            <v>ExportTargetWaverlyUSAHand41x76D</v>
          </cell>
          <cell r="L114">
            <v>0</v>
          </cell>
          <cell r="M114">
            <v>2.5000000000000001E-3</v>
          </cell>
          <cell r="N114">
            <v>6.5000000000000002E-2</v>
          </cell>
          <cell r="O114">
            <v>1.4999999999999999E-2</v>
          </cell>
          <cell r="Q114">
            <v>8.2500000000000004E-2</v>
          </cell>
          <cell r="R114">
            <v>0.91749999999999998</v>
          </cell>
        </row>
        <row r="115">
          <cell r="K115" t="str">
            <v>ExportTargetWaverlyUSAWash30x30L</v>
          </cell>
          <cell r="L115">
            <v>0</v>
          </cell>
          <cell r="M115">
            <v>2.5000000000000001E-3</v>
          </cell>
          <cell r="N115">
            <v>6.5000000000000002E-2</v>
          </cell>
          <cell r="O115">
            <v>1.4999999999999999E-2</v>
          </cell>
          <cell r="Q115">
            <v>8.2500000000000004E-2</v>
          </cell>
          <cell r="R115">
            <v>0.91749999999999998</v>
          </cell>
        </row>
        <row r="116">
          <cell r="K116" t="str">
            <v>ExportTargetWaverlyUSAWash30x30M</v>
          </cell>
          <cell r="L116">
            <v>0</v>
          </cell>
          <cell r="M116">
            <v>2.5000000000000001E-3</v>
          </cell>
          <cell r="N116">
            <v>6.5000000000000002E-2</v>
          </cell>
          <cell r="O116">
            <v>1.4999999999999999E-2</v>
          </cell>
          <cell r="Q116">
            <v>8.2500000000000004E-2</v>
          </cell>
          <cell r="R116">
            <v>0.91749999999999998</v>
          </cell>
        </row>
        <row r="117">
          <cell r="K117" t="str">
            <v>ExportTargetWaverlyUSAWash30x30D</v>
          </cell>
          <cell r="L117">
            <v>0</v>
          </cell>
          <cell r="M117">
            <v>2.5000000000000001E-3</v>
          </cell>
          <cell r="N117">
            <v>6.5000000000000002E-2</v>
          </cell>
          <cell r="O117">
            <v>1.4999999999999999E-2</v>
          </cell>
          <cell r="Q117">
            <v>8.2500000000000004E-2</v>
          </cell>
          <cell r="R117">
            <v>0.91749999999999998</v>
          </cell>
        </row>
        <row r="118">
          <cell r="K118" t="str">
            <v>ExportWalmartHome TrendsUSABath76x132L</v>
          </cell>
          <cell r="L118">
            <v>0</v>
          </cell>
          <cell r="M118">
            <v>2.5000000000000001E-3</v>
          </cell>
          <cell r="N118">
            <v>6.5000000000000002E-2</v>
          </cell>
          <cell r="O118">
            <v>1.4999999999999999E-2</v>
          </cell>
          <cell r="Q118">
            <v>8.2500000000000004E-2</v>
          </cell>
          <cell r="R118">
            <v>0.91749999999999998</v>
          </cell>
        </row>
        <row r="119">
          <cell r="K119" t="str">
            <v>ExportWalmartHome TrendsUSABath76x132M</v>
          </cell>
          <cell r="L119">
            <v>0</v>
          </cell>
          <cell r="M119">
            <v>2.5000000000000001E-3</v>
          </cell>
          <cell r="N119">
            <v>6.5000000000000002E-2</v>
          </cell>
          <cell r="O119">
            <v>1.4999999999999999E-2</v>
          </cell>
          <cell r="Q119">
            <v>8.2500000000000004E-2</v>
          </cell>
          <cell r="R119">
            <v>0.91749999999999998</v>
          </cell>
        </row>
        <row r="120">
          <cell r="K120" t="str">
            <v>ExportWalmartHome TrendsUSABath76x132D</v>
          </cell>
          <cell r="L120">
            <v>0</v>
          </cell>
          <cell r="M120">
            <v>2.5000000000000001E-3</v>
          </cell>
          <cell r="N120">
            <v>6.5000000000000002E-2</v>
          </cell>
          <cell r="O120">
            <v>1.4999999999999999E-2</v>
          </cell>
          <cell r="Q120">
            <v>8.2500000000000004E-2</v>
          </cell>
          <cell r="R120">
            <v>0.91749999999999998</v>
          </cell>
        </row>
        <row r="121">
          <cell r="K121" t="str">
            <v>ExportWalmartHome TrendsUSAHand41x69L</v>
          </cell>
          <cell r="L121">
            <v>0</v>
          </cell>
          <cell r="M121">
            <v>2.5000000000000001E-3</v>
          </cell>
          <cell r="N121">
            <v>6.5000000000000002E-2</v>
          </cell>
          <cell r="O121">
            <v>1.4999999999999999E-2</v>
          </cell>
          <cell r="Q121">
            <v>8.2500000000000004E-2</v>
          </cell>
          <cell r="R121">
            <v>0.91749999999999998</v>
          </cell>
        </row>
        <row r="122">
          <cell r="K122" t="str">
            <v>ExportWalmartHome TrendsUSAHand41x69M</v>
          </cell>
          <cell r="L122">
            <v>0</v>
          </cell>
          <cell r="M122">
            <v>2.5000000000000001E-3</v>
          </cell>
          <cell r="N122">
            <v>6.5000000000000002E-2</v>
          </cell>
          <cell r="O122">
            <v>1.4999999999999999E-2</v>
          </cell>
          <cell r="Q122">
            <v>8.2500000000000004E-2</v>
          </cell>
          <cell r="R122">
            <v>0.91749999999999998</v>
          </cell>
        </row>
        <row r="123">
          <cell r="K123" t="str">
            <v>ExportWalmartHome TrendsUSAHand41x69D</v>
          </cell>
          <cell r="L123">
            <v>0</v>
          </cell>
          <cell r="M123">
            <v>2.5000000000000001E-3</v>
          </cell>
          <cell r="N123">
            <v>6.5000000000000002E-2</v>
          </cell>
          <cell r="O123">
            <v>1.4999999999999999E-2</v>
          </cell>
          <cell r="Q123">
            <v>8.2500000000000004E-2</v>
          </cell>
          <cell r="R123">
            <v>0.91749999999999998</v>
          </cell>
        </row>
        <row r="124">
          <cell r="K124" t="str">
            <v>ExportWalmartHome TrendsUSAWash33x33L</v>
          </cell>
          <cell r="L124">
            <v>0</v>
          </cell>
          <cell r="M124">
            <v>2.5000000000000001E-3</v>
          </cell>
          <cell r="N124">
            <v>6.5000000000000002E-2</v>
          </cell>
          <cell r="O124">
            <v>1.4999999999999999E-2</v>
          </cell>
          <cell r="Q124">
            <v>8.2500000000000004E-2</v>
          </cell>
          <cell r="R124">
            <v>0.91749999999999998</v>
          </cell>
        </row>
        <row r="125">
          <cell r="K125" t="str">
            <v>ExportWalmartHome TrendsUSAWash33x33M</v>
          </cell>
          <cell r="L125">
            <v>0</v>
          </cell>
          <cell r="M125">
            <v>2.5000000000000001E-3</v>
          </cell>
          <cell r="N125">
            <v>6.5000000000000002E-2</v>
          </cell>
          <cell r="O125">
            <v>1.4999999999999999E-2</v>
          </cell>
          <cell r="Q125">
            <v>8.2500000000000004E-2</v>
          </cell>
          <cell r="R125">
            <v>0.91749999999999998</v>
          </cell>
        </row>
        <row r="126">
          <cell r="K126" t="str">
            <v>ExportWalmartHome TrendsUSAWash33x33D</v>
          </cell>
          <cell r="L126">
            <v>0</v>
          </cell>
          <cell r="M126">
            <v>2.5000000000000001E-3</v>
          </cell>
          <cell r="N126">
            <v>6.5000000000000002E-2</v>
          </cell>
          <cell r="O126">
            <v>1.4999999999999999E-2</v>
          </cell>
          <cell r="Q126">
            <v>8.2500000000000004E-2</v>
          </cell>
          <cell r="R126">
            <v>0.91749999999999998</v>
          </cell>
        </row>
        <row r="127">
          <cell r="K127" t="str">
            <v>ExportMill WorkingCannon LandmarkUSABath76x137L</v>
          </cell>
          <cell r="L127">
            <v>0</v>
          </cell>
          <cell r="M127">
            <v>2.5000000000000001E-3</v>
          </cell>
          <cell r="N127">
            <v>6.5000000000000002E-2</v>
          </cell>
          <cell r="O127">
            <v>1.4999999999999999E-2</v>
          </cell>
          <cell r="Q127">
            <v>8.2500000000000004E-2</v>
          </cell>
          <cell r="R127">
            <v>0.91749999999999998</v>
          </cell>
        </row>
        <row r="128">
          <cell r="K128" t="str">
            <v>ExportMill WorkingCannon LandmarkUSABath76x137M</v>
          </cell>
          <cell r="L128">
            <v>0</v>
          </cell>
          <cell r="M128">
            <v>2.5000000000000001E-3</v>
          </cell>
          <cell r="N128">
            <v>6.5000000000000002E-2</v>
          </cell>
          <cell r="O128">
            <v>1.4999999999999999E-2</v>
          </cell>
          <cell r="Q128">
            <v>8.2500000000000004E-2</v>
          </cell>
          <cell r="R128">
            <v>0.91749999999999998</v>
          </cell>
        </row>
        <row r="129">
          <cell r="K129" t="str">
            <v>ExportMill WorkingCannon LandmarkUSABath76x137D</v>
          </cell>
          <cell r="L129">
            <v>0</v>
          </cell>
          <cell r="M129">
            <v>2.5000000000000001E-3</v>
          </cell>
          <cell r="N129">
            <v>6.5000000000000002E-2</v>
          </cell>
          <cell r="O129">
            <v>1.4999999999999999E-2</v>
          </cell>
          <cell r="Q129">
            <v>8.2500000000000004E-2</v>
          </cell>
          <cell r="R129">
            <v>0.91749999999999998</v>
          </cell>
        </row>
        <row r="130">
          <cell r="K130" t="str">
            <v>ExportMill WorkingCannon LandmarkUSAHand41x76L</v>
          </cell>
          <cell r="L130">
            <v>0</v>
          </cell>
          <cell r="M130">
            <v>2.5000000000000001E-3</v>
          </cell>
          <cell r="N130">
            <v>6.5000000000000002E-2</v>
          </cell>
          <cell r="O130">
            <v>1.4999999999999999E-2</v>
          </cell>
          <cell r="Q130">
            <v>8.2500000000000004E-2</v>
          </cell>
          <cell r="R130">
            <v>0.91749999999999998</v>
          </cell>
        </row>
        <row r="131">
          <cell r="K131" t="str">
            <v>ExportMill WorkingCannon LandmarkUSAHand41x76M</v>
          </cell>
          <cell r="L131">
            <v>0</v>
          </cell>
          <cell r="M131">
            <v>2.5000000000000001E-3</v>
          </cell>
          <cell r="N131">
            <v>6.5000000000000002E-2</v>
          </cell>
          <cell r="O131">
            <v>1.4999999999999999E-2</v>
          </cell>
          <cell r="Q131">
            <v>8.2500000000000004E-2</v>
          </cell>
          <cell r="R131">
            <v>0.91749999999999998</v>
          </cell>
        </row>
        <row r="132">
          <cell r="K132" t="str">
            <v>ExportMill WorkingCannon LandmarkUSAHand41x76D</v>
          </cell>
          <cell r="L132">
            <v>0</v>
          </cell>
          <cell r="M132">
            <v>2.5000000000000001E-3</v>
          </cell>
          <cell r="N132">
            <v>6.5000000000000002E-2</v>
          </cell>
          <cell r="O132">
            <v>1.4999999999999999E-2</v>
          </cell>
          <cell r="Q132">
            <v>8.2500000000000004E-2</v>
          </cell>
          <cell r="R132">
            <v>0.91749999999999998</v>
          </cell>
        </row>
        <row r="133">
          <cell r="K133" t="str">
            <v>ExportMill WorkingCannon LandmarkUSAWash33x33L</v>
          </cell>
          <cell r="L133">
            <v>0</v>
          </cell>
          <cell r="M133">
            <v>2.5000000000000001E-3</v>
          </cell>
          <cell r="N133">
            <v>6.5000000000000002E-2</v>
          </cell>
          <cell r="O133">
            <v>1.4999999999999999E-2</v>
          </cell>
          <cell r="Q133">
            <v>8.2500000000000004E-2</v>
          </cell>
          <cell r="R133">
            <v>0.91749999999999998</v>
          </cell>
        </row>
        <row r="134">
          <cell r="K134" t="str">
            <v>ExportMill WorkingCannon LandmarkUSAWash33x33M</v>
          </cell>
          <cell r="L134">
            <v>0</v>
          </cell>
          <cell r="M134">
            <v>2.5000000000000001E-3</v>
          </cell>
          <cell r="N134">
            <v>6.5000000000000002E-2</v>
          </cell>
          <cell r="O134">
            <v>1.4999999999999999E-2</v>
          </cell>
          <cell r="Q134">
            <v>8.2500000000000004E-2</v>
          </cell>
          <cell r="R134">
            <v>0.91749999999999998</v>
          </cell>
        </row>
        <row r="135">
          <cell r="K135" t="str">
            <v>ExportMill WorkingCannon LandmarkUSAWash33x33D</v>
          </cell>
          <cell r="L135">
            <v>0</v>
          </cell>
          <cell r="M135">
            <v>2.5000000000000001E-3</v>
          </cell>
          <cell r="N135">
            <v>6.5000000000000002E-2</v>
          </cell>
          <cell r="O135">
            <v>1.4999999999999999E-2</v>
          </cell>
          <cell r="Q135">
            <v>8.2500000000000004E-2</v>
          </cell>
          <cell r="R135">
            <v>0.91749999999999998</v>
          </cell>
        </row>
        <row r="136">
          <cell r="K136" t="str">
            <v>ExportMill WorkingCannon MilestoneUSABath76x137L</v>
          </cell>
          <cell r="L136">
            <v>0</v>
          </cell>
          <cell r="M136">
            <v>2.5000000000000001E-3</v>
          </cell>
          <cell r="N136">
            <v>6.5000000000000002E-2</v>
          </cell>
          <cell r="O136">
            <v>1.4999999999999999E-2</v>
          </cell>
          <cell r="Q136">
            <v>8.2500000000000004E-2</v>
          </cell>
          <cell r="R136">
            <v>0.91749999999999998</v>
          </cell>
        </row>
        <row r="137">
          <cell r="K137" t="str">
            <v>ExportMill WorkingCannon MilestoneUSABath76x137M</v>
          </cell>
          <cell r="L137">
            <v>0</v>
          </cell>
          <cell r="M137">
            <v>2.5000000000000001E-3</v>
          </cell>
          <cell r="N137">
            <v>6.5000000000000002E-2</v>
          </cell>
          <cell r="O137">
            <v>1.4999999999999999E-2</v>
          </cell>
          <cell r="Q137">
            <v>8.2500000000000004E-2</v>
          </cell>
          <cell r="R137">
            <v>0.91749999999999998</v>
          </cell>
        </row>
        <row r="138">
          <cell r="K138" t="str">
            <v>ExportMill WorkingCannon MilestoneUSABath76x137D</v>
          </cell>
          <cell r="L138">
            <v>0</v>
          </cell>
          <cell r="M138">
            <v>2.5000000000000001E-3</v>
          </cell>
          <cell r="N138">
            <v>6.5000000000000002E-2</v>
          </cell>
          <cell r="O138">
            <v>1.4999999999999999E-2</v>
          </cell>
          <cell r="Q138">
            <v>8.2500000000000004E-2</v>
          </cell>
          <cell r="R138">
            <v>0.91749999999999998</v>
          </cell>
        </row>
        <row r="139">
          <cell r="K139" t="str">
            <v>ExportMill WorkingCannon MilestoneUSAHand41x76L</v>
          </cell>
          <cell r="L139">
            <v>0</v>
          </cell>
          <cell r="M139">
            <v>2.5000000000000001E-3</v>
          </cell>
          <cell r="N139">
            <v>6.5000000000000002E-2</v>
          </cell>
          <cell r="O139">
            <v>1.4999999999999999E-2</v>
          </cell>
          <cell r="Q139">
            <v>8.2500000000000004E-2</v>
          </cell>
          <cell r="R139">
            <v>0.91749999999999998</v>
          </cell>
        </row>
        <row r="140">
          <cell r="K140" t="str">
            <v>ExportMill WorkingCannon MilestoneUSAHand41x76M</v>
          </cell>
          <cell r="L140">
            <v>0</v>
          </cell>
          <cell r="M140">
            <v>2.5000000000000001E-3</v>
          </cell>
          <cell r="N140">
            <v>6.5000000000000002E-2</v>
          </cell>
          <cell r="O140">
            <v>1.4999999999999999E-2</v>
          </cell>
          <cell r="Q140">
            <v>8.2500000000000004E-2</v>
          </cell>
          <cell r="R140">
            <v>0.91749999999999998</v>
          </cell>
        </row>
        <row r="141">
          <cell r="K141" t="str">
            <v>ExportMill WorkingCannon MilestoneUSAHand41x76D</v>
          </cell>
          <cell r="L141">
            <v>0</v>
          </cell>
          <cell r="M141">
            <v>2.5000000000000001E-3</v>
          </cell>
          <cell r="N141">
            <v>6.5000000000000002E-2</v>
          </cell>
          <cell r="O141">
            <v>1.4999999999999999E-2</v>
          </cell>
          <cell r="Q141">
            <v>8.2500000000000004E-2</v>
          </cell>
          <cell r="R141">
            <v>0.91749999999999998</v>
          </cell>
        </row>
        <row r="142">
          <cell r="K142" t="str">
            <v>ExportMill WorkingCannon MilestoneUSAWash33x33L</v>
          </cell>
          <cell r="L142">
            <v>0</v>
          </cell>
          <cell r="M142">
            <v>2.5000000000000001E-3</v>
          </cell>
          <cell r="N142">
            <v>6.5000000000000002E-2</v>
          </cell>
          <cell r="O142">
            <v>1.4999999999999999E-2</v>
          </cell>
          <cell r="Q142">
            <v>8.2500000000000004E-2</v>
          </cell>
          <cell r="R142">
            <v>0.91749999999999998</v>
          </cell>
        </row>
        <row r="143">
          <cell r="K143" t="str">
            <v>ExportMill WorkingCannon MilestoneUSAWash33x33M</v>
          </cell>
          <cell r="L143">
            <v>0</v>
          </cell>
          <cell r="M143">
            <v>2.5000000000000001E-3</v>
          </cell>
          <cell r="N143">
            <v>6.5000000000000002E-2</v>
          </cell>
          <cell r="O143">
            <v>1.4999999999999999E-2</v>
          </cell>
          <cell r="Q143">
            <v>8.2500000000000004E-2</v>
          </cell>
          <cell r="R143">
            <v>0.91749999999999998</v>
          </cell>
        </row>
        <row r="144">
          <cell r="K144" t="str">
            <v>ExportMill WorkingCannon MilestoneUSAWash33x33D</v>
          </cell>
          <cell r="L144">
            <v>0</v>
          </cell>
          <cell r="M144">
            <v>2.5000000000000001E-3</v>
          </cell>
          <cell r="N144">
            <v>6.5000000000000002E-2</v>
          </cell>
          <cell r="O144">
            <v>1.4999999999999999E-2</v>
          </cell>
          <cell r="Q144">
            <v>8.2500000000000004E-2</v>
          </cell>
          <cell r="R144">
            <v>0.91749999999999998</v>
          </cell>
        </row>
        <row r="145">
          <cell r="K145" t="str">
            <v>ExportWelspun USAEsplamaUSABath76x137L</v>
          </cell>
          <cell r="L145">
            <v>0</v>
          </cell>
          <cell r="M145">
            <v>2.5000000000000001E-3</v>
          </cell>
          <cell r="N145">
            <v>6.5000000000000002E-2</v>
          </cell>
          <cell r="O145">
            <v>1.4999999999999999E-2</v>
          </cell>
          <cell r="Q145">
            <v>8.2500000000000004E-2</v>
          </cell>
          <cell r="R145">
            <v>0.91749999999999998</v>
          </cell>
        </row>
        <row r="146">
          <cell r="K146" t="str">
            <v>ExportWelspun USAEsplamaUSABath76x137M</v>
          </cell>
          <cell r="L146">
            <v>0</v>
          </cell>
          <cell r="M146">
            <v>2.5000000000000001E-3</v>
          </cell>
          <cell r="N146">
            <v>6.5000000000000002E-2</v>
          </cell>
          <cell r="O146">
            <v>1.4999999999999999E-2</v>
          </cell>
          <cell r="Q146">
            <v>8.2500000000000004E-2</v>
          </cell>
          <cell r="R146">
            <v>0.91749999999999998</v>
          </cell>
        </row>
        <row r="147">
          <cell r="K147" t="str">
            <v>ExportWelspun USAEsplamaUSABath76x137D</v>
          </cell>
          <cell r="L147">
            <v>0</v>
          </cell>
          <cell r="M147">
            <v>2.5000000000000001E-3</v>
          </cell>
          <cell r="N147">
            <v>6.5000000000000002E-2</v>
          </cell>
          <cell r="O147">
            <v>1.4999999999999999E-2</v>
          </cell>
          <cell r="Q147">
            <v>8.2500000000000004E-2</v>
          </cell>
          <cell r="R147">
            <v>0.91749999999999998</v>
          </cell>
        </row>
        <row r="148">
          <cell r="K148" t="str">
            <v>ExportWelspun USAEsplamaUSAHand41x71L</v>
          </cell>
          <cell r="L148">
            <v>0</v>
          </cell>
          <cell r="M148">
            <v>2.5000000000000001E-3</v>
          </cell>
          <cell r="N148">
            <v>6.5000000000000002E-2</v>
          </cell>
          <cell r="O148">
            <v>1.4999999999999999E-2</v>
          </cell>
          <cell r="Q148">
            <v>8.2500000000000004E-2</v>
          </cell>
          <cell r="R148">
            <v>0.91749999999999998</v>
          </cell>
        </row>
        <row r="149">
          <cell r="K149" t="str">
            <v>ExportWelspun USAEsplamaUSAHand41x71M</v>
          </cell>
          <cell r="L149">
            <v>0</v>
          </cell>
          <cell r="M149">
            <v>2.5000000000000001E-3</v>
          </cell>
          <cell r="N149">
            <v>6.5000000000000002E-2</v>
          </cell>
          <cell r="O149">
            <v>1.4999999999999999E-2</v>
          </cell>
          <cell r="Q149">
            <v>8.2500000000000004E-2</v>
          </cell>
          <cell r="R149">
            <v>0.91749999999999998</v>
          </cell>
        </row>
        <row r="150">
          <cell r="K150" t="str">
            <v>ExportWelspun USAEsplamaUSAHand41x71D</v>
          </cell>
          <cell r="L150">
            <v>0</v>
          </cell>
          <cell r="M150">
            <v>2.5000000000000001E-3</v>
          </cell>
          <cell r="N150">
            <v>6.5000000000000002E-2</v>
          </cell>
          <cell r="O150">
            <v>1.4999999999999999E-2</v>
          </cell>
          <cell r="Q150">
            <v>8.2500000000000004E-2</v>
          </cell>
          <cell r="R150">
            <v>0.91749999999999998</v>
          </cell>
        </row>
        <row r="151">
          <cell r="K151" t="str">
            <v>ExportWelspun USAEsplamaUSAWash33x33L</v>
          </cell>
          <cell r="L151">
            <v>0</v>
          </cell>
          <cell r="M151">
            <v>2.5000000000000001E-3</v>
          </cell>
          <cell r="N151">
            <v>6.5000000000000002E-2</v>
          </cell>
          <cell r="O151">
            <v>1.4999999999999999E-2</v>
          </cell>
          <cell r="Q151">
            <v>8.2500000000000004E-2</v>
          </cell>
          <cell r="R151">
            <v>0.91749999999999998</v>
          </cell>
        </row>
        <row r="152">
          <cell r="K152" t="str">
            <v>ExportWelspun USAEsplamaUSAWash33x33M</v>
          </cell>
          <cell r="L152">
            <v>0</v>
          </cell>
          <cell r="M152">
            <v>2.5000000000000001E-3</v>
          </cell>
          <cell r="N152">
            <v>6.5000000000000002E-2</v>
          </cell>
          <cell r="O152">
            <v>1.4999999999999999E-2</v>
          </cell>
          <cell r="Q152">
            <v>8.2500000000000004E-2</v>
          </cell>
          <cell r="R152">
            <v>0.91749999999999998</v>
          </cell>
        </row>
        <row r="153">
          <cell r="K153" t="str">
            <v>ExportWelspun USAEsplamaUSAWash33x33D</v>
          </cell>
          <cell r="L153">
            <v>0</v>
          </cell>
          <cell r="M153">
            <v>2.5000000000000001E-3</v>
          </cell>
          <cell r="N153">
            <v>6.5000000000000002E-2</v>
          </cell>
          <cell r="O153">
            <v>1.4999999999999999E-2</v>
          </cell>
          <cell r="Q153">
            <v>8.2500000000000004E-2</v>
          </cell>
          <cell r="R153">
            <v>0.91749999999999998</v>
          </cell>
        </row>
        <row r="154">
          <cell r="K154" t="str">
            <v>ExportLNTManorUSABath76x147L</v>
          </cell>
          <cell r="L154">
            <v>0</v>
          </cell>
          <cell r="M154">
            <v>2.5000000000000001E-3</v>
          </cell>
          <cell r="N154">
            <v>6.5000000000000002E-2</v>
          </cell>
          <cell r="O154">
            <v>1.4999999999999999E-2</v>
          </cell>
          <cell r="Q154">
            <v>8.2500000000000004E-2</v>
          </cell>
          <cell r="R154">
            <v>0.91749999999999998</v>
          </cell>
        </row>
        <row r="155">
          <cell r="K155" t="str">
            <v>ExportLNTManorUSABath76x147M</v>
          </cell>
          <cell r="L155">
            <v>0</v>
          </cell>
          <cell r="M155">
            <v>2.5000000000000001E-3</v>
          </cell>
          <cell r="N155">
            <v>6.5000000000000002E-2</v>
          </cell>
          <cell r="O155">
            <v>1.4999999999999999E-2</v>
          </cell>
          <cell r="Q155">
            <v>8.2500000000000004E-2</v>
          </cell>
          <cell r="R155">
            <v>0.91749999999999998</v>
          </cell>
        </row>
        <row r="156">
          <cell r="K156" t="str">
            <v>ExportLNTManorUSABath76x147D</v>
          </cell>
          <cell r="L156">
            <v>0</v>
          </cell>
          <cell r="M156">
            <v>2.5000000000000001E-3</v>
          </cell>
          <cell r="N156">
            <v>6.5000000000000002E-2</v>
          </cell>
          <cell r="O156">
            <v>1.4999999999999999E-2</v>
          </cell>
          <cell r="Q156">
            <v>8.2500000000000004E-2</v>
          </cell>
          <cell r="R156">
            <v>0.91749999999999998</v>
          </cell>
        </row>
        <row r="157">
          <cell r="K157" t="str">
            <v>ExportLNTManorUSAHand51x76L</v>
          </cell>
          <cell r="L157">
            <v>0</v>
          </cell>
          <cell r="M157">
            <v>2.5000000000000001E-3</v>
          </cell>
          <cell r="N157">
            <v>6.5000000000000002E-2</v>
          </cell>
          <cell r="O157">
            <v>1.4999999999999999E-2</v>
          </cell>
          <cell r="Q157">
            <v>8.2500000000000004E-2</v>
          </cell>
          <cell r="R157">
            <v>0.91749999999999998</v>
          </cell>
        </row>
        <row r="158">
          <cell r="K158" t="str">
            <v>ExportLNTManorUSAHand51x76M</v>
          </cell>
          <cell r="L158">
            <v>0</v>
          </cell>
          <cell r="M158">
            <v>2.5000000000000001E-3</v>
          </cell>
          <cell r="N158">
            <v>6.5000000000000002E-2</v>
          </cell>
          <cell r="O158">
            <v>1.4999999999999999E-2</v>
          </cell>
          <cell r="Q158">
            <v>8.2500000000000004E-2</v>
          </cell>
          <cell r="R158">
            <v>0.91749999999999998</v>
          </cell>
        </row>
        <row r="159">
          <cell r="K159" t="str">
            <v>ExportLNTManorUSAHand51x76D</v>
          </cell>
          <cell r="L159">
            <v>0</v>
          </cell>
          <cell r="M159">
            <v>2.5000000000000001E-3</v>
          </cell>
          <cell r="N159">
            <v>6.5000000000000002E-2</v>
          </cell>
          <cell r="O159">
            <v>1.4999999999999999E-2</v>
          </cell>
          <cell r="Q159">
            <v>8.2500000000000004E-2</v>
          </cell>
          <cell r="R159">
            <v>0.91749999999999998</v>
          </cell>
        </row>
        <row r="160">
          <cell r="K160" t="str">
            <v>ExportLNTManorUSAWash33x33L</v>
          </cell>
          <cell r="L160">
            <v>0</v>
          </cell>
          <cell r="M160">
            <v>2.5000000000000001E-3</v>
          </cell>
          <cell r="N160">
            <v>6.5000000000000002E-2</v>
          </cell>
          <cell r="O160">
            <v>1.4999999999999999E-2</v>
          </cell>
          <cell r="Q160">
            <v>8.2500000000000004E-2</v>
          </cell>
          <cell r="R160">
            <v>0.91749999999999998</v>
          </cell>
        </row>
        <row r="161">
          <cell r="K161" t="str">
            <v>ExportLNTManorUSAWash33x33M</v>
          </cell>
          <cell r="L161">
            <v>0</v>
          </cell>
          <cell r="M161">
            <v>2.5000000000000001E-3</v>
          </cell>
          <cell r="N161">
            <v>6.5000000000000002E-2</v>
          </cell>
          <cell r="O161">
            <v>1.4999999999999999E-2</v>
          </cell>
          <cell r="Q161">
            <v>8.2500000000000004E-2</v>
          </cell>
          <cell r="R161">
            <v>0.91749999999999998</v>
          </cell>
        </row>
        <row r="162">
          <cell r="K162" t="str">
            <v>ExportLNTManorUSAWash33x33D</v>
          </cell>
          <cell r="L162">
            <v>0</v>
          </cell>
          <cell r="M162">
            <v>2.5000000000000001E-3</v>
          </cell>
          <cell r="N162">
            <v>6.5000000000000002E-2</v>
          </cell>
          <cell r="O162">
            <v>1.4999999999999999E-2</v>
          </cell>
          <cell r="Q162">
            <v>8.2500000000000004E-2</v>
          </cell>
          <cell r="R162">
            <v>0.91749999999999998</v>
          </cell>
        </row>
        <row r="163">
          <cell r="K163" t="str">
            <v>ExportLNTNewUSABath76x147L</v>
          </cell>
          <cell r="L163">
            <v>0</v>
          </cell>
          <cell r="M163">
            <v>2.5000000000000001E-3</v>
          </cell>
          <cell r="N163">
            <v>6.5000000000000002E-2</v>
          </cell>
          <cell r="O163">
            <v>1.4999999999999999E-2</v>
          </cell>
          <cell r="Q163">
            <v>8.2500000000000004E-2</v>
          </cell>
          <cell r="R163">
            <v>0.91749999999999998</v>
          </cell>
        </row>
        <row r="164">
          <cell r="K164" t="str">
            <v>ExportLNTNewUSABath76x147M</v>
          </cell>
          <cell r="L164">
            <v>0</v>
          </cell>
          <cell r="M164">
            <v>2.5000000000000001E-3</v>
          </cell>
          <cell r="N164">
            <v>6.5000000000000002E-2</v>
          </cell>
          <cell r="O164">
            <v>1.4999999999999999E-2</v>
          </cell>
          <cell r="Q164">
            <v>8.2500000000000004E-2</v>
          </cell>
          <cell r="R164">
            <v>0.91749999999999998</v>
          </cell>
        </row>
        <row r="165">
          <cell r="K165" t="str">
            <v>ExportLNTNewUSABath76x147D</v>
          </cell>
          <cell r="L165">
            <v>0</v>
          </cell>
          <cell r="M165">
            <v>2.5000000000000001E-3</v>
          </cell>
          <cell r="N165">
            <v>6.5000000000000002E-2</v>
          </cell>
          <cell r="O165">
            <v>1.4999999999999999E-2</v>
          </cell>
          <cell r="Q165">
            <v>8.2500000000000004E-2</v>
          </cell>
          <cell r="R165">
            <v>0.91749999999999998</v>
          </cell>
        </row>
        <row r="166">
          <cell r="K166" t="str">
            <v>ExportLNTNewUSAHand51x76L</v>
          </cell>
          <cell r="L166">
            <v>0</v>
          </cell>
          <cell r="M166">
            <v>2.5000000000000001E-3</v>
          </cell>
          <cell r="N166">
            <v>6.5000000000000002E-2</v>
          </cell>
          <cell r="O166">
            <v>1.4999999999999999E-2</v>
          </cell>
          <cell r="Q166">
            <v>8.2500000000000004E-2</v>
          </cell>
          <cell r="R166">
            <v>0.91749999999999998</v>
          </cell>
        </row>
        <row r="167">
          <cell r="K167" t="str">
            <v>ExportLNTNewUSAHand51x76M</v>
          </cell>
          <cell r="L167">
            <v>0</v>
          </cell>
          <cell r="M167">
            <v>2.5000000000000001E-3</v>
          </cell>
          <cell r="N167">
            <v>6.5000000000000002E-2</v>
          </cell>
          <cell r="O167">
            <v>1.4999999999999999E-2</v>
          </cell>
          <cell r="Q167">
            <v>8.2500000000000004E-2</v>
          </cell>
          <cell r="R167">
            <v>0.91749999999999998</v>
          </cell>
        </row>
        <row r="168">
          <cell r="K168" t="str">
            <v>ExportLNTNewUSAHand51x76D</v>
          </cell>
          <cell r="L168">
            <v>0</v>
          </cell>
          <cell r="M168">
            <v>2.5000000000000001E-3</v>
          </cell>
          <cell r="N168">
            <v>6.5000000000000002E-2</v>
          </cell>
          <cell r="O168">
            <v>1.4999999999999999E-2</v>
          </cell>
          <cell r="Q168">
            <v>8.2500000000000004E-2</v>
          </cell>
          <cell r="R168">
            <v>0.91749999999999998</v>
          </cell>
        </row>
        <row r="169">
          <cell r="K169" t="str">
            <v>ExportLNTNewUSAWash33x33L</v>
          </cell>
          <cell r="L169">
            <v>0</v>
          </cell>
          <cell r="M169">
            <v>2.5000000000000001E-3</v>
          </cell>
          <cell r="N169">
            <v>6.5000000000000002E-2</v>
          </cell>
          <cell r="O169">
            <v>1.4999999999999999E-2</v>
          </cell>
          <cell r="Q169">
            <v>8.2500000000000004E-2</v>
          </cell>
          <cell r="R169">
            <v>0.91749999999999998</v>
          </cell>
        </row>
        <row r="170">
          <cell r="K170" t="str">
            <v>ExportLNTNewUSAWash33x33M</v>
          </cell>
          <cell r="L170">
            <v>0</v>
          </cell>
          <cell r="M170">
            <v>2.5000000000000001E-3</v>
          </cell>
          <cell r="N170">
            <v>6.5000000000000002E-2</v>
          </cell>
          <cell r="O170">
            <v>1.4999999999999999E-2</v>
          </cell>
          <cell r="Q170">
            <v>8.2500000000000004E-2</v>
          </cell>
          <cell r="R170">
            <v>0.91749999999999998</v>
          </cell>
        </row>
        <row r="171">
          <cell r="K171" t="str">
            <v>ExportLNTNewUSAWash33x33D</v>
          </cell>
          <cell r="L171">
            <v>0</v>
          </cell>
          <cell r="M171">
            <v>2.5000000000000001E-3</v>
          </cell>
          <cell r="N171">
            <v>6.5000000000000002E-2</v>
          </cell>
          <cell r="O171">
            <v>1.4999999999999999E-2</v>
          </cell>
          <cell r="Q171">
            <v>8.2500000000000004E-2</v>
          </cell>
          <cell r="R171">
            <v>0.91749999999999998</v>
          </cell>
        </row>
        <row r="172">
          <cell r="K172" t="str">
            <v>ExportKohlsBig One StripeUSABath76x137L</v>
          </cell>
          <cell r="L172">
            <v>0</v>
          </cell>
          <cell r="M172">
            <v>2.5000000000000001E-3</v>
          </cell>
          <cell r="N172">
            <v>6.5000000000000002E-2</v>
          </cell>
          <cell r="O172">
            <v>1.4999999999999999E-2</v>
          </cell>
          <cell r="Q172">
            <v>8.2500000000000004E-2</v>
          </cell>
          <cell r="R172">
            <v>0.91749999999999998</v>
          </cell>
        </row>
        <row r="173">
          <cell r="K173" t="str">
            <v>ExportKohlsBig One StripeUSABath76x137M</v>
          </cell>
          <cell r="L173">
            <v>0</v>
          </cell>
          <cell r="M173">
            <v>2.5000000000000001E-3</v>
          </cell>
          <cell r="N173">
            <v>6.5000000000000002E-2</v>
          </cell>
          <cell r="O173">
            <v>1.4999999999999999E-2</v>
          </cell>
          <cell r="Q173">
            <v>8.2500000000000004E-2</v>
          </cell>
          <cell r="R173">
            <v>0.91749999999999998</v>
          </cell>
        </row>
        <row r="174">
          <cell r="K174" t="str">
            <v>ExportKohlsBig One StripeUSABath76x137D</v>
          </cell>
          <cell r="L174">
            <v>0</v>
          </cell>
          <cell r="M174">
            <v>2.5000000000000001E-3</v>
          </cell>
          <cell r="N174">
            <v>6.5000000000000002E-2</v>
          </cell>
          <cell r="O174">
            <v>1.4999999999999999E-2</v>
          </cell>
          <cell r="Q174">
            <v>8.2500000000000004E-2</v>
          </cell>
          <cell r="R174">
            <v>0.91749999999999998</v>
          </cell>
        </row>
        <row r="175">
          <cell r="K175" t="str">
            <v>ExportKohlsBig One StripeUSAHand41x71L</v>
          </cell>
          <cell r="L175">
            <v>0</v>
          </cell>
          <cell r="M175">
            <v>2.5000000000000001E-3</v>
          </cell>
          <cell r="N175">
            <v>6.5000000000000002E-2</v>
          </cell>
          <cell r="O175">
            <v>1.4999999999999999E-2</v>
          </cell>
          <cell r="Q175">
            <v>8.2500000000000004E-2</v>
          </cell>
          <cell r="R175">
            <v>0.91749999999999998</v>
          </cell>
        </row>
        <row r="176">
          <cell r="K176" t="str">
            <v>ExportKohlsBig One StripeUSAHand41x71M</v>
          </cell>
          <cell r="L176">
            <v>0</v>
          </cell>
          <cell r="M176">
            <v>2.5000000000000001E-3</v>
          </cell>
          <cell r="N176">
            <v>6.5000000000000002E-2</v>
          </cell>
          <cell r="O176">
            <v>1.4999999999999999E-2</v>
          </cell>
          <cell r="Q176">
            <v>8.2500000000000004E-2</v>
          </cell>
          <cell r="R176">
            <v>0.91749999999999998</v>
          </cell>
        </row>
        <row r="177">
          <cell r="K177" t="str">
            <v>ExportKohlsBig One StripeUSAHand41x71D</v>
          </cell>
          <cell r="L177">
            <v>0</v>
          </cell>
          <cell r="M177">
            <v>2.5000000000000001E-3</v>
          </cell>
          <cell r="N177">
            <v>6.5000000000000002E-2</v>
          </cell>
          <cell r="O177">
            <v>1.4999999999999999E-2</v>
          </cell>
          <cell r="Q177">
            <v>8.2500000000000004E-2</v>
          </cell>
          <cell r="R177">
            <v>0.91749999999999998</v>
          </cell>
        </row>
        <row r="178">
          <cell r="K178" t="str">
            <v>ExportKohlsBig One StripeUSAWash30x30L</v>
          </cell>
          <cell r="L178">
            <v>0</v>
          </cell>
          <cell r="M178">
            <v>2.5000000000000001E-3</v>
          </cell>
          <cell r="N178">
            <v>6.5000000000000002E-2</v>
          </cell>
          <cell r="O178">
            <v>1.4999999999999999E-2</v>
          </cell>
          <cell r="Q178">
            <v>8.2500000000000004E-2</v>
          </cell>
          <cell r="R178">
            <v>0.91749999999999998</v>
          </cell>
        </row>
        <row r="179">
          <cell r="K179" t="str">
            <v>ExportKohlsBig One StripeUSAWash30x30M</v>
          </cell>
          <cell r="L179">
            <v>0</v>
          </cell>
          <cell r="M179">
            <v>2.5000000000000001E-3</v>
          </cell>
          <cell r="N179">
            <v>6.5000000000000002E-2</v>
          </cell>
          <cell r="O179">
            <v>1.4999999999999999E-2</v>
          </cell>
          <cell r="Q179">
            <v>8.2500000000000004E-2</v>
          </cell>
          <cell r="R179">
            <v>0.91749999999999998</v>
          </cell>
        </row>
        <row r="180">
          <cell r="K180" t="str">
            <v>ExportKohlsBig One StripeUSAWash30x30D</v>
          </cell>
          <cell r="L180">
            <v>0</v>
          </cell>
          <cell r="M180">
            <v>2.5000000000000001E-3</v>
          </cell>
          <cell r="N180">
            <v>6.5000000000000002E-2</v>
          </cell>
          <cell r="O180">
            <v>1.4999999999999999E-2</v>
          </cell>
          <cell r="Q180">
            <v>8.2500000000000004E-2</v>
          </cell>
          <cell r="R180">
            <v>0.91749999999999998</v>
          </cell>
        </row>
        <row r="181">
          <cell r="K181" t="str">
            <v>ExportKohlsBig One SolidUSABath76x137L</v>
          </cell>
          <cell r="L181">
            <v>0</v>
          </cell>
          <cell r="M181">
            <v>2.5000000000000001E-3</v>
          </cell>
          <cell r="N181">
            <v>6.5000000000000002E-2</v>
          </cell>
          <cell r="O181">
            <v>1.4999999999999999E-2</v>
          </cell>
          <cell r="Q181">
            <v>8.2500000000000004E-2</v>
          </cell>
          <cell r="R181">
            <v>0.91749999999999998</v>
          </cell>
        </row>
        <row r="182">
          <cell r="K182" t="str">
            <v>ExportKohlsBig One SolidUSABath76x137M</v>
          </cell>
          <cell r="L182">
            <v>0</v>
          </cell>
          <cell r="M182">
            <v>2.5000000000000001E-3</v>
          </cell>
          <cell r="N182">
            <v>6.5000000000000002E-2</v>
          </cell>
          <cell r="O182">
            <v>1.4999999999999999E-2</v>
          </cell>
          <cell r="Q182">
            <v>8.2500000000000004E-2</v>
          </cell>
          <cell r="R182">
            <v>0.91749999999999998</v>
          </cell>
        </row>
        <row r="183">
          <cell r="K183" t="str">
            <v>ExportKohlsBig One SolidUSABath76x137D</v>
          </cell>
          <cell r="L183">
            <v>0</v>
          </cell>
          <cell r="M183">
            <v>2.5000000000000001E-3</v>
          </cell>
          <cell r="N183">
            <v>6.5000000000000002E-2</v>
          </cell>
          <cell r="O183">
            <v>1.4999999999999999E-2</v>
          </cell>
          <cell r="Q183">
            <v>8.2500000000000004E-2</v>
          </cell>
          <cell r="R183">
            <v>0.91749999999999998</v>
          </cell>
        </row>
        <row r="184">
          <cell r="K184" t="str">
            <v>ExportKohlsBig One SolidUSAHand41x71L</v>
          </cell>
          <cell r="L184">
            <v>0</v>
          </cell>
          <cell r="M184">
            <v>2.5000000000000001E-3</v>
          </cell>
          <cell r="N184">
            <v>6.5000000000000002E-2</v>
          </cell>
          <cell r="O184">
            <v>1.4999999999999999E-2</v>
          </cell>
          <cell r="Q184">
            <v>8.2500000000000004E-2</v>
          </cell>
          <cell r="R184">
            <v>0.91749999999999998</v>
          </cell>
        </row>
        <row r="185">
          <cell r="K185" t="str">
            <v>ExportKohlsBig One SolidUSAHand41x71M</v>
          </cell>
          <cell r="L185">
            <v>0</v>
          </cell>
          <cell r="M185">
            <v>2.5000000000000001E-3</v>
          </cell>
          <cell r="N185">
            <v>6.5000000000000002E-2</v>
          </cell>
          <cell r="O185">
            <v>1.4999999999999999E-2</v>
          </cell>
          <cell r="Q185">
            <v>8.2500000000000004E-2</v>
          </cell>
          <cell r="R185">
            <v>0.91749999999999998</v>
          </cell>
        </row>
        <row r="186">
          <cell r="K186" t="str">
            <v>ExportKohlsBig One SolidUSAHand41x71D</v>
          </cell>
          <cell r="L186">
            <v>0</v>
          </cell>
          <cell r="M186">
            <v>2.5000000000000001E-3</v>
          </cell>
          <cell r="N186">
            <v>6.5000000000000002E-2</v>
          </cell>
          <cell r="O186">
            <v>1.4999999999999999E-2</v>
          </cell>
          <cell r="Q186">
            <v>8.2500000000000004E-2</v>
          </cell>
          <cell r="R186">
            <v>0.91749999999999998</v>
          </cell>
        </row>
        <row r="187">
          <cell r="K187" t="str">
            <v>ExportKohlsBig One SolidUSAWash30x30L</v>
          </cell>
          <cell r="L187">
            <v>0</v>
          </cell>
          <cell r="M187">
            <v>2.5000000000000001E-3</v>
          </cell>
          <cell r="N187">
            <v>6.5000000000000002E-2</v>
          </cell>
          <cell r="O187">
            <v>1.4999999999999999E-2</v>
          </cell>
          <cell r="Q187">
            <v>8.2500000000000004E-2</v>
          </cell>
          <cell r="R187">
            <v>0.91749999999999998</v>
          </cell>
        </row>
        <row r="188">
          <cell r="K188" t="str">
            <v>ExportKohlsBig One SolidUSAWash30x30M</v>
          </cell>
          <cell r="L188">
            <v>0</v>
          </cell>
          <cell r="M188">
            <v>2.5000000000000001E-3</v>
          </cell>
          <cell r="N188">
            <v>6.5000000000000002E-2</v>
          </cell>
          <cell r="O188">
            <v>1.4999999999999999E-2</v>
          </cell>
          <cell r="Q188">
            <v>8.2500000000000004E-2</v>
          </cell>
          <cell r="R188">
            <v>0.91749999999999998</v>
          </cell>
        </row>
        <row r="189">
          <cell r="K189" t="str">
            <v>ExportKohlsBig One SolidUSAWash30x30D</v>
          </cell>
          <cell r="L189">
            <v>0</v>
          </cell>
          <cell r="M189">
            <v>2.5000000000000001E-3</v>
          </cell>
          <cell r="N189">
            <v>6.5000000000000002E-2</v>
          </cell>
          <cell r="O189">
            <v>1.4999999999999999E-2</v>
          </cell>
          <cell r="Q189">
            <v>8.2500000000000004E-2</v>
          </cell>
          <cell r="R189">
            <v>0.91749999999999998</v>
          </cell>
        </row>
        <row r="190">
          <cell r="K190" t="str">
            <v>ExportIst New Buyer00Bath76x137L</v>
          </cell>
          <cell r="L190">
            <v>0</v>
          </cell>
          <cell r="M190">
            <v>2.5000000000000001E-3</v>
          </cell>
          <cell r="N190">
            <v>6.5000000000000002E-2</v>
          </cell>
          <cell r="O190">
            <v>1.4999999999999999E-2</v>
          </cell>
          <cell r="Q190">
            <v>8.2500000000000004E-2</v>
          </cell>
          <cell r="R190">
            <v>0.91749999999999998</v>
          </cell>
        </row>
        <row r="191">
          <cell r="K191" t="str">
            <v>ExportIst New Buyer00Bath76x137M</v>
          </cell>
          <cell r="L191">
            <v>0</v>
          </cell>
          <cell r="M191">
            <v>2.5000000000000001E-3</v>
          </cell>
          <cell r="N191">
            <v>6.5000000000000002E-2</v>
          </cell>
          <cell r="O191">
            <v>1.4999999999999999E-2</v>
          </cell>
          <cell r="Q191">
            <v>8.2500000000000004E-2</v>
          </cell>
          <cell r="R191">
            <v>0.91749999999999998</v>
          </cell>
        </row>
        <row r="192">
          <cell r="K192" t="str">
            <v>ExportIst New Buyer00Bath76x137D</v>
          </cell>
          <cell r="L192">
            <v>0</v>
          </cell>
          <cell r="M192">
            <v>2.5000000000000001E-3</v>
          </cell>
          <cell r="N192">
            <v>6.5000000000000002E-2</v>
          </cell>
          <cell r="O192">
            <v>1.4999999999999999E-2</v>
          </cell>
          <cell r="Q192">
            <v>8.2500000000000004E-2</v>
          </cell>
          <cell r="R192">
            <v>0.91749999999999998</v>
          </cell>
        </row>
        <row r="193">
          <cell r="K193" t="str">
            <v>ExportIst New Buyer00Hand41x76L</v>
          </cell>
          <cell r="L193">
            <v>0</v>
          </cell>
          <cell r="M193">
            <v>2.5000000000000001E-3</v>
          </cell>
          <cell r="N193">
            <v>6.5000000000000002E-2</v>
          </cell>
          <cell r="O193">
            <v>1.4999999999999999E-2</v>
          </cell>
          <cell r="Q193">
            <v>8.2500000000000004E-2</v>
          </cell>
          <cell r="R193">
            <v>0.91749999999999998</v>
          </cell>
        </row>
        <row r="194">
          <cell r="K194" t="str">
            <v>ExportIst New Buyer00Hand41x76M</v>
          </cell>
          <cell r="L194">
            <v>0</v>
          </cell>
          <cell r="M194">
            <v>2.5000000000000001E-3</v>
          </cell>
          <cell r="N194">
            <v>6.5000000000000002E-2</v>
          </cell>
          <cell r="O194">
            <v>1.4999999999999999E-2</v>
          </cell>
          <cell r="Q194">
            <v>8.2500000000000004E-2</v>
          </cell>
          <cell r="R194">
            <v>0.91749999999999998</v>
          </cell>
        </row>
        <row r="195">
          <cell r="K195" t="str">
            <v>ExportIst New Buyer00Hand41x76D</v>
          </cell>
          <cell r="L195">
            <v>0</v>
          </cell>
          <cell r="M195">
            <v>2.5000000000000001E-3</v>
          </cell>
          <cell r="N195">
            <v>6.5000000000000002E-2</v>
          </cell>
          <cell r="O195">
            <v>1.4999999999999999E-2</v>
          </cell>
          <cell r="Q195">
            <v>8.2500000000000004E-2</v>
          </cell>
          <cell r="R195">
            <v>0.91749999999999998</v>
          </cell>
        </row>
        <row r="196">
          <cell r="K196" t="str">
            <v>ExportIst New Buyer00Wash33x33L</v>
          </cell>
          <cell r="L196">
            <v>0</v>
          </cell>
          <cell r="M196">
            <v>2.5000000000000001E-3</v>
          </cell>
          <cell r="N196">
            <v>6.5000000000000002E-2</v>
          </cell>
          <cell r="O196">
            <v>1.4999999999999999E-2</v>
          </cell>
          <cell r="Q196">
            <v>8.2500000000000004E-2</v>
          </cell>
          <cell r="R196">
            <v>0.91749999999999998</v>
          </cell>
        </row>
        <row r="197">
          <cell r="K197" t="str">
            <v>ExportIst New Buyer00Wash33x33M</v>
          </cell>
          <cell r="L197">
            <v>0</v>
          </cell>
          <cell r="M197">
            <v>2.5000000000000001E-3</v>
          </cell>
          <cell r="N197">
            <v>6.5000000000000002E-2</v>
          </cell>
          <cell r="O197">
            <v>1.4999999999999999E-2</v>
          </cell>
          <cell r="Q197">
            <v>8.2500000000000004E-2</v>
          </cell>
          <cell r="R197">
            <v>0.91749999999999998</v>
          </cell>
        </row>
        <row r="198">
          <cell r="K198" t="str">
            <v>ExportIst New Buyer00Wash33x33D</v>
          </cell>
          <cell r="L198">
            <v>0</v>
          </cell>
          <cell r="M198">
            <v>2.5000000000000001E-3</v>
          </cell>
          <cell r="N198">
            <v>6.5000000000000002E-2</v>
          </cell>
          <cell r="O198">
            <v>1.4999999999999999E-2</v>
          </cell>
          <cell r="Q198">
            <v>8.2500000000000004E-2</v>
          </cell>
          <cell r="R198">
            <v>0.91749999999999998</v>
          </cell>
        </row>
        <row r="199">
          <cell r="K199" t="str">
            <v>Export2nd New Buyer00Bath76x137L</v>
          </cell>
          <cell r="L199">
            <v>0</v>
          </cell>
          <cell r="M199">
            <v>2.5000000000000001E-3</v>
          </cell>
          <cell r="N199">
            <v>6.5000000000000002E-2</v>
          </cell>
          <cell r="O199">
            <v>1.4999999999999999E-2</v>
          </cell>
          <cell r="Q199">
            <v>8.2500000000000004E-2</v>
          </cell>
          <cell r="R199">
            <v>0.91749999999999998</v>
          </cell>
        </row>
        <row r="200">
          <cell r="K200" t="str">
            <v>Export2nd New Buyer00Bath76x137M</v>
          </cell>
          <cell r="L200">
            <v>0</v>
          </cell>
          <cell r="M200">
            <v>2.5000000000000001E-3</v>
          </cell>
          <cell r="N200">
            <v>6.5000000000000002E-2</v>
          </cell>
          <cell r="O200">
            <v>1.4999999999999999E-2</v>
          </cell>
          <cell r="Q200">
            <v>8.2500000000000004E-2</v>
          </cell>
          <cell r="R200">
            <v>0.91749999999999998</v>
          </cell>
        </row>
        <row r="201">
          <cell r="K201" t="str">
            <v>Export2nd New Buyer00Bath76x137D</v>
          </cell>
          <cell r="L201">
            <v>0</v>
          </cell>
          <cell r="M201">
            <v>2.5000000000000001E-3</v>
          </cell>
          <cell r="N201">
            <v>6.5000000000000002E-2</v>
          </cell>
          <cell r="O201">
            <v>1.4999999999999999E-2</v>
          </cell>
          <cell r="Q201">
            <v>8.2500000000000004E-2</v>
          </cell>
          <cell r="R201">
            <v>0.91749999999999998</v>
          </cell>
        </row>
        <row r="202">
          <cell r="K202" t="str">
            <v>Export2nd New Buyer00Hand41x76L</v>
          </cell>
          <cell r="L202">
            <v>0</v>
          </cell>
          <cell r="M202">
            <v>2.5000000000000001E-3</v>
          </cell>
          <cell r="N202">
            <v>6.5000000000000002E-2</v>
          </cell>
          <cell r="O202">
            <v>1.4999999999999999E-2</v>
          </cell>
          <cell r="Q202">
            <v>8.2500000000000004E-2</v>
          </cell>
          <cell r="R202">
            <v>0.91749999999999998</v>
          </cell>
        </row>
        <row r="203">
          <cell r="K203" t="str">
            <v>Export2nd New Buyer00Hand41x76M</v>
          </cell>
          <cell r="L203">
            <v>0</v>
          </cell>
          <cell r="M203">
            <v>2.5000000000000001E-3</v>
          </cell>
          <cell r="N203">
            <v>6.5000000000000002E-2</v>
          </cell>
          <cell r="O203">
            <v>1.4999999999999999E-2</v>
          </cell>
          <cell r="Q203">
            <v>8.2500000000000004E-2</v>
          </cell>
          <cell r="R203">
            <v>0.91749999999999998</v>
          </cell>
        </row>
        <row r="204">
          <cell r="K204" t="str">
            <v>Export2nd New Buyer00Hand41x76D</v>
          </cell>
          <cell r="L204">
            <v>0</v>
          </cell>
          <cell r="M204">
            <v>2.5000000000000001E-3</v>
          </cell>
          <cell r="N204">
            <v>6.5000000000000002E-2</v>
          </cell>
          <cell r="O204">
            <v>1.4999999999999999E-2</v>
          </cell>
          <cell r="Q204">
            <v>8.2500000000000004E-2</v>
          </cell>
          <cell r="R204">
            <v>0.91749999999999998</v>
          </cell>
        </row>
        <row r="205">
          <cell r="K205" t="str">
            <v>Export2nd New Buyer00Wash33x33L</v>
          </cell>
          <cell r="L205">
            <v>0</v>
          </cell>
          <cell r="M205">
            <v>2.5000000000000001E-3</v>
          </cell>
          <cell r="N205">
            <v>6.5000000000000002E-2</v>
          </cell>
          <cell r="O205">
            <v>1.4999999999999999E-2</v>
          </cell>
          <cell r="Q205">
            <v>8.2500000000000004E-2</v>
          </cell>
          <cell r="R205">
            <v>0.91749999999999998</v>
          </cell>
        </row>
        <row r="206">
          <cell r="K206" t="str">
            <v>Export2nd New Buyer00Wash33x33M</v>
          </cell>
          <cell r="L206">
            <v>0</v>
          </cell>
          <cell r="M206">
            <v>2.5000000000000001E-3</v>
          </cell>
          <cell r="N206">
            <v>6.5000000000000002E-2</v>
          </cell>
          <cell r="O206">
            <v>1.4999999999999999E-2</v>
          </cell>
          <cell r="Q206">
            <v>8.2500000000000004E-2</v>
          </cell>
          <cell r="R206">
            <v>0.91749999999999998</v>
          </cell>
        </row>
        <row r="207">
          <cell r="K207" t="str">
            <v>Export2nd New Buyer00Wash33x33D</v>
          </cell>
          <cell r="L207">
            <v>0</v>
          </cell>
          <cell r="M207">
            <v>2.5000000000000001E-3</v>
          </cell>
          <cell r="N207">
            <v>6.5000000000000002E-2</v>
          </cell>
          <cell r="O207">
            <v>1.4999999999999999E-2</v>
          </cell>
          <cell r="Q207">
            <v>8.2500000000000004E-2</v>
          </cell>
          <cell r="R207">
            <v>0.91749999999999998</v>
          </cell>
        </row>
        <row r="208">
          <cell r="K208" t="str">
            <v>Export3rd New Buyer00Bath0x0L</v>
          </cell>
          <cell r="L208">
            <v>0</v>
          </cell>
          <cell r="M208">
            <v>2.5000000000000001E-3</v>
          </cell>
          <cell r="N208">
            <v>6.5000000000000002E-2</v>
          </cell>
          <cell r="O208">
            <v>1.4999999999999999E-2</v>
          </cell>
          <cell r="Q208">
            <v>8.2500000000000004E-2</v>
          </cell>
          <cell r="R208">
            <v>0.91749999999999998</v>
          </cell>
        </row>
        <row r="209">
          <cell r="K209" t="str">
            <v>Export3rd New Buyer00Bath0x0M</v>
          </cell>
          <cell r="L209">
            <v>0</v>
          </cell>
          <cell r="M209">
            <v>2.5000000000000001E-3</v>
          </cell>
          <cell r="N209">
            <v>6.5000000000000002E-2</v>
          </cell>
          <cell r="O209">
            <v>1.4999999999999999E-2</v>
          </cell>
          <cell r="Q209">
            <v>8.2500000000000004E-2</v>
          </cell>
          <cell r="R209">
            <v>0.91749999999999998</v>
          </cell>
        </row>
        <row r="210">
          <cell r="K210" t="str">
            <v>Export3rd New Buyer00Bath0x0D</v>
          </cell>
          <cell r="L210">
            <v>0</v>
          </cell>
          <cell r="M210">
            <v>2.5000000000000001E-3</v>
          </cell>
          <cell r="N210">
            <v>6.5000000000000002E-2</v>
          </cell>
          <cell r="O210">
            <v>1.4999999999999999E-2</v>
          </cell>
          <cell r="Q210">
            <v>8.2500000000000004E-2</v>
          </cell>
          <cell r="R210">
            <v>0.91749999999999998</v>
          </cell>
        </row>
        <row r="213">
          <cell r="K213" t="str">
            <v>ExportTargetWaverlyUSABath76x142L</v>
          </cell>
          <cell r="L213">
            <v>0</v>
          </cell>
          <cell r="M213">
            <v>2.5000000000000001E-3</v>
          </cell>
          <cell r="N213">
            <v>6.5000000000000002E-2</v>
          </cell>
          <cell r="O213">
            <v>1.4999999999999999E-2</v>
          </cell>
          <cell r="Q213">
            <v>8.2500000000000004E-2</v>
          </cell>
          <cell r="R213">
            <v>0.91749999999999998</v>
          </cell>
        </row>
        <row r="214">
          <cell r="K214" t="str">
            <v>ExportTargetWaverlyUSABath76x142M</v>
          </cell>
          <cell r="L214">
            <v>0</v>
          </cell>
          <cell r="M214">
            <v>2.5000000000000001E-3</v>
          </cell>
          <cell r="N214">
            <v>6.5000000000000002E-2</v>
          </cell>
          <cell r="O214">
            <v>1.4999999999999999E-2</v>
          </cell>
          <cell r="Q214">
            <v>8.2500000000000004E-2</v>
          </cell>
          <cell r="R214">
            <v>0.91749999999999998</v>
          </cell>
        </row>
        <row r="215">
          <cell r="K215" t="str">
            <v>ExportTargetWaverlyUSABath76x142D</v>
          </cell>
          <cell r="L215">
            <v>0</v>
          </cell>
          <cell r="M215">
            <v>2.5000000000000001E-3</v>
          </cell>
          <cell r="N215">
            <v>6.5000000000000002E-2</v>
          </cell>
          <cell r="O215">
            <v>1.4999999999999999E-2</v>
          </cell>
          <cell r="Q215">
            <v>8.2500000000000004E-2</v>
          </cell>
          <cell r="R215">
            <v>0.91749999999999998</v>
          </cell>
        </row>
        <row r="216">
          <cell r="K216" t="str">
            <v>ExportTargetWaverlyUSAHand41x76L</v>
          </cell>
          <cell r="L216" t="str">
            <v>Key -2</v>
          </cell>
          <cell r="M216">
            <v>2.5000000000000001E-3</v>
          </cell>
          <cell r="N216">
            <v>6.5000000000000002E-2</v>
          </cell>
          <cell r="O216">
            <v>1.4999999999999999E-2</v>
          </cell>
          <cell r="Q216">
            <v>8.2500000000000004E-2</v>
          </cell>
          <cell r="R216">
            <v>0.91749999999999998</v>
          </cell>
        </row>
        <row r="217">
          <cell r="K217" t="str">
            <v>ExportTargetWaverlyUSAHand41x76M</v>
          </cell>
          <cell r="L217">
            <v>0</v>
          </cell>
          <cell r="M217">
            <v>2.5000000000000001E-3</v>
          </cell>
          <cell r="N217">
            <v>6.5000000000000002E-2</v>
          </cell>
          <cell r="O217">
            <v>1.4999999999999999E-2</v>
          </cell>
          <cell r="Q217">
            <v>8.2500000000000004E-2</v>
          </cell>
          <cell r="R217">
            <v>0.91749999999999998</v>
          </cell>
        </row>
        <row r="218">
          <cell r="K218" t="str">
            <v>ExportTargetWaverlyUSAHand41x76D</v>
          </cell>
          <cell r="L218">
            <v>0</v>
          </cell>
          <cell r="M218">
            <v>2.5000000000000001E-3</v>
          </cell>
          <cell r="N218">
            <v>6.5000000000000002E-2</v>
          </cell>
          <cell r="O218">
            <v>1.4999999999999999E-2</v>
          </cell>
          <cell r="Q218">
            <v>8.2500000000000004E-2</v>
          </cell>
          <cell r="R218">
            <v>0.91749999999999998</v>
          </cell>
        </row>
        <row r="219">
          <cell r="K219" t="str">
            <v>ExportTargetWaverlyUSAWash30x30L</v>
          </cell>
          <cell r="L219">
            <v>0</v>
          </cell>
          <cell r="M219">
            <v>2.5000000000000001E-3</v>
          </cell>
          <cell r="N219">
            <v>6.5000000000000002E-2</v>
          </cell>
          <cell r="O219">
            <v>1.4999999999999999E-2</v>
          </cell>
          <cell r="Q219">
            <v>8.2500000000000004E-2</v>
          </cell>
          <cell r="R219">
            <v>0.91749999999999998</v>
          </cell>
        </row>
        <row r="220">
          <cell r="K220" t="str">
            <v>ExportTargetWaverlyUSAWash30x30M</v>
          </cell>
          <cell r="L220">
            <v>0</v>
          </cell>
          <cell r="M220">
            <v>2.5000000000000001E-3</v>
          </cell>
          <cell r="N220">
            <v>6.5000000000000002E-2</v>
          </cell>
          <cell r="O220">
            <v>1.4999999999999999E-2</v>
          </cell>
          <cell r="Q220">
            <v>8.2500000000000004E-2</v>
          </cell>
          <cell r="R220">
            <v>0.91749999999999998</v>
          </cell>
        </row>
        <row r="221">
          <cell r="K221" t="str">
            <v>ExportTargetWaverlyUSAWash30x30D</v>
          </cell>
          <cell r="L221">
            <v>0</v>
          </cell>
          <cell r="M221">
            <v>2.5000000000000001E-3</v>
          </cell>
          <cell r="N221">
            <v>6.5000000000000002E-2</v>
          </cell>
          <cell r="O221">
            <v>1.4999999999999999E-2</v>
          </cell>
          <cell r="Q221">
            <v>8.2500000000000004E-2</v>
          </cell>
          <cell r="R221">
            <v>0.91749999999999998</v>
          </cell>
        </row>
        <row r="222">
          <cell r="K222" t="str">
            <v>ExportWalmartHome TrendsUSABath76x132L</v>
          </cell>
          <cell r="L222">
            <v>0</v>
          </cell>
          <cell r="M222">
            <v>2.5000000000000001E-3</v>
          </cell>
          <cell r="N222">
            <v>6.5000000000000002E-2</v>
          </cell>
          <cell r="O222">
            <v>1.4999999999999999E-2</v>
          </cell>
          <cell r="Q222">
            <v>8.2500000000000004E-2</v>
          </cell>
          <cell r="R222">
            <v>0.91749999999999998</v>
          </cell>
        </row>
        <row r="223">
          <cell r="K223" t="str">
            <v>ExportWalmartHome TrendsUSABath76x132M</v>
          </cell>
          <cell r="L223">
            <v>0</v>
          </cell>
          <cell r="M223">
            <v>2.5000000000000001E-3</v>
          </cell>
          <cell r="N223">
            <v>6.5000000000000002E-2</v>
          </cell>
          <cell r="O223">
            <v>1.4999999999999999E-2</v>
          </cell>
          <cell r="Q223">
            <v>8.2500000000000004E-2</v>
          </cell>
          <cell r="R223">
            <v>0.91749999999999998</v>
          </cell>
        </row>
        <row r="224">
          <cell r="K224" t="str">
            <v>ExportWalmartHome TrendsUSABath76x132D</v>
          </cell>
          <cell r="L224">
            <v>0</v>
          </cell>
          <cell r="M224">
            <v>2.5000000000000001E-3</v>
          </cell>
          <cell r="N224">
            <v>6.5000000000000002E-2</v>
          </cell>
          <cell r="O224">
            <v>1.4999999999999999E-2</v>
          </cell>
          <cell r="Q224">
            <v>8.2500000000000004E-2</v>
          </cell>
          <cell r="R224">
            <v>0.91749999999999998</v>
          </cell>
        </row>
        <row r="225">
          <cell r="K225" t="str">
            <v>ExportWalmartHome TrendsUSAHand41x69L</v>
          </cell>
          <cell r="L225">
            <v>0</v>
          </cell>
          <cell r="M225">
            <v>2.5000000000000001E-3</v>
          </cell>
          <cell r="N225">
            <v>6.5000000000000002E-2</v>
          </cell>
          <cell r="O225">
            <v>1.4999999999999999E-2</v>
          </cell>
          <cell r="Q225">
            <v>8.2500000000000004E-2</v>
          </cell>
          <cell r="R225">
            <v>0.91749999999999998</v>
          </cell>
        </row>
        <row r="226">
          <cell r="K226" t="str">
            <v>ExportWalmartHome TrendsUSAHand41x69M</v>
          </cell>
          <cell r="L226">
            <v>0</v>
          </cell>
          <cell r="M226">
            <v>2.5000000000000001E-3</v>
          </cell>
          <cell r="N226">
            <v>6.5000000000000002E-2</v>
          </cell>
          <cell r="O226">
            <v>1.4999999999999999E-2</v>
          </cell>
          <cell r="Q226">
            <v>8.2500000000000004E-2</v>
          </cell>
          <cell r="R226">
            <v>0.91749999999999998</v>
          </cell>
        </row>
        <row r="227">
          <cell r="K227" t="str">
            <v>ExportWalmartHome TrendsUSAHand41x69D</v>
          </cell>
          <cell r="L227">
            <v>0</v>
          </cell>
          <cell r="M227">
            <v>2.5000000000000001E-3</v>
          </cell>
          <cell r="N227">
            <v>6.5000000000000002E-2</v>
          </cell>
          <cell r="O227">
            <v>1.4999999999999999E-2</v>
          </cell>
          <cell r="Q227">
            <v>8.2500000000000004E-2</v>
          </cell>
          <cell r="R227">
            <v>0.91749999999999998</v>
          </cell>
        </row>
        <row r="228">
          <cell r="K228" t="str">
            <v>ExportWalmartHome TrendsUSAWash33x33L</v>
          </cell>
          <cell r="L228">
            <v>0</v>
          </cell>
          <cell r="M228">
            <v>2.5000000000000001E-3</v>
          </cell>
          <cell r="N228">
            <v>6.5000000000000002E-2</v>
          </cell>
          <cell r="O228">
            <v>1.4999999999999999E-2</v>
          </cell>
          <cell r="Q228">
            <v>8.2500000000000004E-2</v>
          </cell>
          <cell r="R228">
            <v>0.91749999999999998</v>
          </cell>
        </row>
        <row r="229">
          <cell r="K229" t="str">
            <v>ExportWalmartHome TrendsUSAWash33x33M</v>
          </cell>
          <cell r="L229">
            <v>0</v>
          </cell>
          <cell r="M229">
            <v>2.5000000000000001E-3</v>
          </cell>
          <cell r="N229">
            <v>6.5000000000000002E-2</v>
          </cell>
          <cell r="O229">
            <v>1.4999999999999999E-2</v>
          </cell>
          <cell r="Q229">
            <v>8.2500000000000004E-2</v>
          </cell>
          <cell r="R229">
            <v>0.91749999999999998</v>
          </cell>
        </row>
        <row r="230">
          <cell r="K230" t="str">
            <v>ExportWalmartHome TrendsUSAWash33x33D</v>
          </cell>
          <cell r="L230">
            <v>0</v>
          </cell>
          <cell r="M230">
            <v>2.5000000000000001E-3</v>
          </cell>
          <cell r="N230">
            <v>6.5000000000000002E-2</v>
          </cell>
          <cell r="O230">
            <v>1.4999999999999999E-2</v>
          </cell>
          <cell r="Q230">
            <v>8.2500000000000004E-2</v>
          </cell>
          <cell r="R230">
            <v>0.91749999999999998</v>
          </cell>
        </row>
        <row r="231">
          <cell r="K231" t="str">
            <v>ExportMill WorkingCannon LandmarkUSABath76x137L</v>
          </cell>
          <cell r="L231">
            <v>0</v>
          </cell>
          <cell r="M231">
            <v>2.5000000000000001E-3</v>
          </cell>
          <cell r="N231">
            <v>6.5000000000000002E-2</v>
          </cell>
          <cell r="O231">
            <v>1.4999999999999999E-2</v>
          </cell>
          <cell r="Q231">
            <v>8.2500000000000004E-2</v>
          </cell>
          <cell r="R231">
            <v>0.91749999999999998</v>
          </cell>
        </row>
        <row r="232">
          <cell r="K232" t="str">
            <v>ExportMill WorkingCannon LandmarkUSABath76x137M</v>
          </cell>
          <cell r="L232">
            <v>0</v>
          </cell>
          <cell r="M232">
            <v>2.5000000000000001E-3</v>
          </cell>
          <cell r="N232">
            <v>6.5000000000000002E-2</v>
          </cell>
          <cell r="O232">
            <v>1.4999999999999999E-2</v>
          </cell>
          <cell r="Q232">
            <v>8.2500000000000004E-2</v>
          </cell>
          <cell r="R232">
            <v>0.91749999999999998</v>
          </cell>
        </row>
        <row r="233">
          <cell r="K233" t="str">
            <v>ExportMill WorkingCannon LandmarkUSABath76x137D</v>
          </cell>
          <cell r="L233">
            <v>0</v>
          </cell>
          <cell r="M233">
            <v>2.5000000000000001E-3</v>
          </cell>
          <cell r="N233">
            <v>6.5000000000000002E-2</v>
          </cell>
          <cell r="O233">
            <v>1.4999999999999999E-2</v>
          </cell>
          <cell r="Q233">
            <v>8.2500000000000004E-2</v>
          </cell>
          <cell r="R233">
            <v>0.91749999999999998</v>
          </cell>
        </row>
        <row r="234">
          <cell r="K234" t="str">
            <v>ExportMill WorkingCannon LandmarkUSAHand41x76L</v>
          </cell>
          <cell r="L234">
            <v>0</v>
          </cell>
          <cell r="M234">
            <v>2.5000000000000001E-3</v>
          </cell>
          <cell r="N234">
            <v>6.5000000000000002E-2</v>
          </cell>
          <cell r="O234">
            <v>1.4999999999999999E-2</v>
          </cell>
          <cell r="Q234">
            <v>8.2500000000000004E-2</v>
          </cell>
          <cell r="R234">
            <v>0.91749999999999998</v>
          </cell>
        </row>
        <row r="235">
          <cell r="K235" t="str">
            <v>ExportMill WorkingCannon LandmarkUSAHand41x76M</v>
          </cell>
          <cell r="L235">
            <v>0</v>
          </cell>
          <cell r="M235">
            <v>2.5000000000000001E-3</v>
          </cell>
          <cell r="N235">
            <v>6.5000000000000002E-2</v>
          </cell>
          <cell r="O235">
            <v>1.4999999999999999E-2</v>
          </cell>
          <cell r="Q235">
            <v>8.2500000000000004E-2</v>
          </cell>
          <cell r="R235">
            <v>0.91749999999999998</v>
          </cell>
        </row>
        <row r="236">
          <cell r="K236" t="str">
            <v>ExportMill WorkingCannon LandmarkUSAHand41x76D</v>
          </cell>
          <cell r="L236">
            <v>0</v>
          </cell>
          <cell r="M236">
            <v>2.5000000000000001E-3</v>
          </cell>
          <cell r="N236">
            <v>6.5000000000000002E-2</v>
          </cell>
          <cell r="O236">
            <v>1.4999999999999999E-2</v>
          </cell>
          <cell r="Q236">
            <v>8.2500000000000004E-2</v>
          </cell>
          <cell r="R236">
            <v>0.91749999999999998</v>
          </cell>
        </row>
        <row r="237">
          <cell r="K237" t="str">
            <v>ExportMill WorkingCannon LandmarkUSAWash33x33L</v>
          </cell>
          <cell r="L237">
            <v>0</v>
          </cell>
          <cell r="M237">
            <v>2.5000000000000001E-3</v>
          </cell>
          <cell r="N237">
            <v>6.5000000000000002E-2</v>
          </cell>
          <cell r="O237">
            <v>1.4999999999999999E-2</v>
          </cell>
          <cell r="Q237">
            <v>8.2500000000000004E-2</v>
          </cell>
          <cell r="R237">
            <v>0.91749999999999998</v>
          </cell>
        </row>
        <row r="238">
          <cell r="K238" t="str">
            <v>ExportMill WorkingCannon LandmarkUSAWash33x33M</v>
          </cell>
          <cell r="L238">
            <v>0</v>
          </cell>
          <cell r="M238">
            <v>2.5000000000000001E-3</v>
          </cell>
          <cell r="N238">
            <v>6.5000000000000002E-2</v>
          </cell>
          <cell r="O238">
            <v>1.4999999999999999E-2</v>
          </cell>
          <cell r="Q238">
            <v>8.2500000000000004E-2</v>
          </cell>
          <cell r="R238">
            <v>0.91749999999999998</v>
          </cell>
        </row>
        <row r="239">
          <cell r="K239" t="str">
            <v>ExportMill WorkingCannon LandmarkUSAWash33x33D</v>
          </cell>
          <cell r="L239">
            <v>0</v>
          </cell>
          <cell r="M239">
            <v>2.5000000000000001E-3</v>
          </cell>
          <cell r="N239">
            <v>6.5000000000000002E-2</v>
          </cell>
          <cell r="O239">
            <v>1.4999999999999999E-2</v>
          </cell>
          <cell r="Q239">
            <v>8.2500000000000004E-2</v>
          </cell>
          <cell r="R239">
            <v>0.91749999999999998</v>
          </cell>
        </row>
        <row r="240">
          <cell r="K240" t="str">
            <v>ExportMill WorkingCannon MilestoneUSABath76x137L</v>
          </cell>
          <cell r="L240">
            <v>0</v>
          </cell>
          <cell r="M240">
            <v>2.5000000000000001E-3</v>
          </cell>
          <cell r="N240">
            <v>6.5000000000000002E-2</v>
          </cell>
          <cell r="O240">
            <v>1.4999999999999999E-2</v>
          </cell>
          <cell r="Q240">
            <v>8.2500000000000004E-2</v>
          </cell>
          <cell r="R240">
            <v>0.91749999999999998</v>
          </cell>
        </row>
        <row r="241">
          <cell r="K241" t="str">
            <v>ExportMill WorkingCannon MilestoneUSABath76x137M</v>
          </cell>
          <cell r="L241">
            <v>0</v>
          </cell>
          <cell r="M241">
            <v>2.5000000000000001E-3</v>
          </cell>
          <cell r="N241">
            <v>6.5000000000000002E-2</v>
          </cell>
          <cell r="O241">
            <v>1.4999999999999999E-2</v>
          </cell>
          <cell r="Q241">
            <v>8.2500000000000004E-2</v>
          </cell>
          <cell r="R241">
            <v>0.91749999999999998</v>
          </cell>
        </row>
        <row r="242">
          <cell r="K242" t="str">
            <v>ExportMill WorkingCannon MilestoneUSABath76x137D</v>
          </cell>
          <cell r="L242">
            <v>0</v>
          </cell>
          <cell r="M242">
            <v>2.5000000000000001E-3</v>
          </cell>
          <cell r="N242">
            <v>6.5000000000000002E-2</v>
          </cell>
          <cell r="O242">
            <v>1.4999999999999999E-2</v>
          </cell>
          <cell r="Q242">
            <v>8.2500000000000004E-2</v>
          </cell>
          <cell r="R242">
            <v>0.91749999999999998</v>
          </cell>
        </row>
        <row r="243">
          <cell r="K243" t="str">
            <v>ExportMill WorkingCannon MilestoneUSAHand41x76L</v>
          </cell>
          <cell r="L243">
            <v>0</v>
          </cell>
          <cell r="M243">
            <v>2.5000000000000001E-3</v>
          </cell>
          <cell r="N243">
            <v>6.5000000000000002E-2</v>
          </cell>
          <cell r="O243">
            <v>1.4999999999999999E-2</v>
          </cell>
          <cell r="Q243">
            <v>8.2500000000000004E-2</v>
          </cell>
          <cell r="R243">
            <v>0.91749999999999998</v>
          </cell>
        </row>
        <row r="244">
          <cell r="K244" t="str">
            <v>ExportMill WorkingCannon MilestoneUSAHand41x76M</v>
          </cell>
          <cell r="L244">
            <v>0</v>
          </cell>
          <cell r="M244">
            <v>2.5000000000000001E-3</v>
          </cell>
          <cell r="N244">
            <v>6.5000000000000002E-2</v>
          </cell>
          <cell r="O244">
            <v>1.4999999999999999E-2</v>
          </cell>
          <cell r="Q244">
            <v>8.2500000000000004E-2</v>
          </cell>
          <cell r="R244">
            <v>0.91749999999999998</v>
          </cell>
        </row>
        <row r="245">
          <cell r="K245" t="str">
            <v>ExportMill WorkingCannon MilestoneUSAHand41x76D</v>
          </cell>
          <cell r="L245">
            <v>0</v>
          </cell>
          <cell r="M245">
            <v>2.5000000000000001E-3</v>
          </cell>
          <cell r="N245">
            <v>6.5000000000000002E-2</v>
          </cell>
          <cell r="O245">
            <v>1.4999999999999999E-2</v>
          </cell>
          <cell r="Q245">
            <v>8.2500000000000004E-2</v>
          </cell>
          <cell r="R245">
            <v>0.91749999999999998</v>
          </cell>
        </row>
        <row r="246">
          <cell r="K246" t="str">
            <v>ExportMill WorkingCannon MilestoneUSAWash33x33L</v>
          </cell>
          <cell r="L246">
            <v>0</v>
          </cell>
          <cell r="M246">
            <v>2.5000000000000001E-3</v>
          </cell>
          <cell r="N246">
            <v>6.5000000000000002E-2</v>
          </cell>
          <cell r="O246">
            <v>1.4999999999999999E-2</v>
          </cell>
          <cell r="Q246">
            <v>8.2500000000000004E-2</v>
          </cell>
          <cell r="R246">
            <v>0.91749999999999998</v>
          </cell>
        </row>
        <row r="247">
          <cell r="K247" t="str">
            <v>ExportMill WorkingCannon MilestoneUSAWash33x33M</v>
          </cell>
          <cell r="L247">
            <v>0</v>
          </cell>
          <cell r="M247">
            <v>2.5000000000000001E-3</v>
          </cell>
          <cell r="N247">
            <v>6.5000000000000002E-2</v>
          </cell>
          <cell r="O247">
            <v>1.4999999999999999E-2</v>
          </cell>
          <cell r="Q247">
            <v>8.2500000000000004E-2</v>
          </cell>
          <cell r="R247">
            <v>0.91749999999999998</v>
          </cell>
        </row>
        <row r="248">
          <cell r="K248" t="str">
            <v>ExportMill WorkingCannon MilestoneUSAWash33x33D</v>
          </cell>
          <cell r="L248">
            <v>0</v>
          </cell>
          <cell r="M248">
            <v>2.5000000000000001E-3</v>
          </cell>
          <cell r="N248">
            <v>6.5000000000000002E-2</v>
          </cell>
          <cell r="O248">
            <v>1.4999999999999999E-2</v>
          </cell>
          <cell r="Q248">
            <v>8.2500000000000004E-2</v>
          </cell>
          <cell r="R248">
            <v>0.91749999999999998</v>
          </cell>
        </row>
        <row r="249">
          <cell r="K249" t="str">
            <v>ExportWelspun USAEsplamaUSABath76x137L</v>
          </cell>
          <cell r="L249">
            <v>0</v>
          </cell>
          <cell r="M249">
            <v>2.5000000000000001E-3</v>
          </cell>
          <cell r="N249">
            <v>6.5000000000000002E-2</v>
          </cell>
          <cell r="O249">
            <v>1.4999999999999999E-2</v>
          </cell>
          <cell r="Q249">
            <v>8.2500000000000004E-2</v>
          </cell>
          <cell r="R249">
            <v>0.91749999999999998</v>
          </cell>
        </row>
        <row r="250">
          <cell r="K250" t="str">
            <v>ExportWelspun USAEsplamaUSABath76x137M</v>
          </cell>
          <cell r="L250">
            <v>0</v>
          </cell>
          <cell r="M250">
            <v>2.5000000000000001E-3</v>
          </cell>
          <cell r="N250">
            <v>6.5000000000000002E-2</v>
          </cell>
          <cell r="O250">
            <v>1.4999999999999999E-2</v>
          </cell>
          <cell r="Q250">
            <v>8.2500000000000004E-2</v>
          </cell>
          <cell r="R250">
            <v>0.91749999999999998</v>
          </cell>
        </row>
        <row r="251">
          <cell r="K251" t="str">
            <v>ExportWelspun USAEsplamaUSABath76x137D</v>
          </cell>
          <cell r="L251">
            <v>0</v>
          </cell>
          <cell r="M251">
            <v>2.5000000000000001E-3</v>
          </cell>
          <cell r="N251">
            <v>6.5000000000000002E-2</v>
          </cell>
          <cell r="O251">
            <v>1.4999999999999999E-2</v>
          </cell>
          <cell r="Q251">
            <v>8.2500000000000004E-2</v>
          </cell>
          <cell r="R251">
            <v>0.91749999999999998</v>
          </cell>
        </row>
        <row r="252">
          <cell r="K252" t="str">
            <v>ExportWelspun USAEsplamaUSAHand41x71L</v>
          </cell>
          <cell r="L252">
            <v>0</v>
          </cell>
          <cell r="M252">
            <v>2.5000000000000001E-3</v>
          </cell>
          <cell r="N252">
            <v>6.5000000000000002E-2</v>
          </cell>
          <cell r="O252">
            <v>1.4999999999999999E-2</v>
          </cell>
          <cell r="Q252">
            <v>8.2500000000000004E-2</v>
          </cell>
          <cell r="R252">
            <v>0.91749999999999998</v>
          </cell>
        </row>
        <row r="253">
          <cell r="K253" t="str">
            <v>ExportWelspun USAEsplamaUSAHand41x71M</v>
          </cell>
          <cell r="L253">
            <v>0</v>
          </cell>
          <cell r="M253">
            <v>2.5000000000000001E-3</v>
          </cell>
          <cell r="N253">
            <v>6.5000000000000002E-2</v>
          </cell>
          <cell r="O253">
            <v>1.4999999999999999E-2</v>
          </cell>
          <cell r="Q253">
            <v>8.2500000000000004E-2</v>
          </cell>
          <cell r="R253">
            <v>0.91749999999999998</v>
          </cell>
        </row>
        <row r="254">
          <cell r="K254" t="str">
            <v>ExportWelspun USAEsplamaUSAHand41x71D</v>
          </cell>
          <cell r="L254">
            <v>0</v>
          </cell>
          <cell r="M254">
            <v>2.5000000000000001E-3</v>
          </cell>
          <cell r="N254">
            <v>6.5000000000000002E-2</v>
          </cell>
          <cell r="O254">
            <v>1.4999999999999999E-2</v>
          </cell>
          <cell r="Q254">
            <v>8.2500000000000004E-2</v>
          </cell>
          <cell r="R254">
            <v>0.91749999999999998</v>
          </cell>
        </row>
        <row r="255">
          <cell r="K255" t="str">
            <v>ExportWelspun USAEsplamaUSAWash33x33L</v>
          </cell>
          <cell r="L255">
            <v>0</v>
          </cell>
          <cell r="M255">
            <v>2.5000000000000001E-3</v>
          </cell>
          <cell r="N255">
            <v>6.5000000000000002E-2</v>
          </cell>
          <cell r="O255">
            <v>1.4999999999999999E-2</v>
          </cell>
          <cell r="Q255">
            <v>8.2500000000000004E-2</v>
          </cell>
          <cell r="R255">
            <v>0.91749999999999998</v>
          </cell>
        </row>
        <row r="256">
          <cell r="K256" t="str">
            <v>ExportWelspun USAEsplamaUSAWash33x33M</v>
          </cell>
          <cell r="L256">
            <v>0</v>
          </cell>
          <cell r="M256">
            <v>2.5000000000000001E-3</v>
          </cell>
          <cell r="N256">
            <v>6.5000000000000002E-2</v>
          </cell>
          <cell r="O256">
            <v>1.4999999999999999E-2</v>
          </cell>
          <cell r="Q256">
            <v>8.2500000000000004E-2</v>
          </cell>
          <cell r="R256">
            <v>0.91749999999999998</v>
          </cell>
        </row>
        <row r="257">
          <cell r="K257" t="str">
            <v>ExportWelspun USAEsplamaUSAWash33x33D</v>
          </cell>
          <cell r="L257">
            <v>0</v>
          </cell>
          <cell r="M257">
            <v>2.5000000000000001E-3</v>
          </cell>
          <cell r="N257">
            <v>6.5000000000000002E-2</v>
          </cell>
          <cell r="O257">
            <v>1.4999999999999999E-2</v>
          </cell>
          <cell r="Q257">
            <v>8.2500000000000004E-2</v>
          </cell>
          <cell r="R257">
            <v>0.91749999999999998</v>
          </cell>
        </row>
        <row r="258">
          <cell r="K258" t="str">
            <v>ExportLNTManorUSABath76x147L</v>
          </cell>
          <cell r="L258">
            <v>0</v>
          </cell>
          <cell r="M258">
            <v>2.5000000000000001E-3</v>
          </cell>
          <cell r="N258">
            <v>6.5000000000000002E-2</v>
          </cell>
          <cell r="O258">
            <v>1.4999999999999999E-2</v>
          </cell>
          <cell r="Q258">
            <v>8.2500000000000004E-2</v>
          </cell>
          <cell r="R258">
            <v>0.91749999999999998</v>
          </cell>
        </row>
        <row r="259">
          <cell r="K259" t="str">
            <v>ExportLNTManorUSABath76x147M</v>
          </cell>
          <cell r="L259">
            <v>0</v>
          </cell>
          <cell r="M259">
            <v>2.5000000000000001E-3</v>
          </cell>
          <cell r="N259">
            <v>6.5000000000000002E-2</v>
          </cell>
          <cell r="O259">
            <v>1.4999999999999999E-2</v>
          </cell>
          <cell r="Q259">
            <v>8.2500000000000004E-2</v>
          </cell>
          <cell r="R259">
            <v>0.91749999999999998</v>
          </cell>
        </row>
        <row r="260">
          <cell r="K260" t="str">
            <v>ExportLNTManorUSABath76x147D</v>
          </cell>
          <cell r="L260">
            <v>0</v>
          </cell>
          <cell r="M260">
            <v>2.5000000000000001E-3</v>
          </cell>
          <cell r="N260">
            <v>6.5000000000000002E-2</v>
          </cell>
          <cell r="O260">
            <v>1.4999999999999999E-2</v>
          </cell>
          <cell r="Q260">
            <v>8.2500000000000004E-2</v>
          </cell>
          <cell r="R260">
            <v>0.91749999999999998</v>
          </cell>
        </row>
        <row r="261">
          <cell r="K261" t="str">
            <v>ExportLNTManorUSAHand51x76L</v>
          </cell>
          <cell r="L261">
            <v>0</v>
          </cell>
          <cell r="M261">
            <v>2.5000000000000001E-3</v>
          </cell>
          <cell r="N261">
            <v>6.5000000000000002E-2</v>
          </cell>
          <cell r="O261">
            <v>1.4999999999999999E-2</v>
          </cell>
          <cell r="Q261">
            <v>8.2500000000000004E-2</v>
          </cell>
          <cell r="R261">
            <v>0.91749999999999998</v>
          </cell>
        </row>
        <row r="262">
          <cell r="K262" t="str">
            <v>ExportLNTManorUSAHand51x76M</v>
          </cell>
          <cell r="L262">
            <v>0</v>
          </cell>
          <cell r="M262">
            <v>2.5000000000000001E-3</v>
          </cell>
          <cell r="N262">
            <v>6.5000000000000002E-2</v>
          </cell>
          <cell r="O262">
            <v>1.4999999999999999E-2</v>
          </cell>
          <cell r="Q262">
            <v>8.2500000000000004E-2</v>
          </cell>
          <cell r="R262">
            <v>0.91749999999999998</v>
          </cell>
        </row>
        <row r="263">
          <cell r="K263" t="str">
            <v>ExportLNTManorUSAHand51x76D</v>
          </cell>
          <cell r="L263">
            <v>0</v>
          </cell>
          <cell r="M263">
            <v>2.5000000000000001E-3</v>
          </cell>
          <cell r="N263">
            <v>6.5000000000000002E-2</v>
          </cell>
          <cell r="O263">
            <v>1.4999999999999999E-2</v>
          </cell>
          <cell r="Q263">
            <v>8.2500000000000004E-2</v>
          </cell>
          <cell r="R263">
            <v>0.91749999999999998</v>
          </cell>
        </row>
        <row r="264">
          <cell r="K264" t="str">
            <v>ExportLNTManorUSAWash33x33L</v>
          </cell>
          <cell r="L264">
            <v>0</v>
          </cell>
          <cell r="M264">
            <v>2.5000000000000001E-3</v>
          </cell>
          <cell r="N264">
            <v>6.5000000000000002E-2</v>
          </cell>
          <cell r="O264">
            <v>1.4999999999999999E-2</v>
          </cell>
          <cell r="Q264">
            <v>8.2500000000000004E-2</v>
          </cell>
          <cell r="R264">
            <v>0.91749999999999998</v>
          </cell>
        </row>
        <row r="265">
          <cell r="K265" t="str">
            <v>ExportLNTManorUSAWash33x33M</v>
          </cell>
          <cell r="L265">
            <v>0</v>
          </cell>
          <cell r="M265">
            <v>2.5000000000000001E-3</v>
          </cell>
          <cell r="N265">
            <v>6.5000000000000002E-2</v>
          </cell>
          <cell r="O265">
            <v>1.4999999999999999E-2</v>
          </cell>
          <cell r="Q265">
            <v>8.2500000000000004E-2</v>
          </cell>
          <cell r="R265">
            <v>0.91749999999999998</v>
          </cell>
        </row>
        <row r="266">
          <cell r="K266" t="str">
            <v>ExportLNTManorUSAWash33x33D</v>
          </cell>
          <cell r="L266">
            <v>0</v>
          </cell>
          <cell r="M266">
            <v>2.5000000000000001E-3</v>
          </cell>
          <cell r="N266">
            <v>6.5000000000000002E-2</v>
          </cell>
          <cell r="O266">
            <v>1.4999999999999999E-2</v>
          </cell>
          <cell r="Q266">
            <v>8.2500000000000004E-2</v>
          </cell>
          <cell r="R266">
            <v>0.91749999999999998</v>
          </cell>
        </row>
        <row r="267">
          <cell r="K267" t="str">
            <v>ExportLNTNewUSABath76x147L</v>
          </cell>
          <cell r="L267">
            <v>0</v>
          </cell>
          <cell r="M267">
            <v>2.5000000000000001E-3</v>
          </cell>
          <cell r="N267">
            <v>6.5000000000000002E-2</v>
          </cell>
          <cell r="O267">
            <v>1.4999999999999999E-2</v>
          </cell>
          <cell r="Q267">
            <v>8.2500000000000004E-2</v>
          </cell>
          <cell r="R267">
            <v>0.91749999999999998</v>
          </cell>
        </row>
        <row r="268">
          <cell r="K268" t="str">
            <v>ExportLNTNewUSABath76x147M</v>
          </cell>
          <cell r="L268">
            <v>0</v>
          </cell>
          <cell r="M268">
            <v>2.5000000000000001E-3</v>
          </cell>
          <cell r="N268">
            <v>6.5000000000000002E-2</v>
          </cell>
          <cell r="O268">
            <v>1.4999999999999999E-2</v>
          </cell>
          <cell r="Q268">
            <v>8.2500000000000004E-2</v>
          </cell>
          <cell r="R268">
            <v>0.91749999999999998</v>
          </cell>
        </row>
        <row r="269">
          <cell r="K269" t="str">
            <v>ExportLNTNewUSABath76x147D</v>
          </cell>
          <cell r="L269">
            <v>0</v>
          </cell>
          <cell r="M269">
            <v>2.5000000000000001E-3</v>
          </cell>
          <cell r="N269">
            <v>6.5000000000000002E-2</v>
          </cell>
          <cell r="O269">
            <v>1.4999999999999999E-2</v>
          </cell>
          <cell r="Q269">
            <v>8.2500000000000004E-2</v>
          </cell>
          <cell r="R269">
            <v>0.91749999999999998</v>
          </cell>
        </row>
        <row r="270">
          <cell r="K270" t="str">
            <v>ExportLNTNewUSAHand51x76L</v>
          </cell>
          <cell r="L270">
            <v>0</v>
          </cell>
          <cell r="M270">
            <v>2.5000000000000001E-3</v>
          </cell>
          <cell r="N270">
            <v>6.5000000000000002E-2</v>
          </cell>
          <cell r="O270">
            <v>1.4999999999999999E-2</v>
          </cell>
          <cell r="Q270">
            <v>8.2500000000000004E-2</v>
          </cell>
          <cell r="R270">
            <v>0.91749999999999998</v>
          </cell>
        </row>
        <row r="271">
          <cell r="K271" t="str">
            <v>ExportLNTNewUSAHand51x76M</v>
          </cell>
          <cell r="L271">
            <v>0</v>
          </cell>
          <cell r="M271">
            <v>2.5000000000000001E-3</v>
          </cell>
          <cell r="N271">
            <v>6.5000000000000002E-2</v>
          </cell>
          <cell r="O271">
            <v>1.4999999999999999E-2</v>
          </cell>
          <cell r="Q271">
            <v>8.2500000000000004E-2</v>
          </cell>
          <cell r="R271">
            <v>0.91749999999999998</v>
          </cell>
        </row>
        <row r="272">
          <cell r="K272" t="str">
            <v>ExportLNTNewUSAHand51x76D</v>
          </cell>
          <cell r="L272">
            <v>0</v>
          </cell>
          <cell r="M272">
            <v>2.5000000000000001E-3</v>
          </cell>
          <cell r="N272">
            <v>6.5000000000000002E-2</v>
          </cell>
          <cell r="O272">
            <v>1.4999999999999999E-2</v>
          </cell>
          <cell r="Q272">
            <v>8.2500000000000004E-2</v>
          </cell>
          <cell r="R272">
            <v>0.91749999999999998</v>
          </cell>
        </row>
        <row r="273">
          <cell r="K273" t="str">
            <v>ExportLNTNewUSAWash33x33L</v>
          </cell>
          <cell r="L273">
            <v>0</v>
          </cell>
          <cell r="M273">
            <v>2.5000000000000001E-3</v>
          </cell>
          <cell r="N273">
            <v>6.5000000000000002E-2</v>
          </cell>
          <cell r="O273">
            <v>1.4999999999999999E-2</v>
          </cell>
          <cell r="Q273">
            <v>8.2500000000000004E-2</v>
          </cell>
          <cell r="R273">
            <v>0.91749999999999998</v>
          </cell>
        </row>
        <row r="274">
          <cell r="K274" t="str">
            <v>ExportLNTNewUSAWash33x33M</v>
          </cell>
          <cell r="L274">
            <v>0</v>
          </cell>
          <cell r="M274">
            <v>2.5000000000000001E-3</v>
          </cell>
          <cell r="N274">
            <v>6.5000000000000002E-2</v>
          </cell>
          <cell r="O274">
            <v>1.4999999999999999E-2</v>
          </cell>
          <cell r="Q274">
            <v>8.2500000000000004E-2</v>
          </cell>
          <cell r="R274">
            <v>0.91749999999999998</v>
          </cell>
        </row>
        <row r="275">
          <cell r="K275" t="str">
            <v>ExportLNTNewUSAWash33x33D</v>
          </cell>
          <cell r="L275">
            <v>0</v>
          </cell>
          <cell r="M275">
            <v>2.5000000000000001E-3</v>
          </cell>
          <cell r="N275">
            <v>6.5000000000000002E-2</v>
          </cell>
          <cell r="O275">
            <v>1.4999999999999999E-2</v>
          </cell>
          <cell r="Q275">
            <v>8.2500000000000004E-2</v>
          </cell>
          <cell r="R275">
            <v>0.91749999999999998</v>
          </cell>
        </row>
        <row r="276">
          <cell r="K276" t="str">
            <v>ExportKohlsBig One StripeUSABath76x137L</v>
          </cell>
          <cell r="L276">
            <v>0</v>
          </cell>
          <cell r="M276">
            <v>2.5000000000000001E-3</v>
          </cell>
          <cell r="N276">
            <v>6.5000000000000002E-2</v>
          </cell>
          <cell r="O276">
            <v>1.4999999999999999E-2</v>
          </cell>
          <cell r="Q276">
            <v>8.2500000000000004E-2</v>
          </cell>
          <cell r="R276">
            <v>0.91749999999999998</v>
          </cell>
        </row>
        <row r="277">
          <cell r="K277" t="str">
            <v>ExportKohlsBig One StripeUSABath76x137M</v>
          </cell>
          <cell r="L277">
            <v>0</v>
          </cell>
          <cell r="M277">
            <v>2.5000000000000001E-3</v>
          </cell>
          <cell r="N277">
            <v>6.5000000000000002E-2</v>
          </cell>
          <cell r="O277">
            <v>1.4999999999999999E-2</v>
          </cell>
          <cell r="Q277">
            <v>8.2500000000000004E-2</v>
          </cell>
          <cell r="R277">
            <v>0.91749999999999998</v>
          </cell>
        </row>
        <row r="278">
          <cell r="K278" t="str">
            <v>ExportKohlsBig One StripeUSABath76x137D</v>
          </cell>
          <cell r="L278">
            <v>0</v>
          </cell>
          <cell r="M278">
            <v>2.5000000000000001E-3</v>
          </cell>
          <cell r="N278">
            <v>6.5000000000000002E-2</v>
          </cell>
          <cell r="O278">
            <v>1.4999999999999999E-2</v>
          </cell>
          <cell r="Q278">
            <v>8.2500000000000004E-2</v>
          </cell>
          <cell r="R278">
            <v>0.91749999999999998</v>
          </cell>
        </row>
        <row r="279">
          <cell r="K279" t="str">
            <v>ExportKohlsBig One StripeUSAHand41x71L</v>
          </cell>
          <cell r="L279">
            <v>0</v>
          </cell>
          <cell r="M279">
            <v>2.5000000000000001E-3</v>
          </cell>
          <cell r="N279">
            <v>6.5000000000000002E-2</v>
          </cell>
          <cell r="O279">
            <v>1.4999999999999999E-2</v>
          </cell>
          <cell r="Q279">
            <v>8.2500000000000004E-2</v>
          </cell>
          <cell r="R279">
            <v>0.91749999999999998</v>
          </cell>
        </row>
        <row r="280">
          <cell r="K280" t="str">
            <v>ExportKohlsBig One StripeUSAHand41x71M</v>
          </cell>
          <cell r="L280">
            <v>0</v>
          </cell>
          <cell r="M280">
            <v>2.5000000000000001E-3</v>
          </cell>
          <cell r="N280">
            <v>6.5000000000000002E-2</v>
          </cell>
          <cell r="O280">
            <v>1.4999999999999999E-2</v>
          </cell>
          <cell r="Q280">
            <v>8.2500000000000004E-2</v>
          </cell>
          <cell r="R280">
            <v>0.91749999999999998</v>
          </cell>
        </row>
        <row r="281">
          <cell r="K281" t="str">
            <v>ExportKohlsBig One StripeUSAHand41x71D</v>
          </cell>
          <cell r="L281">
            <v>0</v>
          </cell>
          <cell r="M281">
            <v>2.5000000000000001E-3</v>
          </cell>
          <cell r="N281">
            <v>6.5000000000000002E-2</v>
          </cell>
          <cell r="O281">
            <v>1.4999999999999999E-2</v>
          </cell>
          <cell r="Q281">
            <v>8.2500000000000004E-2</v>
          </cell>
          <cell r="R281">
            <v>0.91749999999999998</v>
          </cell>
        </row>
        <row r="282">
          <cell r="K282" t="str">
            <v>ExportKohlsBig One StripeUSAWash30x30L</v>
          </cell>
          <cell r="L282">
            <v>0</v>
          </cell>
          <cell r="M282">
            <v>2.5000000000000001E-3</v>
          </cell>
          <cell r="N282">
            <v>6.5000000000000002E-2</v>
          </cell>
          <cell r="O282">
            <v>1.4999999999999999E-2</v>
          </cell>
          <cell r="Q282">
            <v>8.2500000000000004E-2</v>
          </cell>
          <cell r="R282">
            <v>0.91749999999999998</v>
          </cell>
        </row>
        <row r="283">
          <cell r="K283" t="str">
            <v>ExportKohlsBig One StripeUSAWash30x30M</v>
          </cell>
          <cell r="L283">
            <v>0</v>
          </cell>
          <cell r="M283">
            <v>2.5000000000000001E-3</v>
          </cell>
          <cell r="N283">
            <v>6.5000000000000002E-2</v>
          </cell>
          <cell r="O283">
            <v>1.4999999999999999E-2</v>
          </cell>
          <cell r="Q283">
            <v>8.2500000000000004E-2</v>
          </cell>
          <cell r="R283">
            <v>0.91749999999999998</v>
          </cell>
        </row>
        <row r="284">
          <cell r="K284" t="str">
            <v>ExportKohlsBig One StripeUSAWash30x30D</v>
          </cell>
          <cell r="L284">
            <v>0</v>
          </cell>
          <cell r="M284">
            <v>2.5000000000000001E-3</v>
          </cell>
          <cell r="N284">
            <v>6.5000000000000002E-2</v>
          </cell>
          <cell r="O284">
            <v>1.4999999999999999E-2</v>
          </cell>
          <cell r="Q284">
            <v>8.2500000000000004E-2</v>
          </cell>
          <cell r="R284">
            <v>0.91749999999999998</v>
          </cell>
        </row>
        <row r="285">
          <cell r="K285" t="str">
            <v>ExportKohlsBig One SolidUSABath76x137L</v>
          </cell>
          <cell r="L285">
            <v>0</v>
          </cell>
          <cell r="M285">
            <v>2.5000000000000001E-3</v>
          </cell>
          <cell r="N285">
            <v>6.5000000000000002E-2</v>
          </cell>
          <cell r="O285">
            <v>1.4999999999999999E-2</v>
          </cell>
          <cell r="Q285">
            <v>8.2500000000000004E-2</v>
          </cell>
          <cell r="R285">
            <v>0.91749999999999998</v>
          </cell>
        </row>
        <row r="286">
          <cell r="K286" t="str">
            <v>ExportKohlsBig One SolidUSABath76x137M</v>
          </cell>
          <cell r="L286">
            <v>0</v>
          </cell>
          <cell r="M286">
            <v>2.5000000000000001E-3</v>
          </cell>
          <cell r="N286">
            <v>6.5000000000000002E-2</v>
          </cell>
          <cell r="O286">
            <v>1.4999999999999999E-2</v>
          </cell>
          <cell r="Q286">
            <v>8.2500000000000004E-2</v>
          </cell>
          <cell r="R286">
            <v>0.91749999999999998</v>
          </cell>
        </row>
        <row r="287">
          <cell r="K287" t="str">
            <v>ExportKohlsBig One SolidUSABath76x137D</v>
          </cell>
          <cell r="L287">
            <v>0</v>
          </cell>
          <cell r="M287">
            <v>2.5000000000000001E-3</v>
          </cell>
          <cell r="N287">
            <v>6.5000000000000002E-2</v>
          </cell>
          <cell r="O287">
            <v>1.4999999999999999E-2</v>
          </cell>
          <cell r="Q287">
            <v>8.2500000000000004E-2</v>
          </cell>
          <cell r="R287">
            <v>0.91749999999999998</v>
          </cell>
        </row>
        <row r="288">
          <cell r="K288" t="str">
            <v>ExportKohlsBig One SolidUSAHand41x71L</v>
          </cell>
          <cell r="L288">
            <v>0</v>
          </cell>
          <cell r="M288">
            <v>2.5000000000000001E-3</v>
          </cell>
          <cell r="N288">
            <v>6.5000000000000002E-2</v>
          </cell>
          <cell r="O288">
            <v>1.4999999999999999E-2</v>
          </cell>
          <cell r="Q288">
            <v>8.2500000000000004E-2</v>
          </cell>
          <cell r="R288">
            <v>0.91749999999999998</v>
          </cell>
        </row>
        <row r="289">
          <cell r="K289" t="str">
            <v>ExportKohlsBig One SolidUSAHand41x71M</v>
          </cell>
          <cell r="L289">
            <v>0</v>
          </cell>
          <cell r="M289">
            <v>2.5000000000000001E-3</v>
          </cell>
          <cell r="N289">
            <v>6.5000000000000002E-2</v>
          </cell>
          <cell r="O289">
            <v>1.4999999999999999E-2</v>
          </cell>
          <cell r="Q289">
            <v>8.2500000000000004E-2</v>
          </cell>
          <cell r="R289">
            <v>0.91749999999999998</v>
          </cell>
        </row>
        <row r="290">
          <cell r="K290" t="str">
            <v>ExportKohlsBig One SolidUSAHand41x71D</v>
          </cell>
          <cell r="L290">
            <v>0</v>
          </cell>
          <cell r="M290">
            <v>2.5000000000000001E-3</v>
          </cell>
          <cell r="N290">
            <v>6.5000000000000002E-2</v>
          </cell>
          <cell r="O290">
            <v>1.4999999999999999E-2</v>
          </cell>
          <cell r="Q290">
            <v>8.2500000000000004E-2</v>
          </cell>
          <cell r="R290">
            <v>0.91749999999999998</v>
          </cell>
        </row>
        <row r="291">
          <cell r="K291" t="str">
            <v>ExportKohlsBig One SolidUSAWash30x30L</v>
          </cell>
          <cell r="L291">
            <v>0</v>
          </cell>
          <cell r="M291">
            <v>2.5000000000000001E-3</v>
          </cell>
          <cell r="N291">
            <v>6.5000000000000002E-2</v>
          </cell>
          <cell r="O291">
            <v>1.4999999999999999E-2</v>
          </cell>
          <cell r="Q291">
            <v>8.2500000000000004E-2</v>
          </cell>
          <cell r="R291">
            <v>0.91749999999999998</v>
          </cell>
        </row>
        <row r="292">
          <cell r="K292" t="str">
            <v>ExportKohlsBig One SolidUSAWash30x30M</v>
          </cell>
          <cell r="L292">
            <v>0</v>
          </cell>
          <cell r="M292">
            <v>2.5000000000000001E-3</v>
          </cell>
          <cell r="N292">
            <v>6.5000000000000002E-2</v>
          </cell>
          <cell r="O292">
            <v>1.4999999999999999E-2</v>
          </cell>
          <cell r="Q292">
            <v>8.2500000000000004E-2</v>
          </cell>
          <cell r="R292">
            <v>0.91749999999999998</v>
          </cell>
        </row>
        <row r="293">
          <cell r="K293" t="str">
            <v>ExportKohlsBig One SolidUSAWash30x30D</v>
          </cell>
          <cell r="L293">
            <v>0</v>
          </cell>
          <cell r="M293">
            <v>2.5000000000000001E-3</v>
          </cell>
          <cell r="N293">
            <v>6.5000000000000002E-2</v>
          </cell>
          <cell r="O293">
            <v>1.4999999999999999E-2</v>
          </cell>
          <cell r="Q293">
            <v>8.2500000000000004E-2</v>
          </cell>
          <cell r="R293">
            <v>0.91749999999999998</v>
          </cell>
        </row>
        <row r="294">
          <cell r="K294" t="str">
            <v>ExportIst New Buyer00Bath76x137L</v>
          </cell>
          <cell r="L294">
            <v>0</v>
          </cell>
          <cell r="M294">
            <v>2.5000000000000001E-3</v>
          </cell>
          <cell r="N294">
            <v>6.5000000000000002E-2</v>
          </cell>
          <cell r="O294">
            <v>1.4999999999999999E-2</v>
          </cell>
          <cell r="Q294">
            <v>8.2500000000000004E-2</v>
          </cell>
          <cell r="R294">
            <v>0.91749999999999998</v>
          </cell>
        </row>
        <row r="295">
          <cell r="K295" t="str">
            <v>ExportIst New Buyer00Bath76x137M</v>
          </cell>
          <cell r="L295">
            <v>0</v>
          </cell>
          <cell r="M295">
            <v>2.5000000000000001E-3</v>
          </cell>
          <cell r="N295">
            <v>6.5000000000000002E-2</v>
          </cell>
          <cell r="O295">
            <v>1.4999999999999999E-2</v>
          </cell>
          <cell r="Q295">
            <v>8.2500000000000004E-2</v>
          </cell>
          <cell r="R295">
            <v>0.91749999999999998</v>
          </cell>
        </row>
        <row r="296">
          <cell r="K296" t="str">
            <v>ExportIst New Buyer00Bath76x137D</v>
          </cell>
          <cell r="L296">
            <v>0</v>
          </cell>
          <cell r="M296">
            <v>2.5000000000000001E-3</v>
          </cell>
          <cell r="N296">
            <v>6.5000000000000002E-2</v>
          </cell>
          <cell r="O296">
            <v>1.4999999999999999E-2</v>
          </cell>
          <cell r="Q296">
            <v>8.2500000000000004E-2</v>
          </cell>
          <cell r="R296">
            <v>0.91749999999999998</v>
          </cell>
        </row>
        <row r="297">
          <cell r="K297" t="str">
            <v>ExportIst New Buyer00Hand41x76L</v>
          </cell>
          <cell r="L297">
            <v>0</v>
          </cell>
          <cell r="M297">
            <v>2.5000000000000001E-3</v>
          </cell>
          <cell r="N297">
            <v>6.5000000000000002E-2</v>
          </cell>
          <cell r="O297">
            <v>1.4999999999999999E-2</v>
          </cell>
          <cell r="Q297">
            <v>8.2500000000000004E-2</v>
          </cell>
          <cell r="R297">
            <v>0.91749999999999998</v>
          </cell>
        </row>
        <row r="298">
          <cell r="K298" t="str">
            <v>ExportIst New Buyer00Hand41x76M</v>
          </cell>
          <cell r="L298">
            <v>0</v>
          </cell>
          <cell r="M298">
            <v>2.5000000000000001E-3</v>
          </cell>
          <cell r="N298">
            <v>6.5000000000000002E-2</v>
          </cell>
          <cell r="O298">
            <v>1.4999999999999999E-2</v>
          </cell>
          <cell r="Q298">
            <v>8.2500000000000004E-2</v>
          </cell>
          <cell r="R298">
            <v>0.91749999999999998</v>
          </cell>
        </row>
        <row r="299">
          <cell r="K299" t="str">
            <v>ExportIst New Buyer00Hand41x76D</v>
          </cell>
          <cell r="L299">
            <v>0</v>
          </cell>
          <cell r="M299">
            <v>2.5000000000000001E-3</v>
          </cell>
          <cell r="N299">
            <v>6.5000000000000002E-2</v>
          </cell>
          <cell r="O299">
            <v>1.4999999999999999E-2</v>
          </cell>
          <cell r="Q299">
            <v>8.2500000000000004E-2</v>
          </cell>
          <cell r="R299">
            <v>0.91749999999999998</v>
          </cell>
        </row>
        <row r="300">
          <cell r="K300" t="str">
            <v>ExportIst New Buyer00Wash33x33L</v>
          </cell>
          <cell r="L300">
            <v>0</v>
          </cell>
          <cell r="M300">
            <v>2.5000000000000001E-3</v>
          </cell>
          <cell r="N300">
            <v>6.5000000000000002E-2</v>
          </cell>
          <cell r="O300">
            <v>1.4999999999999999E-2</v>
          </cell>
          <cell r="Q300">
            <v>8.2500000000000004E-2</v>
          </cell>
          <cell r="R300">
            <v>0.91749999999999998</v>
          </cell>
        </row>
        <row r="301">
          <cell r="K301" t="str">
            <v>ExportIst New Buyer00Wash33x33M</v>
          </cell>
          <cell r="L301">
            <v>0</v>
          </cell>
          <cell r="M301">
            <v>2.5000000000000001E-3</v>
          </cell>
          <cell r="N301">
            <v>6.5000000000000002E-2</v>
          </cell>
          <cell r="O301">
            <v>1.4999999999999999E-2</v>
          </cell>
          <cell r="Q301">
            <v>8.2500000000000004E-2</v>
          </cell>
          <cell r="R301">
            <v>0.91749999999999998</v>
          </cell>
        </row>
        <row r="302">
          <cell r="K302" t="str">
            <v>ExportIst New Buyer00Wash33x33D</v>
          </cell>
          <cell r="L302">
            <v>0</v>
          </cell>
          <cell r="M302">
            <v>2.5000000000000001E-3</v>
          </cell>
          <cell r="N302">
            <v>6.5000000000000002E-2</v>
          </cell>
          <cell r="O302">
            <v>1.4999999999999999E-2</v>
          </cell>
          <cell r="Q302">
            <v>8.2500000000000004E-2</v>
          </cell>
          <cell r="R302">
            <v>0.91749999999999998</v>
          </cell>
        </row>
        <row r="303">
          <cell r="K303" t="str">
            <v>Export2nd New Buyer00Bath76x137L</v>
          </cell>
          <cell r="L303">
            <v>0</v>
          </cell>
          <cell r="M303">
            <v>2.5000000000000001E-3</v>
          </cell>
          <cell r="N303">
            <v>6.5000000000000002E-2</v>
          </cell>
          <cell r="O303">
            <v>1.4999999999999999E-2</v>
          </cell>
          <cell r="Q303">
            <v>8.2500000000000004E-2</v>
          </cell>
          <cell r="R303">
            <v>0.91749999999999998</v>
          </cell>
        </row>
        <row r="304">
          <cell r="K304" t="str">
            <v>Export2nd New Buyer00Bath76x137M</v>
          </cell>
          <cell r="L304">
            <v>0</v>
          </cell>
          <cell r="M304">
            <v>2.5000000000000001E-3</v>
          </cell>
          <cell r="N304">
            <v>6.5000000000000002E-2</v>
          </cell>
          <cell r="O304">
            <v>1.4999999999999999E-2</v>
          </cell>
          <cell r="Q304">
            <v>8.2500000000000004E-2</v>
          </cell>
          <cell r="R304">
            <v>0.91749999999999998</v>
          </cell>
        </row>
        <row r="305">
          <cell r="K305" t="str">
            <v>Export2nd New Buyer00Bath76x137D</v>
          </cell>
          <cell r="L305">
            <v>0</v>
          </cell>
          <cell r="M305">
            <v>2.5000000000000001E-3</v>
          </cell>
          <cell r="N305">
            <v>6.5000000000000002E-2</v>
          </cell>
          <cell r="O305">
            <v>1.4999999999999999E-2</v>
          </cell>
          <cell r="Q305">
            <v>8.2500000000000004E-2</v>
          </cell>
          <cell r="R305">
            <v>0.91749999999999998</v>
          </cell>
        </row>
        <row r="306">
          <cell r="K306" t="str">
            <v>Export2nd New Buyer00Hand41x76L</v>
          </cell>
          <cell r="L306">
            <v>0</v>
          </cell>
          <cell r="M306">
            <v>2.5000000000000001E-3</v>
          </cell>
          <cell r="N306">
            <v>6.5000000000000002E-2</v>
          </cell>
          <cell r="O306">
            <v>1.4999999999999999E-2</v>
          </cell>
          <cell r="Q306">
            <v>8.2500000000000004E-2</v>
          </cell>
          <cell r="R306">
            <v>0.91749999999999998</v>
          </cell>
        </row>
        <row r="307">
          <cell r="K307" t="str">
            <v>Export2nd New Buyer00Hand41x76M</v>
          </cell>
          <cell r="L307">
            <v>0</v>
          </cell>
          <cell r="M307">
            <v>2.5000000000000001E-3</v>
          </cell>
          <cell r="N307">
            <v>6.5000000000000002E-2</v>
          </cell>
          <cell r="O307">
            <v>1.4999999999999999E-2</v>
          </cell>
          <cell r="Q307">
            <v>8.2500000000000004E-2</v>
          </cell>
          <cell r="R307">
            <v>0.91749999999999998</v>
          </cell>
        </row>
        <row r="308">
          <cell r="K308" t="str">
            <v>Export2nd New Buyer00Hand41x76D</v>
          </cell>
          <cell r="L308">
            <v>0</v>
          </cell>
          <cell r="M308">
            <v>2.5000000000000001E-3</v>
          </cell>
          <cell r="N308">
            <v>6.5000000000000002E-2</v>
          </cell>
          <cell r="O308">
            <v>1.4999999999999999E-2</v>
          </cell>
          <cell r="Q308">
            <v>8.2500000000000004E-2</v>
          </cell>
          <cell r="R308">
            <v>0.91749999999999998</v>
          </cell>
        </row>
        <row r="309">
          <cell r="K309" t="str">
            <v>Export2nd New Buyer00Wash33x33L</v>
          </cell>
          <cell r="L309">
            <v>0</v>
          </cell>
          <cell r="M309">
            <v>2.5000000000000001E-3</v>
          </cell>
          <cell r="N309">
            <v>6.5000000000000002E-2</v>
          </cell>
          <cell r="O309">
            <v>1.4999999999999999E-2</v>
          </cell>
          <cell r="Q309">
            <v>8.2500000000000004E-2</v>
          </cell>
          <cell r="R309">
            <v>0.91749999999999998</v>
          </cell>
        </row>
        <row r="310">
          <cell r="K310" t="str">
            <v>Export2nd New Buyer00Wash33x33M</v>
          </cell>
          <cell r="L310">
            <v>0</v>
          </cell>
          <cell r="M310">
            <v>2.5000000000000001E-3</v>
          </cell>
          <cell r="N310">
            <v>6.5000000000000002E-2</v>
          </cell>
          <cell r="O310">
            <v>1.4999999999999999E-2</v>
          </cell>
          <cell r="Q310">
            <v>8.2500000000000004E-2</v>
          </cell>
          <cell r="R310">
            <v>0.91749999999999998</v>
          </cell>
        </row>
        <row r="311">
          <cell r="K311" t="str">
            <v>Export2nd New Buyer00Wash33x33D</v>
          </cell>
          <cell r="L311">
            <v>0</v>
          </cell>
          <cell r="M311">
            <v>2.5000000000000001E-3</v>
          </cell>
          <cell r="N311">
            <v>6.5000000000000002E-2</v>
          </cell>
          <cell r="O311">
            <v>1.4999999999999999E-2</v>
          </cell>
          <cell r="Q311">
            <v>8.2500000000000004E-2</v>
          </cell>
          <cell r="R311">
            <v>0.91749999999999998</v>
          </cell>
        </row>
        <row r="312">
          <cell r="K312" t="str">
            <v>Export3rd New Buyer00Bath0x0L</v>
          </cell>
          <cell r="L312">
            <v>0</v>
          </cell>
          <cell r="M312">
            <v>2.5000000000000001E-3</v>
          </cell>
          <cell r="N312">
            <v>6.5000000000000002E-2</v>
          </cell>
          <cell r="O312">
            <v>1.4999999999999999E-2</v>
          </cell>
          <cell r="Q312">
            <v>8.2500000000000004E-2</v>
          </cell>
          <cell r="R312">
            <v>0.91749999999999998</v>
          </cell>
        </row>
        <row r="313">
          <cell r="K313" t="str">
            <v>Export3rd New Buyer00Bath0x0M</v>
          </cell>
          <cell r="L313">
            <v>0</v>
          </cell>
          <cell r="M313">
            <v>2.5000000000000001E-3</v>
          </cell>
          <cell r="N313">
            <v>6.5000000000000002E-2</v>
          </cell>
          <cell r="O313">
            <v>1.4999999999999999E-2</v>
          </cell>
          <cell r="Q313">
            <v>8.2500000000000004E-2</v>
          </cell>
          <cell r="R313">
            <v>0.91749999999999998</v>
          </cell>
        </row>
        <row r="314">
          <cell r="K314" t="str">
            <v>Export3rd New Buyer00Bath0x0D</v>
          </cell>
          <cell r="L314">
            <v>0</v>
          </cell>
          <cell r="M314">
            <v>2.5000000000000001E-3</v>
          </cell>
          <cell r="N314">
            <v>6.5000000000000002E-2</v>
          </cell>
          <cell r="O314">
            <v>1.4999999999999999E-2</v>
          </cell>
          <cell r="Q314">
            <v>8.2500000000000004E-2</v>
          </cell>
          <cell r="R314">
            <v>0.91749999999999998</v>
          </cell>
        </row>
        <row r="317">
          <cell r="K317" t="str">
            <v>ExportTargetWaverlyUSABath76x142L</v>
          </cell>
          <cell r="L317">
            <v>0</v>
          </cell>
          <cell r="M317">
            <v>2.5000000000000001E-3</v>
          </cell>
          <cell r="N317">
            <v>6.5000000000000002E-2</v>
          </cell>
          <cell r="O317">
            <v>1.4999999999999999E-2</v>
          </cell>
          <cell r="Q317">
            <v>8.2500000000000004E-2</v>
          </cell>
          <cell r="R317">
            <v>0.91749999999999998</v>
          </cell>
        </row>
        <row r="318">
          <cell r="K318" t="str">
            <v>ExportTargetWaverlyUSABath76x142M</v>
          </cell>
          <cell r="L318">
            <v>0</v>
          </cell>
          <cell r="M318">
            <v>2.5000000000000001E-3</v>
          </cell>
          <cell r="N318">
            <v>6.5000000000000002E-2</v>
          </cell>
          <cell r="O318">
            <v>1.4999999999999999E-2</v>
          </cell>
          <cell r="Q318">
            <v>8.2500000000000004E-2</v>
          </cell>
          <cell r="R318">
            <v>0.91749999999999998</v>
          </cell>
        </row>
        <row r="319">
          <cell r="K319" t="str">
            <v>ExportTargetWaverlyUSABath76x142D</v>
          </cell>
          <cell r="L319">
            <v>0</v>
          </cell>
          <cell r="M319">
            <v>2.5000000000000001E-3</v>
          </cell>
          <cell r="N319">
            <v>6.5000000000000002E-2</v>
          </cell>
          <cell r="O319">
            <v>1.4999999999999999E-2</v>
          </cell>
          <cell r="Q319">
            <v>8.2500000000000004E-2</v>
          </cell>
          <cell r="R319">
            <v>0.91749999999999998</v>
          </cell>
        </row>
        <row r="320">
          <cell r="K320" t="str">
            <v>ExportTargetWaverlyUSAHand41x76L</v>
          </cell>
          <cell r="L320">
            <v>0</v>
          </cell>
          <cell r="M320">
            <v>2.5000000000000001E-3</v>
          </cell>
          <cell r="N320">
            <v>6.5000000000000002E-2</v>
          </cell>
          <cell r="O320">
            <v>1.4999999999999999E-2</v>
          </cell>
          <cell r="Q320">
            <v>8.2500000000000004E-2</v>
          </cell>
          <cell r="R320">
            <v>0.91749999999999998</v>
          </cell>
        </row>
        <row r="321">
          <cell r="K321" t="str">
            <v>ExportTargetWaverlyUSAHand41x76M</v>
          </cell>
          <cell r="L321">
            <v>0</v>
          </cell>
          <cell r="M321">
            <v>2.5000000000000001E-3</v>
          </cell>
          <cell r="N321">
            <v>6.5000000000000002E-2</v>
          </cell>
          <cell r="O321">
            <v>1.4999999999999999E-2</v>
          </cell>
          <cell r="Q321">
            <v>8.2500000000000004E-2</v>
          </cell>
          <cell r="R321">
            <v>0.91749999999999998</v>
          </cell>
        </row>
        <row r="322">
          <cell r="K322" t="str">
            <v>ExportTargetWaverlyUSAHand41x76D</v>
          </cell>
          <cell r="L322">
            <v>0</v>
          </cell>
          <cell r="M322">
            <v>2.5000000000000001E-3</v>
          </cell>
          <cell r="N322">
            <v>6.5000000000000002E-2</v>
          </cell>
          <cell r="O322">
            <v>1.4999999999999999E-2</v>
          </cell>
          <cell r="Q322">
            <v>8.2500000000000004E-2</v>
          </cell>
          <cell r="R322">
            <v>0.91749999999999998</v>
          </cell>
        </row>
        <row r="323">
          <cell r="K323" t="str">
            <v>ExportTargetWaverlyUSAWash30x30L</v>
          </cell>
          <cell r="L323">
            <v>0</v>
          </cell>
          <cell r="M323">
            <v>2.5000000000000001E-3</v>
          </cell>
          <cell r="N323">
            <v>6.5000000000000002E-2</v>
          </cell>
          <cell r="O323">
            <v>1.4999999999999999E-2</v>
          </cell>
          <cell r="Q323">
            <v>8.2500000000000004E-2</v>
          </cell>
          <cell r="R323">
            <v>0.91749999999999998</v>
          </cell>
        </row>
        <row r="324">
          <cell r="K324" t="str">
            <v>ExportTargetWaverlyUSAWash30x30M</v>
          </cell>
          <cell r="L324" t="str">
            <v>Key -2</v>
          </cell>
          <cell r="M324">
            <v>2.5000000000000001E-3</v>
          </cell>
          <cell r="N324">
            <v>6.5000000000000002E-2</v>
          </cell>
          <cell r="O324">
            <v>1.4999999999999999E-2</v>
          </cell>
          <cell r="Q324">
            <v>8.2500000000000004E-2</v>
          </cell>
          <cell r="R324">
            <v>0.91749999999999998</v>
          </cell>
        </row>
        <row r="325">
          <cell r="K325" t="str">
            <v>ExportTargetWaverlyUSAWash30x30D</v>
          </cell>
          <cell r="L325">
            <v>0</v>
          </cell>
          <cell r="M325">
            <v>2.5000000000000001E-3</v>
          </cell>
          <cell r="N325">
            <v>6.5000000000000002E-2</v>
          </cell>
          <cell r="O325">
            <v>1.4999999999999999E-2</v>
          </cell>
          <cell r="Q325">
            <v>8.2500000000000004E-2</v>
          </cell>
          <cell r="R325">
            <v>0.91749999999999998</v>
          </cell>
        </row>
        <row r="326">
          <cell r="K326" t="str">
            <v>ExportWalmartHome TrendsUSABath76x132L</v>
          </cell>
          <cell r="L326">
            <v>0</v>
          </cell>
          <cell r="M326">
            <v>2.5000000000000001E-3</v>
          </cell>
          <cell r="N326">
            <v>6.5000000000000002E-2</v>
          </cell>
          <cell r="O326">
            <v>1.4999999999999999E-2</v>
          </cell>
          <cell r="Q326">
            <v>8.2500000000000004E-2</v>
          </cell>
          <cell r="R326">
            <v>0.91749999999999998</v>
          </cell>
        </row>
        <row r="327">
          <cell r="K327" t="str">
            <v>ExportWalmartHome TrendsUSABath76x132M</v>
          </cell>
          <cell r="L327">
            <v>0</v>
          </cell>
          <cell r="M327">
            <v>2.5000000000000001E-3</v>
          </cell>
          <cell r="N327">
            <v>6.5000000000000002E-2</v>
          </cell>
          <cell r="O327">
            <v>1.4999999999999999E-2</v>
          </cell>
          <cell r="Q327">
            <v>8.2500000000000004E-2</v>
          </cell>
          <cell r="R327">
            <v>0.91749999999999998</v>
          </cell>
        </row>
        <row r="328">
          <cell r="K328" t="str">
            <v>ExportWalmartHome TrendsUSABath76x132D</v>
          </cell>
          <cell r="L328">
            <v>0</v>
          </cell>
          <cell r="M328">
            <v>2.5000000000000001E-3</v>
          </cell>
          <cell r="N328">
            <v>6.5000000000000002E-2</v>
          </cell>
          <cell r="O328">
            <v>1.4999999999999999E-2</v>
          </cell>
          <cell r="Q328">
            <v>8.2500000000000004E-2</v>
          </cell>
          <cell r="R328">
            <v>0.91749999999999998</v>
          </cell>
        </row>
        <row r="329">
          <cell r="K329" t="str">
            <v>ExportWalmartHome TrendsUSAHand41x69L</v>
          </cell>
          <cell r="L329">
            <v>0</v>
          </cell>
          <cell r="M329">
            <v>2.5000000000000001E-3</v>
          </cell>
          <cell r="N329">
            <v>6.5000000000000002E-2</v>
          </cell>
          <cell r="O329">
            <v>1.4999999999999999E-2</v>
          </cell>
          <cell r="Q329">
            <v>8.2500000000000004E-2</v>
          </cell>
          <cell r="R329">
            <v>0.91749999999999998</v>
          </cell>
        </row>
        <row r="330">
          <cell r="K330" t="str">
            <v>ExportWalmartHome TrendsUSAHand41x69M</v>
          </cell>
          <cell r="L330">
            <v>0</v>
          </cell>
          <cell r="M330">
            <v>2.5000000000000001E-3</v>
          </cell>
          <cell r="N330">
            <v>6.5000000000000002E-2</v>
          </cell>
          <cell r="O330">
            <v>1.4999999999999999E-2</v>
          </cell>
          <cell r="Q330">
            <v>8.2500000000000004E-2</v>
          </cell>
          <cell r="R330">
            <v>0.91749999999999998</v>
          </cell>
        </row>
        <row r="331">
          <cell r="K331" t="str">
            <v>ExportWalmartHome TrendsUSAHand41x69D</v>
          </cell>
          <cell r="L331">
            <v>0</v>
          </cell>
          <cell r="M331">
            <v>2.5000000000000001E-3</v>
          </cell>
          <cell r="N331">
            <v>6.5000000000000002E-2</v>
          </cell>
          <cell r="O331">
            <v>1.4999999999999999E-2</v>
          </cell>
          <cell r="Q331">
            <v>8.2500000000000004E-2</v>
          </cell>
          <cell r="R331">
            <v>0.91749999999999998</v>
          </cell>
        </row>
        <row r="332">
          <cell r="K332" t="str">
            <v>ExportWalmartHome TrendsUSAWash33x33L</v>
          </cell>
          <cell r="L332">
            <v>0</v>
          </cell>
          <cell r="M332">
            <v>2.5000000000000001E-3</v>
          </cell>
          <cell r="N332">
            <v>6.5000000000000002E-2</v>
          </cell>
          <cell r="O332">
            <v>1.4999999999999999E-2</v>
          </cell>
          <cell r="Q332">
            <v>8.2500000000000004E-2</v>
          </cell>
          <cell r="R332">
            <v>0.91749999999999998</v>
          </cell>
        </row>
        <row r="333">
          <cell r="K333" t="str">
            <v>ExportWalmartHome TrendsUSAWash33x33M</v>
          </cell>
          <cell r="L333">
            <v>0</v>
          </cell>
          <cell r="M333">
            <v>2.5000000000000001E-3</v>
          </cell>
          <cell r="N333">
            <v>6.5000000000000002E-2</v>
          </cell>
          <cell r="O333">
            <v>1.4999999999999999E-2</v>
          </cell>
          <cell r="Q333">
            <v>8.2500000000000004E-2</v>
          </cell>
          <cell r="R333">
            <v>0.91749999999999998</v>
          </cell>
        </row>
        <row r="334">
          <cell r="K334" t="str">
            <v>ExportWalmartHome TrendsUSAWash33x33D</v>
          </cell>
          <cell r="L334">
            <v>0</v>
          </cell>
          <cell r="M334">
            <v>2.5000000000000001E-3</v>
          </cell>
          <cell r="N334">
            <v>6.5000000000000002E-2</v>
          </cell>
          <cell r="O334">
            <v>1.4999999999999999E-2</v>
          </cell>
          <cell r="Q334">
            <v>8.2500000000000004E-2</v>
          </cell>
          <cell r="R334">
            <v>0.91749999999999998</v>
          </cell>
        </row>
        <row r="335">
          <cell r="K335" t="str">
            <v>ExportMill WorkingCannon LandmarkUSABath76x137L</v>
          </cell>
          <cell r="L335">
            <v>0</v>
          </cell>
          <cell r="M335">
            <v>2.5000000000000001E-3</v>
          </cell>
          <cell r="N335">
            <v>6.5000000000000002E-2</v>
          </cell>
          <cell r="O335">
            <v>1.4999999999999999E-2</v>
          </cell>
          <cell r="Q335">
            <v>8.2500000000000004E-2</v>
          </cell>
          <cell r="R335">
            <v>0.91749999999999998</v>
          </cell>
        </row>
        <row r="336">
          <cell r="K336" t="str">
            <v>ExportMill WorkingCannon LandmarkUSABath76x137M</v>
          </cell>
          <cell r="L336">
            <v>0</v>
          </cell>
          <cell r="M336">
            <v>2.5000000000000001E-3</v>
          </cell>
          <cell r="N336">
            <v>6.5000000000000002E-2</v>
          </cell>
          <cell r="O336">
            <v>1.4999999999999999E-2</v>
          </cell>
          <cell r="Q336">
            <v>8.2500000000000004E-2</v>
          </cell>
          <cell r="R336">
            <v>0.91749999999999998</v>
          </cell>
        </row>
        <row r="337">
          <cell r="K337" t="str">
            <v>ExportMill WorkingCannon LandmarkUSABath76x137D</v>
          </cell>
          <cell r="L337">
            <v>0</v>
          </cell>
          <cell r="M337">
            <v>2.5000000000000001E-3</v>
          </cell>
          <cell r="N337">
            <v>6.5000000000000002E-2</v>
          </cell>
          <cell r="O337">
            <v>1.4999999999999999E-2</v>
          </cell>
          <cell r="Q337">
            <v>8.2500000000000004E-2</v>
          </cell>
          <cell r="R337">
            <v>0.91749999999999998</v>
          </cell>
        </row>
        <row r="338">
          <cell r="K338" t="str">
            <v>ExportMill WorkingCannon LandmarkUSAHand41x76L</v>
          </cell>
          <cell r="L338">
            <v>0</v>
          </cell>
          <cell r="M338">
            <v>2.5000000000000001E-3</v>
          </cell>
          <cell r="N338">
            <v>6.5000000000000002E-2</v>
          </cell>
          <cell r="O338">
            <v>1.4999999999999999E-2</v>
          </cell>
          <cell r="Q338">
            <v>8.2500000000000004E-2</v>
          </cell>
          <cell r="R338">
            <v>0.91749999999999998</v>
          </cell>
        </row>
        <row r="339">
          <cell r="K339" t="str">
            <v>ExportMill WorkingCannon LandmarkUSAHand41x76M</v>
          </cell>
          <cell r="L339">
            <v>0</v>
          </cell>
          <cell r="M339">
            <v>2.5000000000000001E-3</v>
          </cell>
          <cell r="N339">
            <v>6.5000000000000002E-2</v>
          </cell>
          <cell r="O339">
            <v>1.4999999999999999E-2</v>
          </cell>
          <cell r="Q339">
            <v>8.2500000000000004E-2</v>
          </cell>
          <cell r="R339">
            <v>0.91749999999999998</v>
          </cell>
        </row>
        <row r="340">
          <cell r="K340" t="str">
            <v>ExportMill WorkingCannon LandmarkUSAHand41x76D</v>
          </cell>
          <cell r="L340">
            <v>0</v>
          </cell>
          <cell r="M340">
            <v>2.5000000000000001E-3</v>
          </cell>
          <cell r="N340">
            <v>6.5000000000000002E-2</v>
          </cell>
          <cell r="O340">
            <v>1.4999999999999999E-2</v>
          </cell>
          <cell r="Q340">
            <v>8.2500000000000004E-2</v>
          </cell>
          <cell r="R340">
            <v>0.91749999999999998</v>
          </cell>
        </row>
        <row r="341">
          <cell r="K341" t="str">
            <v>ExportMill WorkingCannon LandmarkUSAWash33x33L</v>
          </cell>
          <cell r="L341">
            <v>0</v>
          </cell>
          <cell r="M341">
            <v>2.5000000000000001E-3</v>
          </cell>
          <cell r="N341">
            <v>6.5000000000000002E-2</v>
          </cell>
          <cell r="O341">
            <v>1.4999999999999999E-2</v>
          </cell>
          <cell r="Q341">
            <v>8.2500000000000004E-2</v>
          </cell>
          <cell r="R341">
            <v>0.91749999999999998</v>
          </cell>
        </row>
        <row r="342">
          <cell r="K342" t="str">
            <v>ExportMill WorkingCannon LandmarkUSAWash33x33M</v>
          </cell>
          <cell r="L342">
            <v>0</v>
          </cell>
          <cell r="M342">
            <v>2.5000000000000001E-3</v>
          </cell>
          <cell r="N342">
            <v>6.5000000000000002E-2</v>
          </cell>
          <cell r="O342">
            <v>1.4999999999999999E-2</v>
          </cell>
          <cell r="Q342">
            <v>8.2500000000000004E-2</v>
          </cell>
          <cell r="R342">
            <v>0.91749999999999998</v>
          </cell>
        </row>
        <row r="343">
          <cell r="K343" t="str">
            <v>ExportMill WorkingCannon LandmarkUSAWash33x33D</v>
          </cell>
          <cell r="L343">
            <v>0</v>
          </cell>
          <cell r="M343">
            <v>2.5000000000000001E-3</v>
          </cell>
          <cell r="N343">
            <v>6.5000000000000002E-2</v>
          </cell>
          <cell r="O343">
            <v>1.4999999999999999E-2</v>
          </cell>
          <cell r="Q343">
            <v>8.2500000000000004E-2</v>
          </cell>
          <cell r="R343">
            <v>0.91749999999999998</v>
          </cell>
        </row>
        <row r="344">
          <cell r="K344" t="str">
            <v>ExportMill WorkingCannon MilestoneUSABath76x137L</v>
          </cell>
          <cell r="L344">
            <v>0</v>
          </cell>
          <cell r="M344">
            <v>2.5000000000000001E-3</v>
          </cell>
          <cell r="N344">
            <v>6.5000000000000002E-2</v>
          </cell>
          <cell r="O344">
            <v>1.4999999999999999E-2</v>
          </cell>
          <cell r="Q344">
            <v>8.2500000000000004E-2</v>
          </cell>
          <cell r="R344">
            <v>0.91749999999999998</v>
          </cell>
        </row>
        <row r="345">
          <cell r="K345" t="str">
            <v>ExportMill WorkingCannon MilestoneUSABath76x137M</v>
          </cell>
          <cell r="L345">
            <v>0</v>
          </cell>
          <cell r="M345">
            <v>2.5000000000000001E-3</v>
          </cell>
          <cell r="N345">
            <v>6.5000000000000002E-2</v>
          </cell>
          <cell r="O345">
            <v>1.4999999999999999E-2</v>
          </cell>
          <cell r="Q345">
            <v>8.2500000000000004E-2</v>
          </cell>
          <cell r="R345">
            <v>0.91749999999999998</v>
          </cell>
        </row>
        <row r="346">
          <cell r="K346" t="str">
            <v>ExportMill WorkingCannon MilestoneUSABath76x137D</v>
          </cell>
          <cell r="L346">
            <v>0</v>
          </cell>
          <cell r="M346">
            <v>2.5000000000000001E-3</v>
          </cell>
          <cell r="N346">
            <v>6.5000000000000002E-2</v>
          </cell>
          <cell r="O346">
            <v>1.4999999999999999E-2</v>
          </cell>
          <cell r="Q346">
            <v>8.2500000000000004E-2</v>
          </cell>
          <cell r="R346">
            <v>0.91749999999999998</v>
          </cell>
        </row>
        <row r="347">
          <cell r="K347" t="str">
            <v>ExportMill WorkingCannon MilestoneUSAHand41x76L</v>
          </cell>
          <cell r="L347">
            <v>0</v>
          </cell>
          <cell r="M347">
            <v>2.5000000000000001E-3</v>
          </cell>
          <cell r="N347">
            <v>6.5000000000000002E-2</v>
          </cell>
          <cell r="O347">
            <v>1.4999999999999999E-2</v>
          </cell>
          <cell r="Q347">
            <v>8.2500000000000004E-2</v>
          </cell>
          <cell r="R347">
            <v>0.91749999999999998</v>
          </cell>
        </row>
        <row r="348">
          <cell r="K348" t="str">
            <v>ExportMill WorkingCannon MilestoneUSAHand41x76M</v>
          </cell>
          <cell r="L348">
            <v>0</v>
          </cell>
          <cell r="M348">
            <v>2.5000000000000001E-3</v>
          </cell>
          <cell r="N348">
            <v>6.5000000000000002E-2</v>
          </cell>
          <cell r="O348">
            <v>1.4999999999999999E-2</v>
          </cell>
          <cell r="Q348">
            <v>8.2500000000000004E-2</v>
          </cell>
          <cell r="R348">
            <v>0.91749999999999998</v>
          </cell>
        </row>
        <row r="349">
          <cell r="K349" t="str">
            <v>ExportMill WorkingCannon MilestoneUSAHand41x76D</v>
          </cell>
          <cell r="L349">
            <v>0</v>
          </cell>
          <cell r="M349">
            <v>2.5000000000000001E-3</v>
          </cell>
          <cell r="N349">
            <v>6.5000000000000002E-2</v>
          </cell>
          <cell r="O349">
            <v>1.4999999999999999E-2</v>
          </cell>
          <cell r="Q349">
            <v>8.2500000000000004E-2</v>
          </cell>
          <cell r="R349">
            <v>0.91749999999999998</v>
          </cell>
        </row>
        <row r="350">
          <cell r="K350" t="str">
            <v>ExportMill WorkingCannon MilestoneUSAWash33x33L</v>
          </cell>
          <cell r="L350">
            <v>0</v>
          </cell>
          <cell r="M350">
            <v>2.5000000000000001E-3</v>
          </cell>
          <cell r="N350">
            <v>6.5000000000000002E-2</v>
          </cell>
          <cell r="O350">
            <v>1.4999999999999999E-2</v>
          </cell>
          <cell r="Q350">
            <v>8.2500000000000004E-2</v>
          </cell>
          <cell r="R350">
            <v>0.91749999999999998</v>
          </cell>
        </row>
        <row r="351">
          <cell r="K351" t="str">
            <v>ExportMill WorkingCannon MilestoneUSAWash33x33M</v>
          </cell>
          <cell r="L351">
            <v>0</v>
          </cell>
          <cell r="M351">
            <v>2.5000000000000001E-3</v>
          </cell>
          <cell r="N351">
            <v>6.5000000000000002E-2</v>
          </cell>
          <cell r="O351">
            <v>1.4999999999999999E-2</v>
          </cell>
          <cell r="Q351">
            <v>8.2500000000000004E-2</v>
          </cell>
          <cell r="R351">
            <v>0.91749999999999998</v>
          </cell>
        </row>
        <row r="352">
          <cell r="K352" t="str">
            <v>ExportMill WorkingCannon MilestoneUSAWash33x33D</v>
          </cell>
          <cell r="L352">
            <v>0</v>
          </cell>
          <cell r="M352">
            <v>2.5000000000000001E-3</v>
          </cell>
          <cell r="N352">
            <v>6.5000000000000002E-2</v>
          </cell>
          <cell r="O352">
            <v>1.4999999999999999E-2</v>
          </cell>
          <cell r="Q352">
            <v>8.2500000000000004E-2</v>
          </cell>
          <cell r="R352">
            <v>0.91749999999999998</v>
          </cell>
        </row>
        <row r="353">
          <cell r="K353" t="str">
            <v>ExportWelspun USAEsplamaUSABath76x137L</v>
          </cell>
          <cell r="L353">
            <v>0</v>
          </cell>
          <cell r="M353">
            <v>2.5000000000000001E-3</v>
          </cell>
          <cell r="N353">
            <v>6.5000000000000002E-2</v>
          </cell>
          <cell r="O353">
            <v>1.4999999999999999E-2</v>
          </cell>
          <cell r="Q353">
            <v>8.2500000000000004E-2</v>
          </cell>
          <cell r="R353">
            <v>0.91749999999999998</v>
          </cell>
        </row>
        <row r="354">
          <cell r="K354" t="str">
            <v>ExportWelspun USAEsplamaUSABath76x137M</v>
          </cell>
          <cell r="L354">
            <v>0</v>
          </cell>
          <cell r="M354">
            <v>2.5000000000000001E-3</v>
          </cell>
          <cell r="N354">
            <v>6.5000000000000002E-2</v>
          </cell>
          <cell r="O354">
            <v>1.4999999999999999E-2</v>
          </cell>
          <cell r="Q354">
            <v>8.2500000000000004E-2</v>
          </cell>
          <cell r="R354">
            <v>0.91749999999999998</v>
          </cell>
        </row>
        <row r="355">
          <cell r="K355" t="str">
            <v>ExportWelspun USAEsplamaUSABath76x137D</v>
          </cell>
          <cell r="L355">
            <v>0</v>
          </cell>
          <cell r="M355">
            <v>2.5000000000000001E-3</v>
          </cell>
          <cell r="N355">
            <v>6.5000000000000002E-2</v>
          </cell>
          <cell r="O355">
            <v>1.4999999999999999E-2</v>
          </cell>
          <cell r="Q355">
            <v>8.2500000000000004E-2</v>
          </cell>
          <cell r="R355">
            <v>0.91749999999999998</v>
          </cell>
        </row>
        <row r="356">
          <cell r="K356" t="str">
            <v>ExportWelspun USAEsplamaUSAHand41x71L</v>
          </cell>
          <cell r="L356">
            <v>0</v>
          </cell>
          <cell r="M356">
            <v>2.5000000000000001E-3</v>
          </cell>
          <cell r="N356">
            <v>6.5000000000000002E-2</v>
          </cell>
          <cell r="O356">
            <v>1.4999999999999999E-2</v>
          </cell>
          <cell r="Q356">
            <v>8.2500000000000004E-2</v>
          </cell>
          <cell r="R356">
            <v>0.91749999999999998</v>
          </cell>
        </row>
        <row r="357">
          <cell r="K357" t="str">
            <v>ExportWelspun USAEsplamaUSAHand41x71M</v>
          </cell>
          <cell r="L357">
            <v>0</v>
          </cell>
          <cell r="M357">
            <v>2.5000000000000001E-3</v>
          </cell>
          <cell r="N357">
            <v>6.5000000000000002E-2</v>
          </cell>
          <cell r="O357">
            <v>1.4999999999999999E-2</v>
          </cell>
          <cell r="Q357">
            <v>8.2500000000000004E-2</v>
          </cell>
          <cell r="R357">
            <v>0.91749999999999998</v>
          </cell>
        </row>
        <row r="358">
          <cell r="K358" t="str">
            <v>ExportWelspun USAEsplamaUSAHand41x71D</v>
          </cell>
          <cell r="L358">
            <v>0</v>
          </cell>
          <cell r="M358">
            <v>2.5000000000000001E-3</v>
          </cell>
          <cell r="N358">
            <v>6.5000000000000002E-2</v>
          </cell>
          <cell r="O358">
            <v>1.4999999999999999E-2</v>
          </cell>
          <cell r="Q358">
            <v>8.2500000000000004E-2</v>
          </cell>
          <cell r="R358">
            <v>0.91749999999999998</v>
          </cell>
        </row>
        <row r="359">
          <cell r="K359" t="str">
            <v>ExportWelspun USAEsplamaUSAWash33x33L</v>
          </cell>
          <cell r="L359">
            <v>0</v>
          </cell>
          <cell r="M359">
            <v>2.5000000000000001E-3</v>
          </cell>
          <cell r="N359">
            <v>6.5000000000000002E-2</v>
          </cell>
          <cell r="O359">
            <v>1.4999999999999999E-2</v>
          </cell>
          <cell r="Q359">
            <v>8.2500000000000004E-2</v>
          </cell>
          <cell r="R359">
            <v>0.91749999999999998</v>
          </cell>
        </row>
        <row r="360">
          <cell r="K360" t="str">
            <v>ExportWelspun USAEsplamaUSAWash33x33M</v>
          </cell>
          <cell r="L360">
            <v>0</v>
          </cell>
          <cell r="M360">
            <v>2.5000000000000001E-3</v>
          </cell>
          <cell r="N360">
            <v>6.5000000000000002E-2</v>
          </cell>
          <cell r="O360">
            <v>1.4999999999999999E-2</v>
          </cell>
          <cell r="Q360">
            <v>8.2500000000000004E-2</v>
          </cell>
          <cell r="R360">
            <v>0.91749999999999998</v>
          </cell>
        </row>
        <row r="361">
          <cell r="K361" t="str">
            <v>ExportWelspun USAEsplamaUSAWash33x33D</v>
          </cell>
          <cell r="L361">
            <v>0</v>
          </cell>
          <cell r="M361">
            <v>2.5000000000000001E-3</v>
          </cell>
          <cell r="N361">
            <v>6.5000000000000002E-2</v>
          </cell>
          <cell r="O361">
            <v>1.4999999999999999E-2</v>
          </cell>
          <cell r="Q361">
            <v>8.2500000000000004E-2</v>
          </cell>
          <cell r="R361">
            <v>0.91749999999999998</v>
          </cell>
        </row>
        <row r="362">
          <cell r="K362" t="str">
            <v>ExportLNTManorUSABath76x147L</v>
          </cell>
          <cell r="L362">
            <v>0</v>
          </cell>
          <cell r="M362">
            <v>2.5000000000000001E-3</v>
          </cell>
          <cell r="N362">
            <v>6.5000000000000002E-2</v>
          </cell>
          <cell r="O362">
            <v>1.4999999999999999E-2</v>
          </cell>
          <cell r="Q362">
            <v>8.2500000000000004E-2</v>
          </cell>
          <cell r="R362">
            <v>0.91749999999999998</v>
          </cell>
        </row>
        <row r="363">
          <cell r="K363" t="str">
            <v>ExportLNTManorUSABath76x147M</v>
          </cell>
          <cell r="L363">
            <v>0</v>
          </cell>
          <cell r="M363">
            <v>2.5000000000000001E-3</v>
          </cell>
          <cell r="N363">
            <v>6.5000000000000002E-2</v>
          </cell>
          <cell r="O363">
            <v>1.4999999999999999E-2</v>
          </cell>
          <cell r="Q363">
            <v>8.2500000000000004E-2</v>
          </cell>
          <cell r="R363">
            <v>0.91749999999999998</v>
          </cell>
        </row>
        <row r="364">
          <cell r="K364" t="str">
            <v>ExportLNTManorUSABath76x147D</v>
          </cell>
          <cell r="L364">
            <v>0</v>
          </cell>
          <cell r="M364">
            <v>2.5000000000000001E-3</v>
          </cell>
          <cell r="N364">
            <v>6.5000000000000002E-2</v>
          </cell>
          <cell r="O364">
            <v>1.4999999999999999E-2</v>
          </cell>
          <cell r="Q364">
            <v>8.2500000000000004E-2</v>
          </cell>
          <cell r="R364">
            <v>0.91749999999999998</v>
          </cell>
        </row>
        <row r="365">
          <cell r="K365" t="str">
            <v>ExportLNTManorUSAHand51x76L</v>
          </cell>
          <cell r="L365">
            <v>0</v>
          </cell>
          <cell r="M365">
            <v>2.5000000000000001E-3</v>
          </cell>
          <cell r="N365">
            <v>6.5000000000000002E-2</v>
          </cell>
          <cell r="O365">
            <v>1.4999999999999999E-2</v>
          </cell>
          <cell r="Q365">
            <v>8.2500000000000004E-2</v>
          </cell>
          <cell r="R365">
            <v>0.91749999999999998</v>
          </cell>
        </row>
        <row r="366">
          <cell r="K366" t="str">
            <v>ExportLNTManorUSAHand51x76M</v>
          </cell>
          <cell r="L366">
            <v>0</v>
          </cell>
          <cell r="M366">
            <v>2.5000000000000001E-3</v>
          </cell>
          <cell r="N366">
            <v>6.5000000000000002E-2</v>
          </cell>
          <cell r="O366">
            <v>1.4999999999999999E-2</v>
          </cell>
          <cell r="Q366">
            <v>8.2500000000000004E-2</v>
          </cell>
          <cell r="R366">
            <v>0.91749999999999998</v>
          </cell>
        </row>
        <row r="367">
          <cell r="K367" t="str">
            <v>ExportLNTManorUSAHand51x76D</v>
          </cell>
          <cell r="L367">
            <v>0</v>
          </cell>
          <cell r="M367">
            <v>2.5000000000000001E-3</v>
          </cell>
          <cell r="N367">
            <v>6.5000000000000002E-2</v>
          </cell>
          <cell r="O367">
            <v>1.4999999999999999E-2</v>
          </cell>
          <cell r="Q367">
            <v>8.2500000000000004E-2</v>
          </cell>
          <cell r="R367">
            <v>0.91749999999999998</v>
          </cell>
        </row>
        <row r="368">
          <cell r="K368" t="str">
            <v>ExportLNTManorUSAWash33x33L</v>
          </cell>
          <cell r="L368">
            <v>0</v>
          </cell>
          <cell r="M368">
            <v>2.5000000000000001E-3</v>
          </cell>
          <cell r="N368">
            <v>6.5000000000000002E-2</v>
          </cell>
          <cell r="O368">
            <v>1.4999999999999999E-2</v>
          </cell>
          <cell r="Q368">
            <v>8.2500000000000004E-2</v>
          </cell>
          <cell r="R368">
            <v>0.91749999999999998</v>
          </cell>
        </row>
        <row r="369">
          <cell r="K369" t="str">
            <v>ExportLNTManorUSAWash33x33M</v>
          </cell>
          <cell r="L369">
            <v>0</v>
          </cell>
          <cell r="M369">
            <v>2.5000000000000001E-3</v>
          </cell>
          <cell r="N369">
            <v>6.5000000000000002E-2</v>
          </cell>
          <cell r="O369">
            <v>1.4999999999999999E-2</v>
          </cell>
          <cell r="Q369">
            <v>8.2500000000000004E-2</v>
          </cell>
          <cell r="R369">
            <v>0.91749999999999998</v>
          </cell>
        </row>
        <row r="370">
          <cell r="K370" t="str">
            <v>ExportLNTManorUSAWash33x33D</v>
          </cell>
          <cell r="L370">
            <v>0</v>
          </cell>
          <cell r="M370">
            <v>2.5000000000000001E-3</v>
          </cell>
          <cell r="N370">
            <v>6.5000000000000002E-2</v>
          </cell>
          <cell r="O370">
            <v>1.4999999999999999E-2</v>
          </cell>
          <cell r="Q370">
            <v>8.2500000000000004E-2</v>
          </cell>
          <cell r="R370">
            <v>0.91749999999999998</v>
          </cell>
        </row>
        <row r="371">
          <cell r="K371" t="str">
            <v>ExportLNTNewUSABath76x147L</v>
          </cell>
          <cell r="L371">
            <v>0</v>
          </cell>
          <cell r="M371">
            <v>2.5000000000000001E-3</v>
          </cell>
          <cell r="N371">
            <v>6.5000000000000002E-2</v>
          </cell>
          <cell r="O371">
            <v>1.4999999999999999E-2</v>
          </cell>
          <cell r="Q371">
            <v>8.2500000000000004E-2</v>
          </cell>
          <cell r="R371">
            <v>0.91749999999999998</v>
          </cell>
        </row>
        <row r="372">
          <cell r="K372" t="str">
            <v>ExportLNTNewUSABath76x147M</v>
          </cell>
          <cell r="L372">
            <v>0</v>
          </cell>
          <cell r="M372">
            <v>2.5000000000000001E-3</v>
          </cell>
          <cell r="N372">
            <v>6.5000000000000002E-2</v>
          </cell>
          <cell r="O372">
            <v>1.4999999999999999E-2</v>
          </cell>
          <cell r="Q372">
            <v>8.2500000000000004E-2</v>
          </cell>
          <cell r="R372">
            <v>0.91749999999999998</v>
          </cell>
        </row>
        <row r="373">
          <cell r="K373" t="str">
            <v>ExportLNTNewUSABath76x147D</v>
          </cell>
          <cell r="L373">
            <v>0</v>
          </cell>
          <cell r="M373">
            <v>2.5000000000000001E-3</v>
          </cell>
          <cell r="N373">
            <v>6.5000000000000002E-2</v>
          </cell>
          <cell r="O373">
            <v>1.4999999999999999E-2</v>
          </cell>
          <cell r="Q373">
            <v>8.2500000000000004E-2</v>
          </cell>
          <cell r="R373">
            <v>0.91749999999999998</v>
          </cell>
        </row>
        <row r="374">
          <cell r="K374" t="str">
            <v>ExportLNTNewUSAHand51x76L</v>
          </cell>
          <cell r="L374">
            <v>0</v>
          </cell>
          <cell r="M374">
            <v>2.5000000000000001E-3</v>
          </cell>
          <cell r="N374">
            <v>6.5000000000000002E-2</v>
          </cell>
          <cell r="O374">
            <v>1.4999999999999999E-2</v>
          </cell>
          <cell r="Q374">
            <v>8.2500000000000004E-2</v>
          </cell>
          <cell r="R374">
            <v>0.91749999999999998</v>
          </cell>
        </row>
        <row r="375">
          <cell r="K375" t="str">
            <v>ExportLNTNewUSAHand51x76M</v>
          </cell>
          <cell r="L375">
            <v>0</v>
          </cell>
          <cell r="M375">
            <v>2.5000000000000001E-3</v>
          </cell>
          <cell r="N375">
            <v>6.5000000000000002E-2</v>
          </cell>
          <cell r="O375">
            <v>1.4999999999999999E-2</v>
          </cell>
          <cell r="Q375">
            <v>8.2500000000000004E-2</v>
          </cell>
          <cell r="R375">
            <v>0.91749999999999998</v>
          </cell>
        </row>
        <row r="376">
          <cell r="K376" t="str">
            <v>ExportLNTNewUSAHand51x76D</v>
          </cell>
          <cell r="L376">
            <v>0</v>
          </cell>
          <cell r="M376">
            <v>2.5000000000000001E-3</v>
          </cell>
          <cell r="N376">
            <v>6.5000000000000002E-2</v>
          </cell>
          <cell r="O376">
            <v>1.4999999999999999E-2</v>
          </cell>
          <cell r="Q376">
            <v>8.2500000000000004E-2</v>
          </cell>
          <cell r="R376">
            <v>0.91749999999999998</v>
          </cell>
        </row>
        <row r="377">
          <cell r="K377" t="str">
            <v>ExportLNTNewUSAWash33x33L</v>
          </cell>
          <cell r="L377">
            <v>0</v>
          </cell>
          <cell r="M377">
            <v>2.5000000000000001E-3</v>
          </cell>
          <cell r="N377">
            <v>6.5000000000000002E-2</v>
          </cell>
          <cell r="O377">
            <v>1.4999999999999999E-2</v>
          </cell>
          <cell r="Q377">
            <v>8.2500000000000004E-2</v>
          </cell>
          <cell r="R377">
            <v>0.91749999999999998</v>
          </cell>
        </row>
        <row r="378">
          <cell r="K378" t="str">
            <v>ExportLNTNewUSAWash33x33M</v>
          </cell>
          <cell r="L378">
            <v>0</v>
          </cell>
          <cell r="M378">
            <v>2.5000000000000001E-3</v>
          </cell>
          <cell r="N378">
            <v>6.5000000000000002E-2</v>
          </cell>
          <cell r="O378">
            <v>1.4999999999999999E-2</v>
          </cell>
          <cell r="Q378">
            <v>8.2500000000000004E-2</v>
          </cell>
          <cell r="R378">
            <v>0.91749999999999998</v>
          </cell>
        </row>
        <row r="379">
          <cell r="K379" t="str">
            <v>ExportLNTNewUSAWash33x33D</v>
          </cell>
          <cell r="L379">
            <v>0</v>
          </cell>
          <cell r="M379">
            <v>2.5000000000000001E-3</v>
          </cell>
          <cell r="N379">
            <v>6.5000000000000002E-2</v>
          </cell>
          <cell r="O379">
            <v>1.4999999999999999E-2</v>
          </cell>
          <cell r="Q379">
            <v>8.2500000000000004E-2</v>
          </cell>
          <cell r="R379">
            <v>0.91749999999999998</v>
          </cell>
        </row>
        <row r="380">
          <cell r="K380" t="str">
            <v>ExportKohlsBig One StripeUSABath76x137L</v>
          </cell>
          <cell r="L380">
            <v>0</v>
          </cell>
          <cell r="M380">
            <v>2.5000000000000001E-3</v>
          </cell>
          <cell r="N380">
            <v>6.5000000000000002E-2</v>
          </cell>
          <cell r="O380">
            <v>1.4999999999999999E-2</v>
          </cell>
          <cell r="Q380">
            <v>8.2500000000000004E-2</v>
          </cell>
          <cell r="R380">
            <v>0.91749999999999998</v>
          </cell>
        </row>
        <row r="381">
          <cell r="K381" t="str">
            <v>ExportKohlsBig One StripeUSABath76x137M</v>
          </cell>
          <cell r="L381">
            <v>0</v>
          </cell>
          <cell r="M381">
            <v>2.5000000000000001E-3</v>
          </cell>
          <cell r="N381">
            <v>6.5000000000000002E-2</v>
          </cell>
          <cell r="O381">
            <v>1.4999999999999999E-2</v>
          </cell>
          <cell r="Q381">
            <v>8.2500000000000004E-2</v>
          </cell>
          <cell r="R381">
            <v>0.91749999999999998</v>
          </cell>
        </row>
        <row r="382">
          <cell r="K382" t="str">
            <v>ExportKohlsBig One StripeUSABath76x137D</v>
          </cell>
          <cell r="L382">
            <v>0</v>
          </cell>
          <cell r="M382">
            <v>2.5000000000000001E-3</v>
          </cell>
          <cell r="N382">
            <v>6.5000000000000002E-2</v>
          </cell>
          <cell r="O382">
            <v>1.4999999999999999E-2</v>
          </cell>
          <cell r="Q382">
            <v>8.2500000000000004E-2</v>
          </cell>
          <cell r="R382">
            <v>0.91749999999999998</v>
          </cell>
        </row>
        <row r="383">
          <cell r="K383" t="str">
            <v>ExportKohlsBig One StripeUSAHand41x71L</v>
          </cell>
          <cell r="L383">
            <v>0</v>
          </cell>
          <cell r="M383">
            <v>2.5000000000000001E-3</v>
          </cell>
          <cell r="N383">
            <v>6.5000000000000002E-2</v>
          </cell>
          <cell r="O383">
            <v>1.4999999999999999E-2</v>
          </cell>
          <cell r="Q383">
            <v>8.2500000000000004E-2</v>
          </cell>
          <cell r="R383">
            <v>0.91749999999999998</v>
          </cell>
        </row>
        <row r="384">
          <cell r="K384" t="str">
            <v>ExportKohlsBig One StripeUSAHand41x71M</v>
          </cell>
          <cell r="L384">
            <v>0</v>
          </cell>
          <cell r="M384">
            <v>2.5000000000000001E-3</v>
          </cell>
          <cell r="N384">
            <v>6.5000000000000002E-2</v>
          </cell>
          <cell r="O384">
            <v>1.4999999999999999E-2</v>
          </cell>
          <cell r="Q384">
            <v>8.2500000000000004E-2</v>
          </cell>
          <cell r="R384">
            <v>0.91749999999999998</v>
          </cell>
        </row>
        <row r="385">
          <cell r="K385" t="str">
            <v>ExportKohlsBig One StripeUSAHand41x71D</v>
          </cell>
          <cell r="L385">
            <v>0</v>
          </cell>
          <cell r="M385">
            <v>2.5000000000000001E-3</v>
          </cell>
          <cell r="N385">
            <v>6.5000000000000002E-2</v>
          </cell>
          <cell r="O385">
            <v>1.4999999999999999E-2</v>
          </cell>
          <cell r="Q385">
            <v>8.2500000000000004E-2</v>
          </cell>
          <cell r="R385">
            <v>0.91749999999999998</v>
          </cell>
        </row>
        <row r="386">
          <cell r="K386" t="str">
            <v>ExportKohlsBig One StripeUSAWash30x30L</v>
          </cell>
          <cell r="L386">
            <v>0</v>
          </cell>
          <cell r="M386">
            <v>2.5000000000000001E-3</v>
          </cell>
          <cell r="N386">
            <v>6.5000000000000002E-2</v>
          </cell>
          <cell r="O386">
            <v>1.4999999999999999E-2</v>
          </cell>
          <cell r="Q386">
            <v>8.2500000000000004E-2</v>
          </cell>
          <cell r="R386">
            <v>0.91749999999999998</v>
          </cell>
        </row>
        <row r="387">
          <cell r="K387" t="str">
            <v>ExportKohlsBig One StripeUSAWash30x30M</v>
          </cell>
          <cell r="L387">
            <v>0</v>
          </cell>
          <cell r="M387">
            <v>2.5000000000000001E-3</v>
          </cell>
          <cell r="N387">
            <v>6.5000000000000002E-2</v>
          </cell>
          <cell r="O387">
            <v>1.4999999999999999E-2</v>
          </cell>
          <cell r="Q387">
            <v>8.2500000000000004E-2</v>
          </cell>
          <cell r="R387">
            <v>0.91749999999999998</v>
          </cell>
        </row>
        <row r="388">
          <cell r="K388" t="str">
            <v>ExportKohlsBig One StripeUSAWash30x30D</v>
          </cell>
          <cell r="L388">
            <v>0</v>
          </cell>
          <cell r="M388">
            <v>2.5000000000000001E-3</v>
          </cell>
          <cell r="N388">
            <v>6.5000000000000002E-2</v>
          </cell>
          <cell r="O388">
            <v>1.4999999999999999E-2</v>
          </cell>
          <cell r="Q388">
            <v>8.2500000000000004E-2</v>
          </cell>
          <cell r="R388">
            <v>0.91749999999999998</v>
          </cell>
        </row>
        <row r="389">
          <cell r="K389" t="str">
            <v>ExportKohlsBig One SolidUSABath76x137L</v>
          </cell>
          <cell r="L389">
            <v>0</v>
          </cell>
          <cell r="M389">
            <v>2.5000000000000001E-3</v>
          </cell>
          <cell r="N389">
            <v>6.5000000000000002E-2</v>
          </cell>
          <cell r="O389">
            <v>1.4999999999999999E-2</v>
          </cell>
          <cell r="Q389">
            <v>8.2500000000000004E-2</v>
          </cell>
          <cell r="R389">
            <v>0.91749999999999998</v>
          </cell>
        </row>
        <row r="390">
          <cell r="K390" t="str">
            <v>ExportKohlsBig One SolidUSABath76x137M</v>
          </cell>
          <cell r="L390">
            <v>0</v>
          </cell>
          <cell r="M390">
            <v>2.5000000000000001E-3</v>
          </cell>
          <cell r="N390">
            <v>6.5000000000000002E-2</v>
          </cell>
          <cell r="O390">
            <v>1.4999999999999999E-2</v>
          </cell>
          <cell r="Q390">
            <v>8.2500000000000004E-2</v>
          </cell>
          <cell r="R390">
            <v>0.91749999999999998</v>
          </cell>
        </row>
        <row r="391">
          <cell r="K391" t="str">
            <v>ExportKohlsBig One SolidUSABath76x137D</v>
          </cell>
          <cell r="L391">
            <v>0</v>
          </cell>
          <cell r="M391">
            <v>2.5000000000000001E-3</v>
          </cell>
          <cell r="N391">
            <v>6.5000000000000002E-2</v>
          </cell>
          <cell r="O391">
            <v>1.4999999999999999E-2</v>
          </cell>
          <cell r="Q391">
            <v>8.2500000000000004E-2</v>
          </cell>
          <cell r="R391">
            <v>0.91749999999999998</v>
          </cell>
        </row>
        <row r="392">
          <cell r="K392" t="str">
            <v>ExportKohlsBig One SolidUSAHand41x71L</v>
          </cell>
          <cell r="L392">
            <v>0</v>
          </cell>
          <cell r="M392">
            <v>2.5000000000000001E-3</v>
          </cell>
          <cell r="N392">
            <v>6.5000000000000002E-2</v>
          </cell>
          <cell r="O392">
            <v>1.4999999999999999E-2</v>
          </cell>
          <cell r="Q392">
            <v>8.2500000000000004E-2</v>
          </cell>
          <cell r="R392">
            <v>0.91749999999999998</v>
          </cell>
        </row>
        <row r="393">
          <cell r="K393" t="str">
            <v>ExportKohlsBig One SolidUSAHand41x71M</v>
          </cell>
          <cell r="L393">
            <v>0</v>
          </cell>
          <cell r="M393">
            <v>2.5000000000000001E-3</v>
          </cell>
          <cell r="N393">
            <v>6.5000000000000002E-2</v>
          </cell>
          <cell r="O393">
            <v>1.4999999999999999E-2</v>
          </cell>
          <cell r="Q393">
            <v>8.2500000000000004E-2</v>
          </cell>
          <cell r="R393">
            <v>0.91749999999999998</v>
          </cell>
        </row>
        <row r="394">
          <cell r="K394" t="str">
            <v>ExportKohlsBig One SolidUSAHand41x71D</v>
          </cell>
          <cell r="L394">
            <v>0</v>
          </cell>
          <cell r="M394">
            <v>2.5000000000000001E-3</v>
          </cell>
          <cell r="N394">
            <v>6.5000000000000002E-2</v>
          </cell>
          <cell r="O394">
            <v>1.4999999999999999E-2</v>
          </cell>
          <cell r="Q394">
            <v>8.2500000000000004E-2</v>
          </cell>
          <cell r="R394">
            <v>0.91749999999999998</v>
          </cell>
        </row>
        <row r="395">
          <cell r="K395" t="str">
            <v>ExportKohlsBig One SolidUSAWash30x30L</v>
          </cell>
          <cell r="L395">
            <v>0</v>
          </cell>
          <cell r="M395">
            <v>2.5000000000000001E-3</v>
          </cell>
          <cell r="N395">
            <v>6.5000000000000002E-2</v>
          </cell>
          <cell r="O395">
            <v>1.4999999999999999E-2</v>
          </cell>
          <cell r="Q395">
            <v>8.2500000000000004E-2</v>
          </cell>
          <cell r="R395">
            <v>0.91749999999999998</v>
          </cell>
        </row>
        <row r="396">
          <cell r="K396" t="str">
            <v>ExportKohlsBig One SolidUSAWash30x30M</v>
          </cell>
          <cell r="L396">
            <v>0</v>
          </cell>
          <cell r="M396">
            <v>2.5000000000000001E-3</v>
          </cell>
          <cell r="N396">
            <v>6.5000000000000002E-2</v>
          </cell>
          <cell r="O396">
            <v>1.4999999999999999E-2</v>
          </cell>
          <cell r="Q396">
            <v>8.2500000000000004E-2</v>
          </cell>
          <cell r="R396">
            <v>0.91749999999999998</v>
          </cell>
        </row>
        <row r="397">
          <cell r="K397" t="str">
            <v>ExportKohlsBig One SolidUSAWash30x30D</v>
          </cell>
          <cell r="L397">
            <v>0</v>
          </cell>
          <cell r="M397">
            <v>2.5000000000000001E-3</v>
          </cell>
          <cell r="N397">
            <v>6.5000000000000002E-2</v>
          </cell>
          <cell r="O397">
            <v>1.4999999999999999E-2</v>
          </cell>
          <cell r="Q397">
            <v>8.2500000000000004E-2</v>
          </cell>
          <cell r="R397">
            <v>0.91749999999999998</v>
          </cell>
        </row>
        <row r="398">
          <cell r="K398" t="str">
            <v>ExportIst New Buyer00Bath76x137L</v>
          </cell>
          <cell r="L398">
            <v>0</v>
          </cell>
          <cell r="M398">
            <v>2.5000000000000001E-3</v>
          </cell>
          <cell r="N398">
            <v>6.5000000000000002E-2</v>
          </cell>
          <cell r="O398">
            <v>1.4999999999999999E-2</v>
          </cell>
          <cell r="Q398">
            <v>8.2500000000000004E-2</v>
          </cell>
          <cell r="R398">
            <v>0.91749999999999998</v>
          </cell>
        </row>
        <row r="399">
          <cell r="K399" t="str">
            <v>ExportIst New Buyer00Bath76x137M</v>
          </cell>
          <cell r="L399">
            <v>0</v>
          </cell>
          <cell r="M399">
            <v>2.5000000000000001E-3</v>
          </cell>
          <cell r="N399">
            <v>6.5000000000000002E-2</v>
          </cell>
          <cell r="O399">
            <v>1.4999999999999999E-2</v>
          </cell>
          <cell r="Q399">
            <v>8.2500000000000004E-2</v>
          </cell>
          <cell r="R399">
            <v>0.91749999999999998</v>
          </cell>
        </row>
        <row r="400">
          <cell r="K400" t="str">
            <v>ExportIst New Buyer00Bath76x137D</v>
          </cell>
          <cell r="L400">
            <v>0</v>
          </cell>
          <cell r="M400">
            <v>2.5000000000000001E-3</v>
          </cell>
          <cell r="N400">
            <v>6.5000000000000002E-2</v>
          </cell>
          <cell r="O400">
            <v>1.4999999999999999E-2</v>
          </cell>
          <cell r="Q400">
            <v>8.2500000000000004E-2</v>
          </cell>
          <cell r="R400">
            <v>0.91749999999999998</v>
          </cell>
        </row>
        <row r="401">
          <cell r="K401" t="str">
            <v>ExportIst New Buyer00Hand41x76L</v>
          </cell>
          <cell r="L401">
            <v>0</v>
          </cell>
          <cell r="M401">
            <v>2.5000000000000001E-3</v>
          </cell>
          <cell r="N401">
            <v>6.5000000000000002E-2</v>
          </cell>
          <cell r="O401">
            <v>1.4999999999999999E-2</v>
          </cell>
          <cell r="Q401">
            <v>8.2500000000000004E-2</v>
          </cell>
          <cell r="R401">
            <v>0.91749999999999998</v>
          </cell>
        </row>
        <row r="402">
          <cell r="K402" t="str">
            <v>ExportIst New Buyer00Hand41x76M</v>
          </cell>
          <cell r="L402">
            <v>0</v>
          </cell>
          <cell r="M402">
            <v>2.5000000000000001E-3</v>
          </cell>
          <cell r="N402">
            <v>6.5000000000000002E-2</v>
          </cell>
          <cell r="O402">
            <v>1.4999999999999999E-2</v>
          </cell>
          <cell r="Q402">
            <v>8.2500000000000004E-2</v>
          </cell>
          <cell r="R402">
            <v>0.91749999999999998</v>
          </cell>
        </row>
        <row r="403">
          <cell r="K403" t="str">
            <v>ExportIst New Buyer00Hand41x76D</v>
          </cell>
          <cell r="L403">
            <v>0</v>
          </cell>
          <cell r="M403">
            <v>2.5000000000000001E-3</v>
          </cell>
          <cell r="N403">
            <v>6.5000000000000002E-2</v>
          </cell>
          <cell r="O403">
            <v>1.4999999999999999E-2</v>
          </cell>
          <cell r="Q403">
            <v>8.2500000000000004E-2</v>
          </cell>
          <cell r="R403">
            <v>0.91749999999999998</v>
          </cell>
        </row>
        <row r="404">
          <cell r="K404" t="str">
            <v>ExportIst New Buyer00Wash33x33L</v>
          </cell>
          <cell r="L404">
            <v>0</v>
          </cell>
          <cell r="M404">
            <v>2.5000000000000001E-3</v>
          </cell>
          <cell r="N404">
            <v>6.5000000000000002E-2</v>
          </cell>
          <cell r="O404">
            <v>1.4999999999999999E-2</v>
          </cell>
          <cell r="Q404">
            <v>8.2500000000000004E-2</v>
          </cell>
          <cell r="R404">
            <v>0.91749999999999998</v>
          </cell>
        </row>
        <row r="405">
          <cell r="K405" t="str">
            <v>ExportIst New Buyer00Wash33x33M</v>
          </cell>
          <cell r="L405">
            <v>0</v>
          </cell>
          <cell r="M405">
            <v>2.5000000000000001E-3</v>
          </cell>
          <cell r="N405">
            <v>6.5000000000000002E-2</v>
          </cell>
          <cell r="O405">
            <v>1.4999999999999999E-2</v>
          </cell>
          <cell r="Q405">
            <v>8.2500000000000004E-2</v>
          </cell>
          <cell r="R405">
            <v>0.91749999999999998</v>
          </cell>
        </row>
        <row r="406">
          <cell r="K406" t="str">
            <v>ExportIst New Buyer00Wash33x33D</v>
          </cell>
          <cell r="L406">
            <v>0</v>
          </cell>
          <cell r="M406">
            <v>2.5000000000000001E-3</v>
          </cell>
          <cell r="N406">
            <v>6.5000000000000002E-2</v>
          </cell>
          <cell r="O406">
            <v>1.4999999999999999E-2</v>
          </cell>
          <cell r="Q406">
            <v>8.2500000000000004E-2</v>
          </cell>
          <cell r="R406">
            <v>0.91749999999999998</v>
          </cell>
        </row>
        <row r="407">
          <cell r="K407" t="str">
            <v>Export2nd New Buyer00Bath76x137L</v>
          </cell>
          <cell r="L407">
            <v>0</v>
          </cell>
          <cell r="M407">
            <v>2.5000000000000001E-3</v>
          </cell>
          <cell r="N407">
            <v>6.5000000000000002E-2</v>
          </cell>
          <cell r="O407">
            <v>1.4999999999999999E-2</v>
          </cell>
          <cell r="Q407">
            <v>8.2500000000000004E-2</v>
          </cell>
          <cell r="R407">
            <v>0.91749999999999998</v>
          </cell>
        </row>
        <row r="408">
          <cell r="K408" t="str">
            <v>Export2nd New Buyer00Bath76x137M</v>
          </cell>
          <cell r="L408">
            <v>0</v>
          </cell>
          <cell r="M408">
            <v>2.5000000000000001E-3</v>
          </cell>
          <cell r="N408">
            <v>6.5000000000000002E-2</v>
          </cell>
          <cell r="O408">
            <v>1.4999999999999999E-2</v>
          </cell>
          <cell r="Q408">
            <v>8.2500000000000004E-2</v>
          </cell>
          <cell r="R408">
            <v>0.91749999999999998</v>
          </cell>
        </row>
        <row r="409">
          <cell r="K409" t="str">
            <v>Export2nd New Buyer00Bath76x137D</v>
          </cell>
          <cell r="L409">
            <v>0</v>
          </cell>
          <cell r="M409">
            <v>2.5000000000000001E-3</v>
          </cell>
          <cell r="N409">
            <v>6.5000000000000002E-2</v>
          </cell>
          <cell r="O409">
            <v>1.4999999999999999E-2</v>
          </cell>
          <cell r="Q409">
            <v>8.2500000000000004E-2</v>
          </cell>
          <cell r="R409">
            <v>0.91749999999999998</v>
          </cell>
        </row>
        <row r="410">
          <cell r="K410" t="str">
            <v>Export2nd New Buyer00Hand41x76L</v>
          </cell>
          <cell r="L410">
            <v>0</v>
          </cell>
          <cell r="M410">
            <v>2.5000000000000001E-3</v>
          </cell>
          <cell r="N410">
            <v>6.5000000000000002E-2</v>
          </cell>
          <cell r="O410">
            <v>1.4999999999999999E-2</v>
          </cell>
          <cell r="Q410">
            <v>8.2500000000000004E-2</v>
          </cell>
          <cell r="R410">
            <v>0.91749999999999998</v>
          </cell>
        </row>
        <row r="411">
          <cell r="K411" t="str">
            <v>Export2nd New Buyer00Hand41x76M</v>
          </cell>
          <cell r="L411">
            <v>0</v>
          </cell>
          <cell r="M411">
            <v>2.5000000000000001E-3</v>
          </cell>
          <cell r="N411">
            <v>6.5000000000000002E-2</v>
          </cell>
          <cell r="O411">
            <v>1.4999999999999999E-2</v>
          </cell>
          <cell r="Q411">
            <v>8.2500000000000004E-2</v>
          </cell>
          <cell r="R411">
            <v>0.91749999999999998</v>
          </cell>
        </row>
        <row r="412">
          <cell r="K412" t="str">
            <v>Export2nd New Buyer00Hand41x76D</v>
          </cell>
          <cell r="L412">
            <v>0</v>
          </cell>
          <cell r="M412">
            <v>2.5000000000000001E-3</v>
          </cell>
          <cell r="N412">
            <v>6.5000000000000002E-2</v>
          </cell>
          <cell r="O412">
            <v>1.4999999999999999E-2</v>
          </cell>
          <cell r="Q412">
            <v>8.2500000000000004E-2</v>
          </cell>
          <cell r="R412">
            <v>0.91749999999999998</v>
          </cell>
        </row>
        <row r="413">
          <cell r="K413" t="str">
            <v>Export2nd New Buyer00Wash33x33L</v>
          </cell>
          <cell r="L413">
            <v>0</v>
          </cell>
          <cell r="M413">
            <v>2.5000000000000001E-3</v>
          </cell>
          <cell r="N413">
            <v>6.5000000000000002E-2</v>
          </cell>
          <cell r="O413">
            <v>1.4999999999999999E-2</v>
          </cell>
          <cell r="Q413">
            <v>8.2500000000000004E-2</v>
          </cell>
          <cell r="R413">
            <v>0.91749999999999998</v>
          </cell>
        </row>
        <row r="414">
          <cell r="K414" t="str">
            <v>Export2nd New Buyer00Wash33x33M</v>
          </cell>
          <cell r="L414">
            <v>0</v>
          </cell>
          <cell r="M414">
            <v>2.5000000000000001E-3</v>
          </cell>
          <cell r="N414">
            <v>6.5000000000000002E-2</v>
          </cell>
          <cell r="O414">
            <v>1.4999999999999999E-2</v>
          </cell>
          <cell r="Q414">
            <v>8.2500000000000004E-2</v>
          </cell>
          <cell r="R414">
            <v>0.91749999999999998</v>
          </cell>
        </row>
        <row r="415">
          <cell r="K415" t="str">
            <v>Export2nd New Buyer00Wash33x33D</v>
          </cell>
          <cell r="L415">
            <v>0</v>
          </cell>
          <cell r="M415">
            <v>2.5000000000000001E-3</v>
          </cell>
          <cell r="N415">
            <v>6.5000000000000002E-2</v>
          </cell>
          <cell r="O415">
            <v>1.4999999999999999E-2</v>
          </cell>
          <cell r="Q415">
            <v>8.2500000000000004E-2</v>
          </cell>
          <cell r="R415">
            <v>0.91749999999999998</v>
          </cell>
        </row>
        <row r="416">
          <cell r="K416" t="str">
            <v>Export3rd New Buyer00Bath0x0L</v>
          </cell>
          <cell r="L416">
            <v>0</v>
          </cell>
          <cell r="M416">
            <v>2.5000000000000001E-3</v>
          </cell>
          <cell r="N416">
            <v>6.5000000000000002E-2</v>
          </cell>
          <cell r="O416">
            <v>1.4999999999999999E-2</v>
          </cell>
          <cell r="Q416">
            <v>8.2500000000000004E-2</v>
          </cell>
          <cell r="R416">
            <v>0.91749999999999998</v>
          </cell>
        </row>
        <row r="417">
          <cell r="K417" t="str">
            <v>Export3rd New Buyer00Bath0x0M</v>
          </cell>
          <cell r="L417">
            <v>0</v>
          </cell>
          <cell r="M417">
            <v>2.5000000000000001E-3</v>
          </cell>
          <cell r="N417">
            <v>6.5000000000000002E-2</v>
          </cell>
          <cell r="O417">
            <v>1.4999999999999999E-2</v>
          </cell>
          <cell r="Q417">
            <v>8.2500000000000004E-2</v>
          </cell>
          <cell r="R417">
            <v>0.91749999999999998</v>
          </cell>
        </row>
        <row r="418">
          <cell r="K418" t="str">
            <v>Export3rd New Buyer00Bath0x0D</v>
          </cell>
          <cell r="L418">
            <v>0</v>
          </cell>
          <cell r="M418">
            <v>2.5000000000000001E-3</v>
          </cell>
          <cell r="N418">
            <v>6.5000000000000002E-2</v>
          </cell>
          <cell r="O418">
            <v>1.4999999999999999E-2</v>
          </cell>
          <cell r="Q418">
            <v>8.2500000000000004E-2</v>
          </cell>
          <cell r="R418">
            <v>0.91749999999999998</v>
          </cell>
        </row>
      </sheetData>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Yarn Rates"/>
      <sheetName val="P&amp;L_F07"/>
      <sheetName val="Loom Utilisation"/>
      <sheetName val="Final Sales Summary"/>
      <sheetName val="Mthly Sales Budget"/>
      <sheetName val="Prodn Budget"/>
      <sheetName val="Production Planning"/>
      <sheetName val="Product costing"/>
      <sheetName val=""/>
      <sheetName val="Yarn_Rates"/>
      <sheetName val="Loom_Utilisation"/>
      <sheetName val="Final_Sales_Summary"/>
      <sheetName val="Mthly_Sales_Budget"/>
      <sheetName val="Prodn_Budget"/>
      <sheetName val="Production_Planning"/>
      <sheetName val="Product_costing"/>
      <sheetName val="Inputs"/>
      <sheetName val="Input"/>
      <sheetName val="9 Sales Price in $"/>
      <sheetName val="debt schedul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revjkbra"/>
      <sheetName val="SALES BASIS (2)"/>
      <sheetName val="SALES BASIS"/>
      <sheetName val="MONTHLY -P&amp;L"/>
      <sheetName val="Sheet3"/>
      <sheetName val="invoiced"/>
      <sheetName val="Sheet4"/>
      <sheetName val="JKBRA"/>
      <sheetName val="Sheet5"/>
      <sheetName val="Bias -Opt1"/>
      <sheetName val="Sheet2"/>
      <sheetName val="Radial -Opt1"/>
      <sheetName val="Outsourcing -Opt-1"/>
      <sheetName val="Summary"/>
      <sheetName val="p&amp;l-Opt1"/>
      <sheetName val="reconcilattion"/>
      <sheetName val="Sheet6"/>
      <sheetName val="Working Capital"/>
      <sheetName val="Assum"/>
      <sheetName val="MDP&amp;L"/>
      <sheetName val="10한빛"/>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1"/>
      <sheetName val="PRODN"/>
      <sheetName val="DATA ENTRY-2"/>
      <sheetName val="Produ.&amp;Stk-Report"/>
      <sheetName val="Inventory-Trend"/>
      <sheetName val="EXPORT EXCISE"/>
      <sheetName val="EXPORT COMM"/>
      <sheetName val="CLS GIT"/>
      <sheetName val="DEEM"/>
      <sheetName val="sample"/>
      <sheetName val="DTA"/>
      <sheetName val="ANJAR"/>
      <sheetName val="WTT"/>
      <sheetName val="SALE SUMMARY"/>
      <sheetName val="RG-1"/>
      <sheetName val="COUNT-PROFIT"/>
      <sheetName val="Packing Rate"/>
      <sheetName val="WASTE"/>
      <sheetName val="Index-New"/>
      <sheetName val="Summary"/>
      <sheetName val="mnthly act spg"/>
      <sheetName val="DPR-TAR-ACT(R)"/>
      <sheetName val="DPR-B.PLAN"/>
      <sheetName val="Bplan-Act-QTLY"/>
      <sheetName val="PLANT PERFOMANCE"/>
      <sheetName val="Power"/>
      <sheetName val="worked person"/>
      <sheetName val="data entry-Prod. Loss"/>
      <sheetName val="DATA_ENTRY-1"/>
      <sheetName val="DATA_ENTRY-2"/>
      <sheetName val="Produ_&amp;Stk-Report"/>
      <sheetName val="EXPORT_EXCISE"/>
      <sheetName val="EXPORT_COMM"/>
      <sheetName val="CLS_GIT"/>
      <sheetName val="SALE_SUMMARY"/>
      <sheetName val="Packing_Rate"/>
      <sheetName val="mnthly_act_spg"/>
      <sheetName val="DPR-B_PLAN"/>
      <sheetName val="PLANT_PERFOMANCE"/>
      <sheetName val="worked_person"/>
      <sheetName val="data_entry-Prod__Loss"/>
      <sheetName val="Yarn Rates"/>
      <sheetName val="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Sales Summary"/>
      <sheetName val="Sales inputs "/>
      <sheetName val="Net Realisation"/>
      <sheetName val="Sales Value"/>
      <sheetName val="VME inputs"/>
      <sheetName val="Shadewise Sales"/>
      <sheetName val="ShadeMixRatio"/>
      <sheetName val="Typemix"/>
      <sheetName val="Typewise Sales"/>
      <sheetName val="Inputs_old budget"/>
      <sheetName val="DATA ENTRY-2"/>
      <sheetName val="9 Sales Price in $"/>
      <sheetName val="sortpart"/>
      <sheetName val="CostDetails"/>
      <sheetName val="D&amp;C_Pkg"/>
      <sheetName val="Yarn Rates"/>
    </sheetNames>
    <sheetDataSet>
      <sheetData sheetId="0"/>
      <sheetData sheetId="1" refreshError="1"/>
      <sheetData sheetId="2" refreshError="1"/>
      <sheetData sheetId="3"/>
      <sheetData sheetId="4" refreshError="1"/>
      <sheetData sheetId="5" refreshError="1">
        <row r="4">
          <cell r="K4" t="str">
            <v>Key -3</v>
          </cell>
          <cell r="L4" t="str">
            <v>Key -2</v>
          </cell>
          <cell r="M4">
            <v>38447</v>
          </cell>
          <cell r="N4">
            <v>38477</v>
          </cell>
          <cell r="O4">
            <v>38508</v>
          </cell>
          <cell r="P4">
            <v>38538</v>
          </cell>
          <cell r="Q4">
            <v>38569</v>
          </cell>
          <cell r="R4">
            <v>38600</v>
          </cell>
          <cell r="S4">
            <v>38630</v>
          </cell>
          <cell r="T4">
            <v>38661</v>
          </cell>
          <cell r="U4">
            <v>38691</v>
          </cell>
          <cell r="V4">
            <v>38722</v>
          </cell>
          <cell r="W4">
            <v>38753</v>
          </cell>
          <cell r="X4">
            <v>38781</v>
          </cell>
          <cell r="Y4" t="str">
            <v>Total</v>
          </cell>
        </row>
        <row r="5">
          <cell r="K5" t="str">
            <v>ExportTargetWaverlyUSABath76x142L</v>
          </cell>
          <cell r="L5" t="str">
            <v>ExportTargetWaverlyUSABath76x142</v>
          </cell>
          <cell r="M5">
            <v>72250</v>
          </cell>
          <cell r="N5">
            <v>72250</v>
          </cell>
          <cell r="O5">
            <v>72250</v>
          </cell>
          <cell r="P5">
            <v>72250</v>
          </cell>
          <cell r="Q5">
            <v>72250</v>
          </cell>
          <cell r="R5">
            <v>72250</v>
          </cell>
          <cell r="S5">
            <v>72250</v>
          </cell>
          <cell r="T5">
            <v>72250</v>
          </cell>
          <cell r="U5">
            <v>72250</v>
          </cell>
          <cell r="V5">
            <v>72250</v>
          </cell>
          <cell r="W5">
            <v>72250</v>
          </cell>
          <cell r="X5">
            <v>72250</v>
          </cell>
          <cell r="Y5">
            <v>867000</v>
          </cell>
        </row>
        <row r="6">
          <cell r="K6" t="str">
            <v>ExportTargetWaverlyUSABath76x142M</v>
          </cell>
          <cell r="L6" t="str">
            <v>ExportTargetWaverlyUSABath76x142</v>
          </cell>
          <cell r="M6">
            <v>28900</v>
          </cell>
          <cell r="N6">
            <v>28900</v>
          </cell>
          <cell r="O6">
            <v>28900</v>
          </cell>
          <cell r="P6">
            <v>28900</v>
          </cell>
          <cell r="Q6">
            <v>28900</v>
          </cell>
          <cell r="R6">
            <v>28900</v>
          </cell>
          <cell r="S6">
            <v>28900</v>
          </cell>
          <cell r="T6">
            <v>28900</v>
          </cell>
          <cell r="U6">
            <v>28900</v>
          </cell>
          <cell r="V6">
            <v>28900</v>
          </cell>
          <cell r="W6">
            <v>28900</v>
          </cell>
          <cell r="X6">
            <v>28900</v>
          </cell>
          <cell r="Y6">
            <v>346800</v>
          </cell>
        </row>
        <row r="7">
          <cell r="K7" t="str">
            <v>ExportTargetWaverlyUSABath76x142D</v>
          </cell>
          <cell r="L7" t="str">
            <v>ExportTargetWaverlyUSABath76x142</v>
          </cell>
          <cell r="M7">
            <v>43350</v>
          </cell>
          <cell r="N7">
            <v>43350</v>
          </cell>
          <cell r="O7">
            <v>43350</v>
          </cell>
          <cell r="P7">
            <v>43350</v>
          </cell>
          <cell r="Q7">
            <v>43350</v>
          </cell>
          <cell r="R7">
            <v>43350</v>
          </cell>
          <cell r="S7">
            <v>43350</v>
          </cell>
          <cell r="T7">
            <v>43350</v>
          </cell>
          <cell r="U7">
            <v>43350</v>
          </cell>
          <cell r="V7">
            <v>43350</v>
          </cell>
          <cell r="W7">
            <v>43350</v>
          </cell>
          <cell r="X7">
            <v>43350</v>
          </cell>
          <cell r="Y7">
            <v>520200</v>
          </cell>
        </row>
        <row r="8">
          <cell r="K8" t="str">
            <v>ExportTargetWaverlyUSAHand41x76L</v>
          </cell>
          <cell r="L8" t="str">
            <v>ExportTargetWaverlyUSAHand41x76</v>
          </cell>
          <cell r="M8">
            <v>6375</v>
          </cell>
          <cell r="N8">
            <v>6375</v>
          </cell>
          <cell r="O8">
            <v>6375</v>
          </cell>
          <cell r="P8">
            <v>6375</v>
          </cell>
          <cell r="Q8">
            <v>6375</v>
          </cell>
          <cell r="R8">
            <v>6375</v>
          </cell>
          <cell r="S8">
            <v>6375</v>
          </cell>
          <cell r="T8">
            <v>6375</v>
          </cell>
          <cell r="U8">
            <v>6375</v>
          </cell>
          <cell r="V8">
            <v>6375</v>
          </cell>
          <cell r="W8">
            <v>6375</v>
          </cell>
          <cell r="X8">
            <v>6375</v>
          </cell>
          <cell r="Y8">
            <v>76500</v>
          </cell>
        </row>
        <row r="9">
          <cell r="K9" t="str">
            <v>ExportTargetWaverlyUSAHand41x76M</v>
          </cell>
          <cell r="L9" t="str">
            <v>ExportTargetWaverlyUSAHand41x76</v>
          </cell>
          <cell r="M9">
            <v>2550</v>
          </cell>
          <cell r="N9">
            <v>2550</v>
          </cell>
          <cell r="O9">
            <v>2550</v>
          </cell>
          <cell r="P9">
            <v>2550</v>
          </cell>
          <cell r="Q9">
            <v>2550</v>
          </cell>
          <cell r="R9">
            <v>2550</v>
          </cell>
          <cell r="S9">
            <v>2550</v>
          </cell>
          <cell r="T9">
            <v>2550</v>
          </cell>
          <cell r="U9">
            <v>2550</v>
          </cell>
          <cell r="V9">
            <v>2550</v>
          </cell>
          <cell r="W9">
            <v>2550</v>
          </cell>
          <cell r="X9">
            <v>2550</v>
          </cell>
          <cell r="Y9">
            <v>30600</v>
          </cell>
        </row>
        <row r="10">
          <cell r="K10" t="str">
            <v>ExportTargetWaverlyUSAHand41x76D</v>
          </cell>
          <cell r="L10" t="str">
            <v>ExportTargetWaverlyUSAHand41x76</v>
          </cell>
          <cell r="M10">
            <v>3825</v>
          </cell>
          <cell r="N10">
            <v>3825</v>
          </cell>
          <cell r="O10">
            <v>3825</v>
          </cell>
          <cell r="P10">
            <v>3825</v>
          </cell>
          <cell r="Q10">
            <v>3825</v>
          </cell>
          <cell r="R10">
            <v>3825</v>
          </cell>
          <cell r="S10">
            <v>3825</v>
          </cell>
          <cell r="T10">
            <v>3825</v>
          </cell>
          <cell r="U10">
            <v>3825</v>
          </cell>
          <cell r="V10">
            <v>3825</v>
          </cell>
          <cell r="W10">
            <v>3825</v>
          </cell>
          <cell r="X10">
            <v>3825</v>
          </cell>
          <cell r="Y10">
            <v>45900</v>
          </cell>
        </row>
        <row r="11">
          <cell r="K11" t="str">
            <v>ExportTargetWaverlyUSAWash30x30L</v>
          </cell>
          <cell r="L11" t="str">
            <v>ExportTargetWaverlyUSAWash30x30</v>
          </cell>
          <cell r="M11">
            <v>6375</v>
          </cell>
          <cell r="N11">
            <v>6375</v>
          </cell>
          <cell r="O11">
            <v>6375</v>
          </cell>
          <cell r="P11">
            <v>6375</v>
          </cell>
          <cell r="Q11">
            <v>6375</v>
          </cell>
          <cell r="R11">
            <v>6375</v>
          </cell>
          <cell r="S11">
            <v>6375</v>
          </cell>
          <cell r="T11">
            <v>6375</v>
          </cell>
          <cell r="U11">
            <v>6375</v>
          </cell>
          <cell r="V11">
            <v>6375</v>
          </cell>
          <cell r="W11">
            <v>6375</v>
          </cell>
          <cell r="X11">
            <v>6375</v>
          </cell>
          <cell r="Y11">
            <v>76500</v>
          </cell>
        </row>
        <row r="12">
          <cell r="K12" t="str">
            <v>ExportTargetWaverlyUSAWash30x30M</v>
          </cell>
          <cell r="L12" t="str">
            <v>ExportTargetWaverlyUSAWash30x30</v>
          </cell>
          <cell r="M12">
            <v>2550</v>
          </cell>
          <cell r="N12">
            <v>2550</v>
          </cell>
          <cell r="O12">
            <v>2550</v>
          </cell>
          <cell r="P12">
            <v>2550</v>
          </cell>
          <cell r="Q12">
            <v>2550</v>
          </cell>
          <cell r="R12">
            <v>2550</v>
          </cell>
          <cell r="S12">
            <v>2550</v>
          </cell>
          <cell r="T12">
            <v>2550</v>
          </cell>
          <cell r="U12">
            <v>2550</v>
          </cell>
          <cell r="V12">
            <v>2550</v>
          </cell>
          <cell r="W12">
            <v>2550</v>
          </cell>
          <cell r="X12">
            <v>2550</v>
          </cell>
          <cell r="Y12">
            <v>30600</v>
          </cell>
        </row>
        <row r="13">
          <cell r="K13" t="str">
            <v>ExportTargetWaverlyUSAWash30x30D</v>
          </cell>
          <cell r="L13" t="str">
            <v>ExportTargetWaverlyUSAWash30x30</v>
          </cell>
          <cell r="M13">
            <v>3825</v>
          </cell>
          <cell r="N13">
            <v>3825</v>
          </cell>
          <cell r="O13">
            <v>3825</v>
          </cell>
          <cell r="P13">
            <v>3825</v>
          </cell>
          <cell r="Q13">
            <v>3825</v>
          </cell>
          <cell r="R13">
            <v>3825</v>
          </cell>
          <cell r="S13">
            <v>3825</v>
          </cell>
          <cell r="T13">
            <v>3825</v>
          </cell>
          <cell r="U13">
            <v>3825</v>
          </cell>
          <cell r="V13">
            <v>3825</v>
          </cell>
          <cell r="W13">
            <v>3825</v>
          </cell>
          <cell r="X13">
            <v>3825</v>
          </cell>
          <cell r="Y13">
            <v>45900</v>
          </cell>
        </row>
        <row r="14">
          <cell r="K14" t="str">
            <v>ExportWalmartHome TrendsUSABath76x132L</v>
          </cell>
          <cell r="L14" t="str">
            <v>ExportWalmartHome TrendsUSABath76x132</v>
          </cell>
          <cell r="M14">
            <v>85000</v>
          </cell>
          <cell r="N14">
            <v>85000</v>
          </cell>
          <cell r="O14">
            <v>106250</v>
          </cell>
          <cell r="P14">
            <v>106250</v>
          </cell>
          <cell r="Q14">
            <v>106250</v>
          </cell>
          <cell r="R14">
            <v>106250</v>
          </cell>
          <cell r="S14">
            <v>106250</v>
          </cell>
          <cell r="T14">
            <v>106250</v>
          </cell>
          <cell r="U14">
            <v>106250</v>
          </cell>
          <cell r="V14">
            <v>106250</v>
          </cell>
          <cell r="W14">
            <v>106250</v>
          </cell>
          <cell r="X14">
            <v>106250</v>
          </cell>
          <cell r="Y14">
            <v>1232500</v>
          </cell>
        </row>
        <row r="15">
          <cell r="K15" t="str">
            <v>ExportWalmartHome TrendsUSABath76x132M</v>
          </cell>
          <cell r="L15" t="str">
            <v>ExportWalmartHome TrendsUSABath76x132</v>
          </cell>
          <cell r="M15">
            <v>34000</v>
          </cell>
          <cell r="N15">
            <v>34000</v>
          </cell>
          <cell r="O15">
            <v>42500</v>
          </cell>
          <cell r="P15">
            <v>42500</v>
          </cell>
          <cell r="Q15">
            <v>42500</v>
          </cell>
          <cell r="R15">
            <v>42500</v>
          </cell>
          <cell r="S15">
            <v>42500</v>
          </cell>
          <cell r="T15">
            <v>42500</v>
          </cell>
          <cell r="U15">
            <v>42500</v>
          </cell>
          <cell r="V15">
            <v>42500</v>
          </cell>
          <cell r="W15">
            <v>42500</v>
          </cell>
          <cell r="X15">
            <v>42500</v>
          </cell>
          <cell r="Y15">
            <v>493000</v>
          </cell>
        </row>
        <row r="16">
          <cell r="K16" t="str">
            <v>ExportWalmartHome TrendsUSABath76x132D</v>
          </cell>
          <cell r="L16" t="str">
            <v>ExportWalmartHome TrendsUSABath76x132</v>
          </cell>
          <cell r="M16">
            <v>51000</v>
          </cell>
          <cell r="N16">
            <v>51000</v>
          </cell>
          <cell r="O16">
            <v>63750</v>
          </cell>
          <cell r="P16">
            <v>63750</v>
          </cell>
          <cell r="Q16">
            <v>63750</v>
          </cell>
          <cell r="R16">
            <v>63750</v>
          </cell>
          <cell r="S16">
            <v>63750</v>
          </cell>
          <cell r="T16">
            <v>63750</v>
          </cell>
          <cell r="U16">
            <v>63750</v>
          </cell>
          <cell r="V16">
            <v>63750</v>
          </cell>
          <cell r="W16">
            <v>63750</v>
          </cell>
          <cell r="X16">
            <v>63750</v>
          </cell>
          <cell r="Y16">
            <v>739500</v>
          </cell>
        </row>
        <row r="17">
          <cell r="K17" t="str">
            <v>ExportWalmartHome TrendsUSAHand41x69L</v>
          </cell>
          <cell r="L17" t="str">
            <v>ExportWalmartHome TrendsUSAHand41x69</v>
          </cell>
          <cell r="M17">
            <v>7500</v>
          </cell>
          <cell r="N17">
            <v>7500</v>
          </cell>
          <cell r="O17">
            <v>9375</v>
          </cell>
          <cell r="P17">
            <v>9375</v>
          </cell>
          <cell r="Q17">
            <v>9375</v>
          </cell>
          <cell r="R17">
            <v>9375</v>
          </cell>
          <cell r="S17">
            <v>9375</v>
          </cell>
          <cell r="T17">
            <v>9375</v>
          </cell>
          <cell r="U17">
            <v>9375</v>
          </cell>
          <cell r="V17">
            <v>9375</v>
          </cell>
          <cell r="W17">
            <v>9375</v>
          </cell>
          <cell r="X17">
            <v>9375</v>
          </cell>
          <cell r="Y17">
            <v>108750</v>
          </cell>
        </row>
        <row r="18">
          <cell r="K18" t="str">
            <v>ExportWalmartHome TrendsUSAHand41x69M</v>
          </cell>
          <cell r="L18" t="str">
            <v>ExportWalmartHome TrendsUSAHand41x69</v>
          </cell>
          <cell r="M18">
            <v>3000</v>
          </cell>
          <cell r="N18">
            <v>3000</v>
          </cell>
          <cell r="O18">
            <v>3750</v>
          </cell>
          <cell r="P18">
            <v>3750</v>
          </cell>
          <cell r="Q18">
            <v>3750</v>
          </cell>
          <cell r="R18">
            <v>3750</v>
          </cell>
          <cell r="S18">
            <v>3750</v>
          </cell>
          <cell r="T18">
            <v>3750</v>
          </cell>
          <cell r="U18">
            <v>3750</v>
          </cell>
          <cell r="V18">
            <v>3750</v>
          </cell>
          <cell r="W18">
            <v>3750</v>
          </cell>
          <cell r="X18">
            <v>3750</v>
          </cell>
          <cell r="Y18">
            <v>43500</v>
          </cell>
        </row>
        <row r="19">
          <cell r="K19" t="str">
            <v>ExportWalmartHome TrendsUSAHand41x69D</v>
          </cell>
          <cell r="L19" t="str">
            <v>ExportWalmartHome TrendsUSAHand41x69</v>
          </cell>
          <cell r="M19">
            <v>4500</v>
          </cell>
          <cell r="N19">
            <v>4500</v>
          </cell>
          <cell r="O19">
            <v>5625</v>
          </cell>
          <cell r="P19">
            <v>5625</v>
          </cell>
          <cell r="Q19">
            <v>5625</v>
          </cell>
          <cell r="R19">
            <v>5625</v>
          </cell>
          <cell r="S19">
            <v>5625</v>
          </cell>
          <cell r="T19">
            <v>5625</v>
          </cell>
          <cell r="U19">
            <v>5625</v>
          </cell>
          <cell r="V19">
            <v>5625</v>
          </cell>
          <cell r="W19">
            <v>5625</v>
          </cell>
          <cell r="X19">
            <v>5625</v>
          </cell>
          <cell r="Y19">
            <v>65250</v>
          </cell>
        </row>
        <row r="20">
          <cell r="K20" t="str">
            <v>ExportWalmartHome TrendsUSAWash33x33L</v>
          </cell>
          <cell r="L20" t="str">
            <v>ExportWalmartHome TrendsUSAWash33x33</v>
          </cell>
          <cell r="M20">
            <v>7500</v>
          </cell>
          <cell r="N20">
            <v>7500</v>
          </cell>
          <cell r="O20">
            <v>9375</v>
          </cell>
          <cell r="P20">
            <v>9375</v>
          </cell>
          <cell r="Q20">
            <v>9375</v>
          </cell>
          <cell r="R20">
            <v>9375</v>
          </cell>
          <cell r="S20">
            <v>9375</v>
          </cell>
          <cell r="T20">
            <v>9375</v>
          </cell>
          <cell r="U20">
            <v>9375</v>
          </cell>
          <cell r="V20">
            <v>9375</v>
          </cell>
          <cell r="W20">
            <v>9375</v>
          </cell>
          <cell r="X20">
            <v>9375</v>
          </cell>
          <cell r="Y20">
            <v>108750</v>
          </cell>
        </row>
        <row r="21">
          <cell r="K21" t="str">
            <v>ExportWalmartHome TrendsUSAWash33x33M</v>
          </cell>
          <cell r="L21" t="str">
            <v>ExportWalmartHome TrendsUSAWash33x33</v>
          </cell>
          <cell r="M21">
            <v>3000</v>
          </cell>
          <cell r="N21">
            <v>3000</v>
          </cell>
          <cell r="O21">
            <v>3750</v>
          </cell>
          <cell r="P21">
            <v>3750</v>
          </cell>
          <cell r="Q21">
            <v>3750</v>
          </cell>
          <cell r="R21">
            <v>3750</v>
          </cell>
          <cell r="S21">
            <v>3750</v>
          </cell>
          <cell r="T21">
            <v>3750</v>
          </cell>
          <cell r="U21">
            <v>3750</v>
          </cell>
          <cell r="V21">
            <v>3750</v>
          </cell>
          <cell r="W21">
            <v>3750</v>
          </cell>
          <cell r="X21">
            <v>3750</v>
          </cell>
          <cell r="Y21">
            <v>43500</v>
          </cell>
        </row>
        <row r="22">
          <cell r="K22" t="str">
            <v>ExportWalmartHome TrendsUSAWash33x33D</v>
          </cell>
          <cell r="L22" t="str">
            <v>ExportWalmartHome TrendsUSAWash33x33</v>
          </cell>
          <cell r="M22">
            <v>4500</v>
          </cell>
          <cell r="N22">
            <v>4500</v>
          </cell>
          <cell r="O22">
            <v>5625</v>
          </cell>
          <cell r="P22">
            <v>5625</v>
          </cell>
          <cell r="Q22">
            <v>5625</v>
          </cell>
          <cell r="R22">
            <v>5625</v>
          </cell>
          <cell r="S22">
            <v>5625</v>
          </cell>
          <cell r="T22">
            <v>5625</v>
          </cell>
          <cell r="U22">
            <v>5625</v>
          </cell>
          <cell r="V22">
            <v>5625</v>
          </cell>
          <cell r="W22">
            <v>5625</v>
          </cell>
          <cell r="X22">
            <v>5625</v>
          </cell>
          <cell r="Y22">
            <v>65250</v>
          </cell>
        </row>
        <row r="23">
          <cell r="K23" t="str">
            <v>ExportMill WorkingCannon LandmarkUSABath76x137L</v>
          </cell>
          <cell r="L23" t="str">
            <v>ExportMill WorkingCannon LandmarkUSABath76x137</v>
          </cell>
          <cell r="M23">
            <v>9000</v>
          </cell>
          <cell r="N23">
            <v>9000</v>
          </cell>
          <cell r="O23">
            <v>9000</v>
          </cell>
          <cell r="P23">
            <v>9000</v>
          </cell>
          <cell r="Q23">
            <v>9000</v>
          </cell>
          <cell r="R23">
            <v>9000</v>
          </cell>
          <cell r="S23">
            <v>9000</v>
          </cell>
          <cell r="T23">
            <v>9000</v>
          </cell>
          <cell r="U23">
            <v>9000</v>
          </cell>
          <cell r="V23">
            <v>9000</v>
          </cell>
          <cell r="W23">
            <v>9000</v>
          </cell>
          <cell r="X23">
            <v>9000</v>
          </cell>
          <cell r="Y23">
            <v>108000</v>
          </cell>
        </row>
        <row r="24">
          <cell r="K24" t="str">
            <v>ExportMill WorkingCannon LandmarkUSABath76x137M</v>
          </cell>
          <cell r="L24" t="str">
            <v>ExportMill WorkingCannon LandmarkUSABath76x137</v>
          </cell>
          <cell r="M24">
            <v>3600</v>
          </cell>
          <cell r="N24">
            <v>3600</v>
          </cell>
          <cell r="O24">
            <v>3600</v>
          </cell>
          <cell r="P24">
            <v>3600</v>
          </cell>
          <cell r="Q24">
            <v>3600</v>
          </cell>
          <cell r="R24">
            <v>3600</v>
          </cell>
          <cell r="S24">
            <v>3600</v>
          </cell>
          <cell r="T24">
            <v>3600</v>
          </cell>
          <cell r="U24">
            <v>3600</v>
          </cell>
          <cell r="V24">
            <v>3600</v>
          </cell>
          <cell r="W24">
            <v>3600</v>
          </cell>
          <cell r="X24">
            <v>3600</v>
          </cell>
          <cell r="Y24">
            <v>43200</v>
          </cell>
        </row>
        <row r="25">
          <cell r="K25" t="str">
            <v>ExportMill WorkingCannon LandmarkUSABath76x137D</v>
          </cell>
          <cell r="L25" t="str">
            <v>ExportMill WorkingCannon LandmarkUSABath76x137</v>
          </cell>
          <cell r="M25">
            <v>5400</v>
          </cell>
          <cell r="N25">
            <v>5400</v>
          </cell>
          <cell r="O25">
            <v>5400</v>
          </cell>
          <cell r="P25">
            <v>5400</v>
          </cell>
          <cell r="Q25">
            <v>5400</v>
          </cell>
          <cell r="R25">
            <v>5400</v>
          </cell>
          <cell r="S25">
            <v>5400</v>
          </cell>
          <cell r="T25">
            <v>5400</v>
          </cell>
          <cell r="U25">
            <v>5400</v>
          </cell>
          <cell r="V25">
            <v>5400</v>
          </cell>
          <cell r="W25">
            <v>5400</v>
          </cell>
          <cell r="X25">
            <v>5400</v>
          </cell>
          <cell r="Y25">
            <v>64800</v>
          </cell>
        </row>
        <row r="26">
          <cell r="K26" t="str">
            <v>ExportMill WorkingCannon LandmarkUSAHand41x76L</v>
          </cell>
          <cell r="L26" t="str">
            <v>ExportMill WorkingCannon LandmarkUSAHand41x76</v>
          </cell>
          <cell r="M26">
            <v>500</v>
          </cell>
          <cell r="N26">
            <v>500</v>
          </cell>
          <cell r="O26">
            <v>500</v>
          </cell>
          <cell r="P26">
            <v>500</v>
          </cell>
          <cell r="Q26">
            <v>500</v>
          </cell>
          <cell r="R26">
            <v>500</v>
          </cell>
          <cell r="S26">
            <v>500</v>
          </cell>
          <cell r="T26">
            <v>500</v>
          </cell>
          <cell r="U26">
            <v>500</v>
          </cell>
          <cell r="V26">
            <v>500</v>
          </cell>
          <cell r="W26">
            <v>500</v>
          </cell>
          <cell r="X26">
            <v>500</v>
          </cell>
          <cell r="Y26">
            <v>6000</v>
          </cell>
        </row>
        <row r="27">
          <cell r="K27" t="str">
            <v>ExportMill WorkingCannon LandmarkUSAHand41x76M</v>
          </cell>
          <cell r="L27" t="str">
            <v>ExportMill WorkingCannon LandmarkUSAHand41x76</v>
          </cell>
          <cell r="M27">
            <v>200</v>
          </cell>
          <cell r="N27">
            <v>200</v>
          </cell>
          <cell r="O27">
            <v>200</v>
          </cell>
          <cell r="P27">
            <v>200</v>
          </cell>
          <cell r="Q27">
            <v>200</v>
          </cell>
          <cell r="R27">
            <v>200</v>
          </cell>
          <cell r="S27">
            <v>200</v>
          </cell>
          <cell r="T27">
            <v>200</v>
          </cell>
          <cell r="U27">
            <v>200</v>
          </cell>
          <cell r="V27">
            <v>200</v>
          </cell>
          <cell r="W27">
            <v>200</v>
          </cell>
          <cell r="X27">
            <v>200</v>
          </cell>
          <cell r="Y27">
            <v>2400</v>
          </cell>
        </row>
        <row r="28">
          <cell r="K28" t="str">
            <v>ExportMill WorkingCannon LandmarkUSAHand41x76D</v>
          </cell>
          <cell r="L28" t="str">
            <v>ExportMill WorkingCannon LandmarkUSAHand41x76</v>
          </cell>
          <cell r="M28">
            <v>300</v>
          </cell>
          <cell r="N28">
            <v>300</v>
          </cell>
          <cell r="O28">
            <v>300</v>
          </cell>
          <cell r="P28">
            <v>300</v>
          </cell>
          <cell r="Q28">
            <v>300</v>
          </cell>
          <cell r="R28">
            <v>300</v>
          </cell>
          <cell r="S28">
            <v>300</v>
          </cell>
          <cell r="T28">
            <v>300</v>
          </cell>
          <cell r="U28">
            <v>300</v>
          </cell>
          <cell r="V28">
            <v>300</v>
          </cell>
          <cell r="W28">
            <v>300</v>
          </cell>
          <cell r="X28">
            <v>300</v>
          </cell>
          <cell r="Y28">
            <v>3600</v>
          </cell>
        </row>
        <row r="29">
          <cell r="K29" t="str">
            <v>ExportMill WorkingCannon LandmarkUSAWash33x33L</v>
          </cell>
          <cell r="L29" t="str">
            <v>ExportMill WorkingCannon LandmarkUSAWash33x33</v>
          </cell>
          <cell r="M29">
            <v>500</v>
          </cell>
          <cell r="N29">
            <v>500</v>
          </cell>
          <cell r="O29">
            <v>500</v>
          </cell>
          <cell r="P29">
            <v>500</v>
          </cell>
          <cell r="Q29">
            <v>500</v>
          </cell>
          <cell r="R29">
            <v>500</v>
          </cell>
          <cell r="S29">
            <v>500</v>
          </cell>
          <cell r="T29">
            <v>500</v>
          </cell>
          <cell r="U29">
            <v>500</v>
          </cell>
          <cell r="V29">
            <v>500</v>
          </cell>
          <cell r="W29">
            <v>500</v>
          </cell>
          <cell r="X29">
            <v>500</v>
          </cell>
          <cell r="Y29">
            <v>6000</v>
          </cell>
        </row>
        <row r="30">
          <cell r="K30" t="str">
            <v>ExportMill WorkingCannon LandmarkUSAWash33x33M</v>
          </cell>
          <cell r="L30" t="str">
            <v>ExportMill WorkingCannon LandmarkUSAWash33x33</v>
          </cell>
          <cell r="M30">
            <v>200</v>
          </cell>
          <cell r="N30">
            <v>200</v>
          </cell>
          <cell r="O30">
            <v>200</v>
          </cell>
          <cell r="P30">
            <v>200</v>
          </cell>
          <cell r="Q30">
            <v>200</v>
          </cell>
          <cell r="R30">
            <v>200</v>
          </cell>
          <cell r="S30">
            <v>200</v>
          </cell>
          <cell r="T30">
            <v>200</v>
          </cell>
          <cell r="U30">
            <v>200</v>
          </cell>
          <cell r="V30">
            <v>200</v>
          </cell>
          <cell r="W30">
            <v>200</v>
          </cell>
          <cell r="X30">
            <v>200</v>
          </cell>
          <cell r="Y30">
            <v>2400</v>
          </cell>
        </row>
        <row r="31">
          <cell r="K31" t="str">
            <v>ExportMill WorkingCannon LandmarkUSAWash33x33D</v>
          </cell>
          <cell r="L31" t="str">
            <v>ExportMill WorkingCannon LandmarkUSAWash33x33</v>
          </cell>
          <cell r="M31">
            <v>300</v>
          </cell>
          <cell r="N31">
            <v>300</v>
          </cell>
          <cell r="O31">
            <v>300</v>
          </cell>
          <cell r="P31">
            <v>300</v>
          </cell>
          <cell r="Q31">
            <v>300</v>
          </cell>
          <cell r="R31">
            <v>300</v>
          </cell>
          <cell r="S31">
            <v>300</v>
          </cell>
          <cell r="T31">
            <v>300</v>
          </cell>
          <cell r="U31">
            <v>300</v>
          </cell>
          <cell r="V31">
            <v>300</v>
          </cell>
          <cell r="W31">
            <v>300</v>
          </cell>
          <cell r="X31">
            <v>300</v>
          </cell>
          <cell r="Y31">
            <v>3600</v>
          </cell>
        </row>
        <row r="32">
          <cell r="K32" t="str">
            <v>ExportMill WorkingCannon MilestoneUSABath76x137L</v>
          </cell>
          <cell r="L32" t="str">
            <v>ExportMill WorkingCannon MilestoneUSABath76x137</v>
          </cell>
          <cell r="M32">
            <v>9000</v>
          </cell>
          <cell r="N32">
            <v>9000</v>
          </cell>
          <cell r="O32">
            <v>9000</v>
          </cell>
          <cell r="P32">
            <v>9000</v>
          </cell>
          <cell r="Q32">
            <v>9000</v>
          </cell>
          <cell r="R32">
            <v>9000</v>
          </cell>
          <cell r="S32">
            <v>9000</v>
          </cell>
          <cell r="T32">
            <v>9000</v>
          </cell>
          <cell r="U32">
            <v>9000</v>
          </cell>
          <cell r="V32">
            <v>9000</v>
          </cell>
          <cell r="W32">
            <v>9000</v>
          </cell>
          <cell r="X32">
            <v>9000</v>
          </cell>
          <cell r="Y32">
            <v>108000</v>
          </cell>
        </row>
        <row r="33">
          <cell r="K33" t="str">
            <v>ExportMill WorkingCannon MilestoneUSABath76x137M</v>
          </cell>
          <cell r="L33" t="str">
            <v>ExportMill WorkingCannon MilestoneUSABath76x137</v>
          </cell>
          <cell r="M33">
            <v>3600</v>
          </cell>
          <cell r="N33">
            <v>3600</v>
          </cell>
          <cell r="O33">
            <v>3600</v>
          </cell>
          <cell r="P33">
            <v>3600</v>
          </cell>
          <cell r="Q33">
            <v>3600</v>
          </cell>
          <cell r="R33">
            <v>3600</v>
          </cell>
          <cell r="S33">
            <v>3600</v>
          </cell>
          <cell r="T33">
            <v>3600</v>
          </cell>
          <cell r="U33">
            <v>3600</v>
          </cell>
          <cell r="V33">
            <v>3600</v>
          </cell>
          <cell r="W33">
            <v>3600</v>
          </cell>
          <cell r="X33">
            <v>3600</v>
          </cell>
          <cell r="Y33">
            <v>43200</v>
          </cell>
        </row>
        <row r="34">
          <cell r="K34" t="str">
            <v>ExportMill WorkingCannon MilestoneUSABath76x137D</v>
          </cell>
          <cell r="L34" t="str">
            <v>ExportMill WorkingCannon MilestoneUSABath76x137</v>
          </cell>
          <cell r="M34">
            <v>5400</v>
          </cell>
          <cell r="N34">
            <v>5400</v>
          </cell>
          <cell r="O34">
            <v>5400</v>
          </cell>
          <cell r="P34">
            <v>5400</v>
          </cell>
          <cell r="Q34">
            <v>5400</v>
          </cell>
          <cell r="R34">
            <v>5400</v>
          </cell>
          <cell r="S34">
            <v>5400</v>
          </cell>
          <cell r="T34">
            <v>5400</v>
          </cell>
          <cell r="U34">
            <v>5400</v>
          </cell>
          <cell r="V34">
            <v>5400</v>
          </cell>
          <cell r="W34">
            <v>5400</v>
          </cell>
          <cell r="X34">
            <v>5400</v>
          </cell>
          <cell r="Y34">
            <v>64800</v>
          </cell>
        </row>
        <row r="35">
          <cell r="K35" t="str">
            <v>ExportMill WorkingCannon MilestoneUSAHand41x76L</v>
          </cell>
          <cell r="L35" t="str">
            <v>ExportMill WorkingCannon MilestoneUSAHand41x76</v>
          </cell>
          <cell r="M35">
            <v>500</v>
          </cell>
          <cell r="N35">
            <v>500</v>
          </cell>
          <cell r="O35">
            <v>500</v>
          </cell>
          <cell r="P35">
            <v>500</v>
          </cell>
          <cell r="Q35">
            <v>500</v>
          </cell>
          <cell r="R35">
            <v>500</v>
          </cell>
          <cell r="S35">
            <v>500</v>
          </cell>
          <cell r="T35">
            <v>500</v>
          </cell>
          <cell r="U35">
            <v>500</v>
          </cell>
          <cell r="V35">
            <v>500</v>
          </cell>
          <cell r="W35">
            <v>500</v>
          </cell>
          <cell r="X35">
            <v>500</v>
          </cell>
          <cell r="Y35">
            <v>6000</v>
          </cell>
        </row>
        <row r="36">
          <cell r="K36" t="str">
            <v>ExportMill WorkingCannon MilestoneUSAHand41x76M</v>
          </cell>
          <cell r="L36" t="str">
            <v>ExportMill WorkingCannon MilestoneUSAHand41x76</v>
          </cell>
          <cell r="M36">
            <v>200</v>
          </cell>
          <cell r="N36">
            <v>200</v>
          </cell>
          <cell r="O36">
            <v>200</v>
          </cell>
          <cell r="P36">
            <v>200</v>
          </cell>
          <cell r="Q36">
            <v>200</v>
          </cell>
          <cell r="R36">
            <v>200</v>
          </cell>
          <cell r="S36">
            <v>200</v>
          </cell>
          <cell r="T36">
            <v>200</v>
          </cell>
          <cell r="U36">
            <v>200</v>
          </cell>
          <cell r="V36">
            <v>200</v>
          </cell>
          <cell r="W36">
            <v>200</v>
          </cell>
          <cell r="X36">
            <v>200</v>
          </cell>
          <cell r="Y36">
            <v>2400</v>
          </cell>
        </row>
        <row r="37">
          <cell r="K37" t="str">
            <v>ExportMill WorkingCannon MilestoneUSAHand41x76D</v>
          </cell>
          <cell r="L37" t="str">
            <v>ExportMill WorkingCannon MilestoneUSAHand41x76</v>
          </cell>
          <cell r="M37">
            <v>300</v>
          </cell>
          <cell r="N37">
            <v>300</v>
          </cell>
          <cell r="O37">
            <v>300</v>
          </cell>
          <cell r="P37">
            <v>300</v>
          </cell>
          <cell r="Q37">
            <v>300</v>
          </cell>
          <cell r="R37">
            <v>300</v>
          </cell>
          <cell r="S37">
            <v>300</v>
          </cell>
          <cell r="T37">
            <v>300</v>
          </cell>
          <cell r="U37">
            <v>300</v>
          </cell>
          <cell r="V37">
            <v>300</v>
          </cell>
          <cell r="W37">
            <v>300</v>
          </cell>
          <cell r="X37">
            <v>300</v>
          </cell>
          <cell r="Y37">
            <v>3600</v>
          </cell>
        </row>
        <row r="38">
          <cell r="K38" t="str">
            <v>ExportMill WorkingCannon MilestoneUSAWash33x33L</v>
          </cell>
          <cell r="L38" t="str">
            <v>ExportMill WorkingCannon MilestoneUSAWash33x33</v>
          </cell>
          <cell r="M38">
            <v>500</v>
          </cell>
          <cell r="N38">
            <v>500</v>
          </cell>
          <cell r="O38">
            <v>500</v>
          </cell>
          <cell r="P38">
            <v>500</v>
          </cell>
          <cell r="Q38">
            <v>500</v>
          </cell>
          <cell r="R38">
            <v>500</v>
          </cell>
          <cell r="S38">
            <v>500</v>
          </cell>
          <cell r="T38">
            <v>500</v>
          </cell>
          <cell r="U38">
            <v>500</v>
          </cell>
          <cell r="V38">
            <v>500</v>
          </cell>
          <cell r="W38">
            <v>500</v>
          </cell>
          <cell r="X38">
            <v>500</v>
          </cell>
          <cell r="Y38">
            <v>6000</v>
          </cell>
        </row>
        <row r="39">
          <cell r="K39" t="str">
            <v>ExportMill WorkingCannon MilestoneUSAWash33x33M</v>
          </cell>
          <cell r="L39" t="str">
            <v>ExportMill WorkingCannon MilestoneUSAWash33x33</v>
          </cell>
          <cell r="M39">
            <v>200</v>
          </cell>
          <cell r="N39">
            <v>200</v>
          </cell>
          <cell r="O39">
            <v>200</v>
          </cell>
          <cell r="P39">
            <v>200</v>
          </cell>
          <cell r="Q39">
            <v>200</v>
          </cell>
          <cell r="R39">
            <v>200</v>
          </cell>
          <cell r="S39">
            <v>200</v>
          </cell>
          <cell r="T39">
            <v>200</v>
          </cell>
          <cell r="U39">
            <v>200</v>
          </cell>
          <cell r="V39">
            <v>200</v>
          </cell>
          <cell r="W39">
            <v>200</v>
          </cell>
          <cell r="X39">
            <v>200</v>
          </cell>
          <cell r="Y39">
            <v>2400</v>
          </cell>
        </row>
        <row r="40">
          <cell r="K40" t="str">
            <v>ExportMill WorkingCannon MilestoneUSAWash33x33D</v>
          </cell>
          <cell r="L40" t="str">
            <v>ExportMill WorkingCannon MilestoneUSAWash33x33</v>
          </cell>
          <cell r="M40">
            <v>300</v>
          </cell>
          <cell r="N40">
            <v>300</v>
          </cell>
          <cell r="O40">
            <v>300</v>
          </cell>
          <cell r="P40">
            <v>300</v>
          </cell>
          <cell r="Q40">
            <v>300</v>
          </cell>
          <cell r="R40">
            <v>300</v>
          </cell>
          <cell r="S40">
            <v>300</v>
          </cell>
          <cell r="T40">
            <v>300</v>
          </cell>
          <cell r="U40">
            <v>300</v>
          </cell>
          <cell r="V40">
            <v>300</v>
          </cell>
          <cell r="W40">
            <v>300</v>
          </cell>
          <cell r="X40">
            <v>300</v>
          </cell>
          <cell r="Y40">
            <v>3600</v>
          </cell>
        </row>
        <row r="41">
          <cell r="K41" t="str">
            <v>ExportWelspun USAEsplamaUSABath76x137L</v>
          </cell>
          <cell r="L41" t="str">
            <v>ExportWelspun USAEsplamaUSABath76x137</v>
          </cell>
          <cell r="M41">
            <v>0</v>
          </cell>
          <cell r="N41">
            <v>0</v>
          </cell>
          <cell r="O41">
            <v>0</v>
          </cell>
          <cell r="P41">
            <v>0</v>
          </cell>
          <cell r="Q41">
            <v>0</v>
          </cell>
          <cell r="R41">
            <v>1750</v>
          </cell>
          <cell r="S41">
            <v>1750</v>
          </cell>
          <cell r="T41">
            <v>1750</v>
          </cell>
          <cell r="U41">
            <v>1750</v>
          </cell>
          <cell r="V41">
            <v>1750</v>
          </cell>
          <cell r="W41">
            <v>1750</v>
          </cell>
          <cell r="X41">
            <v>1750</v>
          </cell>
          <cell r="Y41">
            <v>12250</v>
          </cell>
        </row>
        <row r="42">
          <cell r="K42" t="str">
            <v>ExportWelspun USAEsplamaUSABath76x137M</v>
          </cell>
          <cell r="L42" t="str">
            <v>ExportWelspun USAEsplamaUSABath76x137</v>
          </cell>
          <cell r="M42">
            <v>0</v>
          </cell>
          <cell r="N42">
            <v>0</v>
          </cell>
          <cell r="O42">
            <v>0</v>
          </cell>
          <cell r="P42">
            <v>0</v>
          </cell>
          <cell r="Q42">
            <v>0</v>
          </cell>
          <cell r="R42">
            <v>700</v>
          </cell>
          <cell r="S42">
            <v>700</v>
          </cell>
          <cell r="T42">
            <v>700</v>
          </cell>
          <cell r="U42">
            <v>700</v>
          </cell>
          <cell r="V42">
            <v>700</v>
          </cell>
          <cell r="W42">
            <v>700</v>
          </cell>
          <cell r="X42">
            <v>700</v>
          </cell>
          <cell r="Y42">
            <v>4900</v>
          </cell>
        </row>
        <row r="43">
          <cell r="K43" t="str">
            <v>ExportWelspun USAEsplamaUSABath76x137D</v>
          </cell>
          <cell r="L43" t="str">
            <v>ExportWelspun USAEsplamaUSABath76x137</v>
          </cell>
          <cell r="M43">
            <v>0</v>
          </cell>
          <cell r="N43">
            <v>0</v>
          </cell>
          <cell r="O43">
            <v>0</v>
          </cell>
          <cell r="P43">
            <v>0</v>
          </cell>
          <cell r="Q43">
            <v>0</v>
          </cell>
          <cell r="R43">
            <v>1050</v>
          </cell>
          <cell r="S43">
            <v>1050</v>
          </cell>
          <cell r="T43">
            <v>1050</v>
          </cell>
          <cell r="U43">
            <v>1050</v>
          </cell>
          <cell r="V43">
            <v>1050</v>
          </cell>
          <cell r="W43">
            <v>1050</v>
          </cell>
          <cell r="X43">
            <v>1050</v>
          </cell>
          <cell r="Y43">
            <v>7350</v>
          </cell>
        </row>
        <row r="44">
          <cell r="K44" t="str">
            <v>ExportWelspun USAEsplamaUSAHand41x71L</v>
          </cell>
          <cell r="L44" t="str">
            <v>ExportWelspun USAEsplamaUSAHand41x71</v>
          </cell>
          <cell r="M44">
            <v>0</v>
          </cell>
          <cell r="N44">
            <v>0</v>
          </cell>
          <cell r="O44">
            <v>0</v>
          </cell>
          <cell r="P44">
            <v>0</v>
          </cell>
          <cell r="Q44">
            <v>0</v>
          </cell>
          <cell r="R44">
            <v>500</v>
          </cell>
          <cell r="S44">
            <v>500</v>
          </cell>
          <cell r="T44">
            <v>500</v>
          </cell>
          <cell r="U44">
            <v>500</v>
          </cell>
          <cell r="V44">
            <v>500</v>
          </cell>
          <cell r="W44">
            <v>500</v>
          </cell>
          <cell r="X44">
            <v>500</v>
          </cell>
          <cell r="Y44">
            <v>3500</v>
          </cell>
        </row>
        <row r="45">
          <cell r="K45" t="str">
            <v>ExportWelspun USAEsplamaUSAHand41x71M</v>
          </cell>
          <cell r="L45" t="str">
            <v>ExportWelspun USAEsplamaUSAHand41x71</v>
          </cell>
          <cell r="M45">
            <v>0</v>
          </cell>
          <cell r="N45">
            <v>0</v>
          </cell>
          <cell r="O45">
            <v>0</v>
          </cell>
          <cell r="P45">
            <v>0</v>
          </cell>
          <cell r="Q45">
            <v>0</v>
          </cell>
          <cell r="R45">
            <v>200</v>
          </cell>
          <cell r="S45">
            <v>200</v>
          </cell>
          <cell r="T45">
            <v>200</v>
          </cell>
          <cell r="U45">
            <v>200</v>
          </cell>
          <cell r="V45">
            <v>200</v>
          </cell>
          <cell r="W45">
            <v>200</v>
          </cell>
          <cell r="X45">
            <v>200</v>
          </cell>
          <cell r="Y45">
            <v>1400</v>
          </cell>
        </row>
        <row r="46">
          <cell r="K46" t="str">
            <v>ExportWelspun USAEsplamaUSAHand41x71D</v>
          </cell>
          <cell r="L46" t="str">
            <v>ExportWelspun USAEsplamaUSAHand41x71</v>
          </cell>
          <cell r="M46">
            <v>0</v>
          </cell>
          <cell r="N46">
            <v>0</v>
          </cell>
          <cell r="O46">
            <v>0</v>
          </cell>
          <cell r="P46">
            <v>0</v>
          </cell>
          <cell r="Q46">
            <v>0</v>
          </cell>
          <cell r="R46">
            <v>300</v>
          </cell>
          <cell r="S46">
            <v>300</v>
          </cell>
          <cell r="T46">
            <v>300</v>
          </cell>
          <cell r="U46">
            <v>300</v>
          </cell>
          <cell r="V46">
            <v>300</v>
          </cell>
          <cell r="W46">
            <v>300</v>
          </cell>
          <cell r="X46">
            <v>300</v>
          </cell>
          <cell r="Y46">
            <v>2100</v>
          </cell>
        </row>
        <row r="47">
          <cell r="K47" t="str">
            <v>ExportWelspun USAEsplamaUSAWash33x33L</v>
          </cell>
          <cell r="L47" t="str">
            <v>ExportWelspun USAEsplamaUSAWash33x33</v>
          </cell>
          <cell r="M47">
            <v>0</v>
          </cell>
          <cell r="N47">
            <v>0</v>
          </cell>
          <cell r="O47">
            <v>0</v>
          </cell>
          <cell r="P47">
            <v>0</v>
          </cell>
          <cell r="Q47">
            <v>0</v>
          </cell>
          <cell r="R47">
            <v>250</v>
          </cell>
          <cell r="S47">
            <v>250</v>
          </cell>
          <cell r="T47">
            <v>250</v>
          </cell>
          <cell r="U47">
            <v>250</v>
          </cell>
          <cell r="V47">
            <v>250</v>
          </cell>
          <cell r="W47">
            <v>250</v>
          </cell>
          <cell r="X47">
            <v>250</v>
          </cell>
          <cell r="Y47">
            <v>1750</v>
          </cell>
        </row>
        <row r="48">
          <cell r="K48" t="str">
            <v>ExportWelspun USAEsplamaUSAWash33x33M</v>
          </cell>
          <cell r="L48" t="str">
            <v>ExportWelspun USAEsplamaUSAWash33x33</v>
          </cell>
          <cell r="M48">
            <v>0</v>
          </cell>
          <cell r="N48">
            <v>0</v>
          </cell>
          <cell r="O48">
            <v>0</v>
          </cell>
          <cell r="P48">
            <v>0</v>
          </cell>
          <cell r="Q48">
            <v>0</v>
          </cell>
          <cell r="R48">
            <v>100</v>
          </cell>
          <cell r="S48">
            <v>100</v>
          </cell>
          <cell r="T48">
            <v>100</v>
          </cell>
          <cell r="U48">
            <v>100</v>
          </cell>
          <cell r="V48">
            <v>100</v>
          </cell>
          <cell r="W48">
            <v>100</v>
          </cell>
          <cell r="X48">
            <v>100</v>
          </cell>
          <cell r="Y48">
            <v>700</v>
          </cell>
        </row>
        <row r="49">
          <cell r="K49" t="str">
            <v>ExportWelspun USAEsplamaUSAWash33x33D</v>
          </cell>
          <cell r="L49" t="str">
            <v>ExportWelspun USAEsplamaUSAWash33x33</v>
          </cell>
          <cell r="M49">
            <v>0</v>
          </cell>
          <cell r="N49">
            <v>0</v>
          </cell>
          <cell r="O49">
            <v>0</v>
          </cell>
          <cell r="P49">
            <v>0</v>
          </cell>
          <cell r="Q49">
            <v>0</v>
          </cell>
          <cell r="R49">
            <v>150</v>
          </cell>
          <cell r="S49">
            <v>150</v>
          </cell>
          <cell r="T49">
            <v>150</v>
          </cell>
          <cell r="U49">
            <v>150</v>
          </cell>
          <cell r="V49">
            <v>150</v>
          </cell>
          <cell r="W49">
            <v>150</v>
          </cell>
          <cell r="X49">
            <v>150</v>
          </cell>
          <cell r="Y49">
            <v>1050</v>
          </cell>
        </row>
        <row r="50">
          <cell r="K50" t="str">
            <v>ExportLNTManorUSABath76x147L</v>
          </cell>
          <cell r="L50" t="str">
            <v>ExportLNTManorUSABath76x147</v>
          </cell>
          <cell r="M50">
            <v>0</v>
          </cell>
          <cell r="N50">
            <v>0</v>
          </cell>
          <cell r="O50">
            <v>0</v>
          </cell>
          <cell r="P50">
            <v>0</v>
          </cell>
          <cell r="Q50">
            <v>0</v>
          </cell>
          <cell r="R50">
            <v>0</v>
          </cell>
          <cell r="S50">
            <v>0</v>
          </cell>
          <cell r="T50">
            <v>0</v>
          </cell>
          <cell r="U50">
            <v>0</v>
          </cell>
          <cell r="V50">
            <v>0</v>
          </cell>
          <cell r="W50">
            <v>0</v>
          </cell>
          <cell r="X50">
            <v>0</v>
          </cell>
          <cell r="Y50">
            <v>0</v>
          </cell>
        </row>
        <row r="51">
          <cell r="K51" t="str">
            <v>ExportLNTManorUSABath76x147M</v>
          </cell>
          <cell r="L51" t="str">
            <v>ExportLNTManorUSABath76x147</v>
          </cell>
          <cell r="M51">
            <v>0</v>
          </cell>
          <cell r="N51">
            <v>0</v>
          </cell>
          <cell r="O51">
            <v>0</v>
          </cell>
          <cell r="P51">
            <v>0</v>
          </cell>
          <cell r="Q51">
            <v>0</v>
          </cell>
          <cell r="R51">
            <v>0</v>
          </cell>
          <cell r="S51">
            <v>0</v>
          </cell>
          <cell r="T51">
            <v>0</v>
          </cell>
          <cell r="U51">
            <v>0</v>
          </cell>
          <cell r="V51">
            <v>0</v>
          </cell>
          <cell r="W51">
            <v>0</v>
          </cell>
          <cell r="X51">
            <v>0</v>
          </cell>
          <cell r="Y51">
            <v>0</v>
          </cell>
        </row>
        <row r="52">
          <cell r="K52" t="str">
            <v>ExportLNTManorUSABath76x147D</v>
          </cell>
          <cell r="L52" t="str">
            <v>ExportLNTManorUSABath76x147</v>
          </cell>
          <cell r="M52">
            <v>0</v>
          </cell>
          <cell r="N52">
            <v>0</v>
          </cell>
          <cell r="O52">
            <v>0</v>
          </cell>
          <cell r="P52">
            <v>0</v>
          </cell>
          <cell r="Q52">
            <v>0</v>
          </cell>
          <cell r="R52">
            <v>0</v>
          </cell>
          <cell r="S52">
            <v>0</v>
          </cell>
          <cell r="T52">
            <v>0</v>
          </cell>
          <cell r="U52">
            <v>0</v>
          </cell>
          <cell r="V52">
            <v>0</v>
          </cell>
          <cell r="W52">
            <v>0</v>
          </cell>
          <cell r="X52">
            <v>0</v>
          </cell>
          <cell r="Y52">
            <v>0</v>
          </cell>
        </row>
        <row r="53">
          <cell r="K53" t="str">
            <v>ExportLNTManorUSAHand51x76L</v>
          </cell>
          <cell r="L53" t="str">
            <v>ExportLNTManorUSAHand51x76</v>
          </cell>
          <cell r="M53">
            <v>0</v>
          </cell>
          <cell r="N53">
            <v>0</v>
          </cell>
          <cell r="O53">
            <v>0</v>
          </cell>
          <cell r="P53">
            <v>0</v>
          </cell>
          <cell r="Q53">
            <v>0</v>
          </cell>
          <cell r="R53">
            <v>0</v>
          </cell>
          <cell r="S53">
            <v>0</v>
          </cell>
          <cell r="T53">
            <v>0</v>
          </cell>
          <cell r="U53">
            <v>0</v>
          </cell>
          <cell r="V53">
            <v>0</v>
          </cell>
          <cell r="W53">
            <v>0</v>
          </cell>
          <cell r="X53">
            <v>0</v>
          </cell>
          <cell r="Y53">
            <v>0</v>
          </cell>
        </row>
        <row r="54">
          <cell r="K54" t="str">
            <v>ExportLNTManorUSAHand51x76M</v>
          </cell>
          <cell r="L54" t="str">
            <v>ExportLNTManorUSAHand51x76</v>
          </cell>
          <cell r="M54">
            <v>0</v>
          </cell>
          <cell r="N54">
            <v>0</v>
          </cell>
          <cell r="O54">
            <v>0</v>
          </cell>
          <cell r="P54">
            <v>0</v>
          </cell>
          <cell r="Q54">
            <v>0</v>
          </cell>
          <cell r="R54">
            <v>0</v>
          </cell>
          <cell r="S54">
            <v>0</v>
          </cell>
          <cell r="T54">
            <v>0</v>
          </cell>
          <cell r="U54">
            <v>0</v>
          </cell>
          <cell r="V54">
            <v>0</v>
          </cell>
          <cell r="W54">
            <v>0</v>
          </cell>
          <cell r="X54">
            <v>0</v>
          </cell>
          <cell r="Y54">
            <v>0</v>
          </cell>
        </row>
        <row r="55">
          <cell r="K55" t="str">
            <v>ExportLNTManorUSAHand51x76D</v>
          </cell>
          <cell r="L55" t="str">
            <v>ExportLNTManorUSAHand51x76</v>
          </cell>
          <cell r="M55">
            <v>0</v>
          </cell>
          <cell r="N55">
            <v>0</v>
          </cell>
          <cell r="O55">
            <v>0</v>
          </cell>
          <cell r="P55">
            <v>0</v>
          </cell>
          <cell r="Q55">
            <v>0</v>
          </cell>
          <cell r="R55">
            <v>0</v>
          </cell>
          <cell r="S55">
            <v>0</v>
          </cell>
          <cell r="T55">
            <v>0</v>
          </cell>
          <cell r="U55">
            <v>0</v>
          </cell>
          <cell r="V55">
            <v>0</v>
          </cell>
          <cell r="W55">
            <v>0</v>
          </cell>
          <cell r="X55">
            <v>0</v>
          </cell>
          <cell r="Y55">
            <v>0</v>
          </cell>
        </row>
        <row r="56">
          <cell r="K56" t="str">
            <v>ExportLNTManorUSAWash33x33L</v>
          </cell>
          <cell r="L56" t="str">
            <v>ExportLNTManorUSAWash33x33</v>
          </cell>
          <cell r="M56">
            <v>0</v>
          </cell>
          <cell r="N56">
            <v>0</v>
          </cell>
          <cell r="O56">
            <v>0</v>
          </cell>
          <cell r="P56">
            <v>0</v>
          </cell>
          <cell r="Q56">
            <v>0</v>
          </cell>
          <cell r="R56">
            <v>0</v>
          </cell>
          <cell r="S56">
            <v>0</v>
          </cell>
          <cell r="T56">
            <v>0</v>
          </cell>
          <cell r="U56">
            <v>0</v>
          </cell>
          <cell r="V56">
            <v>0</v>
          </cell>
          <cell r="W56">
            <v>0</v>
          </cell>
          <cell r="X56">
            <v>0</v>
          </cell>
          <cell r="Y56">
            <v>0</v>
          </cell>
        </row>
        <row r="57">
          <cell r="K57" t="str">
            <v>ExportLNTManorUSAWash33x33M</v>
          </cell>
          <cell r="L57" t="str">
            <v>ExportLNTManorUSAWash33x33</v>
          </cell>
          <cell r="M57">
            <v>0</v>
          </cell>
          <cell r="N57">
            <v>0</v>
          </cell>
          <cell r="O57">
            <v>0</v>
          </cell>
          <cell r="P57">
            <v>0</v>
          </cell>
          <cell r="Q57">
            <v>0</v>
          </cell>
          <cell r="R57">
            <v>0</v>
          </cell>
          <cell r="S57">
            <v>0</v>
          </cell>
          <cell r="T57">
            <v>0</v>
          </cell>
          <cell r="U57">
            <v>0</v>
          </cell>
          <cell r="V57">
            <v>0</v>
          </cell>
          <cell r="W57">
            <v>0</v>
          </cell>
          <cell r="X57">
            <v>0</v>
          </cell>
          <cell r="Y57">
            <v>0</v>
          </cell>
        </row>
        <row r="58">
          <cell r="K58" t="str">
            <v>ExportLNTManorUSAWash33x33D</v>
          </cell>
          <cell r="L58" t="str">
            <v>ExportLNTManorUSAWash33x33</v>
          </cell>
          <cell r="M58">
            <v>0</v>
          </cell>
          <cell r="N58">
            <v>0</v>
          </cell>
          <cell r="O58">
            <v>0</v>
          </cell>
          <cell r="P58">
            <v>0</v>
          </cell>
          <cell r="Q58">
            <v>0</v>
          </cell>
          <cell r="R58">
            <v>0</v>
          </cell>
          <cell r="S58">
            <v>0</v>
          </cell>
          <cell r="T58">
            <v>0</v>
          </cell>
          <cell r="U58">
            <v>0</v>
          </cell>
          <cell r="V58">
            <v>0</v>
          </cell>
          <cell r="W58">
            <v>0</v>
          </cell>
          <cell r="X58">
            <v>0</v>
          </cell>
          <cell r="Y58">
            <v>0</v>
          </cell>
        </row>
        <row r="59">
          <cell r="K59" t="str">
            <v>ExportLNTNewUSABath76x147L</v>
          </cell>
          <cell r="L59" t="str">
            <v>ExportLNTNewUSABath76x147</v>
          </cell>
          <cell r="M59">
            <v>0</v>
          </cell>
          <cell r="N59">
            <v>0</v>
          </cell>
          <cell r="O59">
            <v>0</v>
          </cell>
          <cell r="P59">
            <v>27000</v>
          </cell>
          <cell r="Q59">
            <v>13500</v>
          </cell>
          <cell r="R59">
            <v>6750</v>
          </cell>
          <cell r="S59">
            <v>6750</v>
          </cell>
          <cell r="T59">
            <v>6750</v>
          </cell>
          <cell r="U59">
            <v>6750</v>
          </cell>
          <cell r="V59">
            <v>6750</v>
          </cell>
          <cell r="W59">
            <v>6750</v>
          </cell>
          <cell r="X59">
            <v>6750</v>
          </cell>
          <cell r="Y59">
            <v>87750</v>
          </cell>
        </row>
        <row r="60">
          <cell r="K60" t="str">
            <v>ExportLNTNewUSABath76x147M</v>
          </cell>
          <cell r="L60" t="str">
            <v>ExportLNTNewUSABath76x147</v>
          </cell>
          <cell r="M60">
            <v>0</v>
          </cell>
          <cell r="N60">
            <v>0</v>
          </cell>
          <cell r="O60">
            <v>0</v>
          </cell>
          <cell r="P60">
            <v>10800</v>
          </cell>
          <cell r="Q60">
            <v>5400</v>
          </cell>
          <cell r="R60">
            <v>2700</v>
          </cell>
          <cell r="S60">
            <v>2700</v>
          </cell>
          <cell r="T60">
            <v>2700</v>
          </cell>
          <cell r="U60">
            <v>2700</v>
          </cell>
          <cell r="V60">
            <v>2700</v>
          </cell>
          <cell r="W60">
            <v>2700</v>
          </cell>
          <cell r="X60">
            <v>2700</v>
          </cell>
          <cell r="Y60">
            <v>35100</v>
          </cell>
        </row>
        <row r="61">
          <cell r="K61" t="str">
            <v>ExportLNTNewUSABath76x147D</v>
          </cell>
          <cell r="L61" t="str">
            <v>ExportLNTNewUSABath76x147</v>
          </cell>
          <cell r="M61">
            <v>0</v>
          </cell>
          <cell r="N61">
            <v>0</v>
          </cell>
          <cell r="O61">
            <v>0</v>
          </cell>
          <cell r="P61">
            <v>16200</v>
          </cell>
          <cell r="Q61">
            <v>8100</v>
          </cell>
          <cell r="R61">
            <v>4050</v>
          </cell>
          <cell r="S61">
            <v>4050</v>
          </cell>
          <cell r="T61">
            <v>4050</v>
          </cell>
          <cell r="U61">
            <v>4050</v>
          </cell>
          <cell r="V61">
            <v>4050</v>
          </cell>
          <cell r="W61">
            <v>4050</v>
          </cell>
          <cell r="X61">
            <v>4050</v>
          </cell>
          <cell r="Y61">
            <v>52650</v>
          </cell>
        </row>
        <row r="62">
          <cell r="K62" t="str">
            <v>ExportLNTNewUSAHand51x76L</v>
          </cell>
          <cell r="L62" t="str">
            <v>ExportLNTNewUSAHand51x76</v>
          </cell>
          <cell r="M62">
            <v>0</v>
          </cell>
          <cell r="N62">
            <v>0</v>
          </cell>
          <cell r="O62">
            <v>0</v>
          </cell>
          <cell r="P62">
            <v>1500</v>
          </cell>
          <cell r="Q62">
            <v>750</v>
          </cell>
          <cell r="R62">
            <v>375</v>
          </cell>
          <cell r="S62">
            <v>375</v>
          </cell>
          <cell r="T62">
            <v>375</v>
          </cell>
          <cell r="U62">
            <v>375</v>
          </cell>
          <cell r="V62">
            <v>375</v>
          </cell>
          <cell r="W62">
            <v>375</v>
          </cell>
          <cell r="X62">
            <v>375</v>
          </cell>
          <cell r="Y62">
            <v>4875</v>
          </cell>
        </row>
        <row r="63">
          <cell r="K63" t="str">
            <v>ExportLNTNewUSAHand51x76M</v>
          </cell>
          <cell r="L63" t="str">
            <v>ExportLNTNewUSAHand51x76</v>
          </cell>
          <cell r="M63">
            <v>0</v>
          </cell>
          <cell r="N63">
            <v>0</v>
          </cell>
          <cell r="O63">
            <v>0</v>
          </cell>
          <cell r="P63">
            <v>600</v>
          </cell>
          <cell r="Q63">
            <v>300</v>
          </cell>
          <cell r="R63">
            <v>150</v>
          </cell>
          <cell r="S63">
            <v>150</v>
          </cell>
          <cell r="T63">
            <v>150</v>
          </cell>
          <cell r="U63">
            <v>150</v>
          </cell>
          <cell r="V63">
            <v>150</v>
          </cell>
          <cell r="W63">
            <v>150</v>
          </cell>
          <cell r="X63">
            <v>150</v>
          </cell>
          <cell r="Y63">
            <v>1950</v>
          </cell>
        </row>
        <row r="64">
          <cell r="K64" t="str">
            <v>ExportLNTNewUSAHand51x76D</v>
          </cell>
          <cell r="L64" t="str">
            <v>ExportLNTNewUSAHand51x76</v>
          </cell>
          <cell r="M64">
            <v>0</v>
          </cell>
          <cell r="N64">
            <v>0</v>
          </cell>
          <cell r="O64">
            <v>0</v>
          </cell>
          <cell r="P64">
            <v>900</v>
          </cell>
          <cell r="Q64">
            <v>450</v>
          </cell>
          <cell r="R64">
            <v>225</v>
          </cell>
          <cell r="S64">
            <v>225</v>
          </cell>
          <cell r="T64">
            <v>225</v>
          </cell>
          <cell r="U64">
            <v>225</v>
          </cell>
          <cell r="V64">
            <v>225</v>
          </cell>
          <cell r="W64">
            <v>225</v>
          </cell>
          <cell r="X64">
            <v>225</v>
          </cell>
          <cell r="Y64">
            <v>2925</v>
          </cell>
        </row>
        <row r="65">
          <cell r="K65" t="str">
            <v>ExportLNTNewUSAWash33x33L</v>
          </cell>
          <cell r="L65" t="str">
            <v>ExportLNTNewUSAWash33x33</v>
          </cell>
          <cell r="M65">
            <v>0</v>
          </cell>
          <cell r="N65">
            <v>0</v>
          </cell>
          <cell r="O65">
            <v>0</v>
          </cell>
          <cell r="P65">
            <v>1500</v>
          </cell>
          <cell r="Q65">
            <v>750</v>
          </cell>
          <cell r="R65">
            <v>375</v>
          </cell>
          <cell r="S65">
            <v>375</v>
          </cell>
          <cell r="T65">
            <v>375</v>
          </cell>
          <cell r="U65">
            <v>375</v>
          </cell>
          <cell r="V65">
            <v>375</v>
          </cell>
          <cell r="W65">
            <v>375</v>
          </cell>
          <cell r="X65">
            <v>375</v>
          </cell>
          <cell r="Y65">
            <v>4875</v>
          </cell>
        </row>
        <row r="66">
          <cell r="K66" t="str">
            <v>ExportLNTNewUSAWash33x33M</v>
          </cell>
          <cell r="L66" t="str">
            <v>ExportLNTNewUSAWash33x33</v>
          </cell>
          <cell r="M66">
            <v>0</v>
          </cell>
          <cell r="N66">
            <v>0</v>
          </cell>
          <cell r="O66">
            <v>0</v>
          </cell>
          <cell r="P66">
            <v>600</v>
          </cell>
          <cell r="Q66">
            <v>300</v>
          </cell>
          <cell r="R66">
            <v>150</v>
          </cell>
          <cell r="S66">
            <v>150</v>
          </cell>
          <cell r="T66">
            <v>150</v>
          </cell>
          <cell r="U66">
            <v>150</v>
          </cell>
          <cell r="V66">
            <v>150</v>
          </cell>
          <cell r="W66">
            <v>150</v>
          </cell>
          <cell r="X66">
            <v>150</v>
          </cell>
          <cell r="Y66">
            <v>1950</v>
          </cell>
        </row>
        <row r="67">
          <cell r="K67" t="str">
            <v>ExportLNTNewUSAWash33x33D</v>
          </cell>
          <cell r="L67" t="str">
            <v>ExportLNTNewUSAWash33x33</v>
          </cell>
          <cell r="M67">
            <v>0</v>
          </cell>
          <cell r="N67">
            <v>0</v>
          </cell>
          <cell r="O67">
            <v>0</v>
          </cell>
          <cell r="P67">
            <v>900</v>
          </cell>
          <cell r="Q67">
            <v>450</v>
          </cell>
          <cell r="R67">
            <v>225</v>
          </cell>
          <cell r="S67">
            <v>225</v>
          </cell>
          <cell r="T67">
            <v>225</v>
          </cell>
          <cell r="U67">
            <v>225</v>
          </cell>
          <cell r="V67">
            <v>225</v>
          </cell>
          <cell r="W67">
            <v>225</v>
          </cell>
          <cell r="X67">
            <v>225</v>
          </cell>
          <cell r="Y67">
            <v>2925</v>
          </cell>
        </row>
        <row r="68">
          <cell r="K68" t="str">
            <v>ExportKohlsBig One StripeUSABath76x137L</v>
          </cell>
          <cell r="L68" t="str">
            <v>ExportKohlsBig One StripeUSABath76x137</v>
          </cell>
          <cell r="M68">
            <v>0</v>
          </cell>
          <cell r="N68">
            <v>0</v>
          </cell>
          <cell r="O68">
            <v>0</v>
          </cell>
          <cell r="P68">
            <v>27625</v>
          </cell>
          <cell r="Q68">
            <v>27625</v>
          </cell>
          <cell r="R68">
            <v>27625</v>
          </cell>
          <cell r="S68">
            <v>27625</v>
          </cell>
          <cell r="T68">
            <v>27625</v>
          </cell>
          <cell r="U68">
            <v>27625</v>
          </cell>
          <cell r="V68">
            <v>27625</v>
          </cell>
          <cell r="W68">
            <v>27625</v>
          </cell>
          <cell r="X68">
            <v>27625</v>
          </cell>
          <cell r="Y68">
            <v>248625</v>
          </cell>
        </row>
        <row r="69">
          <cell r="K69" t="str">
            <v>ExportKohlsBig One StripeUSABath76x137M</v>
          </cell>
          <cell r="L69" t="str">
            <v>ExportKohlsBig One StripeUSABath76x137</v>
          </cell>
          <cell r="M69">
            <v>0</v>
          </cell>
          <cell r="N69">
            <v>0</v>
          </cell>
          <cell r="O69">
            <v>0</v>
          </cell>
          <cell r="P69">
            <v>11050</v>
          </cell>
          <cell r="Q69">
            <v>11050</v>
          </cell>
          <cell r="R69">
            <v>11050</v>
          </cell>
          <cell r="S69">
            <v>11050</v>
          </cell>
          <cell r="T69">
            <v>11050</v>
          </cell>
          <cell r="U69">
            <v>11050</v>
          </cell>
          <cell r="V69">
            <v>11050</v>
          </cell>
          <cell r="W69">
            <v>11050</v>
          </cell>
          <cell r="X69">
            <v>11050</v>
          </cell>
          <cell r="Y69">
            <v>99450</v>
          </cell>
        </row>
        <row r="70">
          <cell r="K70" t="str">
            <v>ExportKohlsBig One StripeUSABath76x137D</v>
          </cell>
          <cell r="L70" t="str">
            <v>ExportKohlsBig One StripeUSABath76x137</v>
          </cell>
          <cell r="M70">
            <v>0</v>
          </cell>
          <cell r="N70">
            <v>0</v>
          </cell>
          <cell r="O70">
            <v>0</v>
          </cell>
          <cell r="P70">
            <v>16575</v>
          </cell>
          <cell r="Q70">
            <v>16575</v>
          </cell>
          <cell r="R70">
            <v>16575</v>
          </cell>
          <cell r="S70">
            <v>16575</v>
          </cell>
          <cell r="T70">
            <v>16575</v>
          </cell>
          <cell r="U70">
            <v>16575</v>
          </cell>
          <cell r="V70">
            <v>16575</v>
          </cell>
          <cell r="W70">
            <v>16575</v>
          </cell>
          <cell r="X70">
            <v>16575</v>
          </cell>
          <cell r="Y70">
            <v>149175</v>
          </cell>
        </row>
        <row r="71">
          <cell r="K71" t="str">
            <v>ExportKohlsBig One StripeUSAHand41x71L</v>
          </cell>
          <cell r="L71" t="str">
            <v>ExportKohlsBig One StripeUSAHand41x71</v>
          </cell>
          <cell r="M71">
            <v>0</v>
          </cell>
          <cell r="N71">
            <v>0</v>
          </cell>
          <cell r="O71">
            <v>0</v>
          </cell>
          <cell r="P71">
            <v>2437.5</v>
          </cell>
          <cell r="Q71">
            <v>2437.5</v>
          </cell>
          <cell r="R71">
            <v>2437.5</v>
          </cell>
          <cell r="S71">
            <v>2437.5</v>
          </cell>
          <cell r="T71">
            <v>2437.5</v>
          </cell>
          <cell r="U71">
            <v>2437.5</v>
          </cell>
          <cell r="V71">
            <v>2437.5</v>
          </cell>
          <cell r="W71">
            <v>2437.5</v>
          </cell>
          <cell r="X71">
            <v>2437.5</v>
          </cell>
          <cell r="Y71">
            <v>21937.5</v>
          </cell>
        </row>
        <row r="72">
          <cell r="K72" t="str">
            <v>ExportKohlsBig One StripeUSAHand41x71M</v>
          </cell>
          <cell r="L72" t="str">
            <v>ExportKohlsBig One StripeUSAHand41x71</v>
          </cell>
          <cell r="M72">
            <v>0</v>
          </cell>
          <cell r="N72">
            <v>0</v>
          </cell>
          <cell r="O72">
            <v>0</v>
          </cell>
          <cell r="P72">
            <v>975</v>
          </cell>
          <cell r="Q72">
            <v>975</v>
          </cell>
          <cell r="R72">
            <v>975</v>
          </cell>
          <cell r="S72">
            <v>975</v>
          </cell>
          <cell r="T72">
            <v>975</v>
          </cell>
          <cell r="U72">
            <v>975</v>
          </cell>
          <cell r="V72">
            <v>975</v>
          </cell>
          <cell r="W72">
            <v>975</v>
          </cell>
          <cell r="X72">
            <v>975</v>
          </cell>
          <cell r="Y72">
            <v>8775</v>
          </cell>
        </row>
        <row r="73">
          <cell r="K73" t="str">
            <v>ExportKohlsBig One StripeUSAHand41x71D</v>
          </cell>
          <cell r="L73" t="str">
            <v>ExportKohlsBig One StripeUSAHand41x71</v>
          </cell>
          <cell r="M73">
            <v>0</v>
          </cell>
          <cell r="N73">
            <v>0</v>
          </cell>
          <cell r="O73">
            <v>0</v>
          </cell>
          <cell r="P73">
            <v>1462.5</v>
          </cell>
          <cell r="Q73">
            <v>1462.5</v>
          </cell>
          <cell r="R73">
            <v>1462.5</v>
          </cell>
          <cell r="S73">
            <v>1462.5</v>
          </cell>
          <cell r="T73">
            <v>1462.5</v>
          </cell>
          <cell r="U73">
            <v>1462.5</v>
          </cell>
          <cell r="V73">
            <v>1462.5</v>
          </cell>
          <cell r="W73">
            <v>1462.5</v>
          </cell>
          <cell r="X73">
            <v>1462.5</v>
          </cell>
          <cell r="Y73">
            <v>13162.5</v>
          </cell>
        </row>
        <row r="74">
          <cell r="K74" t="str">
            <v>ExportKohlsBig One StripeUSAWash30x30L</v>
          </cell>
          <cell r="L74" t="str">
            <v>ExportKohlsBig One StripeUSAWash30x30</v>
          </cell>
          <cell r="M74">
            <v>0</v>
          </cell>
          <cell r="N74">
            <v>0</v>
          </cell>
          <cell r="O74">
            <v>0</v>
          </cell>
          <cell r="P74">
            <v>2437.5</v>
          </cell>
          <cell r="Q74">
            <v>2437.5</v>
          </cell>
          <cell r="R74">
            <v>2437.5</v>
          </cell>
          <cell r="S74">
            <v>2437.5</v>
          </cell>
          <cell r="T74">
            <v>2437.5</v>
          </cell>
          <cell r="U74">
            <v>2437.5</v>
          </cell>
          <cell r="V74">
            <v>2437.5</v>
          </cell>
          <cell r="W74">
            <v>2437.5</v>
          </cell>
          <cell r="X74">
            <v>2437.5</v>
          </cell>
          <cell r="Y74">
            <v>21937.5</v>
          </cell>
        </row>
        <row r="75">
          <cell r="K75" t="str">
            <v>ExportKohlsBig One StripeUSAWash30x30M</v>
          </cell>
          <cell r="L75" t="str">
            <v>ExportKohlsBig One StripeUSAWash30x30</v>
          </cell>
          <cell r="M75">
            <v>0</v>
          </cell>
          <cell r="N75">
            <v>0</v>
          </cell>
          <cell r="O75">
            <v>0</v>
          </cell>
          <cell r="P75">
            <v>975</v>
          </cell>
          <cell r="Q75">
            <v>975</v>
          </cell>
          <cell r="R75">
            <v>975</v>
          </cell>
          <cell r="S75">
            <v>975</v>
          </cell>
          <cell r="T75">
            <v>975</v>
          </cell>
          <cell r="U75">
            <v>975</v>
          </cell>
          <cell r="V75">
            <v>975</v>
          </cell>
          <cell r="W75">
            <v>975</v>
          </cell>
          <cell r="X75">
            <v>975</v>
          </cell>
          <cell r="Y75">
            <v>8775</v>
          </cell>
        </row>
        <row r="76">
          <cell r="K76" t="str">
            <v>ExportKohlsBig One StripeUSAWash30x30D</v>
          </cell>
          <cell r="L76" t="str">
            <v>ExportKohlsBig One StripeUSAWash30x30</v>
          </cell>
          <cell r="M76">
            <v>0</v>
          </cell>
          <cell r="N76">
            <v>0</v>
          </cell>
          <cell r="O76">
            <v>0</v>
          </cell>
          <cell r="P76">
            <v>1462.5</v>
          </cell>
          <cell r="Q76">
            <v>1462.5</v>
          </cell>
          <cell r="R76">
            <v>1462.5</v>
          </cell>
          <cell r="S76">
            <v>1462.5</v>
          </cell>
          <cell r="T76">
            <v>1462.5</v>
          </cell>
          <cell r="U76">
            <v>1462.5</v>
          </cell>
          <cell r="V76">
            <v>1462.5</v>
          </cell>
          <cell r="W76">
            <v>1462.5</v>
          </cell>
          <cell r="X76">
            <v>1462.5</v>
          </cell>
          <cell r="Y76">
            <v>13162.5</v>
          </cell>
        </row>
        <row r="77">
          <cell r="K77" t="str">
            <v>ExportKohlsBig One SolidUSABath76x137L</v>
          </cell>
          <cell r="L77" t="str">
            <v>ExportKohlsBig One SolidUSABath76x137</v>
          </cell>
          <cell r="M77">
            <v>93500</v>
          </cell>
          <cell r="N77">
            <v>93500</v>
          </cell>
          <cell r="O77">
            <v>93500</v>
          </cell>
          <cell r="P77">
            <v>93500</v>
          </cell>
          <cell r="Q77">
            <v>93500</v>
          </cell>
          <cell r="R77">
            <v>93500</v>
          </cell>
          <cell r="S77">
            <v>93500</v>
          </cell>
          <cell r="T77">
            <v>93500</v>
          </cell>
          <cell r="U77">
            <v>93500</v>
          </cell>
          <cell r="V77">
            <v>93500</v>
          </cell>
          <cell r="W77">
            <v>93500</v>
          </cell>
          <cell r="X77">
            <v>93500</v>
          </cell>
          <cell r="Y77">
            <v>1122000</v>
          </cell>
        </row>
        <row r="78">
          <cell r="K78" t="str">
            <v>ExportKohlsBig One SolidUSABath76x137M</v>
          </cell>
          <cell r="L78" t="str">
            <v>ExportKohlsBig One SolidUSABath76x137</v>
          </cell>
          <cell r="M78">
            <v>37400</v>
          </cell>
          <cell r="N78">
            <v>37400</v>
          </cell>
          <cell r="O78">
            <v>37400</v>
          </cell>
          <cell r="P78">
            <v>37400</v>
          </cell>
          <cell r="Q78">
            <v>37400</v>
          </cell>
          <cell r="R78">
            <v>37400</v>
          </cell>
          <cell r="S78">
            <v>37400</v>
          </cell>
          <cell r="T78">
            <v>37400</v>
          </cell>
          <cell r="U78">
            <v>37400</v>
          </cell>
          <cell r="V78">
            <v>37400</v>
          </cell>
          <cell r="W78">
            <v>37400</v>
          </cell>
          <cell r="X78">
            <v>37400</v>
          </cell>
          <cell r="Y78">
            <v>448800</v>
          </cell>
        </row>
        <row r="79">
          <cell r="K79" t="str">
            <v>ExportKohlsBig One SolidUSABath76x137D</v>
          </cell>
          <cell r="L79" t="str">
            <v>ExportKohlsBig One SolidUSABath76x137</v>
          </cell>
          <cell r="M79">
            <v>56100</v>
          </cell>
          <cell r="N79">
            <v>56100</v>
          </cell>
          <cell r="O79">
            <v>56100</v>
          </cell>
          <cell r="P79">
            <v>56100</v>
          </cell>
          <cell r="Q79">
            <v>56100</v>
          </cell>
          <cell r="R79">
            <v>56100</v>
          </cell>
          <cell r="S79">
            <v>56100</v>
          </cell>
          <cell r="T79">
            <v>56100</v>
          </cell>
          <cell r="U79">
            <v>56100</v>
          </cell>
          <cell r="V79">
            <v>56100</v>
          </cell>
          <cell r="W79">
            <v>56100</v>
          </cell>
          <cell r="X79">
            <v>56100</v>
          </cell>
          <cell r="Y79">
            <v>673200</v>
          </cell>
        </row>
        <row r="80">
          <cell r="K80" t="str">
            <v>ExportKohlsBig One SolidUSAHand41x71L</v>
          </cell>
          <cell r="L80" t="str">
            <v>ExportKohlsBig One SolidUSAHand41x71</v>
          </cell>
          <cell r="M80">
            <v>8250</v>
          </cell>
          <cell r="N80">
            <v>8250</v>
          </cell>
          <cell r="O80">
            <v>8250</v>
          </cell>
          <cell r="P80">
            <v>8250</v>
          </cell>
          <cell r="Q80">
            <v>8250</v>
          </cell>
          <cell r="R80">
            <v>8250</v>
          </cell>
          <cell r="S80">
            <v>8250</v>
          </cell>
          <cell r="T80">
            <v>8250</v>
          </cell>
          <cell r="U80">
            <v>8250</v>
          </cell>
          <cell r="V80">
            <v>8250</v>
          </cell>
          <cell r="W80">
            <v>8250</v>
          </cell>
          <cell r="X80">
            <v>8250</v>
          </cell>
          <cell r="Y80">
            <v>99000</v>
          </cell>
        </row>
        <row r="81">
          <cell r="K81" t="str">
            <v>ExportKohlsBig One SolidUSAHand41x71M</v>
          </cell>
          <cell r="L81" t="str">
            <v>ExportKohlsBig One SolidUSAHand41x71</v>
          </cell>
          <cell r="M81">
            <v>3300</v>
          </cell>
          <cell r="N81">
            <v>3300</v>
          </cell>
          <cell r="O81">
            <v>3300</v>
          </cell>
          <cell r="P81">
            <v>3300</v>
          </cell>
          <cell r="Q81">
            <v>3300</v>
          </cell>
          <cell r="R81">
            <v>3300</v>
          </cell>
          <cell r="S81">
            <v>3300</v>
          </cell>
          <cell r="T81">
            <v>3300</v>
          </cell>
          <cell r="U81">
            <v>3300</v>
          </cell>
          <cell r="V81">
            <v>3300</v>
          </cell>
          <cell r="W81">
            <v>3300</v>
          </cell>
          <cell r="X81">
            <v>3300</v>
          </cell>
          <cell r="Y81">
            <v>39600</v>
          </cell>
        </row>
        <row r="82">
          <cell r="K82" t="str">
            <v>ExportKohlsBig One SolidUSAHand41x71D</v>
          </cell>
          <cell r="L82" t="str">
            <v>ExportKohlsBig One SolidUSAHand41x71</v>
          </cell>
          <cell r="M82">
            <v>4950</v>
          </cell>
          <cell r="N82">
            <v>4950</v>
          </cell>
          <cell r="O82">
            <v>4950</v>
          </cell>
          <cell r="P82">
            <v>4950</v>
          </cell>
          <cell r="Q82">
            <v>4950</v>
          </cell>
          <cell r="R82">
            <v>4950</v>
          </cell>
          <cell r="S82">
            <v>4950</v>
          </cell>
          <cell r="T82">
            <v>4950</v>
          </cell>
          <cell r="U82">
            <v>4950</v>
          </cell>
          <cell r="V82">
            <v>4950</v>
          </cell>
          <cell r="W82">
            <v>4950</v>
          </cell>
          <cell r="X82">
            <v>4950</v>
          </cell>
          <cell r="Y82">
            <v>59400</v>
          </cell>
        </row>
        <row r="83">
          <cell r="K83" t="str">
            <v>ExportKohlsBig One SolidUSAWash30x30L</v>
          </cell>
          <cell r="L83" t="str">
            <v>ExportKohlsBig One SolidUSAWash30x30</v>
          </cell>
          <cell r="M83">
            <v>8250</v>
          </cell>
          <cell r="N83">
            <v>8250</v>
          </cell>
          <cell r="O83">
            <v>8250</v>
          </cell>
          <cell r="P83">
            <v>8250</v>
          </cell>
          <cell r="Q83">
            <v>8250</v>
          </cell>
          <cell r="R83">
            <v>8250</v>
          </cell>
          <cell r="S83">
            <v>8250</v>
          </cell>
          <cell r="T83">
            <v>8250</v>
          </cell>
          <cell r="U83">
            <v>8250</v>
          </cell>
          <cell r="V83">
            <v>8250</v>
          </cell>
          <cell r="W83">
            <v>8250</v>
          </cell>
          <cell r="X83">
            <v>8250</v>
          </cell>
          <cell r="Y83">
            <v>99000</v>
          </cell>
        </row>
        <row r="84">
          <cell r="K84" t="str">
            <v>ExportKohlsBig One SolidUSAWash30x30M</v>
          </cell>
          <cell r="L84" t="str">
            <v>ExportKohlsBig One SolidUSAWash30x30</v>
          </cell>
          <cell r="M84">
            <v>3300</v>
          </cell>
          <cell r="N84">
            <v>3300</v>
          </cell>
          <cell r="O84">
            <v>3300</v>
          </cell>
          <cell r="P84">
            <v>3300</v>
          </cell>
          <cell r="Q84">
            <v>3300</v>
          </cell>
          <cell r="R84">
            <v>3300</v>
          </cell>
          <cell r="S84">
            <v>3300</v>
          </cell>
          <cell r="T84">
            <v>3300</v>
          </cell>
          <cell r="U84">
            <v>3300</v>
          </cell>
          <cell r="V84">
            <v>3300</v>
          </cell>
          <cell r="W84">
            <v>3300</v>
          </cell>
          <cell r="X84">
            <v>3300</v>
          </cell>
          <cell r="Y84">
            <v>39600</v>
          </cell>
        </row>
        <row r="85">
          <cell r="K85" t="str">
            <v>ExportKohlsBig One SolidUSAWash30x30D</v>
          </cell>
          <cell r="L85" t="str">
            <v>ExportKohlsBig One SolidUSAWash30x30</v>
          </cell>
          <cell r="M85">
            <v>4950</v>
          </cell>
          <cell r="N85">
            <v>4950</v>
          </cell>
          <cell r="O85">
            <v>4950</v>
          </cell>
          <cell r="P85">
            <v>4950</v>
          </cell>
          <cell r="Q85">
            <v>4950</v>
          </cell>
          <cell r="R85">
            <v>4950</v>
          </cell>
          <cell r="S85">
            <v>4950</v>
          </cell>
          <cell r="T85">
            <v>4950</v>
          </cell>
          <cell r="U85">
            <v>4950</v>
          </cell>
          <cell r="V85">
            <v>4950</v>
          </cell>
          <cell r="W85">
            <v>4950</v>
          </cell>
          <cell r="X85">
            <v>4950</v>
          </cell>
          <cell r="Y85">
            <v>59400</v>
          </cell>
        </row>
        <row r="86">
          <cell r="K86" t="str">
            <v>ExportIst New Buyer00Bath76x137L</v>
          </cell>
          <cell r="L86" t="str">
            <v>ExportIst New Buyer00Bath76x137</v>
          </cell>
          <cell r="M86">
            <v>0</v>
          </cell>
          <cell r="N86">
            <v>0</v>
          </cell>
          <cell r="O86">
            <v>0</v>
          </cell>
          <cell r="P86">
            <v>0</v>
          </cell>
          <cell r="Q86">
            <v>0</v>
          </cell>
          <cell r="R86">
            <v>0</v>
          </cell>
          <cell r="S86">
            <v>0</v>
          </cell>
          <cell r="T86">
            <v>0</v>
          </cell>
          <cell r="U86">
            <v>0</v>
          </cell>
          <cell r="V86">
            <v>0</v>
          </cell>
          <cell r="W86">
            <v>0</v>
          </cell>
          <cell r="X86">
            <v>0</v>
          </cell>
          <cell r="Y86">
            <v>0</v>
          </cell>
        </row>
        <row r="87">
          <cell r="K87" t="str">
            <v>ExportIst New Buyer00Bath76x137M</v>
          </cell>
          <cell r="L87" t="str">
            <v>ExportIst New Buyer00Bath76x137</v>
          </cell>
          <cell r="M87">
            <v>0</v>
          </cell>
          <cell r="N87">
            <v>0</v>
          </cell>
          <cell r="O87">
            <v>0</v>
          </cell>
          <cell r="P87">
            <v>0</v>
          </cell>
          <cell r="Q87">
            <v>0</v>
          </cell>
          <cell r="R87">
            <v>0</v>
          </cell>
          <cell r="S87">
            <v>0</v>
          </cell>
          <cell r="T87">
            <v>0</v>
          </cell>
          <cell r="U87">
            <v>0</v>
          </cell>
          <cell r="V87">
            <v>0</v>
          </cell>
          <cell r="W87">
            <v>0</v>
          </cell>
          <cell r="X87">
            <v>0</v>
          </cell>
          <cell r="Y87">
            <v>0</v>
          </cell>
        </row>
        <row r="88">
          <cell r="K88" t="str">
            <v>ExportIst New Buyer00Bath76x137D</v>
          </cell>
          <cell r="L88" t="str">
            <v>ExportIst New Buyer00Bath76x137</v>
          </cell>
          <cell r="M88">
            <v>0</v>
          </cell>
          <cell r="N88">
            <v>0</v>
          </cell>
          <cell r="O88">
            <v>0</v>
          </cell>
          <cell r="P88">
            <v>0</v>
          </cell>
          <cell r="Q88">
            <v>0</v>
          </cell>
          <cell r="R88">
            <v>0</v>
          </cell>
          <cell r="S88">
            <v>0</v>
          </cell>
          <cell r="T88">
            <v>0</v>
          </cell>
          <cell r="U88">
            <v>0</v>
          </cell>
          <cell r="V88">
            <v>0</v>
          </cell>
          <cell r="W88">
            <v>0</v>
          </cell>
          <cell r="X88">
            <v>0</v>
          </cell>
          <cell r="Y88">
            <v>0</v>
          </cell>
        </row>
        <row r="89">
          <cell r="K89" t="str">
            <v>ExportIst New Buyer00Hand41x76L</v>
          </cell>
          <cell r="L89" t="str">
            <v>ExportIst New Buyer00Hand41x76</v>
          </cell>
          <cell r="M89">
            <v>0</v>
          </cell>
          <cell r="N89">
            <v>0</v>
          </cell>
          <cell r="O89">
            <v>0</v>
          </cell>
          <cell r="P89">
            <v>0</v>
          </cell>
          <cell r="Q89">
            <v>0</v>
          </cell>
          <cell r="R89">
            <v>0</v>
          </cell>
          <cell r="S89">
            <v>0</v>
          </cell>
          <cell r="T89">
            <v>0</v>
          </cell>
          <cell r="U89">
            <v>0</v>
          </cell>
          <cell r="V89">
            <v>0</v>
          </cell>
          <cell r="W89">
            <v>0</v>
          </cell>
          <cell r="X89">
            <v>0</v>
          </cell>
          <cell r="Y89">
            <v>0</v>
          </cell>
        </row>
        <row r="90">
          <cell r="K90" t="str">
            <v>ExportIst New Buyer00Hand41x76M</v>
          </cell>
          <cell r="L90" t="str">
            <v>ExportIst New Buyer00Hand41x76</v>
          </cell>
          <cell r="M90">
            <v>0</v>
          </cell>
          <cell r="N90">
            <v>0</v>
          </cell>
          <cell r="O90">
            <v>0</v>
          </cell>
          <cell r="P90">
            <v>0</v>
          </cell>
          <cell r="Q90">
            <v>0</v>
          </cell>
          <cell r="R90">
            <v>0</v>
          </cell>
          <cell r="S90">
            <v>0</v>
          </cell>
          <cell r="T90">
            <v>0</v>
          </cell>
          <cell r="U90">
            <v>0</v>
          </cell>
          <cell r="V90">
            <v>0</v>
          </cell>
          <cell r="W90">
            <v>0</v>
          </cell>
          <cell r="X90">
            <v>0</v>
          </cell>
          <cell r="Y90">
            <v>0</v>
          </cell>
        </row>
        <row r="91">
          <cell r="K91" t="str">
            <v>ExportIst New Buyer00Hand41x76D</v>
          </cell>
          <cell r="L91" t="str">
            <v>ExportIst New Buyer00Hand41x76</v>
          </cell>
          <cell r="M91">
            <v>0</v>
          </cell>
          <cell r="N91">
            <v>0</v>
          </cell>
          <cell r="O91">
            <v>0</v>
          </cell>
          <cell r="P91">
            <v>0</v>
          </cell>
          <cell r="Q91">
            <v>0</v>
          </cell>
          <cell r="R91">
            <v>0</v>
          </cell>
          <cell r="S91">
            <v>0</v>
          </cell>
          <cell r="T91">
            <v>0</v>
          </cell>
          <cell r="U91">
            <v>0</v>
          </cell>
          <cell r="V91">
            <v>0</v>
          </cell>
          <cell r="W91">
            <v>0</v>
          </cell>
          <cell r="X91">
            <v>0</v>
          </cell>
          <cell r="Y91">
            <v>0</v>
          </cell>
        </row>
        <row r="92">
          <cell r="K92" t="str">
            <v>ExportIst New Buyer00Wash33x33L</v>
          </cell>
          <cell r="L92" t="str">
            <v>ExportIst New Buyer00Wash33x33</v>
          </cell>
          <cell r="M92">
            <v>0</v>
          </cell>
          <cell r="N92">
            <v>0</v>
          </cell>
          <cell r="O92">
            <v>0</v>
          </cell>
          <cell r="P92">
            <v>0</v>
          </cell>
          <cell r="Q92">
            <v>0</v>
          </cell>
          <cell r="R92">
            <v>0</v>
          </cell>
          <cell r="S92">
            <v>0</v>
          </cell>
          <cell r="T92">
            <v>0</v>
          </cell>
          <cell r="U92">
            <v>0</v>
          </cell>
          <cell r="V92">
            <v>0</v>
          </cell>
          <cell r="W92">
            <v>0</v>
          </cell>
          <cell r="X92">
            <v>0</v>
          </cell>
          <cell r="Y92">
            <v>0</v>
          </cell>
        </row>
        <row r="93">
          <cell r="K93" t="str">
            <v>ExportIst New Buyer00Wash33x33M</v>
          </cell>
          <cell r="L93" t="str">
            <v>ExportIst New Buyer00Wash33x33</v>
          </cell>
          <cell r="M93">
            <v>0</v>
          </cell>
          <cell r="N93">
            <v>0</v>
          </cell>
          <cell r="O93">
            <v>0</v>
          </cell>
          <cell r="P93">
            <v>0</v>
          </cell>
          <cell r="Q93">
            <v>0</v>
          </cell>
          <cell r="R93">
            <v>0</v>
          </cell>
          <cell r="S93">
            <v>0</v>
          </cell>
          <cell r="T93">
            <v>0</v>
          </cell>
          <cell r="U93">
            <v>0</v>
          </cell>
          <cell r="V93">
            <v>0</v>
          </cell>
          <cell r="W93">
            <v>0</v>
          </cell>
          <cell r="X93">
            <v>0</v>
          </cell>
          <cell r="Y93">
            <v>0</v>
          </cell>
        </row>
        <row r="94">
          <cell r="K94" t="str">
            <v>ExportIst New Buyer00Wash33x33D</v>
          </cell>
          <cell r="L94" t="str">
            <v>ExportIst New Buyer00Wash33x33</v>
          </cell>
          <cell r="M94">
            <v>0</v>
          </cell>
          <cell r="N94">
            <v>0</v>
          </cell>
          <cell r="O94">
            <v>0</v>
          </cell>
          <cell r="P94">
            <v>0</v>
          </cell>
          <cell r="Q94">
            <v>0</v>
          </cell>
          <cell r="R94">
            <v>0</v>
          </cell>
          <cell r="S94">
            <v>0</v>
          </cell>
          <cell r="T94">
            <v>0</v>
          </cell>
          <cell r="U94">
            <v>0</v>
          </cell>
          <cell r="V94">
            <v>0</v>
          </cell>
          <cell r="W94">
            <v>0</v>
          </cell>
          <cell r="X94">
            <v>0</v>
          </cell>
          <cell r="Y94">
            <v>0</v>
          </cell>
        </row>
        <row r="95">
          <cell r="K95" t="str">
            <v>Export2nd New Buyer00Bath76x137L</v>
          </cell>
          <cell r="L95" t="str">
            <v>Export2nd New Buyer00Bath76x137</v>
          </cell>
          <cell r="M95">
            <v>0</v>
          </cell>
          <cell r="N95">
            <v>0</v>
          </cell>
          <cell r="O95">
            <v>0</v>
          </cell>
          <cell r="P95">
            <v>0</v>
          </cell>
          <cell r="Q95">
            <v>0</v>
          </cell>
          <cell r="R95">
            <v>0</v>
          </cell>
          <cell r="S95">
            <v>0</v>
          </cell>
          <cell r="T95">
            <v>0</v>
          </cell>
          <cell r="U95">
            <v>0</v>
          </cell>
          <cell r="V95">
            <v>0</v>
          </cell>
          <cell r="W95">
            <v>0</v>
          </cell>
          <cell r="X95">
            <v>0</v>
          </cell>
          <cell r="Y95">
            <v>0</v>
          </cell>
        </row>
        <row r="96">
          <cell r="K96" t="str">
            <v>Export2nd New Buyer00Bath76x137M</v>
          </cell>
          <cell r="L96" t="str">
            <v>Export2nd New Buyer00Bath76x137</v>
          </cell>
          <cell r="M96">
            <v>0</v>
          </cell>
          <cell r="N96">
            <v>0</v>
          </cell>
          <cell r="O96">
            <v>0</v>
          </cell>
          <cell r="P96">
            <v>0</v>
          </cell>
          <cell r="Q96">
            <v>0</v>
          </cell>
          <cell r="R96">
            <v>0</v>
          </cell>
          <cell r="S96">
            <v>0</v>
          </cell>
          <cell r="T96">
            <v>0</v>
          </cell>
          <cell r="U96">
            <v>0</v>
          </cell>
          <cell r="V96">
            <v>0</v>
          </cell>
          <cell r="W96">
            <v>0</v>
          </cell>
          <cell r="X96">
            <v>0</v>
          </cell>
          <cell r="Y96">
            <v>0</v>
          </cell>
        </row>
        <row r="97">
          <cell r="K97" t="str">
            <v>Export2nd New Buyer00Bath76x137D</v>
          </cell>
          <cell r="L97" t="str">
            <v>Export2nd New Buyer00Bath76x137</v>
          </cell>
          <cell r="M97">
            <v>0</v>
          </cell>
          <cell r="N97">
            <v>0</v>
          </cell>
          <cell r="O97">
            <v>0</v>
          </cell>
          <cell r="P97">
            <v>0</v>
          </cell>
          <cell r="Q97">
            <v>0</v>
          </cell>
          <cell r="R97">
            <v>0</v>
          </cell>
          <cell r="S97">
            <v>0</v>
          </cell>
          <cell r="T97">
            <v>0</v>
          </cell>
          <cell r="U97">
            <v>0</v>
          </cell>
          <cell r="V97">
            <v>0</v>
          </cell>
          <cell r="W97">
            <v>0</v>
          </cell>
          <cell r="X97">
            <v>0</v>
          </cell>
          <cell r="Y97">
            <v>0</v>
          </cell>
        </row>
        <row r="98">
          <cell r="K98" t="str">
            <v>Export2nd New Buyer00Hand41x76L</v>
          </cell>
          <cell r="L98" t="str">
            <v>Export2nd New Buyer00Hand41x76</v>
          </cell>
          <cell r="M98">
            <v>0</v>
          </cell>
          <cell r="N98">
            <v>0</v>
          </cell>
          <cell r="O98">
            <v>0</v>
          </cell>
          <cell r="P98">
            <v>0</v>
          </cell>
          <cell r="Q98">
            <v>0</v>
          </cell>
          <cell r="R98">
            <v>0</v>
          </cell>
          <cell r="S98">
            <v>0</v>
          </cell>
          <cell r="T98">
            <v>0</v>
          </cell>
          <cell r="U98">
            <v>0</v>
          </cell>
          <cell r="V98">
            <v>0</v>
          </cell>
          <cell r="W98">
            <v>0</v>
          </cell>
          <cell r="X98">
            <v>0</v>
          </cell>
          <cell r="Y98">
            <v>0</v>
          </cell>
        </row>
        <row r="99">
          <cell r="K99" t="str">
            <v>Export2nd New Buyer00Hand41x76M</v>
          </cell>
          <cell r="L99" t="str">
            <v>Export2nd New Buyer00Hand41x76</v>
          </cell>
          <cell r="M99">
            <v>0</v>
          </cell>
          <cell r="N99">
            <v>0</v>
          </cell>
          <cell r="O99">
            <v>0</v>
          </cell>
          <cell r="P99">
            <v>0</v>
          </cell>
          <cell r="Q99">
            <v>0</v>
          </cell>
          <cell r="R99">
            <v>0</v>
          </cell>
          <cell r="S99">
            <v>0</v>
          </cell>
          <cell r="T99">
            <v>0</v>
          </cell>
          <cell r="U99">
            <v>0</v>
          </cell>
          <cell r="V99">
            <v>0</v>
          </cell>
          <cell r="W99">
            <v>0</v>
          </cell>
          <cell r="X99">
            <v>0</v>
          </cell>
          <cell r="Y99">
            <v>0</v>
          </cell>
        </row>
        <row r="100">
          <cell r="K100" t="str">
            <v>Export2nd New Buyer00Hand41x76D</v>
          </cell>
          <cell r="L100" t="str">
            <v>Export2nd New Buyer00Hand41x76</v>
          </cell>
          <cell r="M100">
            <v>0</v>
          </cell>
          <cell r="N100">
            <v>0</v>
          </cell>
          <cell r="O100">
            <v>0</v>
          </cell>
          <cell r="P100">
            <v>0</v>
          </cell>
          <cell r="Q100">
            <v>0</v>
          </cell>
          <cell r="R100">
            <v>0</v>
          </cell>
          <cell r="S100">
            <v>0</v>
          </cell>
          <cell r="T100">
            <v>0</v>
          </cell>
          <cell r="U100">
            <v>0</v>
          </cell>
          <cell r="V100">
            <v>0</v>
          </cell>
          <cell r="W100">
            <v>0</v>
          </cell>
          <cell r="X100">
            <v>0</v>
          </cell>
          <cell r="Y100">
            <v>0</v>
          </cell>
        </row>
        <row r="101">
          <cell r="K101" t="str">
            <v>Export2nd New Buyer00Wash33x33L</v>
          </cell>
          <cell r="L101" t="str">
            <v>Export2nd New Buyer00Wash33x33</v>
          </cell>
          <cell r="M101">
            <v>0</v>
          </cell>
          <cell r="N101">
            <v>0</v>
          </cell>
          <cell r="O101">
            <v>0</v>
          </cell>
          <cell r="P101">
            <v>0</v>
          </cell>
          <cell r="Q101">
            <v>0</v>
          </cell>
          <cell r="R101">
            <v>0</v>
          </cell>
          <cell r="S101">
            <v>0</v>
          </cell>
          <cell r="T101">
            <v>0</v>
          </cell>
          <cell r="U101">
            <v>0</v>
          </cell>
          <cell r="V101">
            <v>0</v>
          </cell>
          <cell r="W101">
            <v>0</v>
          </cell>
          <cell r="X101">
            <v>0</v>
          </cell>
          <cell r="Y101">
            <v>0</v>
          </cell>
        </row>
        <row r="102">
          <cell r="K102" t="str">
            <v>Export2nd New Buyer00Wash33x33M</v>
          </cell>
          <cell r="L102" t="str">
            <v>Export2nd New Buyer00Wash33x33</v>
          </cell>
          <cell r="M102">
            <v>0</v>
          </cell>
          <cell r="N102">
            <v>0</v>
          </cell>
          <cell r="O102">
            <v>0</v>
          </cell>
          <cell r="P102">
            <v>0</v>
          </cell>
          <cell r="Q102">
            <v>0</v>
          </cell>
          <cell r="R102">
            <v>0</v>
          </cell>
          <cell r="S102">
            <v>0</v>
          </cell>
          <cell r="T102">
            <v>0</v>
          </cell>
          <cell r="U102">
            <v>0</v>
          </cell>
          <cell r="V102">
            <v>0</v>
          </cell>
          <cell r="W102">
            <v>0</v>
          </cell>
          <cell r="X102">
            <v>0</v>
          </cell>
          <cell r="Y102">
            <v>0</v>
          </cell>
        </row>
        <row r="103">
          <cell r="K103" t="str">
            <v>Export2nd New Buyer00Wash33x33D</v>
          </cell>
          <cell r="L103" t="str">
            <v>Export2nd New Buyer00Wash33x33</v>
          </cell>
          <cell r="M103">
            <v>0</v>
          </cell>
          <cell r="N103">
            <v>0</v>
          </cell>
          <cell r="O103">
            <v>0</v>
          </cell>
          <cell r="P103">
            <v>0</v>
          </cell>
          <cell r="Q103">
            <v>0</v>
          </cell>
          <cell r="R103">
            <v>0</v>
          </cell>
          <cell r="S103">
            <v>0</v>
          </cell>
          <cell r="T103">
            <v>0</v>
          </cell>
          <cell r="U103">
            <v>0</v>
          </cell>
          <cell r="V103">
            <v>0</v>
          </cell>
          <cell r="W103">
            <v>0</v>
          </cell>
          <cell r="X103">
            <v>0</v>
          </cell>
          <cell r="Y103">
            <v>0</v>
          </cell>
        </row>
        <row r="104">
          <cell r="K104" t="str">
            <v>Export3rd New Buyer00Bath0x0L</v>
          </cell>
          <cell r="L104" t="str">
            <v>Export3rd New Buyer00Bath0x0</v>
          </cell>
          <cell r="M104">
            <v>0</v>
          </cell>
          <cell r="N104">
            <v>0</v>
          </cell>
          <cell r="O104">
            <v>0</v>
          </cell>
          <cell r="P104">
            <v>0</v>
          </cell>
          <cell r="Q104">
            <v>0</v>
          </cell>
          <cell r="R104">
            <v>0</v>
          </cell>
          <cell r="S104">
            <v>0</v>
          </cell>
          <cell r="T104">
            <v>0</v>
          </cell>
          <cell r="U104">
            <v>0</v>
          </cell>
          <cell r="V104">
            <v>0</v>
          </cell>
          <cell r="W104">
            <v>0</v>
          </cell>
          <cell r="X104">
            <v>0</v>
          </cell>
          <cell r="Y104">
            <v>0</v>
          </cell>
        </row>
        <row r="105">
          <cell r="K105" t="str">
            <v>Export3rd New Buyer00Bath0x0M</v>
          </cell>
          <cell r="L105" t="str">
            <v>Export3rd New Buyer00Bath0x0</v>
          </cell>
          <cell r="M105">
            <v>0</v>
          </cell>
          <cell r="N105">
            <v>0</v>
          </cell>
          <cell r="O105">
            <v>0</v>
          </cell>
          <cell r="P105">
            <v>0</v>
          </cell>
          <cell r="Q105">
            <v>0</v>
          </cell>
          <cell r="R105">
            <v>0</v>
          </cell>
          <cell r="S105">
            <v>0</v>
          </cell>
          <cell r="T105">
            <v>0</v>
          </cell>
          <cell r="U105">
            <v>0</v>
          </cell>
          <cell r="V105">
            <v>0</v>
          </cell>
          <cell r="W105">
            <v>0</v>
          </cell>
          <cell r="X105">
            <v>0</v>
          </cell>
          <cell r="Y105">
            <v>0</v>
          </cell>
        </row>
        <row r="106">
          <cell r="K106" t="str">
            <v>Export3rd New Buyer00Bath0x0D</v>
          </cell>
          <cell r="L106" t="str">
            <v>Export3rd New Buyer00Bath0x0</v>
          </cell>
          <cell r="M106">
            <v>0</v>
          </cell>
          <cell r="N106">
            <v>0</v>
          </cell>
          <cell r="O106">
            <v>0</v>
          </cell>
          <cell r="P106">
            <v>0</v>
          </cell>
          <cell r="Q106">
            <v>0</v>
          </cell>
          <cell r="R106">
            <v>0</v>
          </cell>
          <cell r="S106">
            <v>0</v>
          </cell>
          <cell r="T106">
            <v>0</v>
          </cell>
          <cell r="U106">
            <v>0</v>
          </cell>
          <cell r="V106">
            <v>0</v>
          </cell>
          <cell r="W106">
            <v>0</v>
          </cell>
          <cell r="X106">
            <v>0</v>
          </cell>
          <cell r="Y106">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gets"/>
      <sheetName val="P&amp;L"/>
      <sheetName val="A Payable"/>
      <sheetName val="Cost of Licenses"/>
      <sheetName val="VAT"/>
      <sheetName val="S&amp;W"/>
      <sheetName val="summary"/>
      <sheetName val="G&amp;A"/>
      <sheetName val="R&amp;D"/>
      <sheetName val="corp. other"/>
      <sheetName val="old input"/>
      <sheetName val="old HC plan 2"/>
      <sheetName val="input"/>
      <sheetName val="HC  R&amp;D"/>
      <sheetName val="Costes medios"/>
      <sheetName val="Assumptions"/>
      <sheetName val="Deferred Revenue"/>
      <sheetName val="Account Receivable"/>
      <sheetName val="cyborg"/>
      <sheetName val="sev."/>
      <sheetName val="general expen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gets"/>
      <sheetName val="P&amp;L"/>
      <sheetName val="A Payable"/>
      <sheetName val="Cost of Licenses"/>
      <sheetName val="VAT"/>
      <sheetName val="S&amp;W"/>
      <sheetName val="summary"/>
      <sheetName val="G&amp;A"/>
      <sheetName val="R&amp;D"/>
      <sheetName val="corp. other"/>
      <sheetName val="old input"/>
      <sheetName val="old HC plan 2"/>
      <sheetName val="input"/>
      <sheetName val="HC  R&amp;D"/>
      <sheetName val="Costes medios"/>
      <sheetName val="Assumptions"/>
      <sheetName val="Deferred Revenue"/>
      <sheetName val="Account Receivable"/>
      <sheetName val="cyborg"/>
      <sheetName val="sev."/>
      <sheetName val="general expen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rap_18"/>
      <sheetName val="Consumables_19"/>
      <sheetName val="Sub_Cont_Mtrl_20"/>
      <sheetName val="Pending RGP_21"/>
      <sheetName val="Expiry Details_22"/>
      <sheetName val="Cenvat 23"/>
      <sheetName val="Debit Notes_24"/>
      <sheetName val="Insurance_25"/>
      <sheetName val="GPA Medi_26"/>
      <sheetName val="Power_27"/>
      <sheetName val="Power_28"/>
      <sheetName val="Equip Hand_29"/>
      <sheetName val="Manpower_30"/>
      <sheetName val="Extra hrs_31ABC"/>
      <sheetName val="Tele _Exp_32"/>
      <sheetName val="Vehicle_33"/>
      <sheetName val="keydatalongi_34"/>
      <sheetName val="keydataspiral_35"/>
      <sheetName val="LONGI_DAHEJ"/>
      <sheetName val="LONGI-DAHEJ"/>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Yarn"/>
      <sheetName val="Warp"/>
      <sheetName val="Weft"/>
      <sheetName val="Sizing"/>
      <sheetName val="Remnant"/>
      <sheetName val="Looms"/>
      <sheetName val="Grey"/>
      <sheetName val="Processing"/>
      <sheetName val="Cut &amp; Sew"/>
      <sheetName val="Only for F Part 2856-60"/>
      <sheetName val="Finish Ware House"/>
      <sheetName val="RTF"/>
      <sheetName val="GIT"/>
      <sheetName val="All Loc"/>
      <sheetName val="Shadewise Sal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T APRIL 2008"/>
      <sheetName val="Summary"/>
      <sheetName val="Auditor March 08"/>
      <sheetName val="WIP "/>
      <sheetName val=" FG"/>
      <sheetName val="WIP"/>
      <sheetName val="Sheet1"/>
      <sheetName val="structure"/>
    </sheetNames>
    <sheetDataSet>
      <sheetData sheetId="0"/>
      <sheetData sheetId="1" refreshError="1"/>
      <sheetData sheetId="2" refreshError="1"/>
      <sheetData sheetId="3"/>
      <sheetData sheetId="4"/>
      <sheetData sheetId="5" refreshError="1"/>
      <sheetData sheetId="6"/>
      <sheetData sheetId="7"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Row"/>
      <sheetName val="GIT of June 2008"/>
      <sheetName val="Halb,Job"/>
      <sheetName val="Fert"/>
      <sheetName val="7200"/>
      <sheetName val="Exc 7200Total Stock"/>
      <sheetName val="All Lo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GIT of May 2008"/>
      <sheetName val="Only for F Part"/>
      <sheetName val="Row &amp; WIP Stock"/>
      <sheetName val="Stock"/>
      <sheetName val="Sheet1"/>
    </sheetNames>
    <sheetDataSet>
      <sheetData sheetId="0"/>
      <sheetData sheetId="1"/>
      <sheetData sheetId="2"/>
      <sheetData sheetId="3"/>
      <sheetData sheetId="4"/>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GIT of May 2008"/>
      <sheetName val="Only for F Part"/>
      <sheetName val="Row &amp; WIP Stock"/>
      <sheetName val="Stock"/>
      <sheetName val="Exc 7200Total Stock"/>
    </sheetNames>
    <sheetDataSet>
      <sheetData sheetId="0"/>
      <sheetData sheetId="1"/>
      <sheetData sheetId="2"/>
      <sheetData sheetId="3"/>
      <sheetData sheetId="4"/>
      <sheetData sheetId="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 SHEET"/>
      <sheetName val="SUMMARY"/>
      <sheetName val="OTHER-ASSETS"/>
      <sheetName val="ADDITIONS-2001"/>
      <sheetName val="ADDITIONS-2002"/>
      <sheetName val="VEHICLES"/>
      <sheetName val="ADDITIONS-2003"/>
      <sheetName val="ADDITIONS-2004"/>
      <sheetName val="DEDUCTIONS"/>
      <sheetName val="DEP. CHECK"/>
      <sheetName val="CAPITAL WIP"/>
      <sheetName val="Input_B_V"/>
      <sheetName val="Inputs"/>
      <sheetName val="d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il &amp; May 25 Comparision (2)"/>
      <sheetName val="April, May &amp; Jun 25 Compar.3006"/>
      <sheetName val="Production 2nd"/>
      <sheetName val="Production 1st"/>
      <sheetName val="April Actual Monthly Manpower"/>
      <sheetName val="April Act. Production Data"/>
      <sheetName val="May Act Monthly Manpower"/>
      <sheetName val="May Actualt Production DATA"/>
      <sheetName val="BP Manpower"/>
      <sheetName val="June Act Monthly Manpower"/>
      <sheetName val="June Actual Production DATA"/>
      <sheetName val="Monthly Manpower July Act"/>
      <sheetName val="July"/>
      <sheetName val="Production July Act"/>
    </sheetNames>
    <sheetDataSet>
      <sheetData sheetId="0"/>
      <sheetData sheetId="1"/>
      <sheetData sheetId="2"/>
      <sheetData sheetId="3">
        <row r="20">
          <cell r="AE20">
            <v>34492.984362156072</v>
          </cell>
          <cell r="AF20">
            <v>34994.753490287876</v>
          </cell>
          <cell r="AG20">
            <v>37942.404971734955</v>
          </cell>
          <cell r="AH20">
            <v>41397.794692258241</v>
          </cell>
          <cell r="AI20">
            <v>39545.263361027719</v>
          </cell>
          <cell r="AJ20">
            <v>39889.341759255301</v>
          </cell>
          <cell r="AK20">
            <v>40706.46966523349</v>
          </cell>
          <cell r="AL20">
            <v>41511.302585878715</v>
          </cell>
          <cell r="AM20">
            <v>42660.760932235818</v>
          </cell>
          <cell r="AN20">
            <v>44735.086673167876</v>
          </cell>
          <cell r="AO20">
            <v>42003.157162351781</v>
          </cell>
          <cell r="AP20">
            <v>45607.906350093217</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OMMON"/>
      <sheetName val="Dept. Wise"/>
      <sheetName val="Man Summary"/>
      <sheetName val="MIX"/>
      <sheetName val="Ass &amp; Cont"/>
      <sheetName val="Production"/>
    </sheetNames>
    <sheetDataSet>
      <sheetData sheetId="0"/>
      <sheetData sheetId="1"/>
      <sheetData sheetId="2"/>
      <sheetData sheetId="3"/>
      <sheetData sheetId="4"/>
      <sheetData sheetId="5">
        <row r="32">
          <cell r="E32">
            <v>699.93721311475417</v>
          </cell>
          <cell r="F32">
            <v>699.93721311475417</v>
          </cell>
          <cell r="G32">
            <v>702.93721311475417</v>
          </cell>
          <cell r="H32">
            <v>702.93721311475417</v>
          </cell>
          <cell r="I32">
            <v>702.93721311475417</v>
          </cell>
          <cell r="J32">
            <v>702.93721311475417</v>
          </cell>
          <cell r="K32">
            <v>702.93721311475417</v>
          </cell>
          <cell r="L32">
            <v>702.93721311475417</v>
          </cell>
          <cell r="M32">
            <v>702.93721311475417</v>
          </cell>
          <cell r="N32">
            <v>702.93721311475417</v>
          </cell>
          <cell r="O32">
            <v>702.93721311475417</v>
          </cell>
          <cell r="P32">
            <v>702.93721311475417</v>
          </cell>
          <cell r="S32">
            <v>360</v>
          </cell>
          <cell r="T32">
            <v>355</v>
          </cell>
          <cell r="U32">
            <v>367</v>
          </cell>
          <cell r="V32">
            <v>385</v>
          </cell>
          <cell r="W32">
            <v>388</v>
          </cell>
          <cell r="X32">
            <v>386</v>
          </cell>
          <cell r="Y32">
            <v>411</v>
          </cell>
          <cell r="Z32">
            <v>405</v>
          </cell>
          <cell r="AA32">
            <v>416</v>
          </cell>
          <cell r="AB32">
            <v>433</v>
          </cell>
          <cell r="AC32">
            <v>432</v>
          </cell>
          <cell r="AD32">
            <v>433</v>
          </cell>
          <cell r="BX32">
            <v>717.55737704918033</v>
          </cell>
          <cell r="BY32">
            <v>692.55737704918033</v>
          </cell>
          <cell r="BZ32">
            <v>711.55737704918033</v>
          </cell>
          <cell r="CA32">
            <v>749.55737704918033</v>
          </cell>
          <cell r="CB32">
            <v>703.55737704918033</v>
          </cell>
          <cell r="CC32">
            <v>705.55737704918033</v>
          </cell>
          <cell r="CD32">
            <v>758.55737704918033</v>
          </cell>
          <cell r="CE32">
            <v>718.55737704918033</v>
          </cell>
          <cell r="CF32">
            <v>763.55737704918033</v>
          </cell>
          <cell r="CG32">
            <v>754.55737704918033</v>
          </cell>
          <cell r="CH32">
            <v>724.55737704918033</v>
          </cell>
          <cell r="CI32">
            <v>817.55737704918033</v>
          </cell>
        </row>
        <row r="64">
          <cell r="E64">
            <v>1.8548336147540985</v>
          </cell>
          <cell r="F64">
            <v>1.8548336147540985</v>
          </cell>
          <cell r="G64">
            <v>1.8627836147540981</v>
          </cell>
          <cell r="H64">
            <v>1.8627836147540981</v>
          </cell>
          <cell r="I64">
            <v>1.8627836147540981</v>
          </cell>
          <cell r="J64">
            <v>1.8627836147540981</v>
          </cell>
          <cell r="K64">
            <v>1.8627836147540981</v>
          </cell>
          <cell r="L64">
            <v>1.8627836147540981</v>
          </cell>
          <cell r="M64">
            <v>1.8627836147540981</v>
          </cell>
          <cell r="N64">
            <v>1.8627836147540981</v>
          </cell>
          <cell r="O64">
            <v>1.8627836147540981</v>
          </cell>
          <cell r="P64">
            <v>1.8627836147540981</v>
          </cell>
          <cell r="S64">
            <v>0.52200000000000013</v>
          </cell>
          <cell r="T64">
            <v>0.51475000000000004</v>
          </cell>
          <cell r="U64">
            <v>0.53215000000000023</v>
          </cell>
          <cell r="V64">
            <v>0.55825000000000014</v>
          </cell>
          <cell r="W64">
            <v>0.56260000000000021</v>
          </cell>
          <cell r="X64">
            <v>0.5597000000000002</v>
          </cell>
          <cell r="Y64">
            <v>0.59595000000000009</v>
          </cell>
          <cell r="Z64">
            <v>0.58725000000000005</v>
          </cell>
          <cell r="AA64">
            <v>0.60319999999999985</v>
          </cell>
          <cell r="AB64">
            <v>0.6278499999999998</v>
          </cell>
          <cell r="AC64">
            <v>0.62639999999999985</v>
          </cell>
          <cell r="AD64">
            <v>0.6278499999999998</v>
          </cell>
          <cell r="BX64">
            <v>1.6127102049180326</v>
          </cell>
          <cell r="BY64">
            <v>1.5565227049180328</v>
          </cell>
          <cell r="BZ64">
            <v>1.5992252049180324</v>
          </cell>
          <cell r="CA64">
            <v>1.6846302049180326</v>
          </cell>
          <cell r="CB64">
            <v>1.5812452049180328</v>
          </cell>
          <cell r="CC64">
            <v>1.5857402049180327</v>
          </cell>
          <cell r="CD64">
            <v>1.7048577049180327</v>
          </cell>
          <cell r="CE64">
            <v>1.6149577049180328</v>
          </cell>
          <cell r="CF64">
            <v>1.7160952049180327</v>
          </cell>
          <cell r="CG64">
            <v>1.6958677049180326</v>
          </cell>
          <cell r="CH64">
            <v>1.6284427049180326</v>
          </cell>
          <cell r="CI64">
            <v>1.8374602049180326</v>
          </cell>
        </row>
      </sheetData>
      <sheetData sheetId="6"/>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ionwise Summary"/>
      <sheetName val="Consilidate Summary"/>
      <sheetName val="Sheet1"/>
      <sheetName val="Manpower Allocation"/>
      <sheetName val="Actual MP"/>
      <sheetName val="Actual Prod"/>
      <sheetName val="Multiply"/>
      <sheetName val="Tufting"/>
      <sheetName val="CSP"/>
      <sheetName val="Cut and Sew"/>
      <sheetName val="BP"/>
      <sheetName val="Stores"/>
      <sheetName val="Post Spinning"/>
      <sheetName val="Coating"/>
    </sheetNames>
    <sheetDataSet>
      <sheetData sheetId="0"/>
      <sheetData sheetId="1">
        <row r="34">
          <cell r="B34" t="str">
            <v>Section</v>
          </cell>
          <cell r="C34" t="str">
            <v>MP (In BP)</v>
          </cell>
        </row>
        <row r="35">
          <cell r="B35" t="str">
            <v>1. POY</v>
          </cell>
          <cell r="C35">
            <v>46</v>
          </cell>
          <cell r="D35">
            <v>46.410000000000004</v>
          </cell>
          <cell r="K35">
            <v>42</v>
          </cell>
          <cell r="M35">
            <v>42</v>
          </cell>
        </row>
        <row r="36">
          <cell r="B36" t="str">
            <v>2. BCF</v>
          </cell>
          <cell r="C36">
            <v>39</v>
          </cell>
          <cell r="D36">
            <v>39</v>
          </cell>
          <cell r="K36">
            <v>37</v>
          </cell>
          <cell r="M36">
            <v>37</v>
          </cell>
        </row>
        <row r="37">
          <cell r="B37" t="str">
            <v>3. Texturizing</v>
          </cell>
          <cell r="C37">
            <v>90</v>
          </cell>
          <cell r="D37">
            <v>92</v>
          </cell>
          <cell r="K37">
            <v>82</v>
          </cell>
          <cell r="M37">
            <v>87</v>
          </cell>
        </row>
        <row r="38">
          <cell r="B38" t="str">
            <v>4. Parallel Winding</v>
          </cell>
          <cell r="C38">
            <v>27</v>
          </cell>
          <cell r="D38">
            <v>27</v>
          </cell>
          <cell r="K38">
            <v>27</v>
          </cell>
        </row>
        <row r="39">
          <cell r="B39" t="str">
            <v>Rewinding</v>
          </cell>
          <cell r="C39">
            <v>14</v>
          </cell>
          <cell r="D39">
            <v>14</v>
          </cell>
          <cell r="K39">
            <v>14</v>
          </cell>
          <cell r="M39">
            <v>14</v>
          </cell>
        </row>
        <row r="40">
          <cell r="B40" t="str">
            <v>5. Multiply</v>
          </cell>
          <cell r="C40">
            <v>139</v>
          </cell>
          <cell r="D40">
            <v>153</v>
          </cell>
          <cell r="K40">
            <v>148</v>
          </cell>
          <cell r="M40">
            <v>148</v>
          </cell>
        </row>
        <row r="41">
          <cell r="B41" t="str">
            <v>6. Cabling</v>
          </cell>
          <cell r="C41">
            <v>66</v>
          </cell>
          <cell r="D41">
            <v>67</v>
          </cell>
          <cell r="K41">
            <v>46</v>
          </cell>
          <cell r="M41">
            <v>60</v>
          </cell>
        </row>
        <row r="42">
          <cell r="B42" t="str">
            <v>7. Heat Set</v>
          </cell>
          <cell r="C42">
            <v>89</v>
          </cell>
          <cell r="D42">
            <v>91</v>
          </cell>
          <cell r="K42">
            <v>79</v>
          </cell>
          <cell r="M42">
            <v>87</v>
          </cell>
        </row>
        <row r="43">
          <cell r="B43" t="str">
            <v>Yarn Common</v>
          </cell>
          <cell r="C43">
            <v>30</v>
          </cell>
          <cell r="D43">
            <v>30</v>
          </cell>
          <cell r="K43">
            <v>24</v>
          </cell>
          <cell r="M43">
            <v>24</v>
          </cell>
        </row>
        <row r="44">
          <cell r="B44" t="str">
            <v>Yarn Process Control</v>
          </cell>
          <cell r="C44">
            <v>3</v>
          </cell>
          <cell r="K44">
            <v>0</v>
          </cell>
          <cell r="M44">
            <v>3</v>
          </cell>
        </row>
        <row r="45">
          <cell r="B45" t="str">
            <v>Master Batch</v>
          </cell>
          <cell r="C45">
            <v>35</v>
          </cell>
          <cell r="D45">
            <v>36</v>
          </cell>
          <cell r="K45">
            <v>31</v>
          </cell>
          <cell r="M45">
            <v>36</v>
          </cell>
        </row>
        <row r="46">
          <cell r="B46" t="str">
            <v>8. Tufting</v>
          </cell>
          <cell r="C46">
            <v>194</v>
          </cell>
          <cell r="D46">
            <v>176.5</v>
          </cell>
          <cell r="K46">
            <v>149</v>
          </cell>
          <cell r="M46">
            <v>171</v>
          </cell>
        </row>
        <row r="47">
          <cell r="B47" t="str">
            <v>9.1 Printing - Chromojet</v>
          </cell>
          <cell r="C47">
            <v>41</v>
          </cell>
          <cell r="D47">
            <v>29.333333333333332</v>
          </cell>
          <cell r="K47">
            <v>42</v>
          </cell>
          <cell r="M47">
            <v>42</v>
          </cell>
        </row>
        <row r="48">
          <cell r="B48" t="str">
            <v>9.2 Printing - Digital</v>
          </cell>
          <cell r="D48">
            <v>13</v>
          </cell>
          <cell r="K48">
            <v>0</v>
          </cell>
        </row>
        <row r="49">
          <cell r="B49" t="str">
            <v>10.1 Carpet Tiles</v>
          </cell>
          <cell r="C49">
            <v>104</v>
          </cell>
          <cell r="D49">
            <v>45.25</v>
          </cell>
          <cell r="K49">
            <v>86</v>
          </cell>
          <cell r="M49">
            <v>104</v>
          </cell>
        </row>
        <row r="50">
          <cell r="B50" t="str">
            <v>10.2 W2W</v>
          </cell>
          <cell r="D50">
            <v>66</v>
          </cell>
          <cell r="K50">
            <v>0</v>
          </cell>
        </row>
        <row r="51">
          <cell r="B51" t="str">
            <v>CSP</v>
          </cell>
          <cell r="C51">
            <v>173</v>
          </cell>
          <cell r="D51">
            <v>222.66666666666666</v>
          </cell>
          <cell r="K51">
            <v>223</v>
          </cell>
          <cell r="M51">
            <v>223</v>
          </cell>
        </row>
        <row r="52">
          <cell r="B52" t="str">
            <v>TQM</v>
          </cell>
          <cell r="C52">
            <v>118</v>
          </cell>
          <cell r="D52">
            <v>128</v>
          </cell>
          <cell r="K52">
            <v>120</v>
          </cell>
        </row>
        <row r="53">
          <cell r="B53" t="str">
            <v>Engg.</v>
          </cell>
          <cell r="C53">
            <v>130</v>
          </cell>
          <cell r="D53">
            <v>138</v>
          </cell>
          <cell r="K53">
            <v>120</v>
          </cell>
        </row>
        <row r="54">
          <cell r="B54" t="str">
            <v>R&amp;D (PD)</v>
          </cell>
          <cell r="C54">
            <v>51</v>
          </cell>
          <cell r="D54">
            <v>44</v>
          </cell>
          <cell r="K54">
            <v>39</v>
          </cell>
        </row>
        <row r="55">
          <cell r="B55" t="str">
            <v>SCM (Stores &amp; WH)</v>
          </cell>
          <cell r="C55">
            <v>123</v>
          </cell>
          <cell r="D55">
            <v>125</v>
          </cell>
          <cell r="K55">
            <v>120</v>
          </cell>
        </row>
        <row r="56">
          <cell r="B56" t="str">
            <v>Common</v>
          </cell>
          <cell r="C56">
            <v>223</v>
          </cell>
          <cell r="D56">
            <v>223</v>
          </cell>
          <cell r="K56">
            <v>189</v>
          </cell>
          <cell r="M56">
            <v>207</v>
          </cell>
        </row>
        <row r="57">
          <cell r="B57" t="str">
            <v>SPC</v>
          </cell>
          <cell r="D57">
            <v>150</v>
          </cell>
        </row>
      </sheetData>
      <sheetData sheetId="2"/>
      <sheetData sheetId="3">
        <row r="171">
          <cell r="F171">
            <v>6</v>
          </cell>
        </row>
        <row r="180">
          <cell r="F180">
            <v>17</v>
          </cell>
        </row>
        <row r="188">
          <cell r="F188">
            <v>17</v>
          </cell>
        </row>
        <row r="197">
          <cell r="F197">
            <v>29</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 (2)"/>
      <sheetName val="Aug 25 BP (2)"/>
      <sheetName val="Order Summary 2"/>
      <sheetName val="Summary MP - BP"/>
      <sheetName val="Apr 25 BP"/>
      <sheetName val="Apr 25 BP (2)"/>
      <sheetName val="May 25 BP Without Shape cutting"/>
      <sheetName val="May 25 BP"/>
      <sheetName val="Jun 25 BP"/>
      <sheetName val="July 25 BP"/>
      <sheetName val="Aug 25 BP"/>
      <sheetName val="Sep 25 BP"/>
      <sheetName val="Oct 25 BP"/>
      <sheetName val="Nov 25 BP"/>
      <sheetName val="Dec 25 BP"/>
      <sheetName val="Jan 26 BP"/>
      <sheetName val="Feb 26 BP"/>
      <sheetName val="Mar 26 BP"/>
      <sheetName val="Printed and non printed"/>
      <sheetName val="Sheet8"/>
      <sheetName val="Order 2"/>
      <sheetName val="Summary RAW"/>
      <sheetName val="Area Rugs Export"/>
      <sheetName val="Bath Rugs Domestic"/>
      <sheetName val="Area Rugs Export 11"/>
      <sheetName val="Bathrugs Domestics 1"/>
      <sheetName val="Order summary"/>
      <sheetName val="Sheet5"/>
    </sheetNames>
    <sheetDataSet>
      <sheetData sheetId="0"/>
      <sheetData sheetId="1"/>
      <sheetData sheetId="2">
        <row r="4">
          <cell r="R4" t="str">
            <v>120x160</v>
          </cell>
          <cell r="S4">
            <v>5829</v>
          </cell>
          <cell r="T4" t="str">
            <v>120</v>
          </cell>
          <cell r="U4" t="str">
            <v>160</v>
          </cell>
          <cell r="V4">
            <v>3035.9375</v>
          </cell>
          <cell r="W4">
            <v>0.77831106498897396</v>
          </cell>
        </row>
        <row r="5">
          <cell r="R5" t="str">
            <v>120x160</v>
          </cell>
          <cell r="S5">
            <v>6167.2</v>
          </cell>
          <cell r="T5" t="str">
            <v>120</v>
          </cell>
          <cell r="U5" t="str">
            <v>160</v>
          </cell>
          <cell r="V5">
            <v>3212.0833333333335</v>
          </cell>
          <cell r="W5">
            <v>0.77831106498897396</v>
          </cell>
        </row>
        <row r="6">
          <cell r="R6" t="str">
            <v>120x170</v>
          </cell>
          <cell r="S6">
            <v>2664.4</v>
          </cell>
          <cell r="T6" t="str">
            <v>120</v>
          </cell>
          <cell r="U6" t="str">
            <v>170</v>
          </cell>
          <cell r="V6">
            <v>1306.0784313725489</v>
          </cell>
          <cell r="W6">
            <v>0</v>
          </cell>
        </row>
        <row r="7">
          <cell r="R7" t="str">
            <v>130x190</v>
          </cell>
          <cell r="S7">
            <v>49400</v>
          </cell>
          <cell r="T7" t="str">
            <v>130</v>
          </cell>
          <cell r="U7" t="str">
            <v>190</v>
          </cell>
          <cell r="V7">
            <v>20000.000000000004</v>
          </cell>
          <cell r="W7">
            <v>0</v>
          </cell>
        </row>
        <row r="8">
          <cell r="R8" t="str">
            <v>150x230</v>
          </cell>
          <cell r="S8">
            <v>18000</v>
          </cell>
          <cell r="T8" t="str">
            <v>150</v>
          </cell>
          <cell r="U8" t="str">
            <v>230</v>
          </cell>
          <cell r="V8">
            <v>5217.3913043478269</v>
          </cell>
          <cell r="W8">
            <v>0</v>
          </cell>
        </row>
        <row r="9">
          <cell r="R9" t="str">
            <v>200x290</v>
          </cell>
          <cell r="S9">
            <v>10424</v>
          </cell>
          <cell r="T9" t="str">
            <v>200</v>
          </cell>
          <cell r="U9" t="str">
            <v>290</v>
          </cell>
          <cell r="V9">
            <v>1797.2413793103449</v>
          </cell>
          <cell r="W9">
            <v>0.66116653875671527</v>
          </cell>
        </row>
        <row r="10">
          <cell r="R10" t="str">
            <v>370X100</v>
          </cell>
          <cell r="S10">
            <v>1000</v>
          </cell>
          <cell r="T10" t="str">
            <v>370</v>
          </cell>
          <cell r="U10" t="str">
            <v>100</v>
          </cell>
          <cell r="V10">
            <v>270.27027027027026</v>
          </cell>
          <cell r="W10">
            <v>0</v>
          </cell>
        </row>
        <row r="11">
          <cell r="R11" t="str">
            <v>371x100</v>
          </cell>
          <cell r="S11">
            <v>15000</v>
          </cell>
          <cell r="T11" t="str">
            <v>371</v>
          </cell>
          <cell r="U11" t="str">
            <v>100</v>
          </cell>
          <cell r="V11">
            <v>4043.1266846361186</v>
          </cell>
          <cell r="W11">
            <v>1</v>
          </cell>
        </row>
        <row r="12">
          <cell r="R12" t="str">
            <v>405x100</v>
          </cell>
          <cell r="S12">
            <v>4000</v>
          </cell>
          <cell r="T12" t="str">
            <v>405</v>
          </cell>
          <cell r="U12" t="str">
            <v>100</v>
          </cell>
          <cell r="V12">
            <v>987.65432098765439</v>
          </cell>
          <cell r="W12">
            <v>1</v>
          </cell>
        </row>
        <row r="13">
          <cell r="R13" t="str">
            <v>50x150</v>
          </cell>
          <cell r="S13">
            <v>9594</v>
          </cell>
          <cell r="T13" t="str">
            <v>50</v>
          </cell>
          <cell r="U13" t="str">
            <v>150</v>
          </cell>
          <cell r="V13">
            <v>12792</v>
          </cell>
          <cell r="W13">
            <v>0</v>
          </cell>
        </row>
        <row r="14">
          <cell r="R14" t="str">
            <v>50x85</v>
          </cell>
          <cell r="S14">
            <v>1909</v>
          </cell>
          <cell r="T14" t="str">
            <v>50</v>
          </cell>
          <cell r="U14" t="str">
            <v>85</v>
          </cell>
          <cell r="V14">
            <v>4491.7647058823532</v>
          </cell>
          <cell r="W14">
            <v>1</v>
          </cell>
        </row>
        <row r="15">
          <cell r="R15" t="str">
            <v>67x107</v>
          </cell>
          <cell r="S15">
            <v>15821</v>
          </cell>
          <cell r="T15" t="str">
            <v>67</v>
          </cell>
          <cell r="U15" t="str">
            <v>107</v>
          </cell>
          <cell r="V15">
            <v>22068.628818524197</v>
          </cell>
          <cell r="W15">
            <v>0</v>
          </cell>
        </row>
        <row r="16">
          <cell r="R16" t="str">
            <v>80x140</v>
          </cell>
          <cell r="S16">
            <v>7487</v>
          </cell>
          <cell r="T16" t="str">
            <v>80</v>
          </cell>
          <cell r="U16" t="str">
            <v>140</v>
          </cell>
          <cell r="V16">
            <v>6684.8214285714294</v>
          </cell>
          <cell r="W16">
            <v>0</v>
          </cell>
        </row>
        <row r="17">
          <cell r="R17" t="str">
            <v>151x213</v>
          </cell>
          <cell r="S17">
            <v>18770</v>
          </cell>
        </row>
        <row r="18">
          <cell r="R18" t="str">
            <v>40x80</v>
          </cell>
          <cell r="S18">
            <v>18391.767199999998</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U3">
            <v>3184.1369999999997</v>
          </cell>
        </row>
        <row r="4">
          <cell r="U4">
            <v>2138.4</v>
          </cell>
        </row>
        <row r="5">
          <cell r="U5">
            <v>2257.1999999999998</v>
          </cell>
        </row>
        <row r="6">
          <cell r="U6">
            <v>3475.2</v>
          </cell>
        </row>
        <row r="7">
          <cell r="U7">
            <v>5193.84</v>
          </cell>
        </row>
        <row r="8">
          <cell r="U8">
            <v>2746.64</v>
          </cell>
        </row>
        <row r="9">
          <cell r="U9">
            <v>5547.5999999999995</v>
          </cell>
        </row>
        <row r="10">
          <cell r="U10">
            <v>10556</v>
          </cell>
        </row>
        <row r="11">
          <cell r="U11">
            <v>2120.1</v>
          </cell>
        </row>
        <row r="12">
          <cell r="U12">
            <v>2712.0099999999998</v>
          </cell>
        </row>
        <row r="13">
          <cell r="U13">
            <v>3568.0499999999997</v>
          </cell>
        </row>
        <row r="14">
          <cell r="U14">
            <v>1505.25</v>
          </cell>
        </row>
        <row r="15">
          <cell r="U15">
            <v>1317.6622000000002</v>
          </cell>
        </row>
        <row r="16">
          <cell r="U16">
            <v>2689.12</v>
          </cell>
        </row>
        <row r="17">
          <cell r="U17">
            <v>592.00000000000011</v>
          </cell>
        </row>
        <row r="18">
          <cell r="U18">
            <v>674.9</v>
          </cell>
        </row>
      </sheetData>
      <sheetData sheetId="21"/>
      <sheetData sheetId="22"/>
      <sheetData sheetId="23"/>
      <sheetData sheetId="24"/>
      <sheetData sheetId="25"/>
      <sheetData sheetId="26"/>
      <sheetData sheetId="27"/>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YN01"/>
      <sheetName val="Yarn"/>
      <sheetName val="T&amp;C01"/>
    </sheetNames>
    <sheetDataSet>
      <sheetData sheetId="0">
        <row r="51">
          <cell r="J51">
            <v>0.94</v>
          </cell>
        </row>
        <row r="63">
          <cell r="J63">
            <v>0.97</v>
          </cell>
        </row>
        <row r="75">
          <cell r="J75">
            <v>0.96</v>
          </cell>
        </row>
        <row r="86">
          <cell r="J86">
            <v>0.7</v>
          </cell>
        </row>
        <row r="96">
          <cell r="J96">
            <v>0.9</v>
          </cell>
        </row>
        <row r="104">
          <cell r="J104">
            <v>400</v>
          </cell>
        </row>
        <row r="106">
          <cell r="J106">
            <v>0.8</v>
          </cell>
        </row>
        <row r="116">
          <cell r="J116">
            <v>0.9</v>
          </cell>
        </row>
        <row r="127">
          <cell r="J127">
            <v>0.8</v>
          </cell>
        </row>
        <row r="141">
          <cell r="J141">
            <v>0.9</v>
          </cell>
        </row>
      </sheetData>
      <sheetData sheetId="1"/>
      <sheetData sheetId="2"/>
      <sheetData sheetId="3"/>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 PL"/>
      <sheetName val="Reconcilation"/>
      <sheetName val="PL TR"/>
      <sheetName val="PL CT"/>
      <sheetName val="PL AR"/>
      <sheetName val="PL WTW"/>
      <sheetName val="Data"/>
      <sheetName val="Assum"/>
      <sheetName val="MC Cap working"/>
      <sheetName val="Digital Printing Cost "/>
      <sheetName val="RM Price"/>
      <sheetName val="Coating Cost"/>
      <sheetName val="Frt SF"/>
      <sheetName val="New Assumption"/>
      <sheetName val="Utility"/>
      <sheetName val="Summary"/>
      <sheetName val="Print cust"/>
      <sheetName val="WIL Vapi Packing Cost"/>
    </sheetNames>
    <sheetDataSet>
      <sheetData sheetId="0" refreshError="1"/>
      <sheetData sheetId="1" refreshError="1"/>
      <sheetData sheetId="2" refreshError="1"/>
      <sheetData sheetId="3" refreshError="1">
        <row r="13">
          <cell r="X13">
            <v>1689.2907399999999</v>
          </cell>
        </row>
      </sheetData>
      <sheetData sheetId="4" refreshError="1">
        <row r="13">
          <cell r="X13">
            <v>2397.2153891453409</v>
          </cell>
        </row>
      </sheetData>
      <sheetData sheetId="5" refreshError="1">
        <row r="13">
          <cell r="X13">
            <v>1780.6355980000001</v>
          </cell>
        </row>
      </sheetData>
      <sheetData sheetId="6" refreshError="1">
        <row r="7">
          <cell r="GF7">
            <v>1328929.1703890339</v>
          </cell>
        </row>
        <row r="8">
          <cell r="MS8" t="str">
            <v>SPI</v>
          </cell>
          <cell r="MW8" t="str">
            <v>M/c</v>
          </cell>
          <cell r="MX8" t="str">
            <v>Tufting Prod</v>
          </cell>
        </row>
        <row r="10">
          <cell r="MS10">
            <v>9</v>
          </cell>
          <cell r="MW10" t="str">
            <v>1/8 Cut pile</v>
          </cell>
          <cell r="MX10">
            <v>19550.941277627298</v>
          </cell>
          <cell r="YG10">
            <v>0</v>
          </cell>
          <cell r="YH10">
            <v>0</v>
          </cell>
          <cell r="YI10">
            <v>0</v>
          </cell>
          <cell r="YJ10">
            <v>0</v>
          </cell>
          <cell r="YK10">
            <v>0</v>
          </cell>
          <cell r="YL10">
            <v>0</v>
          </cell>
          <cell r="YM10">
            <v>0</v>
          </cell>
          <cell r="YN10">
            <v>0</v>
          </cell>
          <cell r="YO10">
            <v>0</v>
          </cell>
          <cell r="YP10">
            <v>0</v>
          </cell>
          <cell r="YQ10">
            <v>0</v>
          </cell>
          <cell r="YR10">
            <v>0</v>
          </cell>
        </row>
        <row r="11">
          <cell r="MS11">
            <v>12</v>
          </cell>
          <cell r="MW11" t="str">
            <v>1/8 Cut pile</v>
          </cell>
          <cell r="MX11">
            <v>10664.193203286823</v>
          </cell>
          <cell r="YG11">
            <v>0</v>
          </cell>
          <cell r="YH11">
            <v>0</v>
          </cell>
          <cell r="YI11">
            <v>0</v>
          </cell>
          <cell r="YJ11">
            <v>0</v>
          </cell>
          <cell r="YK11">
            <v>0</v>
          </cell>
          <cell r="YL11">
            <v>0</v>
          </cell>
          <cell r="YM11">
            <v>0</v>
          </cell>
          <cell r="YN11">
            <v>0</v>
          </cell>
          <cell r="YO11">
            <v>0</v>
          </cell>
          <cell r="YP11">
            <v>0</v>
          </cell>
          <cell r="YQ11">
            <v>0</v>
          </cell>
          <cell r="YR11">
            <v>0</v>
          </cell>
        </row>
        <row r="12">
          <cell r="MS12">
            <v>10.210800000000001</v>
          </cell>
          <cell r="MW12" t="str">
            <v>1/8 Cut pile</v>
          </cell>
          <cell r="MX12">
            <v>20699.513555030866</v>
          </cell>
          <cell r="YG12">
            <v>0</v>
          </cell>
          <cell r="YH12">
            <v>0</v>
          </cell>
          <cell r="YI12">
            <v>0</v>
          </cell>
          <cell r="YJ12">
            <v>0</v>
          </cell>
          <cell r="YK12">
            <v>0</v>
          </cell>
          <cell r="YL12">
            <v>0</v>
          </cell>
          <cell r="YM12">
            <v>0</v>
          </cell>
          <cell r="YN12">
            <v>0</v>
          </cell>
          <cell r="YO12">
            <v>0</v>
          </cell>
          <cell r="YP12">
            <v>0</v>
          </cell>
          <cell r="YQ12">
            <v>0</v>
          </cell>
          <cell r="YR12">
            <v>0</v>
          </cell>
        </row>
        <row r="13">
          <cell r="MS13">
            <v>10.744199999999999</v>
          </cell>
          <cell r="MW13" t="str">
            <v>1/10 Cut pile</v>
          </cell>
          <cell r="MX13">
            <v>28174.337894347569</v>
          </cell>
          <cell r="YG13">
            <v>0</v>
          </cell>
          <cell r="YH13">
            <v>0</v>
          </cell>
          <cell r="YI13">
            <v>0</v>
          </cell>
          <cell r="YJ13">
            <v>0</v>
          </cell>
          <cell r="YK13">
            <v>0</v>
          </cell>
          <cell r="YL13">
            <v>0</v>
          </cell>
          <cell r="YM13">
            <v>0</v>
          </cell>
          <cell r="YN13">
            <v>0</v>
          </cell>
          <cell r="YO13">
            <v>0</v>
          </cell>
          <cell r="YP13">
            <v>0</v>
          </cell>
          <cell r="YQ13">
            <v>0</v>
          </cell>
          <cell r="YR13">
            <v>0</v>
          </cell>
        </row>
        <row r="14">
          <cell r="MS14">
            <v>7.2770999999999999</v>
          </cell>
          <cell r="MW14" t="str">
            <v>3/16 Cut pile</v>
          </cell>
          <cell r="MX14">
            <v>5795.7571756993602</v>
          </cell>
          <cell r="YG14">
            <v>0</v>
          </cell>
          <cell r="YH14">
            <v>0</v>
          </cell>
          <cell r="YI14">
            <v>0</v>
          </cell>
          <cell r="YJ14">
            <v>0</v>
          </cell>
          <cell r="YK14">
            <v>0</v>
          </cell>
          <cell r="YL14">
            <v>0</v>
          </cell>
          <cell r="YM14">
            <v>0</v>
          </cell>
          <cell r="YN14">
            <v>0</v>
          </cell>
          <cell r="YO14">
            <v>0</v>
          </cell>
          <cell r="YP14">
            <v>0</v>
          </cell>
          <cell r="YQ14">
            <v>0</v>
          </cell>
          <cell r="YR14">
            <v>0</v>
          </cell>
        </row>
        <row r="15">
          <cell r="MS15">
            <v>8.89</v>
          </cell>
          <cell r="MW15" t="str">
            <v>1/8 Cut pile</v>
          </cell>
          <cell r="MX15">
            <v>18974.554092111626</v>
          </cell>
          <cell r="YG15">
            <v>0</v>
          </cell>
          <cell r="YH15">
            <v>0</v>
          </cell>
          <cell r="YI15">
            <v>0</v>
          </cell>
          <cell r="YJ15">
            <v>0</v>
          </cell>
          <cell r="YK15">
            <v>0</v>
          </cell>
          <cell r="YL15">
            <v>0</v>
          </cell>
          <cell r="YM15">
            <v>0</v>
          </cell>
          <cell r="YN15">
            <v>0</v>
          </cell>
          <cell r="YO15">
            <v>0</v>
          </cell>
          <cell r="YP15">
            <v>0</v>
          </cell>
          <cell r="YQ15">
            <v>0</v>
          </cell>
          <cell r="YR15">
            <v>0</v>
          </cell>
        </row>
        <row r="16">
          <cell r="MS16">
            <v>12.446000000000002</v>
          </cell>
          <cell r="MW16" t="str">
            <v>1/10 Cut pile</v>
          </cell>
          <cell r="MX16">
            <v>22999.45950558985</v>
          </cell>
          <cell r="YG16">
            <v>0</v>
          </cell>
          <cell r="YH16">
            <v>0</v>
          </cell>
          <cell r="YI16">
            <v>0</v>
          </cell>
          <cell r="YJ16">
            <v>0</v>
          </cell>
          <cell r="YK16">
            <v>0</v>
          </cell>
          <cell r="YL16">
            <v>0</v>
          </cell>
          <cell r="YM16">
            <v>0</v>
          </cell>
          <cell r="YN16">
            <v>0</v>
          </cell>
          <cell r="YO16">
            <v>0</v>
          </cell>
          <cell r="YP16">
            <v>0</v>
          </cell>
          <cell r="YQ16">
            <v>0</v>
          </cell>
          <cell r="YR16">
            <v>0</v>
          </cell>
        </row>
        <row r="17">
          <cell r="MS17">
            <v>7.8740000000000006</v>
          </cell>
          <cell r="MW17" t="str">
            <v>1/8 Cut pile</v>
          </cell>
          <cell r="MX17">
            <v>37374.121696583505</v>
          </cell>
          <cell r="YG17">
            <v>0</v>
          </cell>
          <cell r="YH17">
            <v>0</v>
          </cell>
          <cell r="YI17">
            <v>0</v>
          </cell>
          <cell r="YJ17">
            <v>0</v>
          </cell>
          <cell r="YK17">
            <v>0</v>
          </cell>
          <cell r="YL17">
            <v>0</v>
          </cell>
          <cell r="YM17">
            <v>0</v>
          </cell>
          <cell r="YN17">
            <v>0</v>
          </cell>
          <cell r="YO17">
            <v>0</v>
          </cell>
          <cell r="YP17">
            <v>0</v>
          </cell>
          <cell r="YQ17">
            <v>0</v>
          </cell>
          <cell r="YR17">
            <v>0</v>
          </cell>
        </row>
        <row r="18">
          <cell r="MS18">
            <v>13.843</v>
          </cell>
          <cell r="MW18" t="str">
            <v>1/8 Cut pile</v>
          </cell>
          <cell r="MX18">
            <v>88490.420447756958</v>
          </cell>
          <cell r="YG18">
            <v>0</v>
          </cell>
          <cell r="YH18">
            <v>0</v>
          </cell>
          <cell r="YI18">
            <v>0</v>
          </cell>
          <cell r="YJ18">
            <v>0</v>
          </cell>
          <cell r="YK18">
            <v>0</v>
          </cell>
          <cell r="YL18">
            <v>0</v>
          </cell>
          <cell r="YM18">
            <v>0</v>
          </cell>
          <cell r="YN18">
            <v>0</v>
          </cell>
          <cell r="YO18">
            <v>0</v>
          </cell>
          <cell r="YP18">
            <v>0</v>
          </cell>
          <cell r="YQ18">
            <v>0</v>
          </cell>
          <cell r="YR18">
            <v>0</v>
          </cell>
        </row>
        <row r="19">
          <cell r="MS19">
            <v>11.938000000000001</v>
          </cell>
          <cell r="MW19" t="str">
            <v>1/8 Cut pile</v>
          </cell>
          <cell r="MX19">
            <v>38348.297036187978</v>
          </cell>
          <cell r="YG19">
            <v>0</v>
          </cell>
          <cell r="YH19">
            <v>0</v>
          </cell>
          <cell r="YI19">
            <v>0</v>
          </cell>
          <cell r="YJ19">
            <v>0</v>
          </cell>
          <cell r="YK19">
            <v>0</v>
          </cell>
          <cell r="YL19">
            <v>0</v>
          </cell>
          <cell r="YM19">
            <v>0</v>
          </cell>
          <cell r="YN19">
            <v>0</v>
          </cell>
          <cell r="YO19">
            <v>0</v>
          </cell>
          <cell r="YP19">
            <v>0</v>
          </cell>
          <cell r="YQ19">
            <v>0</v>
          </cell>
          <cell r="YR19">
            <v>0</v>
          </cell>
        </row>
        <row r="20">
          <cell r="MS20">
            <v>9.9060000000000006</v>
          </cell>
          <cell r="MW20" t="str">
            <v>3/16 Cut pile</v>
          </cell>
          <cell r="MX20">
            <v>55639.268886713857</v>
          </cell>
          <cell r="YG20">
            <v>0</v>
          </cell>
          <cell r="YH20">
            <v>0</v>
          </cell>
          <cell r="YI20">
            <v>0</v>
          </cell>
          <cell r="YJ20">
            <v>0</v>
          </cell>
          <cell r="YK20">
            <v>0</v>
          </cell>
          <cell r="YL20">
            <v>0</v>
          </cell>
          <cell r="YM20">
            <v>0</v>
          </cell>
          <cell r="YN20">
            <v>0</v>
          </cell>
          <cell r="YO20">
            <v>0</v>
          </cell>
          <cell r="YP20">
            <v>0</v>
          </cell>
          <cell r="YQ20">
            <v>0</v>
          </cell>
          <cell r="YR20">
            <v>0</v>
          </cell>
        </row>
        <row r="21">
          <cell r="MS21">
            <v>12.827</v>
          </cell>
          <cell r="MW21" t="str">
            <v>1/8 MLCL</v>
          </cell>
          <cell r="MX21">
            <v>6705.4200098247911</v>
          </cell>
          <cell r="YG21">
            <v>0</v>
          </cell>
          <cell r="YH21">
            <v>0</v>
          </cell>
          <cell r="YI21">
            <v>0</v>
          </cell>
          <cell r="YJ21">
            <v>0</v>
          </cell>
          <cell r="YK21">
            <v>0</v>
          </cell>
          <cell r="YL21">
            <v>0</v>
          </cell>
          <cell r="YM21">
            <v>0</v>
          </cell>
          <cell r="YN21">
            <v>0</v>
          </cell>
          <cell r="YO21">
            <v>0</v>
          </cell>
          <cell r="YP21">
            <v>0</v>
          </cell>
          <cell r="YQ21">
            <v>0</v>
          </cell>
          <cell r="YR21">
            <v>0</v>
          </cell>
        </row>
        <row r="22">
          <cell r="MS22">
            <v>12.318999999999999</v>
          </cell>
          <cell r="MW22" t="str">
            <v>1/10 Cut pile</v>
          </cell>
          <cell r="MX22">
            <v>4470.2800065498604</v>
          </cell>
          <cell r="YG22">
            <v>0</v>
          </cell>
          <cell r="YH22">
            <v>0</v>
          </cell>
          <cell r="YI22">
            <v>0</v>
          </cell>
          <cell r="YJ22">
            <v>0</v>
          </cell>
          <cell r="YK22">
            <v>0</v>
          </cell>
          <cell r="YL22">
            <v>0</v>
          </cell>
          <cell r="YM22">
            <v>0</v>
          </cell>
          <cell r="YN22">
            <v>0</v>
          </cell>
          <cell r="YO22">
            <v>0</v>
          </cell>
          <cell r="YP22">
            <v>0</v>
          </cell>
          <cell r="YQ22">
            <v>0</v>
          </cell>
          <cell r="YR22">
            <v>0</v>
          </cell>
        </row>
        <row r="23">
          <cell r="MS23">
            <v>11</v>
          </cell>
          <cell r="MW23" t="str">
            <v>1/10 Cut pile</v>
          </cell>
          <cell r="MX23">
            <v>18838.877517602748</v>
          </cell>
          <cell r="YG23">
            <v>0</v>
          </cell>
          <cell r="YH23">
            <v>0</v>
          </cell>
          <cell r="YI23">
            <v>0</v>
          </cell>
          <cell r="YJ23">
            <v>0</v>
          </cell>
          <cell r="YK23">
            <v>0</v>
          </cell>
          <cell r="YL23">
            <v>0</v>
          </cell>
          <cell r="YM23">
            <v>0</v>
          </cell>
          <cell r="YN23">
            <v>0</v>
          </cell>
          <cell r="YO23">
            <v>0</v>
          </cell>
          <cell r="YP23">
            <v>0</v>
          </cell>
          <cell r="YQ23">
            <v>0</v>
          </cell>
          <cell r="YR23">
            <v>0</v>
          </cell>
        </row>
        <row r="24">
          <cell r="MS24">
            <v>9.9060000000000006</v>
          </cell>
          <cell r="MW24" t="str">
            <v>3/16 Cut pile</v>
          </cell>
          <cell r="MX24">
            <v>16228.120091958208</v>
          </cell>
          <cell r="YG24">
            <v>0</v>
          </cell>
          <cell r="YH24">
            <v>0</v>
          </cell>
          <cell r="YI24">
            <v>0</v>
          </cell>
          <cell r="YJ24">
            <v>0</v>
          </cell>
          <cell r="YK24">
            <v>0</v>
          </cell>
          <cell r="YL24">
            <v>0</v>
          </cell>
          <cell r="YM24">
            <v>0</v>
          </cell>
          <cell r="YN24">
            <v>0</v>
          </cell>
          <cell r="YO24">
            <v>0</v>
          </cell>
          <cell r="YP24">
            <v>0</v>
          </cell>
          <cell r="YQ24">
            <v>0</v>
          </cell>
          <cell r="YR24">
            <v>0</v>
          </cell>
        </row>
        <row r="25">
          <cell r="MS25">
            <v>12.4968</v>
          </cell>
          <cell r="MW25" t="str">
            <v>1/10 Cut pile</v>
          </cell>
          <cell r="MX25">
            <v>32308.490740477344</v>
          </cell>
          <cell r="YG25">
            <v>0</v>
          </cell>
          <cell r="YH25">
            <v>0</v>
          </cell>
          <cell r="YI25">
            <v>0</v>
          </cell>
          <cell r="YJ25">
            <v>0</v>
          </cell>
          <cell r="YK25">
            <v>0</v>
          </cell>
          <cell r="YL25">
            <v>0</v>
          </cell>
          <cell r="YM25">
            <v>0</v>
          </cell>
          <cell r="YN25">
            <v>0</v>
          </cell>
          <cell r="YO25">
            <v>0</v>
          </cell>
          <cell r="YP25">
            <v>0</v>
          </cell>
          <cell r="YQ25">
            <v>0</v>
          </cell>
          <cell r="YR25">
            <v>0</v>
          </cell>
        </row>
        <row r="26">
          <cell r="MS26">
            <v>9.9060000000000006</v>
          </cell>
          <cell r="MW26" t="str">
            <v>3/16 Cut pile</v>
          </cell>
          <cell r="MX26">
            <v>45206.905970455009</v>
          </cell>
          <cell r="YG26">
            <v>0</v>
          </cell>
          <cell r="YH26">
            <v>0</v>
          </cell>
          <cell r="YI26">
            <v>0</v>
          </cell>
          <cell r="YJ26">
            <v>0</v>
          </cell>
          <cell r="YK26">
            <v>0</v>
          </cell>
          <cell r="YL26">
            <v>0</v>
          </cell>
          <cell r="YM26">
            <v>0</v>
          </cell>
          <cell r="YN26">
            <v>0</v>
          </cell>
          <cell r="YO26">
            <v>0</v>
          </cell>
          <cell r="YP26">
            <v>0</v>
          </cell>
          <cell r="YQ26">
            <v>0</v>
          </cell>
          <cell r="YR26">
            <v>0</v>
          </cell>
        </row>
        <row r="27">
          <cell r="MS27">
            <v>12.4968</v>
          </cell>
          <cell r="MW27" t="str">
            <v>1/10 Cut pile</v>
          </cell>
          <cell r="MX27">
            <v>51058.80010240947</v>
          </cell>
          <cell r="YG27">
            <v>0</v>
          </cell>
          <cell r="YH27">
            <v>0</v>
          </cell>
          <cell r="YI27">
            <v>0</v>
          </cell>
          <cell r="YJ27">
            <v>0</v>
          </cell>
          <cell r="YK27">
            <v>0</v>
          </cell>
          <cell r="YL27">
            <v>0</v>
          </cell>
          <cell r="YM27">
            <v>0</v>
          </cell>
          <cell r="YN27">
            <v>0</v>
          </cell>
          <cell r="YO27">
            <v>0</v>
          </cell>
          <cell r="YP27">
            <v>0</v>
          </cell>
          <cell r="YQ27">
            <v>0</v>
          </cell>
          <cell r="YR27">
            <v>0</v>
          </cell>
        </row>
        <row r="28">
          <cell r="MS28">
            <v>9</v>
          </cell>
          <cell r="MW28" t="str">
            <v>3/16 Cut pile</v>
          </cell>
          <cell r="MX28">
            <v>57957.571756993602</v>
          </cell>
          <cell r="YG28">
            <v>0</v>
          </cell>
          <cell r="YH28">
            <v>0</v>
          </cell>
          <cell r="YI28">
            <v>0</v>
          </cell>
          <cell r="YJ28">
            <v>0</v>
          </cell>
          <cell r="YK28">
            <v>0</v>
          </cell>
          <cell r="YL28">
            <v>0</v>
          </cell>
          <cell r="YM28">
            <v>0</v>
          </cell>
          <cell r="YN28">
            <v>0</v>
          </cell>
          <cell r="YO28">
            <v>0</v>
          </cell>
          <cell r="YP28">
            <v>0</v>
          </cell>
          <cell r="YQ28">
            <v>0</v>
          </cell>
          <cell r="YR28">
            <v>0</v>
          </cell>
        </row>
        <row r="29">
          <cell r="MS29">
            <v>8</v>
          </cell>
          <cell r="MW29" t="str">
            <v>1/8 Cut pile</v>
          </cell>
          <cell r="MX29">
            <v>28399.210160926865</v>
          </cell>
          <cell r="YG29">
            <v>0</v>
          </cell>
          <cell r="YH29">
            <v>0</v>
          </cell>
          <cell r="YI29">
            <v>0</v>
          </cell>
          <cell r="YJ29">
            <v>0</v>
          </cell>
          <cell r="YK29">
            <v>0</v>
          </cell>
          <cell r="YL29">
            <v>0</v>
          </cell>
          <cell r="YM29">
            <v>0</v>
          </cell>
          <cell r="YN29">
            <v>0</v>
          </cell>
          <cell r="YO29">
            <v>0</v>
          </cell>
          <cell r="YP29">
            <v>0</v>
          </cell>
          <cell r="YQ29">
            <v>0</v>
          </cell>
          <cell r="YR29">
            <v>0</v>
          </cell>
        </row>
        <row r="30">
          <cell r="MS30">
            <v>7.5</v>
          </cell>
          <cell r="MW30" t="str">
            <v>1/8 Cut pile</v>
          </cell>
          <cell r="MX30">
            <v>38251.99735961578</v>
          </cell>
          <cell r="YG30">
            <v>0</v>
          </cell>
          <cell r="YH30">
            <v>0</v>
          </cell>
          <cell r="YI30">
            <v>0</v>
          </cell>
          <cell r="YJ30">
            <v>0</v>
          </cell>
          <cell r="YK30">
            <v>0</v>
          </cell>
          <cell r="YL30">
            <v>0</v>
          </cell>
          <cell r="YM30">
            <v>0</v>
          </cell>
          <cell r="YN30">
            <v>0</v>
          </cell>
          <cell r="YO30">
            <v>0</v>
          </cell>
          <cell r="YP30">
            <v>0</v>
          </cell>
          <cell r="YQ30">
            <v>0</v>
          </cell>
          <cell r="YR30">
            <v>0</v>
          </cell>
        </row>
        <row r="31">
          <cell r="MS31">
            <v>13</v>
          </cell>
          <cell r="MW31" t="str">
            <v>1/8 Cut pile</v>
          </cell>
          <cell r="MX31">
            <v>31876.664466346483</v>
          </cell>
          <cell r="YG31">
            <v>0</v>
          </cell>
          <cell r="YH31">
            <v>0</v>
          </cell>
          <cell r="YI31">
            <v>0</v>
          </cell>
          <cell r="YJ31">
            <v>0</v>
          </cell>
          <cell r="YK31">
            <v>0</v>
          </cell>
          <cell r="YL31">
            <v>0</v>
          </cell>
          <cell r="YM31">
            <v>0</v>
          </cell>
          <cell r="YN31">
            <v>0</v>
          </cell>
          <cell r="YO31">
            <v>0</v>
          </cell>
          <cell r="YP31">
            <v>0</v>
          </cell>
          <cell r="YQ31">
            <v>0</v>
          </cell>
          <cell r="YR31">
            <v>0</v>
          </cell>
        </row>
        <row r="32">
          <cell r="MS32">
            <v>12.5</v>
          </cell>
          <cell r="MW32" t="str">
            <v>1/10 Cut pile</v>
          </cell>
          <cell r="MX32">
            <v>28978.785878496801</v>
          </cell>
          <cell r="YG32">
            <v>0</v>
          </cell>
          <cell r="YH32">
            <v>0</v>
          </cell>
          <cell r="YI32">
            <v>0</v>
          </cell>
          <cell r="YJ32">
            <v>0</v>
          </cell>
          <cell r="YK32">
            <v>0</v>
          </cell>
          <cell r="YL32">
            <v>0</v>
          </cell>
          <cell r="YM32">
            <v>0</v>
          </cell>
          <cell r="YN32">
            <v>0</v>
          </cell>
          <cell r="YO32">
            <v>0</v>
          </cell>
          <cell r="YP32">
            <v>0</v>
          </cell>
          <cell r="YQ32">
            <v>0</v>
          </cell>
          <cell r="YR32">
            <v>0</v>
          </cell>
        </row>
        <row r="33">
          <cell r="MS33">
            <v>10.668000000000001</v>
          </cell>
          <cell r="MW33" t="str">
            <v>1/8 Cut pile</v>
          </cell>
          <cell r="MX33">
            <v>30819.275737490399</v>
          </cell>
          <cell r="YG33">
            <v>0</v>
          </cell>
          <cell r="YH33">
            <v>0</v>
          </cell>
          <cell r="YI33">
            <v>0</v>
          </cell>
          <cell r="YJ33">
            <v>0</v>
          </cell>
          <cell r="YK33">
            <v>0</v>
          </cell>
          <cell r="YL33">
            <v>0</v>
          </cell>
          <cell r="YM33">
            <v>0</v>
          </cell>
          <cell r="YN33">
            <v>0</v>
          </cell>
          <cell r="YO33">
            <v>0</v>
          </cell>
          <cell r="YP33">
            <v>0</v>
          </cell>
          <cell r="YQ33">
            <v>0</v>
          </cell>
          <cell r="YR33">
            <v>0</v>
          </cell>
        </row>
        <row r="34">
          <cell r="MS34">
            <v>12.192</v>
          </cell>
          <cell r="MW34" t="str">
            <v>1/10 Cut pile</v>
          </cell>
          <cell r="MX34">
            <v>22999.45950558985</v>
          </cell>
          <cell r="YG34">
            <v>0</v>
          </cell>
          <cell r="YH34">
            <v>0</v>
          </cell>
          <cell r="YI34">
            <v>0</v>
          </cell>
          <cell r="YJ34">
            <v>0</v>
          </cell>
          <cell r="YK34">
            <v>0</v>
          </cell>
          <cell r="YL34">
            <v>0</v>
          </cell>
          <cell r="YM34">
            <v>0</v>
          </cell>
          <cell r="YN34">
            <v>0</v>
          </cell>
          <cell r="YO34">
            <v>0</v>
          </cell>
          <cell r="YP34">
            <v>0</v>
          </cell>
          <cell r="YQ34">
            <v>0</v>
          </cell>
          <cell r="YR34">
            <v>0</v>
          </cell>
        </row>
        <row r="35">
          <cell r="MS35">
            <v>9</v>
          </cell>
          <cell r="MW35" t="str">
            <v>3/16 Cut pile</v>
          </cell>
          <cell r="MX35">
            <v>52741.390298864178</v>
          </cell>
          <cell r="YG35">
            <v>0</v>
          </cell>
          <cell r="YH35">
            <v>0</v>
          </cell>
          <cell r="YI35">
            <v>0</v>
          </cell>
          <cell r="YJ35">
            <v>0</v>
          </cell>
          <cell r="YK35">
            <v>0</v>
          </cell>
          <cell r="YL35">
            <v>0</v>
          </cell>
          <cell r="YM35">
            <v>0</v>
          </cell>
          <cell r="YN35">
            <v>0</v>
          </cell>
          <cell r="YO35">
            <v>0</v>
          </cell>
          <cell r="YP35">
            <v>0</v>
          </cell>
          <cell r="YQ35">
            <v>0</v>
          </cell>
          <cell r="YR35">
            <v>0</v>
          </cell>
        </row>
        <row r="36">
          <cell r="MS36">
            <v>11</v>
          </cell>
          <cell r="MW36" t="str">
            <v>1/8 Cut pile</v>
          </cell>
          <cell r="MX36">
            <v>36513.270206905967</v>
          </cell>
          <cell r="YG36">
            <v>0</v>
          </cell>
          <cell r="YH36">
            <v>0</v>
          </cell>
          <cell r="YI36">
            <v>0</v>
          </cell>
          <cell r="YJ36">
            <v>0</v>
          </cell>
          <cell r="YK36">
            <v>0</v>
          </cell>
          <cell r="YL36">
            <v>0</v>
          </cell>
          <cell r="YM36">
            <v>0</v>
          </cell>
          <cell r="YN36">
            <v>0</v>
          </cell>
          <cell r="YO36">
            <v>0</v>
          </cell>
          <cell r="YP36">
            <v>0</v>
          </cell>
          <cell r="YQ36">
            <v>0</v>
          </cell>
          <cell r="YR36">
            <v>0</v>
          </cell>
        </row>
        <row r="37">
          <cell r="MS37">
            <v>13</v>
          </cell>
          <cell r="MW37" t="str">
            <v>1/8 Cut pile</v>
          </cell>
          <cell r="MX37">
            <v>30137.937313636674</v>
          </cell>
          <cell r="YG37">
            <v>0</v>
          </cell>
          <cell r="YH37">
            <v>0</v>
          </cell>
          <cell r="YI37">
            <v>0</v>
          </cell>
          <cell r="YJ37">
            <v>0</v>
          </cell>
          <cell r="YK37">
            <v>0</v>
          </cell>
          <cell r="YL37">
            <v>0</v>
          </cell>
          <cell r="YM37">
            <v>0</v>
          </cell>
          <cell r="YN37">
            <v>0</v>
          </cell>
          <cell r="YO37">
            <v>0</v>
          </cell>
          <cell r="YP37">
            <v>0</v>
          </cell>
          <cell r="YQ37">
            <v>0</v>
          </cell>
          <cell r="YR37">
            <v>0</v>
          </cell>
        </row>
        <row r="38">
          <cell r="MS38">
            <v>11</v>
          </cell>
          <cell r="MW38" t="str">
            <v>1/8 Cut pile</v>
          </cell>
          <cell r="MX38">
            <v>52161.814581294246</v>
          </cell>
          <cell r="YG38">
            <v>0</v>
          </cell>
          <cell r="YH38">
            <v>0</v>
          </cell>
          <cell r="YI38">
            <v>0</v>
          </cell>
          <cell r="YJ38">
            <v>0</v>
          </cell>
          <cell r="YK38">
            <v>0</v>
          </cell>
          <cell r="YL38">
            <v>0</v>
          </cell>
          <cell r="YM38">
            <v>0</v>
          </cell>
          <cell r="YN38">
            <v>0</v>
          </cell>
          <cell r="YO38">
            <v>0</v>
          </cell>
          <cell r="YP38">
            <v>0</v>
          </cell>
          <cell r="YQ38">
            <v>0</v>
          </cell>
          <cell r="YR38">
            <v>0</v>
          </cell>
        </row>
        <row r="39">
          <cell r="MS39">
            <v>11.99896</v>
          </cell>
          <cell r="MW39" t="str">
            <v>1/10 Loop Inf</v>
          </cell>
          <cell r="MX39">
            <v>2682.1680039299163</v>
          </cell>
          <cell r="YG39">
            <v>0</v>
          </cell>
          <cell r="YH39">
            <v>0</v>
          </cell>
          <cell r="YI39">
            <v>0</v>
          </cell>
          <cell r="YJ39">
            <v>0</v>
          </cell>
          <cell r="YK39">
            <v>0</v>
          </cell>
          <cell r="YL39">
            <v>0</v>
          </cell>
          <cell r="YM39">
            <v>0</v>
          </cell>
          <cell r="YN39">
            <v>0</v>
          </cell>
          <cell r="YO39">
            <v>0</v>
          </cell>
          <cell r="YP39">
            <v>0</v>
          </cell>
          <cell r="YQ39">
            <v>0</v>
          </cell>
          <cell r="YR39">
            <v>0</v>
          </cell>
        </row>
        <row r="40">
          <cell r="MS40">
            <v>12.750800000000002</v>
          </cell>
          <cell r="MW40" t="str">
            <v>1/8 MLCL</v>
          </cell>
          <cell r="MX40">
            <v>6705.4200098247911</v>
          </cell>
          <cell r="YG40">
            <v>0</v>
          </cell>
          <cell r="YH40">
            <v>0</v>
          </cell>
          <cell r="YI40">
            <v>0</v>
          </cell>
          <cell r="YJ40">
            <v>0</v>
          </cell>
          <cell r="YK40">
            <v>0</v>
          </cell>
          <cell r="YL40">
            <v>0</v>
          </cell>
          <cell r="YM40">
            <v>0</v>
          </cell>
          <cell r="YN40">
            <v>0</v>
          </cell>
          <cell r="YO40">
            <v>0</v>
          </cell>
          <cell r="YP40">
            <v>0</v>
          </cell>
          <cell r="YQ40">
            <v>0</v>
          </cell>
          <cell r="YR40">
            <v>0</v>
          </cell>
        </row>
        <row r="41">
          <cell r="MS41">
            <v>12.750800000000002</v>
          </cell>
          <cell r="MW41" t="str">
            <v>1/8 MLCL</v>
          </cell>
          <cell r="MX41">
            <v>15087.19502210578</v>
          </cell>
          <cell r="YG41">
            <v>0</v>
          </cell>
          <cell r="YH41">
            <v>0</v>
          </cell>
          <cell r="YI41">
            <v>0</v>
          </cell>
          <cell r="YJ41">
            <v>0</v>
          </cell>
          <cell r="YK41">
            <v>0</v>
          </cell>
          <cell r="YL41">
            <v>0</v>
          </cell>
          <cell r="YM41">
            <v>0</v>
          </cell>
          <cell r="YN41">
            <v>0</v>
          </cell>
          <cell r="YO41">
            <v>0</v>
          </cell>
          <cell r="YP41">
            <v>0</v>
          </cell>
          <cell r="YQ41">
            <v>0</v>
          </cell>
          <cell r="YR41">
            <v>0</v>
          </cell>
        </row>
        <row r="42">
          <cell r="MS42">
            <v>12.065</v>
          </cell>
          <cell r="MW42" t="str">
            <v>1/8 Cut pile</v>
          </cell>
          <cell r="MX42">
            <v>4599.8919011179705</v>
          </cell>
          <cell r="YG42">
            <v>0</v>
          </cell>
          <cell r="YH42">
            <v>0</v>
          </cell>
          <cell r="YI42">
            <v>0</v>
          </cell>
          <cell r="YJ42">
            <v>0</v>
          </cell>
          <cell r="YK42">
            <v>0</v>
          </cell>
          <cell r="YL42">
            <v>0</v>
          </cell>
          <cell r="YM42">
            <v>0</v>
          </cell>
          <cell r="YN42">
            <v>0</v>
          </cell>
          <cell r="YO42">
            <v>0</v>
          </cell>
          <cell r="YP42">
            <v>0</v>
          </cell>
          <cell r="YQ42">
            <v>0</v>
          </cell>
          <cell r="YR42">
            <v>0</v>
          </cell>
        </row>
        <row r="43">
          <cell r="MS43">
            <v>11.176000000000002</v>
          </cell>
          <cell r="MW43" t="str">
            <v>1/8 Cut pile</v>
          </cell>
          <cell r="MX43">
            <v>6705.4200098247911</v>
          </cell>
          <cell r="YG43">
            <v>0</v>
          </cell>
          <cell r="YH43">
            <v>0</v>
          </cell>
          <cell r="YI43">
            <v>0</v>
          </cell>
          <cell r="YJ43">
            <v>0</v>
          </cell>
          <cell r="YK43">
            <v>0</v>
          </cell>
          <cell r="YL43">
            <v>0</v>
          </cell>
          <cell r="YM43">
            <v>0</v>
          </cell>
          <cell r="YN43">
            <v>0</v>
          </cell>
          <cell r="YO43">
            <v>0</v>
          </cell>
          <cell r="YP43">
            <v>0</v>
          </cell>
          <cell r="YQ43">
            <v>0</v>
          </cell>
          <cell r="YR43">
            <v>0</v>
          </cell>
        </row>
        <row r="44">
          <cell r="MS44">
            <v>12.750800000000002</v>
          </cell>
          <cell r="MW44" t="str">
            <v>1/8 MLCL</v>
          </cell>
          <cell r="MX44">
            <v>40232.52005894875</v>
          </cell>
          <cell r="YG44">
            <v>0</v>
          </cell>
          <cell r="YH44">
            <v>0</v>
          </cell>
          <cell r="YI44">
            <v>0</v>
          </cell>
          <cell r="YJ44">
            <v>0</v>
          </cell>
          <cell r="YK44">
            <v>0</v>
          </cell>
          <cell r="YL44">
            <v>0</v>
          </cell>
          <cell r="YM44">
            <v>0</v>
          </cell>
          <cell r="YN44">
            <v>0</v>
          </cell>
          <cell r="YO44">
            <v>0</v>
          </cell>
          <cell r="YP44">
            <v>0</v>
          </cell>
          <cell r="YQ44">
            <v>0</v>
          </cell>
          <cell r="YR44">
            <v>0</v>
          </cell>
        </row>
        <row r="45">
          <cell r="MS45">
            <v>11.938000000000001</v>
          </cell>
          <cell r="MW45" t="str">
            <v>1/8 MLCL</v>
          </cell>
          <cell r="MX45">
            <v>20116.260029474375</v>
          </cell>
          <cell r="YG45">
            <v>0</v>
          </cell>
          <cell r="YH45">
            <v>0</v>
          </cell>
          <cell r="YI45">
            <v>0</v>
          </cell>
          <cell r="YJ45">
            <v>0</v>
          </cell>
          <cell r="YK45">
            <v>0</v>
          </cell>
          <cell r="YL45">
            <v>0</v>
          </cell>
          <cell r="YM45">
            <v>0</v>
          </cell>
          <cell r="YN45">
            <v>0</v>
          </cell>
          <cell r="YO45">
            <v>0</v>
          </cell>
          <cell r="YP45">
            <v>0</v>
          </cell>
          <cell r="YQ45">
            <v>0</v>
          </cell>
          <cell r="YR45">
            <v>0</v>
          </cell>
        </row>
        <row r="46">
          <cell r="MS46">
            <v>13</v>
          </cell>
          <cell r="MW46" t="str">
            <v>1/8 MLCL</v>
          </cell>
          <cell r="MX46">
            <v>13969.625020468315</v>
          </cell>
          <cell r="YG46">
            <v>0</v>
          </cell>
          <cell r="YH46">
            <v>0</v>
          </cell>
          <cell r="YI46">
            <v>0</v>
          </cell>
          <cell r="YJ46">
            <v>0</v>
          </cell>
          <cell r="YK46">
            <v>0</v>
          </cell>
          <cell r="YL46">
            <v>0</v>
          </cell>
          <cell r="YM46">
            <v>0</v>
          </cell>
          <cell r="YN46">
            <v>0</v>
          </cell>
          <cell r="YO46">
            <v>0</v>
          </cell>
          <cell r="YP46">
            <v>0</v>
          </cell>
          <cell r="YQ46">
            <v>0</v>
          </cell>
          <cell r="YR46">
            <v>0</v>
          </cell>
        </row>
        <row r="47">
          <cell r="MS47">
            <v>11</v>
          </cell>
          <cell r="MW47" t="str">
            <v>1/8 Cut pile</v>
          </cell>
          <cell r="MX47">
            <v>13410.840019649582</v>
          </cell>
          <cell r="YG47">
            <v>0</v>
          </cell>
          <cell r="YH47">
            <v>0</v>
          </cell>
          <cell r="YI47">
            <v>0</v>
          </cell>
          <cell r="YJ47">
            <v>0</v>
          </cell>
          <cell r="YK47">
            <v>0</v>
          </cell>
          <cell r="YL47">
            <v>0</v>
          </cell>
          <cell r="YM47">
            <v>0</v>
          </cell>
          <cell r="YN47">
            <v>0</v>
          </cell>
          <cell r="YO47">
            <v>0</v>
          </cell>
          <cell r="YP47">
            <v>0</v>
          </cell>
          <cell r="YQ47">
            <v>0</v>
          </cell>
          <cell r="YR47">
            <v>0</v>
          </cell>
        </row>
        <row r="48">
          <cell r="MS48">
            <v>13.124179999999999</v>
          </cell>
          <cell r="MW48" t="str">
            <v>1/8 Cut pile</v>
          </cell>
          <cell r="MX48">
            <v>14081.382020632062</v>
          </cell>
          <cell r="YG48">
            <v>0</v>
          </cell>
          <cell r="YH48">
            <v>0</v>
          </cell>
          <cell r="YI48">
            <v>0</v>
          </cell>
          <cell r="YJ48">
            <v>0</v>
          </cell>
          <cell r="YK48">
            <v>0</v>
          </cell>
          <cell r="YL48">
            <v>0</v>
          </cell>
          <cell r="YM48">
            <v>0</v>
          </cell>
          <cell r="YN48">
            <v>0</v>
          </cell>
          <cell r="YO48">
            <v>0</v>
          </cell>
          <cell r="YP48">
            <v>0</v>
          </cell>
          <cell r="YQ48">
            <v>0</v>
          </cell>
          <cell r="YR48">
            <v>0</v>
          </cell>
        </row>
        <row r="49">
          <cell r="MS49">
            <v>12.953999999999999</v>
          </cell>
          <cell r="MW49" t="str">
            <v>1/8 Cut pile</v>
          </cell>
          <cell r="MX49">
            <v>13410.840019649582</v>
          </cell>
          <cell r="YG49">
            <v>0</v>
          </cell>
          <cell r="YH49">
            <v>0</v>
          </cell>
          <cell r="YI49">
            <v>0</v>
          </cell>
          <cell r="YJ49">
            <v>0</v>
          </cell>
          <cell r="YK49">
            <v>0</v>
          </cell>
          <cell r="YL49">
            <v>0</v>
          </cell>
          <cell r="YM49">
            <v>0</v>
          </cell>
          <cell r="YN49">
            <v>0</v>
          </cell>
          <cell r="YO49">
            <v>0</v>
          </cell>
          <cell r="YP49">
            <v>0</v>
          </cell>
          <cell r="YQ49">
            <v>0</v>
          </cell>
          <cell r="YR49">
            <v>0</v>
          </cell>
        </row>
        <row r="50">
          <cell r="MS50">
            <v>11.176000000000002</v>
          </cell>
          <cell r="MW50" t="str">
            <v>1/8 Cut pile</v>
          </cell>
          <cell r="MX50">
            <v>6705.4200098247911</v>
          </cell>
          <cell r="YG50">
            <v>0</v>
          </cell>
          <cell r="YH50">
            <v>0</v>
          </cell>
          <cell r="YI50">
            <v>0</v>
          </cell>
          <cell r="YJ50">
            <v>0</v>
          </cell>
          <cell r="YK50">
            <v>0</v>
          </cell>
          <cell r="YL50">
            <v>0</v>
          </cell>
          <cell r="YM50">
            <v>0</v>
          </cell>
          <cell r="YN50">
            <v>0</v>
          </cell>
          <cell r="YO50">
            <v>0</v>
          </cell>
          <cell r="YP50">
            <v>0</v>
          </cell>
          <cell r="YQ50">
            <v>0</v>
          </cell>
          <cell r="YR50">
            <v>0</v>
          </cell>
        </row>
        <row r="51">
          <cell r="MS51">
            <v>12.065</v>
          </cell>
          <cell r="MW51" t="str">
            <v>1/8 Cut pile</v>
          </cell>
          <cell r="MX51">
            <v>2235.1400032749302</v>
          </cell>
          <cell r="YG51">
            <v>0</v>
          </cell>
          <cell r="YH51">
            <v>0</v>
          </cell>
          <cell r="YI51">
            <v>0</v>
          </cell>
          <cell r="YJ51">
            <v>0</v>
          </cell>
          <cell r="YK51">
            <v>0</v>
          </cell>
          <cell r="YL51">
            <v>0</v>
          </cell>
          <cell r="YM51">
            <v>0</v>
          </cell>
          <cell r="YN51">
            <v>0</v>
          </cell>
          <cell r="YO51">
            <v>0</v>
          </cell>
          <cell r="YP51">
            <v>0</v>
          </cell>
          <cell r="YQ51">
            <v>0</v>
          </cell>
          <cell r="YR51">
            <v>0</v>
          </cell>
        </row>
        <row r="52">
          <cell r="MS52">
            <v>12.2682</v>
          </cell>
          <cell r="MW52" t="str">
            <v>1/10 Cut pile</v>
          </cell>
          <cell r="MX52">
            <v>6034.8780088423118</v>
          </cell>
          <cell r="YG52">
            <v>0</v>
          </cell>
          <cell r="YH52">
            <v>0</v>
          </cell>
          <cell r="YI52">
            <v>0</v>
          </cell>
          <cell r="YJ52">
            <v>0</v>
          </cell>
          <cell r="YK52">
            <v>0</v>
          </cell>
          <cell r="YL52">
            <v>0</v>
          </cell>
          <cell r="YM52">
            <v>0</v>
          </cell>
          <cell r="YN52">
            <v>0</v>
          </cell>
          <cell r="YO52">
            <v>0</v>
          </cell>
          <cell r="YP52">
            <v>0</v>
          </cell>
          <cell r="YQ52">
            <v>0</v>
          </cell>
          <cell r="YR52">
            <v>0</v>
          </cell>
        </row>
        <row r="53">
          <cell r="MS53">
            <v>13.614400000000002</v>
          </cell>
          <cell r="MW53" t="str">
            <v>1/10 Cut pile</v>
          </cell>
          <cell r="MX53">
            <v>6705.4200098247911</v>
          </cell>
          <cell r="YG53">
            <v>0</v>
          </cell>
          <cell r="YH53">
            <v>0</v>
          </cell>
          <cell r="YI53">
            <v>0</v>
          </cell>
          <cell r="YJ53">
            <v>0</v>
          </cell>
          <cell r="YK53">
            <v>2235.1400032749302</v>
          </cell>
          <cell r="YL53">
            <v>0</v>
          </cell>
          <cell r="YM53">
            <v>0</v>
          </cell>
          <cell r="YN53">
            <v>2235.1400032749302</v>
          </cell>
          <cell r="YO53">
            <v>0</v>
          </cell>
          <cell r="YP53">
            <v>0</v>
          </cell>
          <cell r="YQ53">
            <v>2235.1400032749302</v>
          </cell>
          <cell r="YR53">
            <v>0</v>
          </cell>
        </row>
        <row r="54">
          <cell r="MS54">
            <v>6</v>
          </cell>
          <cell r="MW54" t="str">
            <v>1/10 Cut pile</v>
          </cell>
          <cell r="MX54">
            <v>11175.700016374652</v>
          </cell>
          <cell r="YG54">
            <v>0</v>
          </cell>
          <cell r="YH54">
            <v>0</v>
          </cell>
          <cell r="YI54">
            <v>0</v>
          </cell>
          <cell r="YJ54">
            <v>0</v>
          </cell>
          <cell r="YK54">
            <v>2235.1400032749307</v>
          </cell>
          <cell r="YL54">
            <v>0</v>
          </cell>
          <cell r="YM54">
            <v>2235.1400032749307</v>
          </cell>
          <cell r="YN54">
            <v>0</v>
          </cell>
          <cell r="YO54">
            <v>2235.1400032749307</v>
          </cell>
          <cell r="YP54">
            <v>0</v>
          </cell>
          <cell r="YQ54">
            <v>2235.1400032749307</v>
          </cell>
          <cell r="YR54">
            <v>2235.1400032749307</v>
          </cell>
        </row>
        <row r="55">
          <cell r="MS55">
            <v>13.1572</v>
          </cell>
          <cell r="MW55" t="str">
            <v>1/8 MLCL</v>
          </cell>
          <cell r="MX55">
            <v>26821.680039299164</v>
          </cell>
          <cell r="YG55">
            <v>0</v>
          </cell>
          <cell r="YH55">
            <v>0</v>
          </cell>
          <cell r="YI55">
            <v>0</v>
          </cell>
          <cell r="YJ55">
            <v>0</v>
          </cell>
          <cell r="YK55">
            <v>0</v>
          </cell>
          <cell r="YL55">
            <v>0</v>
          </cell>
          <cell r="YM55">
            <v>0</v>
          </cell>
          <cell r="YN55">
            <v>0</v>
          </cell>
          <cell r="YO55">
            <v>0</v>
          </cell>
          <cell r="YP55">
            <v>0</v>
          </cell>
          <cell r="YQ55">
            <v>0</v>
          </cell>
          <cell r="YR55">
            <v>0</v>
          </cell>
        </row>
        <row r="56">
          <cell r="MS56">
            <v>11.938000000000001</v>
          </cell>
          <cell r="MW56" t="str">
            <v>1/8 MLCL</v>
          </cell>
          <cell r="MX56">
            <v>4470.2800065498604</v>
          </cell>
          <cell r="YG56">
            <v>0</v>
          </cell>
          <cell r="YH56">
            <v>0</v>
          </cell>
          <cell r="YI56">
            <v>0</v>
          </cell>
          <cell r="YJ56">
            <v>0</v>
          </cell>
          <cell r="YK56">
            <v>0</v>
          </cell>
          <cell r="YL56">
            <v>0</v>
          </cell>
          <cell r="YM56">
            <v>0</v>
          </cell>
          <cell r="YN56">
            <v>0</v>
          </cell>
          <cell r="YO56">
            <v>0</v>
          </cell>
          <cell r="YP56">
            <v>0</v>
          </cell>
          <cell r="YQ56">
            <v>0</v>
          </cell>
          <cell r="YR56">
            <v>0</v>
          </cell>
        </row>
        <row r="57">
          <cell r="MS57">
            <v>11.2776</v>
          </cell>
          <cell r="MW57" t="str">
            <v>1/8 Cut pile</v>
          </cell>
          <cell r="MX57">
            <v>31850.745046667758</v>
          </cell>
          <cell r="YG57">
            <v>0</v>
          </cell>
          <cell r="YH57">
            <v>0</v>
          </cell>
          <cell r="YI57">
            <v>0</v>
          </cell>
          <cell r="YJ57">
            <v>0</v>
          </cell>
          <cell r="YK57">
            <v>0</v>
          </cell>
          <cell r="YL57">
            <v>0</v>
          </cell>
          <cell r="YM57">
            <v>0</v>
          </cell>
          <cell r="YN57">
            <v>0</v>
          </cell>
          <cell r="YO57">
            <v>0</v>
          </cell>
          <cell r="YP57">
            <v>0</v>
          </cell>
          <cell r="YQ57">
            <v>0</v>
          </cell>
          <cell r="YR57">
            <v>0</v>
          </cell>
        </row>
        <row r="58">
          <cell r="MS58">
            <v>11.8872</v>
          </cell>
          <cell r="MW58" t="str">
            <v>1/10 Cut pile</v>
          </cell>
          <cell r="MX58">
            <v>15645.980022924512</v>
          </cell>
          <cell r="YG58">
            <v>0</v>
          </cell>
          <cell r="YH58">
            <v>0</v>
          </cell>
          <cell r="YI58">
            <v>0</v>
          </cell>
          <cell r="YJ58">
            <v>0</v>
          </cell>
          <cell r="YK58">
            <v>0</v>
          </cell>
          <cell r="YL58">
            <v>0</v>
          </cell>
          <cell r="YM58">
            <v>0</v>
          </cell>
          <cell r="YN58">
            <v>0</v>
          </cell>
          <cell r="YO58">
            <v>0</v>
          </cell>
          <cell r="YP58">
            <v>0</v>
          </cell>
          <cell r="YQ58">
            <v>0</v>
          </cell>
          <cell r="YR58">
            <v>0</v>
          </cell>
        </row>
        <row r="59">
          <cell r="MS59">
            <v>11.938000000000001</v>
          </cell>
          <cell r="MW59" t="str">
            <v>1/8 Cut pile</v>
          </cell>
          <cell r="MX59">
            <v>15645.980022924512</v>
          </cell>
          <cell r="YG59">
            <v>0</v>
          </cell>
          <cell r="YH59">
            <v>0</v>
          </cell>
          <cell r="YI59">
            <v>0</v>
          </cell>
          <cell r="YJ59">
            <v>0</v>
          </cell>
          <cell r="YK59">
            <v>0</v>
          </cell>
          <cell r="YL59">
            <v>0</v>
          </cell>
          <cell r="YM59">
            <v>0</v>
          </cell>
          <cell r="YN59">
            <v>0</v>
          </cell>
          <cell r="YO59">
            <v>0</v>
          </cell>
          <cell r="YP59">
            <v>0</v>
          </cell>
          <cell r="YQ59">
            <v>0</v>
          </cell>
          <cell r="YR59">
            <v>0</v>
          </cell>
        </row>
        <row r="60">
          <cell r="MS60">
            <v>12.318999999999999</v>
          </cell>
          <cell r="MW60" t="str">
            <v>1/10 Cut pile</v>
          </cell>
          <cell r="MX60">
            <v>26821.680039299164</v>
          </cell>
          <cell r="YG60">
            <v>0</v>
          </cell>
          <cell r="YH60">
            <v>0</v>
          </cell>
          <cell r="YI60">
            <v>0</v>
          </cell>
          <cell r="YJ60">
            <v>0</v>
          </cell>
          <cell r="YK60">
            <v>0</v>
          </cell>
          <cell r="YL60">
            <v>0</v>
          </cell>
          <cell r="YM60">
            <v>0</v>
          </cell>
          <cell r="YN60">
            <v>0</v>
          </cell>
          <cell r="YO60">
            <v>0</v>
          </cell>
          <cell r="YP60">
            <v>0</v>
          </cell>
          <cell r="YQ60">
            <v>0</v>
          </cell>
          <cell r="YR60">
            <v>0</v>
          </cell>
        </row>
        <row r="61">
          <cell r="MS61">
            <v>9.7281999999999993</v>
          </cell>
          <cell r="MW61" t="str">
            <v>1/10 Cut pile</v>
          </cell>
          <cell r="MX61">
            <v>11175.700016374652</v>
          </cell>
          <cell r="YG61">
            <v>0</v>
          </cell>
          <cell r="YH61">
            <v>0</v>
          </cell>
          <cell r="YI61">
            <v>0</v>
          </cell>
          <cell r="YJ61">
            <v>0</v>
          </cell>
          <cell r="YK61">
            <v>0</v>
          </cell>
          <cell r="YL61">
            <v>0</v>
          </cell>
          <cell r="YM61">
            <v>0</v>
          </cell>
          <cell r="YN61">
            <v>0</v>
          </cell>
          <cell r="YO61">
            <v>0</v>
          </cell>
          <cell r="YP61">
            <v>0</v>
          </cell>
          <cell r="YQ61">
            <v>0</v>
          </cell>
          <cell r="YR61">
            <v>0</v>
          </cell>
        </row>
        <row r="62">
          <cell r="MS62">
            <v>14.986000000000001</v>
          </cell>
          <cell r="MW62" t="str">
            <v>3/16 Cut pile</v>
          </cell>
          <cell r="MX62">
            <v>5029.0650073685938</v>
          </cell>
          <cell r="YG62">
            <v>0</v>
          </cell>
          <cell r="YH62">
            <v>0</v>
          </cell>
          <cell r="YI62">
            <v>0</v>
          </cell>
          <cell r="YJ62">
            <v>0</v>
          </cell>
          <cell r="YK62">
            <v>0</v>
          </cell>
          <cell r="YL62">
            <v>0</v>
          </cell>
          <cell r="YM62">
            <v>0</v>
          </cell>
          <cell r="YN62">
            <v>0</v>
          </cell>
          <cell r="YO62">
            <v>0</v>
          </cell>
          <cell r="YP62">
            <v>0</v>
          </cell>
          <cell r="YQ62">
            <v>0</v>
          </cell>
          <cell r="YR62">
            <v>0</v>
          </cell>
        </row>
        <row r="63">
          <cell r="MS63">
            <v>12.827</v>
          </cell>
          <cell r="MW63" t="str">
            <v>1/8 MLCL</v>
          </cell>
          <cell r="MX63">
            <v>3352.7100049123956</v>
          </cell>
          <cell r="YG63">
            <v>0</v>
          </cell>
          <cell r="YH63">
            <v>0</v>
          </cell>
          <cell r="YI63">
            <v>0</v>
          </cell>
          <cell r="YJ63">
            <v>0</v>
          </cell>
          <cell r="YK63">
            <v>0</v>
          </cell>
          <cell r="YL63">
            <v>0</v>
          </cell>
          <cell r="YM63">
            <v>0</v>
          </cell>
          <cell r="YN63">
            <v>0</v>
          </cell>
          <cell r="YO63">
            <v>0</v>
          </cell>
          <cell r="YP63">
            <v>0</v>
          </cell>
          <cell r="YQ63">
            <v>0</v>
          </cell>
          <cell r="YR63">
            <v>0</v>
          </cell>
        </row>
        <row r="64">
          <cell r="MS64">
            <v>12.953999999999999</v>
          </cell>
          <cell r="MW64" t="str">
            <v>1/8 Cut pile</v>
          </cell>
          <cell r="MX64">
            <v>10058.130014737188</v>
          </cell>
          <cell r="YG64">
            <v>0</v>
          </cell>
          <cell r="YH64">
            <v>0</v>
          </cell>
          <cell r="YI64">
            <v>0</v>
          </cell>
          <cell r="YJ64">
            <v>0</v>
          </cell>
          <cell r="YK64">
            <v>0</v>
          </cell>
          <cell r="YL64">
            <v>0</v>
          </cell>
          <cell r="YM64">
            <v>0</v>
          </cell>
          <cell r="YN64">
            <v>0</v>
          </cell>
          <cell r="YO64">
            <v>0</v>
          </cell>
          <cell r="YP64">
            <v>0</v>
          </cell>
          <cell r="YQ64">
            <v>0</v>
          </cell>
          <cell r="YR64">
            <v>0</v>
          </cell>
        </row>
        <row r="65">
          <cell r="MS65">
            <v>13.124179999999999</v>
          </cell>
          <cell r="MW65" t="str">
            <v>1/8 Cut pile</v>
          </cell>
          <cell r="MX65">
            <v>11175.700016374652</v>
          </cell>
          <cell r="YG65">
            <v>0</v>
          </cell>
          <cell r="YH65">
            <v>0</v>
          </cell>
          <cell r="YI65">
            <v>0</v>
          </cell>
          <cell r="YJ65">
            <v>0</v>
          </cell>
          <cell r="YK65">
            <v>0</v>
          </cell>
          <cell r="YL65">
            <v>0</v>
          </cell>
          <cell r="YM65">
            <v>0</v>
          </cell>
          <cell r="YN65">
            <v>0</v>
          </cell>
          <cell r="YO65">
            <v>0</v>
          </cell>
          <cell r="YP65">
            <v>0</v>
          </cell>
          <cell r="YQ65">
            <v>0</v>
          </cell>
          <cell r="YR65">
            <v>0</v>
          </cell>
        </row>
        <row r="66">
          <cell r="MS66">
            <v>12.827</v>
          </cell>
          <cell r="MW66" t="str">
            <v>1/8 MLCL</v>
          </cell>
          <cell r="MX66">
            <v>10728.672015719665</v>
          </cell>
          <cell r="YG66">
            <v>0</v>
          </cell>
          <cell r="YH66">
            <v>0</v>
          </cell>
          <cell r="YI66">
            <v>0</v>
          </cell>
          <cell r="YJ66">
            <v>0</v>
          </cell>
          <cell r="YK66">
            <v>0</v>
          </cell>
          <cell r="YL66">
            <v>0</v>
          </cell>
          <cell r="YM66">
            <v>0</v>
          </cell>
          <cell r="YN66">
            <v>0</v>
          </cell>
          <cell r="YO66">
            <v>0</v>
          </cell>
          <cell r="YP66">
            <v>0</v>
          </cell>
          <cell r="YQ66">
            <v>0</v>
          </cell>
          <cell r="YR66">
            <v>0</v>
          </cell>
        </row>
        <row r="67">
          <cell r="MS67">
            <v>9.1440000000000001</v>
          </cell>
          <cell r="MW67" t="str">
            <v>1/8 MLCL</v>
          </cell>
          <cell r="MX67">
            <v>7152.4480104797776</v>
          </cell>
          <cell r="YG67">
            <v>0</v>
          </cell>
          <cell r="YH67">
            <v>0</v>
          </cell>
          <cell r="YI67">
            <v>0</v>
          </cell>
          <cell r="YJ67">
            <v>0</v>
          </cell>
          <cell r="YK67">
            <v>0</v>
          </cell>
          <cell r="YL67">
            <v>0</v>
          </cell>
          <cell r="YM67">
            <v>0</v>
          </cell>
          <cell r="YN67">
            <v>0</v>
          </cell>
          <cell r="YO67">
            <v>0</v>
          </cell>
          <cell r="YP67">
            <v>0</v>
          </cell>
          <cell r="YQ67">
            <v>0</v>
          </cell>
          <cell r="YR67">
            <v>0</v>
          </cell>
        </row>
        <row r="68">
          <cell r="MS68">
            <v>11.176000000000002</v>
          </cell>
          <cell r="MW68" t="str">
            <v>1/10 Cut pile</v>
          </cell>
          <cell r="MX68">
            <v>7152.4480104797776</v>
          </cell>
          <cell r="YG68">
            <v>0</v>
          </cell>
          <cell r="YH68">
            <v>0</v>
          </cell>
          <cell r="YI68">
            <v>0</v>
          </cell>
          <cell r="YJ68">
            <v>0</v>
          </cell>
          <cell r="YK68">
            <v>0</v>
          </cell>
          <cell r="YL68">
            <v>0</v>
          </cell>
          <cell r="YM68">
            <v>0</v>
          </cell>
          <cell r="YN68">
            <v>0</v>
          </cell>
          <cell r="YO68">
            <v>0</v>
          </cell>
          <cell r="YP68">
            <v>0</v>
          </cell>
          <cell r="YQ68">
            <v>0</v>
          </cell>
          <cell r="YR68">
            <v>0</v>
          </cell>
        </row>
        <row r="69">
          <cell r="MS69">
            <v>11.871960000000001</v>
          </cell>
          <cell r="MW69" t="str">
            <v>1/10 Cut pile</v>
          </cell>
          <cell r="MX69">
            <v>7599.4760111347632</v>
          </cell>
          <cell r="YG69">
            <v>0</v>
          </cell>
          <cell r="YH69">
            <v>0</v>
          </cell>
          <cell r="YI69">
            <v>0</v>
          </cell>
          <cell r="YJ69">
            <v>0</v>
          </cell>
          <cell r="YK69">
            <v>0</v>
          </cell>
          <cell r="YL69">
            <v>0</v>
          </cell>
          <cell r="YM69">
            <v>0</v>
          </cell>
          <cell r="YN69">
            <v>0</v>
          </cell>
          <cell r="YO69">
            <v>0</v>
          </cell>
          <cell r="YP69">
            <v>0</v>
          </cell>
          <cell r="YQ69">
            <v>0</v>
          </cell>
          <cell r="YR69">
            <v>0</v>
          </cell>
        </row>
        <row r="70">
          <cell r="MS70">
            <v>12.192</v>
          </cell>
          <cell r="MW70" t="str">
            <v>1/10 Cut pile</v>
          </cell>
          <cell r="MX70">
            <v>8940.5600130997209</v>
          </cell>
          <cell r="YG70">
            <v>0</v>
          </cell>
          <cell r="YH70">
            <v>0</v>
          </cell>
          <cell r="YI70">
            <v>0</v>
          </cell>
          <cell r="YJ70">
            <v>0</v>
          </cell>
          <cell r="YK70">
            <v>0</v>
          </cell>
          <cell r="YL70">
            <v>0</v>
          </cell>
          <cell r="YM70">
            <v>0</v>
          </cell>
          <cell r="YN70">
            <v>0</v>
          </cell>
          <cell r="YO70">
            <v>0</v>
          </cell>
          <cell r="YP70">
            <v>0</v>
          </cell>
          <cell r="YQ70">
            <v>0</v>
          </cell>
          <cell r="YR70">
            <v>0</v>
          </cell>
        </row>
        <row r="71">
          <cell r="MS71">
            <v>10.16</v>
          </cell>
          <cell r="MW71" t="str">
            <v>1/8 MLCL</v>
          </cell>
          <cell r="MX71">
            <v>5029.0650073685938</v>
          </cell>
          <cell r="YG71">
            <v>0</v>
          </cell>
          <cell r="YH71">
            <v>0</v>
          </cell>
          <cell r="YI71">
            <v>0</v>
          </cell>
          <cell r="YJ71">
            <v>0</v>
          </cell>
          <cell r="YK71">
            <v>0</v>
          </cell>
          <cell r="YL71">
            <v>0</v>
          </cell>
          <cell r="YM71">
            <v>0</v>
          </cell>
          <cell r="YN71">
            <v>0</v>
          </cell>
          <cell r="YO71">
            <v>0</v>
          </cell>
          <cell r="YP71">
            <v>0</v>
          </cell>
          <cell r="YQ71">
            <v>0</v>
          </cell>
          <cell r="YR71">
            <v>0</v>
          </cell>
        </row>
        <row r="72">
          <cell r="MS72">
            <v>10.16</v>
          </cell>
          <cell r="MW72" t="str">
            <v>1/8 MLCL</v>
          </cell>
          <cell r="MX72">
            <v>5029.0650073685938</v>
          </cell>
          <cell r="YG72">
            <v>0</v>
          </cell>
          <cell r="YH72">
            <v>0</v>
          </cell>
          <cell r="YI72">
            <v>0</v>
          </cell>
          <cell r="YJ72">
            <v>0</v>
          </cell>
          <cell r="YK72">
            <v>0</v>
          </cell>
          <cell r="YL72">
            <v>0</v>
          </cell>
          <cell r="YM72">
            <v>0</v>
          </cell>
          <cell r="YN72">
            <v>0</v>
          </cell>
          <cell r="YO72">
            <v>0</v>
          </cell>
          <cell r="YP72">
            <v>0</v>
          </cell>
          <cell r="YQ72">
            <v>0</v>
          </cell>
          <cell r="YR72">
            <v>0</v>
          </cell>
        </row>
        <row r="73">
          <cell r="MS73">
            <v>13.1572</v>
          </cell>
          <cell r="MW73" t="str">
            <v>1/8 MLCL</v>
          </cell>
          <cell r="MX73">
            <v>3911.495005731128</v>
          </cell>
          <cell r="YG73">
            <v>0</v>
          </cell>
          <cell r="YH73">
            <v>0</v>
          </cell>
          <cell r="YI73">
            <v>0</v>
          </cell>
          <cell r="YJ73">
            <v>0</v>
          </cell>
          <cell r="YK73">
            <v>0</v>
          </cell>
          <cell r="YL73">
            <v>0</v>
          </cell>
          <cell r="YM73">
            <v>0</v>
          </cell>
          <cell r="YN73">
            <v>0</v>
          </cell>
          <cell r="YO73">
            <v>0</v>
          </cell>
          <cell r="YP73">
            <v>0</v>
          </cell>
          <cell r="YQ73">
            <v>0</v>
          </cell>
          <cell r="YR73">
            <v>0</v>
          </cell>
        </row>
        <row r="74">
          <cell r="MS74">
            <v>13.1572</v>
          </cell>
          <cell r="MW74" t="str">
            <v>1/8 MLCL</v>
          </cell>
          <cell r="MX74">
            <v>3911.495005731128</v>
          </cell>
          <cell r="YG74">
            <v>0</v>
          </cell>
          <cell r="YH74">
            <v>0</v>
          </cell>
          <cell r="YI74">
            <v>0</v>
          </cell>
          <cell r="YJ74">
            <v>0</v>
          </cell>
          <cell r="YK74">
            <v>0</v>
          </cell>
          <cell r="YL74">
            <v>0</v>
          </cell>
          <cell r="YM74">
            <v>0</v>
          </cell>
          <cell r="YN74">
            <v>0</v>
          </cell>
          <cell r="YO74">
            <v>0</v>
          </cell>
          <cell r="YP74">
            <v>0</v>
          </cell>
          <cell r="YQ74">
            <v>0</v>
          </cell>
          <cell r="YR74">
            <v>0</v>
          </cell>
        </row>
        <row r="75">
          <cell r="MS75">
            <v>6</v>
          </cell>
          <cell r="MW75" t="str">
            <v>1/10 Cut pile</v>
          </cell>
          <cell r="MX75">
            <v>1.1175700016374652</v>
          </cell>
          <cell r="YG75">
            <v>1.1175700016374652</v>
          </cell>
          <cell r="YH75">
            <v>0</v>
          </cell>
          <cell r="YI75">
            <v>0</v>
          </cell>
          <cell r="YJ75">
            <v>0</v>
          </cell>
          <cell r="YK75">
            <v>0</v>
          </cell>
          <cell r="YL75">
            <v>0</v>
          </cell>
          <cell r="YM75">
            <v>0</v>
          </cell>
          <cell r="YN75">
            <v>0</v>
          </cell>
          <cell r="YO75">
            <v>0</v>
          </cell>
          <cell r="YP75">
            <v>0</v>
          </cell>
          <cell r="YQ75">
            <v>0</v>
          </cell>
          <cell r="YR75">
            <v>0</v>
          </cell>
        </row>
        <row r="76">
          <cell r="MS76">
            <v>11.683999999999999</v>
          </cell>
          <cell r="MW76" t="str">
            <v>1/10 Cut pile</v>
          </cell>
          <cell r="MX76">
            <v>11734.485017193385</v>
          </cell>
          <cell r="YG76">
            <v>0</v>
          </cell>
          <cell r="YH76">
            <v>0</v>
          </cell>
          <cell r="YI76">
            <v>2793.9250040936631</v>
          </cell>
          <cell r="YJ76">
            <v>0</v>
          </cell>
          <cell r="YK76">
            <v>3352.7100049123956</v>
          </cell>
          <cell r="YL76">
            <v>0</v>
          </cell>
          <cell r="YM76">
            <v>0</v>
          </cell>
          <cell r="YN76">
            <v>0</v>
          </cell>
          <cell r="YO76">
            <v>5587.8500081873262</v>
          </cell>
          <cell r="YP76">
            <v>0</v>
          </cell>
          <cell r="YQ76">
            <v>0</v>
          </cell>
          <cell r="YR76">
            <v>0</v>
          </cell>
        </row>
        <row r="77">
          <cell r="MS77">
            <v>14</v>
          </cell>
          <cell r="MW77" t="str">
            <v>1/8 Cut pile</v>
          </cell>
          <cell r="MX77">
            <v>3352.7100049123956</v>
          </cell>
          <cell r="YG77">
            <v>0</v>
          </cell>
          <cell r="YH77">
            <v>0</v>
          </cell>
          <cell r="YI77">
            <v>0</v>
          </cell>
          <cell r="YJ77">
            <v>0</v>
          </cell>
          <cell r="YK77">
            <v>0</v>
          </cell>
          <cell r="YL77">
            <v>0</v>
          </cell>
          <cell r="YM77">
            <v>0</v>
          </cell>
          <cell r="YN77">
            <v>0</v>
          </cell>
          <cell r="YO77">
            <v>0</v>
          </cell>
          <cell r="YP77">
            <v>0</v>
          </cell>
          <cell r="YQ77">
            <v>0</v>
          </cell>
          <cell r="YR77">
            <v>0</v>
          </cell>
        </row>
        <row r="78">
          <cell r="MS78">
            <v>6</v>
          </cell>
          <cell r="MW78" t="str">
            <v>1/10 Cut pile</v>
          </cell>
          <cell r="MX78">
            <v>6146.6350090060587</v>
          </cell>
          <cell r="YG78">
            <v>1676.3550024561978</v>
          </cell>
          <cell r="YH78">
            <v>0</v>
          </cell>
          <cell r="YI78">
            <v>0</v>
          </cell>
          <cell r="YJ78">
            <v>0</v>
          </cell>
          <cell r="YK78">
            <v>0</v>
          </cell>
          <cell r="YL78">
            <v>2011.6260029474374</v>
          </cell>
          <cell r="YM78">
            <v>0</v>
          </cell>
          <cell r="YN78">
            <v>0</v>
          </cell>
          <cell r="YO78">
            <v>0</v>
          </cell>
          <cell r="YP78">
            <v>2458.6540036024235</v>
          </cell>
          <cell r="YQ78">
            <v>0</v>
          </cell>
          <cell r="YR78">
            <v>0</v>
          </cell>
        </row>
        <row r="79">
          <cell r="MS79">
            <v>8</v>
          </cell>
          <cell r="MW79" t="str">
            <v>1/10 Cut pile</v>
          </cell>
          <cell r="MX79">
            <v>33527.100049123954</v>
          </cell>
          <cell r="YG79">
            <v>0</v>
          </cell>
          <cell r="YH79">
            <v>0</v>
          </cell>
          <cell r="YI79">
            <v>0</v>
          </cell>
          <cell r="YJ79">
            <v>0</v>
          </cell>
          <cell r="YK79">
            <v>0</v>
          </cell>
          <cell r="YL79">
            <v>0</v>
          </cell>
          <cell r="YM79">
            <v>0</v>
          </cell>
          <cell r="YN79">
            <v>0</v>
          </cell>
          <cell r="YO79">
            <v>0</v>
          </cell>
          <cell r="YP79">
            <v>0</v>
          </cell>
          <cell r="YQ79">
            <v>0</v>
          </cell>
          <cell r="YR79">
            <v>0</v>
          </cell>
        </row>
        <row r="80">
          <cell r="MS80">
            <v>15</v>
          </cell>
          <cell r="MW80" t="str">
            <v>1/12 Rainbow</v>
          </cell>
          <cell r="MX80">
            <v>44702.80006549861</v>
          </cell>
          <cell r="YG80">
            <v>0</v>
          </cell>
          <cell r="YH80">
            <v>0</v>
          </cell>
          <cell r="YI80">
            <v>0</v>
          </cell>
          <cell r="YJ80">
            <v>0</v>
          </cell>
          <cell r="YK80">
            <v>0</v>
          </cell>
          <cell r="YL80">
            <v>0</v>
          </cell>
          <cell r="YM80">
            <v>0</v>
          </cell>
          <cell r="YN80">
            <v>0</v>
          </cell>
          <cell r="YO80">
            <v>0</v>
          </cell>
          <cell r="YP80">
            <v>0</v>
          </cell>
          <cell r="YQ80">
            <v>0</v>
          </cell>
          <cell r="YR80">
            <v>0</v>
          </cell>
        </row>
        <row r="81">
          <cell r="MS81">
            <v>13</v>
          </cell>
          <cell r="MW81" t="str">
            <v>1/10 Cut pile</v>
          </cell>
          <cell r="MX81">
            <v>36321.025053217621</v>
          </cell>
          <cell r="YG81">
            <v>0</v>
          </cell>
          <cell r="YH81">
            <v>0</v>
          </cell>
          <cell r="YI81">
            <v>0</v>
          </cell>
          <cell r="YJ81">
            <v>0</v>
          </cell>
          <cell r="YK81">
            <v>0</v>
          </cell>
          <cell r="YL81">
            <v>0</v>
          </cell>
          <cell r="YM81">
            <v>0</v>
          </cell>
          <cell r="YN81">
            <v>0</v>
          </cell>
          <cell r="YO81">
            <v>0</v>
          </cell>
          <cell r="YP81">
            <v>0</v>
          </cell>
          <cell r="YQ81">
            <v>0</v>
          </cell>
          <cell r="YR81">
            <v>0</v>
          </cell>
        </row>
        <row r="82">
          <cell r="MS82">
            <v>11.861800000000001</v>
          </cell>
          <cell r="MW82" t="str">
            <v>1/10 Cut pile</v>
          </cell>
          <cell r="MX82">
            <v>20699.513555030866</v>
          </cell>
          <cell r="YG82">
            <v>0</v>
          </cell>
          <cell r="YH82">
            <v>0</v>
          </cell>
          <cell r="YI82">
            <v>0</v>
          </cell>
          <cell r="YJ82">
            <v>0</v>
          </cell>
          <cell r="YK82">
            <v>0</v>
          </cell>
          <cell r="YL82">
            <v>0</v>
          </cell>
          <cell r="YM82">
            <v>0</v>
          </cell>
          <cell r="YN82">
            <v>0</v>
          </cell>
          <cell r="YO82">
            <v>0</v>
          </cell>
          <cell r="YP82">
            <v>0</v>
          </cell>
          <cell r="YQ82">
            <v>0</v>
          </cell>
          <cell r="YR82">
            <v>0</v>
          </cell>
        </row>
        <row r="83">
          <cell r="MS83">
            <v>8.9154</v>
          </cell>
          <cell r="MW83" t="str">
            <v>1/10 Cut pile</v>
          </cell>
          <cell r="MX83">
            <v>67578.528668654544</v>
          </cell>
          <cell r="YG83">
            <v>0</v>
          </cell>
          <cell r="YH83">
            <v>0</v>
          </cell>
          <cell r="YI83">
            <v>0</v>
          </cell>
          <cell r="YJ83">
            <v>0</v>
          </cell>
          <cell r="YK83">
            <v>0</v>
          </cell>
          <cell r="YL83">
            <v>0</v>
          </cell>
          <cell r="YM83">
            <v>0</v>
          </cell>
          <cell r="YN83">
            <v>0</v>
          </cell>
          <cell r="YO83">
            <v>0</v>
          </cell>
          <cell r="YP83">
            <v>0</v>
          </cell>
          <cell r="YQ83">
            <v>0</v>
          </cell>
          <cell r="YR83">
            <v>0</v>
          </cell>
        </row>
        <row r="84">
          <cell r="MS84">
            <v>13.5</v>
          </cell>
          <cell r="MW84" t="str">
            <v>1/10 Cut pile</v>
          </cell>
          <cell r="MX84">
            <v>14886.159409306456</v>
          </cell>
          <cell r="YG84">
            <v>0</v>
          </cell>
          <cell r="YH84">
            <v>0</v>
          </cell>
          <cell r="YI84">
            <v>0</v>
          </cell>
          <cell r="YJ84">
            <v>0</v>
          </cell>
          <cell r="YK84">
            <v>0</v>
          </cell>
          <cell r="YL84">
            <v>0</v>
          </cell>
          <cell r="YM84">
            <v>0</v>
          </cell>
          <cell r="YN84">
            <v>0</v>
          </cell>
          <cell r="YO84">
            <v>0</v>
          </cell>
          <cell r="YP84">
            <v>0</v>
          </cell>
          <cell r="YQ84">
            <v>0</v>
          </cell>
          <cell r="YR84">
            <v>0</v>
          </cell>
        </row>
        <row r="85">
          <cell r="MS85">
            <v>12.5</v>
          </cell>
          <cell r="MW85" t="str">
            <v>1/10 Cut pile</v>
          </cell>
          <cell r="MX85">
            <v>6064.7316111989267</v>
          </cell>
          <cell r="YG85">
            <v>0</v>
          </cell>
          <cell r="YH85">
            <v>0</v>
          </cell>
          <cell r="YI85">
            <v>0</v>
          </cell>
          <cell r="YJ85">
            <v>0</v>
          </cell>
          <cell r="YK85">
            <v>0</v>
          </cell>
          <cell r="YL85">
            <v>0</v>
          </cell>
          <cell r="YM85">
            <v>0</v>
          </cell>
          <cell r="YN85">
            <v>0</v>
          </cell>
          <cell r="YO85">
            <v>0</v>
          </cell>
          <cell r="YP85">
            <v>0</v>
          </cell>
          <cell r="YQ85">
            <v>0</v>
          </cell>
          <cell r="YR85">
            <v>0</v>
          </cell>
        </row>
        <row r="86">
          <cell r="MS86">
            <v>12.446000000000002</v>
          </cell>
          <cell r="MW86" t="str">
            <v>1/10 Cut pile</v>
          </cell>
          <cell r="MX86">
            <v>20116.260029474375</v>
          </cell>
          <cell r="YG86">
            <v>0</v>
          </cell>
          <cell r="YH86">
            <v>0</v>
          </cell>
          <cell r="YI86">
            <v>0</v>
          </cell>
          <cell r="YJ86">
            <v>0</v>
          </cell>
          <cell r="YK86">
            <v>0</v>
          </cell>
          <cell r="YL86">
            <v>0</v>
          </cell>
          <cell r="YM86">
            <v>0</v>
          </cell>
          <cell r="YN86">
            <v>0</v>
          </cell>
          <cell r="YO86">
            <v>0</v>
          </cell>
          <cell r="YP86">
            <v>0</v>
          </cell>
          <cell r="YQ86">
            <v>0</v>
          </cell>
          <cell r="YR86">
            <v>0</v>
          </cell>
        </row>
        <row r="87">
          <cell r="MS87">
            <v>12.217400000000001</v>
          </cell>
          <cell r="MW87" t="str">
            <v>1/10 Cut pile</v>
          </cell>
          <cell r="MX87">
            <v>1.1175700016374652</v>
          </cell>
          <cell r="YG87">
            <v>0</v>
          </cell>
          <cell r="YH87">
            <v>0</v>
          </cell>
          <cell r="YI87">
            <v>0</v>
          </cell>
          <cell r="YJ87">
            <v>0</v>
          </cell>
          <cell r="YK87">
            <v>0</v>
          </cell>
          <cell r="YL87">
            <v>0</v>
          </cell>
          <cell r="YM87">
            <v>0</v>
          </cell>
          <cell r="YN87">
            <v>0</v>
          </cell>
          <cell r="YO87">
            <v>0</v>
          </cell>
          <cell r="YP87">
            <v>0</v>
          </cell>
          <cell r="YQ87">
            <v>0</v>
          </cell>
          <cell r="YR87">
            <v>0</v>
          </cell>
        </row>
        <row r="88">
          <cell r="MS88">
            <v>12.5</v>
          </cell>
          <cell r="MW88" t="str">
            <v>1/10 Cut pile</v>
          </cell>
          <cell r="MX88">
            <v>18267.449042618904</v>
          </cell>
          <cell r="YG88">
            <v>0</v>
          </cell>
          <cell r="YH88">
            <v>0</v>
          </cell>
          <cell r="YI88">
            <v>0</v>
          </cell>
          <cell r="YJ88">
            <v>0</v>
          </cell>
          <cell r="YK88">
            <v>0</v>
          </cell>
          <cell r="YL88">
            <v>0</v>
          </cell>
          <cell r="YM88">
            <v>0</v>
          </cell>
          <cell r="YN88">
            <v>0</v>
          </cell>
          <cell r="YO88">
            <v>0</v>
          </cell>
          <cell r="YP88">
            <v>0</v>
          </cell>
          <cell r="YQ88">
            <v>0</v>
          </cell>
          <cell r="YR88">
            <v>0</v>
          </cell>
        </row>
        <row r="89">
          <cell r="MS89">
            <v>7.6</v>
          </cell>
          <cell r="MW89" t="str">
            <v>1/8 Cut pile</v>
          </cell>
          <cell r="MX89">
            <v>4215.5651636812854</v>
          </cell>
          <cell r="YG89">
            <v>0</v>
          </cell>
          <cell r="YH89">
            <v>0</v>
          </cell>
          <cell r="YI89">
            <v>0</v>
          </cell>
          <cell r="YJ89">
            <v>0</v>
          </cell>
          <cell r="YK89">
            <v>0</v>
          </cell>
          <cell r="YL89">
            <v>0</v>
          </cell>
          <cell r="YM89">
            <v>0</v>
          </cell>
          <cell r="YN89">
            <v>0</v>
          </cell>
          <cell r="YO89">
            <v>0</v>
          </cell>
          <cell r="YP89">
            <v>0</v>
          </cell>
          <cell r="YQ89">
            <v>0</v>
          </cell>
          <cell r="YR89">
            <v>0</v>
          </cell>
        </row>
        <row r="90">
          <cell r="MS90">
            <v>10.4</v>
          </cell>
          <cell r="MW90" t="str">
            <v>1/10 Cut pile</v>
          </cell>
          <cell r="MX90">
            <v>21077.825818406425</v>
          </cell>
          <cell r="YG90">
            <v>0</v>
          </cell>
          <cell r="YH90">
            <v>0</v>
          </cell>
          <cell r="YI90">
            <v>0</v>
          </cell>
          <cell r="YJ90">
            <v>0</v>
          </cell>
          <cell r="YK90">
            <v>0</v>
          </cell>
          <cell r="YL90">
            <v>0</v>
          </cell>
          <cell r="YM90">
            <v>0</v>
          </cell>
          <cell r="YN90">
            <v>0</v>
          </cell>
          <cell r="YO90">
            <v>0</v>
          </cell>
          <cell r="YP90">
            <v>0</v>
          </cell>
          <cell r="YQ90">
            <v>0</v>
          </cell>
          <cell r="YR90">
            <v>0</v>
          </cell>
        </row>
        <row r="91">
          <cell r="MS91">
            <v>11.683999999999999</v>
          </cell>
          <cell r="MW91" t="str">
            <v>1/10 Cut pile</v>
          </cell>
          <cell r="MX91">
            <v>7822.990011462256</v>
          </cell>
          <cell r="YG91">
            <v>0</v>
          </cell>
          <cell r="YH91">
            <v>0</v>
          </cell>
          <cell r="YI91">
            <v>0</v>
          </cell>
          <cell r="YJ91">
            <v>0</v>
          </cell>
          <cell r="YK91">
            <v>0</v>
          </cell>
          <cell r="YL91">
            <v>0</v>
          </cell>
          <cell r="YM91">
            <v>3911.495005731128</v>
          </cell>
          <cell r="YN91">
            <v>0</v>
          </cell>
          <cell r="YO91">
            <v>0</v>
          </cell>
          <cell r="YP91">
            <v>3911.495005731128</v>
          </cell>
          <cell r="YQ91">
            <v>0</v>
          </cell>
          <cell r="YR91">
            <v>0</v>
          </cell>
        </row>
        <row r="92">
          <cell r="MS92">
            <v>15</v>
          </cell>
          <cell r="MW92" t="str">
            <v>1/10 Cut pile</v>
          </cell>
          <cell r="MX92">
            <v>1.1175700016374652</v>
          </cell>
          <cell r="YG92">
            <v>0</v>
          </cell>
          <cell r="YH92">
            <v>0</v>
          </cell>
          <cell r="YI92">
            <v>0</v>
          </cell>
          <cell r="YJ92">
            <v>0</v>
          </cell>
          <cell r="YK92">
            <v>0</v>
          </cell>
          <cell r="YL92">
            <v>0</v>
          </cell>
          <cell r="YM92">
            <v>0</v>
          </cell>
          <cell r="YN92">
            <v>0</v>
          </cell>
          <cell r="YO92">
            <v>0</v>
          </cell>
          <cell r="YP92">
            <v>0</v>
          </cell>
          <cell r="YQ92">
            <v>0</v>
          </cell>
          <cell r="YR92">
            <v>0</v>
          </cell>
        </row>
        <row r="93">
          <cell r="MS93">
            <v>11</v>
          </cell>
          <cell r="MW93" t="str">
            <v>1/8 Cut pile</v>
          </cell>
          <cell r="MX93">
            <v>13410.840019649582</v>
          </cell>
          <cell r="YG93">
            <v>0</v>
          </cell>
          <cell r="YH93">
            <v>0</v>
          </cell>
          <cell r="YI93">
            <v>0</v>
          </cell>
          <cell r="YJ93">
            <v>0</v>
          </cell>
          <cell r="YK93">
            <v>0</v>
          </cell>
          <cell r="YL93">
            <v>0</v>
          </cell>
          <cell r="YM93">
            <v>0</v>
          </cell>
          <cell r="YN93">
            <v>0</v>
          </cell>
          <cell r="YO93">
            <v>0</v>
          </cell>
          <cell r="YP93">
            <v>0</v>
          </cell>
          <cell r="YQ93">
            <v>0</v>
          </cell>
          <cell r="YR93">
            <v>0</v>
          </cell>
        </row>
        <row r="94">
          <cell r="MS94">
            <v>13</v>
          </cell>
          <cell r="MW94" t="str">
            <v>1/8 Cut pile</v>
          </cell>
          <cell r="MX94">
            <v>16763.550024561977</v>
          </cell>
          <cell r="YG94">
            <v>0</v>
          </cell>
          <cell r="YH94">
            <v>0</v>
          </cell>
          <cell r="YI94">
            <v>0</v>
          </cell>
          <cell r="YJ94">
            <v>0</v>
          </cell>
          <cell r="YK94">
            <v>0</v>
          </cell>
          <cell r="YL94">
            <v>0</v>
          </cell>
          <cell r="YM94">
            <v>0</v>
          </cell>
          <cell r="YN94">
            <v>0</v>
          </cell>
          <cell r="YO94">
            <v>0</v>
          </cell>
          <cell r="YP94">
            <v>0</v>
          </cell>
          <cell r="YQ94">
            <v>0</v>
          </cell>
          <cell r="YR94">
            <v>0</v>
          </cell>
        </row>
        <row r="95">
          <cell r="MS95">
            <v>13</v>
          </cell>
          <cell r="MW95" t="str">
            <v>1/8 Cut pile</v>
          </cell>
          <cell r="MX95">
            <v>67054.200098247908</v>
          </cell>
          <cell r="YG95">
            <v>0</v>
          </cell>
          <cell r="YH95">
            <v>0</v>
          </cell>
          <cell r="YI95">
            <v>0</v>
          </cell>
          <cell r="YJ95">
            <v>0</v>
          </cell>
          <cell r="YK95">
            <v>0</v>
          </cell>
          <cell r="YL95">
            <v>0</v>
          </cell>
          <cell r="YM95">
            <v>0</v>
          </cell>
          <cell r="YN95">
            <v>0</v>
          </cell>
          <cell r="YO95">
            <v>0</v>
          </cell>
          <cell r="YP95">
            <v>0</v>
          </cell>
          <cell r="YQ95">
            <v>0</v>
          </cell>
          <cell r="YR95">
            <v>0</v>
          </cell>
        </row>
        <row r="97">
          <cell r="MS97">
            <v>9.9060000000000006</v>
          </cell>
          <cell r="MW97" t="str">
            <v>1/10 Cut pile</v>
          </cell>
          <cell r="MX97">
            <v>174340.92025544459</v>
          </cell>
          <cell r="YG97">
            <v>12852.055018830848</v>
          </cell>
          <cell r="YH97">
            <v>12852.055018830848</v>
          </cell>
          <cell r="YI97">
            <v>12852.055018830848</v>
          </cell>
          <cell r="YJ97">
            <v>14528.410021287047</v>
          </cell>
          <cell r="YK97">
            <v>14528.410021287047</v>
          </cell>
          <cell r="YL97">
            <v>14528.410021287047</v>
          </cell>
          <cell r="YM97">
            <v>15832.241689864088</v>
          </cell>
          <cell r="YN97">
            <v>15832.241689864088</v>
          </cell>
          <cell r="YO97">
            <v>15832.241689864088</v>
          </cell>
          <cell r="YP97">
            <v>14900.933355166204</v>
          </cell>
          <cell r="YQ97">
            <v>14900.933355166204</v>
          </cell>
          <cell r="YR97">
            <v>14900.933355166204</v>
          </cell>
        </row>
        <row r="98">
          <cell r="MS98">
            <v>9.9060000000000006</v>
          </cell>
          <cell r="MW98" t="str">
            <v>1/10 Cut pile</v>
          </cell>
          <cell r="MX98">
            <v>104213.40265269365</v>
          </cell>
          <cell r="YG98">
            <v>6984.8125102341583</v>
          </cell>
          <cell r="YH98">
            <v>6984.8125102341583</v>
          </cell>
          <cell r="YI98">
            <v>6984.8125102341583</v>
          </cell>
          <cell r="YJ98">
            <v>8381.7750122809903</v>
          </cell>
          <cell r="YK98">
            <v>8381.7750122809903</v>
          </cell>
          <cell r="YL98">
            <v>8381.7750122809903</v>
          </cell>
          <cell r="YM98">
            <v>10132.634681513018</v>
          </cell>
          <cell r="YN98">
            <v>10132.634681513018</v>
          </cell>
          <cell r="YO98">
            <v>10132.634681513018</v>
          </cell>
          <cell r="YP98">
            <v>9238.5786802030452</v>
          </cell>
          <cell r="YQ98">
            <v>9238.5786802030452</v>
          </cell>
          <cell r="YR98">
            <v>9238.5786802030452</v>
          </cell>
        </row>
        <row r="100">
          <cell r="MS100">
            <v>4.8259999999999996</v>
          </cell>
          <cell r="MW100" t="str">
            <v>3/8 Cut pile</v>
          </cell>
          <cell r="MX100">
            <v>13837.184222045091</v>
          </cell>
        </row>
        <row r="101">
          <cell r="MS101">
            <v>4.8259999999999996</v>
          </cell>
          <cell r="MW101" t="str">
            <v>3/8 Cut pile</v>
          </cell>
          <cell r="MX101">
            <v>93383.094294205526</v>
          </cell>
        </row>
        <row r="102">
          <cell r="MS102">
            <v>4.8259999999999996</v>
          </cell>
          <cell r="MW102" t="str">
            <v>3/8 Cut pile</v>
          </cell>
          <cell r="MX102">
            <v>81716.36024477602</v>
          </cell>
        </row>
        <row r="103">
          <cell r="MS103">
            <v>5.588000000000001</v>
          </cell>
          <cell r="MW103" t="str">
            <v>3/16 Cut pile</v>
          </cell>
          <cell r="MX103">
            <v>24400.629028996536</v>
          </cell>
        </row>
        <row r="104">
          <cell r="MS104">
            <v>5.588000000000001</v>
          </cell>
          <cell r="MW104" t="str">
            <v>3/16 Cut pile</v>
          </cell>
          <cell r="MX104">
            <v>16601.438985636538</v>
          </cell>
        </row>
        <row r="105">
          <cell r="MS105">
            <v>5.588000000000001</v>
          </cell>
          <cell r="MW105" t="str">
            <v>3/16 Cut pile</v>
          </cell>
          <cell r="MX105">
            <v>104996.48841175881</v>
          </cell>
        </row>
        <row r="106">
          <cell r="MS106">
            <v>9.6519999999999992</v>
          </cell>
          <cell r="MW106" t="str">
            <v>1/8 Cut pile</v>
          </cell>
          <cell r="MX106">
            <v>20620.31330849287</v>
          </cell>
        </row>
        <row r="107">
          <cell r="MS107">
            <v>9.6519999999999992</v>
          </cell>
          <cell r="MW107" t="str">
            <v>1/10 Loop</v>
          </cell>
          <cell r="MX107">
            <v>6871.2016737542535</v>
          </cell>
        </row>
        <row r="108">
          <cell r="MS108">
            <v>3.6829999999999998</v>
          </cell>
          <cell r="MW108" t="str">
            <v>3/16 Cut pile</v>
          </cell>
          <cell r="MX108">
            <v>11069.747377636073</v>
          </cell>
        </row>
        <row r="109">
          <cell r="MS109">
            <v>9.6519999999999992</v>
          </cell>
          <cell r="MW109" t="str">
            <v>1/10 Loop</v>
          </cell>
          <cell r="MX109">
            <v>407085.6675269088</v>
          </cell>
        </row>
        <row r="110">
          <cell r="MS110">
            <v>7</v>
          </cell>
          <cell r="MW110" t="str">
            <v>1/10 Loop</v>
          </cell>
          <cell r="MX110">
            <v>20754.537679369001</v>
          </cell>
        </row>
        <row r="111">
          <cell r="MS111">
            <v>7</v>
          </cell>
          <cell r="MW111" t="str">
            <v>3/8 Cut pile</v>
          </cell>
          <cell r="MX111">
            <v>12259.76442237132</v>
          </cell>
        </row>
        <row r="112">
          <cell r="MS112">
            <v>7</v>
          </cell>
          <cell r="MW112" t="str">
            <v>3/8 Cut pile</v>
          </cell>
          <cell r="MX112">
            <v>22964.122926696193</v>
          </cell>
        </row>
        <row r="113">
          <cell r="MS113">
            <v>7</v>
          </cell>
          <cell r="MW113" t="str">
            <v>3/8 Cut pile</v>
          </cell>
          <cell r="MX113">
            <v>37444.871828236828</v>
          </cell>
        </row>
        <row r="114">
          <cell r="MS114">
            <v>13.4008</v>
          </cell>
          <cell r="MW114" t="str">
            <v>3/16 Cut pile</v>
          </cell>
          <cell r="MX114">
            <v>5271.3578205538142</v>
          </cell>
        </row>
        <row r="115">
          <cell r="MS115">
            <v>13.4008</v>
          </cell>
          <cell r="MW115" t="str">
            <v>3/16 Cut pile</v>
          </cell>
          <cell r="MX115">
            <v>5968.4633819939709</v>
          </cell>
        </row>
        <row r="116">
          <cell r="MS116">
            <v>13.4008</v>
          </cell>
          <cell r="MW116" t="str">
            <v>3/16 Cut pile</v>
          </cell>
          <cell r="MX116">
            <v>6476.5213429602873</v>
          </cell>
        </row>
        <row r="117">
          <cell r="MS117">
            <v>13.4008</v>
          </cell>
          <cell r="MW117" t="str">
            <v>3/16 Cut pile</v>
          </cell>
          <cell r="MX117">
            <v>10607.99188028627</v>
          </cell>
        </row>
        <row r="118">
          <cell r="MS118">
            <v>10.555999999999999</v>
          </cell>
          <cell r="MW118" t="str">
            <v>3/8 Cut pile</v>
          </cell>
          <cell r="MX118">
            <v>5221.4098832869677</v>
          </cell>
        </row>
        <row r="119">
          <cell r="MS119">
            <v>10.555999999999999</v>
          </cell>
          <cell r="MW119" t="str">
            <v>3/8 Cut pile</v>
          </cell>
          <cell r="MX119">
            <v>5266.0373181868581</v>
          </cell>
        </row>
        <row r="120">
          <cell r="MS120">
            <v>10.555999999999999</v>
          </cell>
          <cell r="MW120" t="str">
            <v>3/8 Cut pile</v>
          </cell>
          <cell r="MX120">
            <v>10598.756510615574</v>
          </cell>
        </row>
        <row r="121">
          <cell r="MS121">
            <v>12.105399999999999</v>
          </cell>
          <cell r="MW121" t="str">
            <v>3/8 Cut pile</v>
          </cell>
          <cell r="MX121">
            <v>5221.4098832869677</v>
          </cell>
        </row>
        <row r="122">
          <cell r="MS122">
            <v>12.105399999999999</v>
          </cell>
          <cell r="MW122" t="str">
            <v>3/8 Cut pile</v>
          </cell>
          <cell r="MX122">
            <v>5965.9648326097122</v>
          </cell>
        </row>
        <row r="123">
          <cell r="MS123">
            <v>12.105399999999999</v>
          </cell>
          <cell r="MW123" t="str">
            <v>3/8 Cut pile</v>
          </cell>
          <cell r="MX123">
            <v>6997.1420296934293</v>
          </cell>
        </row>
        <row r="124">
          <cell r="MS124">
            <v>12.105399999999999</v>
          </cell>
          <cell r="MW124" t="str">
            <v>3/8 Cut pile</v>
          </cell>
          <cell r="MX124">
            <v>9639.5259383759385</v>
          </cell>
        </row>
        <row r="125">
          <cell r="MS125">
            <v>10.683</v>
          </cell>
          <cell r="MW125" t="str">
            <v>3/16 Cut pile</v>
          </cell>
          <cell r="MX125">
            <v>5238.9709268871411</v>
          </cell>
        </row>
        <row r="126">
          <cell r="MS126">
            <v>10.683</v>
          </cell>
          <cell r="MW126" t="str">
            <v>3/16 Cut pile</v>
          </cell>
          <cell r="MX126">
            <v>5283.7484561767769</v>
          </cell>
        </row>
        <row r="127">
          <cell r="MS127">
            <v>14.620000000000001</v>
          </cell>
          <cell r="MW127" t="str">
            <v>1/8 MLCL</v>
          </cell>
          <cell r="MX127">
            <v>4807.1244378292495</v>
          </cell>
        </row>
        <row r="128">
          <cell r="MS128">
            <v>14.620000000000001</v>
          </cell>
          <cell r="MW128" t="str">
            <v>1/8 MLCL</v>
          </cell>
          <cell r="MX128">
            <v>10736.500352872312</v>
          </cell>
        </row>
        <row r="129">
          <cell r="MS129">
            <v>14.620000000000001</v>
          </cell>
          <cell r="MW129" t="str">
            <v>1/8 MLCL</v>
          </cell>
          <cell r="MX129">
            <v>10603.950965799817</v>
          </cell>
        </row>
        <row r="130">
          <cell r="MS130">
            <v>11.064</v>
          </cell>
          <cell r="MW130" t="str">
            <v>3/8 Cut pile</v>
          </cell>
          <cell r="MX130">
            <v>9851.0648752399229</v>
          </cell>
        </row>
        <row r="131">
          <cell r="MS131">
            <v>11.064</v>
          </cell>
          <cell r="MW131" t="str">
            <v>3/8 Cut pile</v>
          </cell>
          <cell r="MX131">
            <v>18656.429942418428</v>
          </cell>
        </row>
        <row r="132">
          <cell r="MS132">
            <v>11.064</v>
          </cell>
          <cell r="MW132" t="str">
            <v>3/8 Cut pile</v>
          </cell>
          <cell r="MX132">
            <v>35841.074856046063</v>
          </cell>
        </row>
        <row r="133">
          <cell r="MS133">
            <v>11.064</v>
          </cell>
          <cell r="MW133" t="str">
            <v>3/8 Cut pile</v>
          </cell>
          <cell r="MX133">
            <v>48663.790054467005</v>
          </cell>
        </row>
        <row r="134">
          <cell r="MS134">
            <v>11.064</v>
          </cell>
          <cell r="MW134" t="str">
            <v>3/8 Cut pile</v>
          </cell>
          <cell r="MX134">
            <v>77389.635316698666</v>
          </cell>
        </row>
        <row r="135">
          <cell r="MS135">
            <v>11.064</v>
          </cell>
          <cell r="MW135" t="str">
            <v>3/8 Cut pile</v>
          </cell>
          <cell r="MX135">
            <v>10502.879078694818</v>
          </cell>
        </row>
        <row r="136">
          <cell r="MS136">
            <v>7</v>
          </cell>
          <cell r="MW136" t="str">
            <v>3/8 Cut pile</v>
          </cell>
          <cell r="MX136">
            <v>2766.456999516352</v>
          </cell>
        </row>
        <row r="137">
          <cell r="MS137">
            <v>7</v>
          </cell>
          <cell r="MW137" t="str">
            <v>3/8 Cut pile</v>
          </cell>
          <cell r="MX137">
            <v>207841.6444613628</v>
          </cell>
        </row>
        <row r="138">
          <cell r="MS138">
            <v>7</v>
          </cell>
          <cell r="MW138" t="str">
            <v>1/8 Cut pile</v>
          </cell>
          <cell r="MX138">
            <v>1543.4939886770849</v>
          </cell>
        </row>
        <row r="139">
          <cell r="MS139">
            <v>7</v>
          </cell>
          <cell r="MW139" t="str">
            <v>1/8 Cut pile</v>
          </cell>
          <cell r="MX139">
            <v>17063.457760314344</v>
          </cell>
        </row>
        <row r="140">
          <cell r="MS140">
            <v>7</v>
          </cell>
          <cell r="MW140" t="str">
            <v>1/8 Cut pile</v>
          </cell>
          <cell r="MX140">
            <v>1168.1042845382231</v>
          </cell>
        </row>
        <row r="141">
          <cell r="MS141">
            <v>7</v>
          </cell>
          <cell r="MW141" t="str">
            <v>1/8 Cut pile</v>
          </cell>
          <cell r="MX141">
            <v>29865.081218813044</v>
          </cell>
        </row>
        <row r="142">
          <cell r="MS142">
            <v>7</v>
          </cell>
          <cell r="MW142" t="str">
            <v>1/8 Cut pile</v>
          </cell>
          <cell r="MX142">
            <v>12231.884179561532</v>
          </cell>
        </row>
        <row r="143">
          <cell r="MS143">
            <v>7</v>
          </cell>
          <cell r="MW143" t="str">
            <v>1/8 Cut pile</v>
          </cell>
          <cell r="MX143">
            <v>7191.2951797720898</v>
          </cell>
        </row>
        <row r="144">
          <cell r="MS144">
            <v>7</v>
          </cell>
          <cell r="MW144" t="str">
            <v>1/8 Cut pile</v>
          </cell>
          <cell r="MX144">
            <v>3772.4827172574901</v>
          </cell>
        </row>
        <row r="145">
          <cell r="MS145">
            <v>16.652000000000001</v>
          </cell>
          <cell r="MW145" t="str">
            <v>1/10 Loop</v>
          </cell>
          <cell r="MX145">
            <v>913.72629002651445</v>
          </cell>
        </row>
        <row r="146">
          <cell r="MS146">
            <v>13.426200000000001</v>
          </cell>
          <cell r="MW146" t="str">
            <v>3/16 Cut pile</v>
          </cell>
          <cell r="MX146">
            <v>1936.8345483242626</v>
          </cell>
        </row>
        <row r="147">
          <cell r="MS147">
            <v>13.426200000000001</v>
          </cell>
          <cell r="MW147" t="str">
            <v>3/16 Cut pile</v>
          </cell>
          <cell r="MX147">
            <v>3681.8222868897697</v>
          </cell>
        </row>
        <row r="148">
          <cell r="MS148">
            <v>16.652000000000001</v>
          </cell>
          <cell r="MW148" t="str">
            <v>1/10 Loop</v>
          </cell>
          <cell r="MX148">
            <v>13418.835828035504</v>
          </cell>
        </row>
        <row r="149">
          <cell r="MS149">
            <v>16.652000000000001</v>
          </cell>
          <cell r="MW149" t="str">
            <v>1/10 Loop</v>
          </cell>
          <cell r="MX149">
            <v>6988.1034808333861</v>
          </cell>
        </row>
        <row r="150">
          <cell r="MS150">
            <v>11.190999999999999</v>
          </cell>
          <cell r="MW150" t="str">
            <v>3/8 Cut pile</v>
          </cell>
          <cell r="MX150">
            <v>5980.5273833671408</v>
          </cell>
        </row>
        <row r="151">
          <cell r="MS151">
            <v>11.190999999999999</v>
          </cell>
          <cell r="MW151" t="str">
            <v>3/8 Cut pile</v>
          </cell>
          <cell r="MX151">
            <v>12736.308316430021</v>
          </cell>
        </row>
        <row r="152">
          <cell r="MS152">
            <v>11.190999999999999</v>
          </cell>
          <cell r="MW152" t="str">
            <v>3/8 Cut pile</v>
          </cell>
          <cell r="MX152">
            <v>16058.823529411766</v>
          </cell>
        </row>
        <row r="153">
          <cell r="MS153">
            <v>13.146799999999999</v>
          </cell>
          <cell r="MW153" t="str">
            <v>3/8 Cut pile</v>
          </cell>
          <cell r="MX153">
            <v>6061.5636841698242</v>
          </cell>
        </row>
        <row r="154">
          <cell r="MS154">
            <v>13.146799999999999</v>
          </cell>
          <cell r="MW154" t="str">
            <v>3/8 Cut pile</v>
          </cell>
          <cell r="MX154">
            <v>7725.9317599637334</v>
          </cell>
        </row>
        <row r="155">
          <cell r="MS155">
            <v>13.146799999999999</v>
          </cell>
          <cell r="MW155" t="str">
            <v>3/8 Cut pile</v>
          </cell>
          <cell r="MX155">
            <v>9693.8220429507528</v>
          </cell>
        </row>
        <row r="156">
          <cell r="MS156">
            <v>11.190999999999999</v>
          </cell>
          <cell r="MW156" t="str">
            <v>3/8 Cut pile</v>
          </cell>
          <cell r="MX156">
            <v>2630.3501897751612</v>
          </cell>
        </row>
        <row r="157">
          <cell r="MS157">
            <v>16.652000000000001</v>
          </cell>
          <cell r="MW157" t="str">
            <v>1/10 Loop</v>
          </cell>
          <cell r="MX157">
            <v>23097.996097438161</v>
          </cell>
        </row>
        <row r="158">
          <cell r="MS158">
            <v>16.652000000000001</v>
          </cell>
          <cell r="MW158" t="str">
            <v>1/10 Loop</v>
          </cell>
          <cell r="MX158">
            <v>2474.4759866557565</v>
          </cell>
        </row>
        <row r="159">
          <cell r="MS159">
            <v>11.419599999999999</v>
          </cell>
          <cell r="MW159" t="str">
            <v>3/8 Cut pile</v>
          </cell>
          <cell r="MX159">
            <v>3528.2467601708204</v>
          </cell>
        </row>
        <row r="160">
          <cell r="MS160">
            <v>11.419599999999999</v>
          </cell>
          <cell r="MW160" t="str">
            <v>3/8 Cut pile</v>
          </cell>
          <cell r="MX160">
            <v>4076.3634002514596</v>
          </cell>
        </row>
        <row r="161">
          <cell r="MS161">
            <v>11.419599999999999</v>
          </cell>
          <cell r="MW161" t="str">
            <v>3/8 Cut pile</v>
          </cell>
          <cell r="MX161">
            <v>4140.295585735319</v>
          </cell>
        </row>
        <row r="162">
          <cell r="MS162">
            <v>9.6923999999999992</v>
          </cell>
          <cell r="MW162" t="str">
            <v>3/8 Cut pile</v>
          </cell>
          <cell r="MX162">
            <v>14424.11414756201</v>
          </cell>
        </row>
        <row r="163">
          <cell r="MS163">
            <v>9.6923999999999992</v>
          </cell>
          <cell r="MW163" t="str">
            <v>3/8 Cut pile</v>
          </cell>
          <cell r="MX163">
            <v>22802.303262955855</v>
          </cell>
        </row>
        <row r="164">
          <cell r="MS164">
            <v>9.6923999999999992</v>
          </cell>
          <cell r="MW164" t="str">
            <v>3/8 Cut pile</v>
          </cell>
          <cell r="MX164">
            <v>5933.2053742802318</v>
          </cell>
        </row>
        <row r="165">
          <cell r="MS165">
            <v>9.6923999999999992</v>
          </cell>
          <cell r="MW165" t="str">
            <v>3/8 Cut pile</v>
          </cell>
          <cell r="MX165">
            <v>40308.339467872545</v>
          </cell>
        </row>
        <row r="166">
          <cell r="MS166">
            <v>9.6923999999999992</v>
          </cell>
          <cell r="MW166" t="str">
            <v>3/8 Cut pile</v>
          </cell>
          <cell r="MX166">
            <v>7960.0767754318613</v>
          </cell>
        </row>
        <row r="167">
          <cell r="MS167">
            <v>9.6923999999999992</v>
          </cell>
          <cell r="MW167" t="str">
            <v>3/8 Cut pile</v>
          </cell>
          <cell r="MX167">
            <v>19685.226336532254</v>
          </cell>
        </row>
        <row r="168">
          <cell r="MS168">
            <v>13.7056</v>
          </cell>
          <cell r="MW168" t="str">
            <v>3/16 Cut pile</v>
          </cell>
          <cell r="MX168">
            <v>3316.6986564299427</v>
          </cell>
        </row>
        <row r="169">
          <cell r="MS169">
            <v>13.7056</v>
          </cell>
          <cell r="MW169" t="str">
            <v>3/16 Cut pile</v>
          </cell>
          <cell r="MX169">
            <v>11340.846168843829</v>
          </cell>
        </row>
        <row r="170">
          <cell r="MS170">
            <v>13.7056</v>
          </cell>
          <cell r="MW170" t="str">
            <v>3/16 Cut pile</v>
          </cell>
          <cell r="MX170">
            <v>11370.333168281812</v>
          </cell>
        </row>
        <row r="171">
          <cell r="MS171">
            <v>13.7056</v>
          </cell>
          <cell r="MW171" t="str">
            <v>3/16 Cut pile</v>
          </cell>
          <cell r="MX171">
            <v>24046.065259117084</v>
          </cell>
        </row>
        <row r="172">
          <cell r="MS172">
            <v>16.652000000000001</v>
          </cell>
          <cell r="MW172" t="str">
            <v>1/8 Cut pile</v>
          </cell>
          <cell r="MX172">
            <v>27400.37289376013</v>
          </cell>
        </row>
        <row r="173">
          <cell r="MS173">
            <v>11.571999999999999</v>
          </cell>
          <cell r="MW173" t="str">
            <v>3/16 Cut pile</v>
          </cell>
          <cell r="MX173">
            <v>555785.15847409389</v>
          </cell>
        </row>
        <row r="174">
          <cell r="MS174">
            <v>15.89</v>
          </cell>
          <cell r="MW174" t="str">
            <v>3/16 Cut pile</v>
          </cell>
          <cell r="MX174">
            <v>69778.789850357847</v>
          </cell>
        </row>
        <row r="175">
          <cell r="MS175">
            <v>7</v>
          </cell>
          <cell r="MW175" t="str">
            <v>3/8 Cut pile</v>
          </cell>
          <cell r="MX175">
            <v>10392.082223068141</v>
          </cell>
        </row>
        <row r="176">
          <cell r="MS176">
            <v>7</v>
          </cell>
          <cell r="MW176" t="str">
            <v>3/8 Cut pile</v>
          </cell>
          <cell r="MX176">
            <v>13856.109630757521</v>
          </cell>
        </row>
        <row r="178">
          <cell r="MS178">
            <v>8.89</v>
          </cell>
          <cell r="MW178" t="str">
            <v>5/64 VLOC</v>
          </cell>
          <cell r="MX178">
            <v>66511.820327369642</v>
          </cell>
        </row>
        <row r="179">
          <cell r="MS179">
            <v>8.89</v>
          </cell>
          <cell r="MW179" t="str">
            <v>5/64 VLOC</v>
          </cell>
          <cell r="MX179">
            <v>46556.52835934527</v>
          </cell>
        </row>
        <row r="180">
          <cell r="MS180">
            <v>8.89</v>
          </cell>
          <cell r="MW180" t="str">
            <v>1/8 Cut pile</v>
          </cell>
          <cell r="MX180">
            <v>27712.219261515042</v>
          </cell>
        </row>
        <row r="181">
          <cell r="MS181">
            <v>8.89</v>
          </cell>
          <cell r="MW181" t="str">
            <v>1/8 Cut pile</v>
          </cell>
          <cell r="MX181">
            <v>27980.407034640273</v>
          </cell>
        </row>
        <row r="182">
          <cell r="MS182">
            <v>8.89</v>
          </cell>
          <cell r="MW182" t="str">
            <v>1/8 Cut pile</v>
          </cell>
          <cell r="MX182">
            <v>40316.56240578607</v>
          </cell>
        </row>
        <row r="183">
          <cell r="MS183">
            <v>8.89</v>
          </cell>
          <cell r="MW183" t="str">
            <v>1/8 Cut pile</v>
          </cell>
          <cell r="MX183">
            <v>6928.0548153787604</v>
          </cell>
        </row>
        <row r="184">
          <cell r="MS184">
            <v>8.89</v>
          </cell>
          <cell r="MW184" t="str">
            <v>1/8 Cut pile</v>
          </cell>
          <cell r="MX184">
            <v>53207.460982108882</v>
          </cell>
        </row>
        <row r="185">
          <cell r="MS185">
            <v>8.89</v>
          </cell>
          <cell r="MW185" t="str">
            <v>1/8 Cut pile</v>
          </cell>
          <cell r="MX185">
            <v>3231.0715645222699</v>
          </cell>
        </row>
        <row r="186">
          <cell r="MS186">
            <v>8.89</v>
          </cell>
          <cell r="MW186" t="str">
            <v>1/8 Cut pile</v>
          </cell>
          <cell r="MX186">
            <v>4642.2297297297309</v>
          </cell>
        </row>
        <row r="187">
          <cell r="MS187">
            <v>8.89</v>
          </cell>
          <cell r="MW187" t="str">
            <v>1/8 Cut pile</v>
          </cell>
          <cell r="MX187">
            <v>1336.8259104174599</v>
          </cell>
        </row>
        <row r="188">
          <cell r="MS188">
            <v>8.89</v>
          </cell>
          <cell r="MW188" t="str">
            <v>1/8 Cut pile</v>
          </cell>
          <cell r="MX188">
            <v>11625.309234868673</v>
          </cell>
        </row>
        <row r="189">
          <cell r="MS189">
            <v>8.89</v>
          </cell>
          <cell r="MW189" t="str">
            <v>1/8 Cut pile</v>
          </cell>
          <cell r="MX189">
            <v>27712.219261515042</v>
          </cell>
        </row>
        <row r="190">
          <cell r="MS190">
            <v>8.89</v>
          </cell>
          <cell r="MW190" t="str">
            <v>1/8 Cut pile</v>
          </cell>
          <cell r="MX190">
            <v>8590.7879710696634</v>
          </cell>
        </row>
        <row r="191">
          <cell r="MS191">
            <v>8.89</v>
          </cell>
          <cell r="MW191" t="str">
            <v>1/8 Cut pile</v>
          </cell>
          <cell r="MX191">
            <v>4676.4370003806634</v>
          </cell>
        </row>
        <row r="192">
          <cell r="MS192">
            <v>8.89</v>
          </cell>
          <cell r="MW192" t="str">
            <v>1/8 Cut pile</v>
          </cell>
          <cell r="MX192">
            <v>16627.331556909023</v>
          </cell>
        </row>
        <row r="193">
          <cell r="MS193">
            <v>8.89</v>
          </cell>
          <cell r="MW193" t="str">
            <v>1/8 Cut pile</v>
          </cell>
          <cell r="MX193">
            <v>41954.117624666935</v>
          </cell>
        </row>
        <row r="195">
          <cell r="MS195">
            <v>4.0640000000000001</v>
          </cell>
          <cell r="MW195" t="str">
            <v>1/8 Cut pile</v>
          </cell>
          <cell r="MX195">
            <v>25727.065528635885</v>
          </cell>
        </row>
        <row r="196">
          <cell r="MS196">
            <v>4.0640000000000001</v>
          </cell>
          <cell r="MW196" t="str">
            <v>3/8 Cut pile</v>
          </cell>
          <cell r="MX196">
            <v>3783.3919895052763</v>
          </cell>
        </row>
        <row r="197">
          <cell r="MS197">
            <v>4.0640000000000001</v>
          </cell>
          <cell r="MW197" t="str">
            <v>3/8 Cut pile</v>
          </cell>
          <cell r="MX197">
            <v>32486.725883218634</v>
          </cell>
        </row>
        <row r="198">
          <cell r="MS198">
            <v>9.6519999999999992</v>
          </cell>
          <cell r="MW198" t="str">
            <v>1/10 Loop</v>
          </cell>
          <cell r="MX198">
            <v>104061.2478471026</v>
          </cell>
        </row>
        <row r="199">
          <cell r="MS199">
            <v>9.6519999999999992</v>
          </cell>
          <cell r="MW199" t="str">
            <v>1/10 Loop</v>
          </cell>
          <cell r="MX199">
            <v>406778.15434190782</v>
          </cell>
        </row>
        <row r="200">
          <cell r="MS200">
            <v>4.0640000000000001</v>
          </cell>
          <cell r="MW200" t="str">
            <v>3/8 Cut pile</v>
          </cell>
          <cell r="MX200">
            <v>35609.752398286131</v>
          </cell>
        </row>
        <row r="201">
          <cell r="MS201">
            <v>4.0640000000000001</v>
          </cell>
          <cell r="MW201" t="str">
            <v>3/8 Cut pile</v>
          </cell>
          <cell r="MX201">
            <v>3203.2760778068487</v>
          </cell>
        </row>
        <row r="202">
          <cell r="MS202">
            <v>4.0640000000000001</v>
          </cell>
          <cell r="MW202" t="str">
            <v>3/8 Cut pile</v>
          </cell>
          <cell r="MX202">
            <v>29470.139915823005</v>
          </cell>
        </row>
        <row r="203">
          <cell r="MS203">
            <v>9.6519999999999992</v>
          </cell>
          <cell r="MW203" t="str">
            <v>1/10 Loop</v>
          </cell>
          <cell r="MX203">
            <v>70723.929107172618</v>
          </cell>
        </row>
        <row r="204">
          <cell r="MS204">
            <v>5.156200000000001</v>
          </cell>
          <cell r="MW204" t="str">
            <v>3/8 Cut pile</v>
          </cell>
          <cell r="MX204">
            <v>4732.3142216204187</v>
          </cell>
        </row>
        <row r="205">
          <cell r="MS205">
            <v>5.156200000000001</v>
          </cell>
          <cell r="MW205" t="str">
            <v>3/8 Cut pile</v>
          </cell>
          <cell r="MX205">
            <v>13718.378512807758</v>
          </cell>
        </row>
        <row r="206">
          <cell r="MS206">
            <v>5.156200000000001</v>
          </cell>
          <cell r="MW206" t="str">
            <v>3/8 Cut pile</v>
          </cell>
          <cell r="MX206">
            <v>12687.615526802218</v>
          </cell>
        </row>
        <row r="207">
          <cell r="MS207">
            <v>5.156200000000001</v>
          </cell>
          <cell r="MW207" t="str">
            <v>3/8 Cut pile</v>
          </cell>
          <cell r="MX207">
            <v>4043.306047002905</v>
          </cell>
        </row>
        <row r="208">
          <cell r="MS208">
            <v>5.156200000000001</v>
          </cell>
          <cell r="MW208" t="str">
            <v>3/8 Cut pile</v>
          </cell>
          <cell r="MX208">
            <v>13264.882577826327</v>
          </cell>
        </row>
        <row r="210">
          <cell r="MS210">
            <v>8.0518000000000001</v>
          </cell>
          <cell r="MW210" t="str">
            <v>1/8 MLCL</v>
          </cell>
          <cell r="MX210">
            <v>4600.55413125</v>
          </cell>
        </row>
        <row r="211">
          <cell r="MS211">
            <v>5.8419999999999996</v>
          </cell>
          <cell r="MW211" t="str">
            <v>1/10 Cut pile</v>
          </cell>
          <cell r="MX211">
            <v>119411.42074077562</v>
          </cell>
        </row>
        <row r="212">
          <cell r="MS212">
            <v>3.556</v>
          </cell>
          <cell r="MW212" t="str">
            <v>3/16 Cut pile</v>
          </cell>
          <cell r="MX212">
            <v>11325.092093815498</v>
          </cell>
        </row>
        <row r="213">
          <cell r="MS213">
            <v>8.7629999999999999</v>
          </cell>
          <cell r="MW213" t="str">
            <v>3/16 Cut pile</v>
          </cell>
          <cell r="MX213">
            <v>76682.03625967502</v>
          </cell>
        </row>
        <row r="214">
          <cell r="MS214">
            <v>5.8419999999999996</v>
          </cell>
          <cell r="MW214" t="str">
            <v>3/16 Cut pile</v>
          </cell>
          <cell r="MX214">
            <v>116962.56622361852</v>
          </cell>
        </row>
        <row r="215">
          <cell r="MS215">
            <v>8.5090000000000003</v>
          </cell>
          <cell r="MW215" t="str">
            <v>3/16 Cut pile</v>
          </cell>
          <cell r="MX215">
            <v>183348.7463597212</v>
          </cell>
        </row>
        <row r="216">
          <cell r="MS216">
            <v>6.9595999999999991</v>
          </cell>
          <cell r="MW216" t="str">
            <v>1/8 Cut pile</v>
          </cell>
          <cell r="MX216">
            <v>86721.978892106228</v>
          </cell>
        </row>
        <row r="217">
          <cell r="MS217">
            <v>7.62</v>
          </cell>
          <cell r="MW217" t="str">
            <v>1/8 Cut pile</v>
          </cell>
          <cell r="MX217">
            <v>157655.89368630541</v>
          </cell>
        </row>
        <row r="218">
          <cell r="MS218">
            <v>4.5720000000000001</v>
          </cell>
          <cell r="MW218" t="str">
            <v>3/16 Cut pile</v>
          </cell>
          <cell r="MX218">
            <v>66444.269799599977</v>
          </cell>
        </row>
        <row r="219">
          <cell r="MS219">
            <v>7.6454000000000004</v>
          </cell>
          <cell r="MW219" t="str">
            <v>3/16 Cut pile</v>
          </cell>
          <cell r="MX219">
            <v>14108.366002500001</v>
          </cell>
        </row>
        <row r="220">
          <cell r="MS220">
            <v>7.6454000000000004</v>
          </cell>
          <cell r="MW220" t="str">
            <v>3/16 Cut pile</v>
          </cell>
          <cell r="MX220">
            <v>34399.876757399987</v>
          </cell>
        </row>
        <row r="221">
          <cell r="MS221">
            <v>6.4769999999999994</v>
          </cell>
          <cell r="MW221" t="str">
            <v>3/16 Cut pile</v>
          </cell>
          <cell r="MX221">
            <v>15564.492502308749</v>
          </cell>
        </row>
        <row r="222">
          <cell r="MS222">
            <v>5.8419999999999996</v>
          </cell>
          <cell r="MW222" t="str">
            <v>1/8 Cut pile</v>
          </cell>
          <cell r="MX222">
            <v>23768.957164722</v>
          </cell>
        </row>
        <row r="223">
          <cell r="MS223">
            <v>7.62</v>
          </cell>
          <cell r="MW223" t="str">
            <v>3/16 Cut pile</v>
          </cell>
          <cell r="MX223">
            <v>12025.562242385999</v>
          </cell>
        </row>
        <row r="224">
          <cell r="MS224">
            <v>5.4609999999999994</v>
          </cell>
          <cell r="MW224" t="str">
            <v>3/16 Cut pile</v>
          </cell>
          <cell r="MX224">
            <v>12036.617885136075</v>
          </cell>
        </row>
        <row r="225">
          <cell r="MS225">
            <v>7.9755999999999991</v>
          </cell>
          <cell r="MW225" t="str">
            <v>1/8 Cut pile</v>
          </cell>
          <cell r="MX225">
            <v>76262.465722904992</v>
          </cell>
        </row>
        <row r="226">
          <cell r="MS226">
            <v>4.5720000000000001</v>
          </cell>
          <cell r="MW226" t="str">
            <v>3/16 Cut pile</v>
          </cell>
          <cell r="MX226">
            <v>17077.256935199995</v>
          </cell>
        </row>
        <row r="227">
          <cell r="MS227">
            <v>5.7149999999999999</v>
          </cell>
          <cell r="MW227" t="str">
            <v>3/16 Cut pile</v>
          </cell>
          <cell r="MX227">
            <v>25873.516434150006</v>
          </cell>
        </row>
        <row r="228">
          <cell r="MS228">
            <v>5.7149999999999999</v>
          </cell>
          <cell r="MW228" t="str">
            <v>3/16 Cut pile</v>
          </cell>
          <cell r="MX228">
            <v>55104.415038749998</v>
          </cell>
        </row>
        <row r="229">
          <cell r="MS229">
            <v>8.7629999999999999</v>
          </cell>
          <cell r="MW229" t="str">
            <v>1/8 MLCL</v>
          </cell>
          <cell r="MX229">
            <v>4592.0155027823994</v>
          </cell>
        </row>
        <row r="230">
          <cell r="MS230">
            <v>8.7629999999999999</v>
          </cell>
          <cell r="MW230" t="str">
            <v>1/8 MLCL</v>
          </cell>
          <cell r="MX230">
            <v>7320.8433868415996</v>
          </cell>
        </row>
        <row r="231">
          <cell r="MS231">
            <v>8.7629999999999999</v>
          </cell>
          <cell r="MW231" t="str">
            <v>1/8 MLCL</v>
          </cell>
          <cell r="MX231">
            <v>37185.236250624002</v>
          </cell>
        </row>
        <row r="232">
          <cell r="MS232">
            <v>8.7629999999999999</v>
          </cell>
          <cell r="MW232" t="str">
            <v>1/8 MLCL</v>
          </cell>
          <cell r="MX232">
            <v>5577.7854375936004</v>
          </cell>
        </row>
        <row r="233">
          <cell r="MS233">
            <v>7.6454000000000004</v>
          </cell>
          <cell r="MW233" t="str">
            <v>3/16 Cut pile</v>
          </cell>
          <cell r="MX233">
            <v>14309.563569840006</v>
          </cell>
        </row>
        <row r="234">
          <cell r="MS234">
            <v>10.16</v>
          </cell>
          <cell r="MW234" t="str">
            <v>1/8 Cut pile</v>
          </cell>
          <cell r="MX234">
            <v>72862.717560632998</v>
          </cell>
        </row>
        <row r="235">
          <cell r="MS235">
            <v>8.9916</v>
          </cell>
          <cell r="MW235" t="str">
            <v>1/8 MLCL</v>
          </cell>
          <cell r="MX235">
            <v>25826.284078402496</v>
          </cell>
        </row>
        <row r="236">
          <cell r="MS236">
            <v>4.5720000000000001</v>
          </cell>
          <cell r="MW236" t="str">
            <v>3/16 Cut pile</v>
          </cell>
          <cell r="MX236">
            <v>10770.708963474075</v>
          </cell>
        </row>
        <row r="237">
          <cell r="MS237">
            <v>4.5720000000000001</v>
          </cell>
          <cell r="MW237" t="str">
            <v>3/16 Cut pile</v>
          </cell>
          <cell r="MX237">
            <v>185.98506834600002</v>
          </cell>
        </row>
        <row r="238">
          <cell r="MS238">
            <v>8.4328000000000003</v>
          </cell>
          <cell r="MW238" t="str">
            <v>1/8 MLCL</v>
          </cell>
          <cell r="MX238">
            <v>14672.620899661728</v>
          </cell>
        </row>
        <row r="239">
          <cell r="MS239">
            <v>8.89</v>
          </cell>
          <cell r="MW239" t="str">
            <v>1/10 Loop Inf</v>
          </cell>
          <cell r="MX239">
            <v>15358.489911764998</v>
          </cell>
        </row>
        <row r="240">
          <cell r="MS240">
            <v>6.8199000000000005</v>
          </cell>
          <cell r="MW240" t="str">
            <v>3/16 Cut pile</v>
          </cell>
          <cell r="MX240">
            <v>138548.24352599998</v>
          </cell>
        </row>
        <row r="241">
          <cell r="MS241">
            <v>6.35</v>
          </cell>
          <cell r="MW241" t="str">
            <v>3/16 Cut pile</v>
          </cell>
          <cell r="MX241">
            <v>10</v>
          </cell>
        </row>
        <row r="242">
          <cell r="MS242">
            <v>7.62</v>
          </cell>
          <cell r="MW242" t="str">
            <v>1/8 MLCL</v>
          </cell>
          <cell r="MX242">
            <v>17587.611740159999</v>
          </cell>
        </row>
        <row r="243">
          <cell r="MS243">
            <v>7.62</v>
          </cell>
          <cell r="MW243" t="str">
            <v>1/8 MLCL</v>
          </cell>
          <cell r="MX243">
            <v>286256.70150000002</v>
          </cell>
        </row>
        <row r="244">
          <cell r="MS244">
            <v>3.6829999999999998</v>
          </cell>
          <cell r="MW244" t="str">
            <v>3/16 Cut pile</v>
          </cell>
          <cell r="MX244">
            <v>1879042.7231182524</v>
          </cell>
        </row>
        <row r="245">
          <cell r="MS245">
            <v>6.5023999999999997</v>
          </cell>
          <cell r="MW245" t="str">
            <v>1/8 MLCL</v>
          </cell>
          <cell r="MX245">
            <v>9365.4860616095611</v>
          </cell>
        </row>
        <row r="246">
          <cell r="MS246">
            <v>4.3687999999999994</v>
          </cell>
          <cell r="MW246" t="str">
            <v>3/16 Cut pile</v>
          </cell>
          <cell r="MX246">
            <v>21751.583507808005</v>
          </cell>
        </row>
        <row r="247">
          <cell r="MS247">
            <v>7.3659999999999997</v>
          </cell>
          <cell r="MW247" t="str">
            <v>1/8 Cut pile</v>
          </cell>
          <cell r="MX247">
            <v>124791.56432819997</v>
          </cell>
        </row>
        <row r="248">
          <cell r="MS248">
            <v>5.08</v>
          </cell>
          <cell r="MW248" t="str">
            <v>3/16 Cut pile</v>
          </cell>
          <cell r="MX248">
            <v>211830.61341103204</v>
          </cell>
        </row>
        <row r="249">
          <cell r="MS249">
            <v>6.35</v>
          </cell>
          <cell r="MW249" t="str">
            <v>1/8 Cut pile</v>
          </cell>
          <cell r="MX249">
            <v>8685.6008369129995</v>
          </cell>
        </row>
        <row r="250">
          <cell r="MS250">
            <v>5.5880000000000001</v>
          </cell>
          <cell r="MW250" t="str">
            <v>3/16 Cut pile</v>
          </cell>
          <cell r="MX250">
            <v>1080100.4328070108</v>
          </cell>
        </row>
        <row r="251">
          <cell r="MS251">
            <v>7.6454000000000004</v>
          </cell>
          <cell r="MW251" t="str">
            <v>3/16 Cut pile</v>
          </cell>
          <cell r="MX251">
            <v>430611.8666849999</v>
          </cell>
        </row>
        <row r="252">
          <cell r="MS252">
            <v>7.6454000000000004</v>
          </cell>
          <cell r="MW252" t="str">
            <v>3/16 Cut pile</v>
          </cell>
          <cell r="MX252">
            <v>27835.281046354321</v>
          </cell>
        </row>
        <row r="253">
          <cell r="MS253">
            <v>7.6454000000000004</v>
          </cell>
          <cell r="MW253" t="str">
            <v>3/16 Cut pile</v>
          </cell>
          <cell r="MX253">
            <v>53326.973570270391</v>
          </cell>
        </row>
        <row r="254">
          <cell r="MS254">
            <v>7.6454000000000004</v>
          </cell>
          <cell r="MW254" t="str">
            <v>3/16 Cut pile</v>
          </cell>
          <cell r="MX254">
            <v>5167.3424002200018</v>
          </cell>
        </row>
        <row r="255">
          <cell r="MS255">
            <v>6.0960000000000001</v>
          </cell>
          <cell r="MW255" t="str">
            <v>1/8 Cut pile</v>
          </cell>
          <cell r="MX255">
            <v>5182.0641734399996</v>
          </cell>
        </row>
        <row r="256">
          <cell r="MS256">
            <v>6.0960000000000001</v>
          </cell>
          <cell r="MW256" t="str">
            <v>1/8 Cut pile</v>
          </cell>
          <cell r="MX256">
            <v>2429.0925812999999</v>
          </cell>
        </row>
        <row r="257">
          <cell r="MS257">
            <v>5.5880000000000001</v>
          </cell>
          <cell r="MW257" t="str">
            <v>1/8 Cut pile</v>
          </cell>
          <cell r="MX257">
            <v>486234.43293444451</v>
          </cell>
        </row>
        <row r="258">
          <cell r="MS258">
            <v>11.176</v>
          </cell>
          <cell r="MW258" t="str">
            <v>3/16 Cut pile</v>
          </cell>
          <cell r="MX258">
            <v>32543.694249100648</v>
          </cell>
        </row>
        <row r="259">
          <cell r="MS259">
            <v>8.5090000000000003</v>
          </cell>
          <cell r="MW259" t="str">
            <v>3/16 Cut pile</v>
          </cell>
          <cell r="MX259">
            <v>2.3914702719599998</v>
          </cell>
        </row>
        <row r="260">
          <cell r="MS260">
            <v>8.89</v>
          </cell>
          <cell r="MW260" t="str">
            <v>1/8 Cut pile</v>
          </cell>
          <cell r="MX260">
            <v>35945.662945500007</v>
          </cell>
        </row>
        <row r="261">
          <cell r="MS261">
            <v>7.62</v>
          </cell>
          <cell r="MW261" t="str">
            <v>3/16 Cut pile</v>
          </cell>
          <cell r="MX261">
            <v>98253.114470280008</v>
          </cell>
        </row>
        <row r="262">
          <cell r="MS262">
            <v>6.4769999999999994</v>
          </cell>
          <cell r="MW262" t="str">
            <v>1/8 MLCL</v>
          </cell>
          <cell r="MX262">
            <v>9331.0892518882501</v>
          </cell>
        </row>
        <row r="263">
          <cell r="MS263">
            <v>5.2069999999999999</v>
          </cell>
          <cell r="MW263" t="str">
            <v>3/16 Cut pile</v>
          </cell>
          <cell r="MX263">
            <v>124214.96154374996</v>
          </cell>
        </row>
        <row r="264">
          <cell r="MS264">
            <v>8.0009999999999994</v>
          </cell>
          <cell r="MW264" t="str">
            <v>1/8 MLCL</v>
          </cell>
          <cell r="MX264">
            <v>247325.79009599998</v>
          </cell>
        </row>
        <row r="265">
          <cell r="MS265">
            <v>8.0009999999999994</v>
          </cell>
          <cell r="MW265" t="str">
            <v>1/8 MLCL</v>
          </cell>
          <cell r="MX265">
            <v>761442.82599000016</v>
          </cell>
        </row>
        <row r="266">
          <cell r="MS266">
            <v>9.9440999999999988</v>
          </cell>
          <cell r="MW266" t="str">
            <v>1/8 MLCL</v>
          </cell>
          <cell r="MX266">
            <v>6074.5103341807499</v>
          </cell>
        </row>
        <row r="267">
          <cell r="MS267">
            <v>5.5880000000000001</v>
          </cell>
          <cell r="MW267" t="str">
            <v>3/16 Cut pile</v>
          </cell>
          <cell r="MX267">
            <v>75428.845314322491</v>
          </cell>
        </row>
        <row r="268">
          <cell r="MS268">
            <v>6.6040000000000001</v>
          </cell>
          <cell r="MW268" t="str">
            <v>3/16 Cut pile</v>
          </cell>
          <cell r="MX268">
            <v>400309.55014050001</v>
          </cell>
        </row>
        <row r="269">
          <cell r="MS269">
            <v>5.2069999999999999</v>
          </cell>
          <cell r="MW269" t="str">
            <v>3/16 Cut pile</v>
          </cell>
          <cell r="MX269">
            <v>3.6804433049999994</v>
          </cell>
        </row>
        <row r="270">
          <cell r="MS270">
            <v>5.2069999999999999</v>
          </cell>
          <cell r="MW270" t="str">
            <v>3/16 Cut pile</v>
          </cell>
          <cell r="MX270">
            <v>0.9814515479999999</v>
          </cell>
        </row>
        <row r="271">
          <cell r="MS271">
            <v>5.2069999999999999</v>
          </cell>
          <cell r="MW271" t="str">
            <v>3/16 Cut pile</v>
          </cell>
          <cell r="MX271">
            <v>12.91835600055</v>
          </cell>
        </row>
        <row r="272">
          <cell r="MS272">
            <v>5.2069999999999999</v>
          </cell>
          <cell r="MW272" t="str">
            <v>3/16 Cut pile</v>
          </cell>
          <cell r="MX272">
            <v>9926.8098946169994</v>
          </cell>
        </row>
        <row r="273">
          <cell r="MS273">
            <v>5.2069999999999999</v>
          </cell>
          <cell r="MW273" t="str">
            <v>3/16 Cut pile</v>
          </cell>
          <cell r="MX273">
            <v>7653.3591713040005</v>
          </cell>
        </row>
        <row r="274">
          <cell r="MS274">
            <v>4.5720000000000001</v>
          </cell>
          <cell r="MW274" t="str">
            <v>3/16 Cut pile</v>
          </cell>
          <cell r="MX274">
            <v>23820.646946250003</v>
          </cell>
        </row>
        <row r="275">
          <cell r="MS275">
            <v>4.5720000000000001</v>
          </cell>
          <cell r="MW275" t="str">
            <v>3/16 Cut pile</v>
          </cell>
          <cell r="MX275">
            <v>39642.790926816</v>
          </cell>
        </row>
        <row r="276">
          <cell r="MS276">
            <v>4.5720000000000001</v>
          </cell>
          <cell r="MW276" t="str">
            <v>3/16 Cut pile</v>
          </cell>
          <cell r="MX276">
            <v>39642.790926816</v>
          </cell>
        </row>
        <row r="277">
          <cell r="MS277">
            <v>4.5720000000000001</v>
          </cell>
          <cell r="MW277" t="str">
            <v>3/16 Cut pile</v>
          </cell>
          <cell r="MX277">
            <v>19821.395463408</v>
          </cell>
        </row>
        <row r="278">
          <cell r="MS278">
            <v>4.5720000000000001</v>
          </cell>
          <cell r="MW278" t="str">
            <v>3/16 Cut pile</v>
          </cell>
          <cell r="MX278">
            <v>223.28022717000002</v>
          </cell>
        </row>
        <row r="279">
          <cell r="MS279">
            <v>4.5720000000000001</v>
          </cell>
          <cell r="MW279" t="str">
            <v>3/16 Cut pile</v>
          </cell>
          <cell r="MX279">
            <v>10</v>
          </cell>
        </row>
        <row r="280">
          <cell r="MS280">
            <v>5.2069999999999999</v>
          </cell>
          <cell r="MW280" t="str">
            <v>3/16 Cut pile</v>
          </cell>
          <cell r="MX280">
            <v>97163.703252000021</v>
          </cell>
        </row>
        <row r="281">
          <cell r="MS281">
            <v>5.8419999999999996</v>
          </cell>
          <cell r="MW281" t="str">
            <v>1/8 Cut pile</v>
          </cell>
          <cell r="MX281">
            <v>8488.2211160947209</v>
          </cell>
        </row>
        <row r="282">
          <cell r="MS282">
            <v>5.8419999999999996</v>
          </cell>
          <cell r="MW282" t="str">
            <v>1/8 Cut pile</v>
          </cell>
          <cell r="MX282">
            <v>12889.730330399998</v>
          </cell>
        </row>
        <row r="283">
          <cell r="MS283">
            <v>5.3339999999999996</v>
          </cell>
          <cell r="MW283" t="str">
            <v>1/8 Cut pile</v>
          </cell>
          <cell r="MX283">
            <v>1636.2843018230365</v>
          </cell>
        </row>
        <row r="284">
          <cell r="MS284">
            <v>5.8419999999999996</v>
          </cell>
          <cell r="MW284" t="str">
            <v>1/8 Cut pile</v>
          </cell>
          <cell r="MX284">
            <v>27.652397364900001</v>
          </cell>
        </row>
        <row r="285">
          <cell r="MS285">
            <v>5.8419999999999996</v>
          </cell>
          <cell r="MW285" t="str">
            <v>1/8 Cut pile</v>
          </cell>
          <cell r="MX285">
            <v>50058.936205739992</v>
          </cell>
        </row>
        <row r="286">
          <cell r="MS286">
            <v>5.8419999999999996</v>
          </cell>
          <cell r="MW286" t="str">
            <v>1/8 Cut pile</v>
          </cell>
          <cell r="MX286">
            <v>67.542268718924987</v>
          </cell>
        </row>
        <row r="287">
          <cell r="MS287">
            <v>5.8419999999999996</v>
          </cell>
          <cell r="MW287" t="str">
            <v>1/8 Cut pile</v>
          </cell>
          <cell r="MX287">
            <v>8810.0816082509991</v>
          </cell>
        </row>
        <row r="288">
          <cell r="MS288">
            <v>5.8419999999999996</v>
          </cell>
          <cell r="MW288" t="str">
            <v>1/8 Cut pile</v>
          </cell>
          <cell r="MX288">
            <v>7.3608866100000006</v>
          </cell>
        </row>
        <row r="289">
          <cell r="MS289">
            <v>5.8419999999999996</v>
          </cell>
          <cell r="MW289" t="str">
            <v>1/8 Cut pile</v>
          </cell>
          <cell r="MX289">
            <v>5668.9054440006448</v>
          </cell>
        </row>
        <row r="290">
          <cell r="MS290">
            <v>5.8419999999999996</v>
          </cell>
          <cell r="MW290" t="str">
            <v>1/8 Cut pile</v>
          </cell>
          <cell r="MX290">
            <v>1187186.6929969199</v>
          </cell>
        </row>
        <row r="291">
          <cell r="MS291">
            <v>5.8419999999999996</v>
          </cell>
          <cell r="MW291" t="str">
            <v>1/8 Cut pile</v>
          </cell>
          <cell r="MX291">
            <v>4396.9029350399996</v>
          </cell>
        </row>
        <row r="292">
          <cell r="MS292">
            <v>5.8419999999999996</v>
          </cell>
          <cell r="MW292" t="str">
            <v>1/8 Cut pile</v>
          </cell>
          <cell r="MX292">
            <v>718.5043207650001</v>
          </cell>
        </row>
        <row r="293">
          <cell r="MS293">
            <v>5.8419999999999996</v>
          </cell>
          <cell r="MW293" t="str">
            <v>1/8 Cut pile</v>
          </cell>
          <cell r="MX293">
            <v>0.49072577399999995</v>
          </cell>
        </row>
        <row r="294">
          <cell r="MS294">
            <v>8.7629999999999999</v>
          </cell>
          <cell r="MW294" t="str">
            <v>1/8 Cut pile</v>
          </cell>
          <cell r="MX294">
            <v>29069.368037324999</v>
          </cell>
        </row>
        <row r="295">
          <cell r="MS295">
            <v>8.7629999999999999</v>
          </cell>
          <cell r="MW295" t="str">
            <v>1/8 Cut pile</v>
          </cell>
          <cell r="MX295">
            <v>14441.139417993749</v>
          </cell>
        </row>
        <row r="296">
          <cell r="MS296">
            <v>8.7629999999999999</v>
          </cell>
          <cell r="MW296" t="str">
            <v>1/8 Cut pile</v>
          </cell>
          <cell r="MX296">
            <v>27683.067725774999</v>
          </cell>
        </row>
        <row r="297">
          <cell r="MS297">
            <v>13.715999999999999</v>
          </cell>
          <cell r="MW297" t="str">
            <v>1/8 Cut pile</v>
          </cell>
          <cell r="MX297">
            <v>38188.606883196</v>
          </cell>
        </row>
        <row r="298">
          <cell r="MS298">
            <v>8.7629999999999999</v>
          </cell>
          <cell r="MW298" t="str">
            <v>1/8 Cut pile</v>
          </cell>
          <cell r="MX298">
            <v>6477.5802167999982</v>
          </cell>
        </row>
        <row r="299">
          <cell r="MS299">
            <v>8.7629999999999999</v>
          </cell>
          <cell r="MW299" t="str">
            <v>1/8 Cut pile</v>
          </cell>
          <cell r="MX299">
            <v>17511.843680654398</v>
          </cell>
        </row>
        <row r="300">
          <cell r="MS300">
            <v>6.35</v>
          </cell>
          <cell r="MW300" t="str">
            <v>1/8 Cut pile</v>
          </cell>
          <cell r="MX300">
            <v>214589.47371245993</v>
          </cell>
        </row>
        <row r="301">
          <cell r="MS301">
            <v>5.5880000000000001</v>
          </cell>
          <cell r="MW301" t="str">
            <v>1/8 Cut pile</v>
          </cell>
          <cell r="MX301">
            <v>10795.967028000005</v>
          </cell>
        </row>
        <row r="302">
          <cell r="MS302">
            <v>5.5880000000000001</v>
          </cell>
          <cell r="MW302" t="str">
            <v>1/8 Cut pile</v>
          </cell>
          <cell r="MX302">
            <v>8906.6727981000004</v>
          </cell>
        </row>
        <row r="303">
          <cell r="MS303">
            <v>5.3339999999999996</v>
          </cell>
          <cell r="MW303" t="str">
            <v>1/8 Cut pile</v>
          </cell>
          <cell r="MX303">
            <v>4807.7835362287497</v>
          </cell>
        </row>
        <row r="304">
          <cell r="MS304">
            <v>5.3339999999999996</v>
          </cell>
          <cell r="MW304" t="str">
            <v>1/8 Cut pile</v>
          </cell>
          <cell r="MX304">
            <v>46.68080042443124</v>
          </cell>
        </row>
        <row r="305">
          <cell r="MS305">
            <v>5.3339999999999996</v>
          </cell>
          <cell r="MW305" t="str">
            <v>1/8 Cut pile</v>
          </cell>
          <cell r="MX305">
            <v>1636.2843018230365</v>
          </cell>
        </row>
        <row r="308">
          <cell r="MS308">
            <v>12.192</v>
          </cell>
          <cell r="MW308" t="str">
            <v>1/12 Loop Inf</v>
          </cell>
          <cell r="MX308">
            <v>15548.076923076924</v>
          </cell>
        </row>
        <row r="309">
          <cell r="MS309">
            <v>6.9731200000000007</v>
          </cell>
          <cell r="MW309" t="str">
            <v>1/10 Loop Inf</v>
          </cell>
          <cell r="MX309">
            <v>15360.095698836914</v>
          </cell>
        </row>
        <row r="310">
          <cell r="MS310">
            <v>11.99896</v>
          </cell>
          <cell r="MW310" t="str">
            <v>1/10 Loop Inf</v>
          </cell>
          <cell r="MX310">
            <v>7460.6179108636443</v>
          </cell>
        </row>
        <row r="311">
          <cell r="MS311">
            <v>9.9060000000000006</v>
          </cell>
          <cell r="MW311" t="str">
            <v>1/10 Loop Inf</v>
          </cell>
          <cell r="MX311">
            <v>14262.94600606285</v>
          </cell>
        </row>
        <row r="312">
          <cell r="MS312">
            <v>10.998200000000001</v>
          </cell>
          <cell r="MW312" t="str">
            <v>1/10 Loop Inf</v>
          </cell>
          <cell r="MX312">
            <v>37303.08955431822</v>
          </cell>
        </row>
        <row r="313">
          <cell r="MS313">
            <v>10.998200000000001</v>
          </cell>
          <cell r="MW313" t="str">
            <v>1/10 Loop Inf</v>
          </cell>
          <cell r="MX313">
            <v>117473.78369756864</v>
          </cell>
        </row>
        <row r="314">
          <cell r="MS314">
            <v>10.998200000000001</v>
          </cell>
          <cell r="MW314" t="str">
            <v>1/10 Loop Inf</v>
          </cell>
          <cell r="MX314">
            <v>20493.255360239822</v>
          </cell>
        </row>
        <row r="315">
          <cell r="MS315">
            <v>10.500360000000001</v>
          </cell>
          <cell r="MW315" t="str">
            <v>1/12 Loop Inf</v>
          </cell>
          <cell r="MX315">
            <v>7595.5865192307692</v>
          </cell>
        </row>
        <row r="316">
          <cell r="MS316">
            <v>9.4995999999999992</v>
          </cell>
          <cell r="MW316" t="str">
            <v>1/12 Loop Inf</v>
          </cell>
          <cell r="MX316">
            <v>1.1105769230769231</v>
          </cell>
        </row>
        <row r="317">
          <cell r="MS317">
            <v>9.4995999999999992</v>
          </cell>
          <cell r="MW317" t="str">
            <v>1/12 Loop Inf</v>
          </cell>
          <cell r="MX317">
            <v>3331.7307692307695</v>
          </cell>
        </row>
        <row r="318">
          <cell r="MS318">
            <v>10.033000000000001</v>
          </cell>
          <cell r="MW318" t="str">
            <v>1/12 Loop Inf</v>
          </cell>
          <cell r="MX318">
            <v>22211.538461538461</v>
          </cell>
        </row>
        <row r="319">
          <cell r="MS319">
            <v>12.192</v>
          </cell>
          <cell r="MW319" t="str">
            <v>1/12 Loop Inf</v>
          </cell>
          <cell r="MX319">
            <v>17769.23076923077</v>
          </cell>
        </row>
        <row r="320">
          <cell r="MS320">
            <v>9.4843600000000006</v>
          </cell>
          <cell r="MW320" t="str">
            <v>1/12 Rainbow</v>
          </cell>
          <cell r="MX320">
            <v>10444.736842105263</v>
          </cell>
        </row>
        <row r="321">
          <cell r="MS321">
            <v>11.43</v>
          </cell>
          <cell r="MW321" t="str">
            <v>1/10 Loop Inf</v>
          </cell>
          <cell r="MX321">
            <v>9874.3472349665881</v>
          </cell>
        </row>
        <row r="322">
          <cell r="MS322">
            <v>13</v>
          </cell>
          <cell r="MW322" t="str">
            <v>1/12 Loop Inf</v>
          </cell>
          <cell r="MX322">
            <v>11105.76923076923</v>
          </cell>
        </row>
        <row r="323">
          <cell r="MS323">
            <v>10.500360000000001</v>
          </cell>
          <cell r="MW323" t="str">
            <v>1/10 Loop Inf</v>
          </cell>
          <cell r="MX323">
            <v>7899.4777879732701</v>
          </cell>
        </row>
        <row r="324">
          <cell r="MS324">
            <v>18.491199999999999</v>
          </cell>
          <cell r="MW324" t="str">
            <v>1/12 Loop Inf</v>
          </cell>
          <cell r="MX324">
            <v>6396.9230769230771</v>
          </cell>
        </row>
        <row r="325">
          <cell r="MS325">
            <v>8.4988399999999995</v>
          </cell>
          <cell r="MW325" t="str">
            <v>1/12 Loop Inf</v>
          </cell>
          <cell r="MX325">
            <v>6219.2307692307695</v>
          </cell>
        </row>
        <row r="326">
          <cell r="MS326">
            <v>9.999979999999999</v>
          </cell>
          <cell r="MW326" t="str">
            <v>1/10 Loop Inf</v>
          </cell>
          <cell r="MX326">
            <v>6582.8981566443917</v>
          </cell>
        </row>
        <row r="327">
          <cell r="MS327">
            <v>10</v>
          </cell>
          <cell r="MW327" t="str">
            <v>1/10 Loop Inf</v>
          </cell>
          <cell r="MX327">
            <v>26331.592626577567</v>
          </cell>
        </row>
        <row r="328">
          <cell r="MS328">
            <v>13</v>
          </cell>
          <cell r="MW328" t="str">
            <v>1/12 Loop Inf</v>
          </cell>
          <cell r="MX328">
            <v>13326.923076923078</v>
          </cell>
        </row>
        <row r="329">
          <cell r="MS329">
            <v>9.6519999999999992</v>
          </cell>
          <cell r="MW329" t="str">
            <v>1/12 Loop Inf</v>
          </cell>
          <cell r="MX329">
            <v>9995.1923076923085</v>
          </cell>
        </row>
        <row r="330">
          <cell r="MS330">
            <v>9.6519999999999992</v>
          </cell>
          <cell r="MW330" t="str">
            <v>1/12 Loop Inf</v>
          </cell>
          <cell r="MX330">
            <v>13326.923076923078</v>
          </cell>
        </row>
        <row r="331">
          <cell r="MS331">
            <v>12.7</v>
          </cell>
          <cell r="MW331" t="str">
            <v>1/10 Loop Inf</v>
          </cell>
          <cell r="MX331">
            <v>6963.1578947368416</v>
          </cell>
        </row>
        <row r="332">
          <cell r="MS332">
            <v>11.501120000000002</v>
          </cell>
          <cell r="MW332" t="str">
            <v>1/10 Loop Inf</v>
          </cell>
          <cell r="MX332">
            <v>7680.0478494184572</v>
          </cell>
        </row>
        <row r="333">
          <cell r="MS333">
            <v>13</v>
          </cell>
          <cell r="MW333" t="str">
            <v>1/10 Loop Inf</v>
          </cell>
          <cell r="MX333">
            <v>17567.307692307691</v>
          </cell>
        </row>
        <row r="334">
          <cell r="MS334">
            <v>11.501120000000002</v>
          </cell>
          <cell r="MW334" t="str">
            <v>1/10 Loop Inf</v>
          </cell>
          <cell r="MX334">
            <v>26331.592626577567</v>
          </cell>
        </row>
        <row r="335">
          <cell r="MS335">
            <v>13</v>
          </cell>
          <cell r="MW335" t="str">
            <v>1/10 Loop Inf</v>
          </cell>
          <cell r="MX335">
            <v>28986.057692307691</v>
          </cell>
        </row>
        <row r="336">
          <cell r="MS336">
            <v>11.480800000000002</v>
          </cell>
          <cell r="MW336" t="str">
            <v>1/10 Loop Inf</v>
          </cell>
          <cell r="MX336">
            <v>7680.0478494184572</v>
          </cell>
        </row>
        <row r="337">
          <cell r="MS337">
            <v>10.033000000000001</v>
          </cell>
          <cell r="MW337" t="str">
            <v>1/12 Loop Inf</v>
          </cell>
          <cell r="MX337">
            <v>6663.461538461539</v>
          </cell>
        </row>
        <row r="338">
          <cell r="MS338">
            <v>10</v>
          </cell>
          <cell r="MW338" t="str">
            <v>1/12 Loop Inf</v>
          </cell>
          <cell r="MX338">
            <v>11327.884615384615</v>
          </cell>
        </row>
        <row r="339">
          <cell r="MS339">
            <v>12</v>
          </cell>
          <cell r="MW339" t="str">
            <v>1/10 Loop Inf</v>
          </cell>
          <cell r="MX339">
            <v>4388.5987710962618</v>
          </cell>
        </row>
        <row r="340">
          <cell r="MS340">
            <v>10</v>
          </cell>
          <cell r="MW340" t="str">
            <v>1/12 Loop Inf</v>
          </cell>
          <cell r="MX340">
            <v>1999.0384615384617</v>
          </cell>
        </row>
        <row r="341">
          <cell r="MS341">
            <v>6.9731200000000007</v>
          </cell>
          <cell r="MW341" t="str">
            <v>1/10 Loop Inf</v>
          </cell>
          <cell r="MX341">
            <v>5485.7484638703263</v>
          </cell>
        </row>
        <row r="342">
          <cell r="MS342">
            <v>9.4995999999999992</v>
          </cell>
          <cell r="MW342" t="str">
            <v>1/12 Loop Inf</v>
          </cell>
          <cell r="MX342">
            <v>23988.461538461539</v>
          </cell>
        </row>
        <row r="343">
          <cell r="MS343">
            <v>9.4995999999999992</v>
          </cell>
          <cell r="MW343" t="str">
            <v>1/12 Loop Inf</v>
          </cell>
          <cell r="MX343">
            <v>54418.269230769234</v>
          </cell>
        </row>
        <row r="344">
          <cell r="MS344">
            <v>9.4995999999999992</v>
          </cell>
          <cell r="MW344" t="str">
            <v>1/12 Loop Inf</v>
          </cell>
          <cell r="MX344">
            <v>33317.307692307695</v>
          </cell>
        </row>
        <row r="345">
          <cell r="MS345">
            <v>13</v>
          </cell>
          <cell r="MW345" t="str">
            <v>1/10 Loop Inf</v>
          </cell>
          <cell r="MX345">
            <v>46080.287096510743</v>
          </cell>
        </row>
        <row r="346">
          <cell r="MS346">
            <v>13</v>
          </cell>
          <cell r="MW346" t="str">
            <v>1/10 Loop Inf</v>
          </cell>
          <cell r="MX346">
            <v>19200.119623546143</v>
          </cell>
        </row>
        <row r="347">
          <cell r="MS347">
            <v>11.683999999999999</v>
          </cell>
          <cell r="MW347" t="str">
            <v>1/12 Loop Inf</v>
          </cell>
          <cell r="MX347">
            <v>15360.095698836914</v>
          </cell>
        </row>
        <row r="348">
          <cell r="MS348">
            <v>11.43</v>
          </cell>
          <cell r="MW348" t="str">
            <v>1/10 Loop Inf</v>
          </cell>
          <cell r="MX348">
            <v>7680.0478494184572</v>
          </cell>
        </row>
        <row r="349">
          <cell r="MS349">
            <v>13</v>
          </cell>
          <cell r="MW349" t="str">
            <v>1/10 Loop Inf</v>
          </cell>
          <cell r="MX349">
            <v>98743.472349665884</v>
          </cell>
        </row>
        <row r="351">
          <cell r="MS351">
            <v>11.25</v>
          </cell>
          <cell r="MW351" t="str">
            <v>1/10 Loop Inf</v>
          </cell>
          <cell r="MX351">
            <v>771059.9226804123</v>
          </cell>
        </row>
        <row r="352">
          <cell r="MS352">
            <v>11.25</v>
          </cell>
          <cell r="MW352" t="str">
            <v>1/12 Loop Inf</v>
          </cell>
          <cell r="MX352">
            <v>274285.43814432988</v>
          </cell>
        </row>
        <row r="353">
          <cell r="MS353">
            <v>11.25</v>
          </cell>
          <cell r="MW353" t="str">
            <v>1/12 Rainbow</v>
          </cell>
          <cell r="MX353">
            <v>48853.414948453603</v>
          </cell>
        </row>
        <row r="354">
          <cell r="MS354">
            <v>11.25</v>
          </cell>
          <cell r="MW354" t="str">
            <v>5/64 VLOC</v>
          </cell>
          <cell r="MX354">
            <v>40613.079896907213</v>
          </cell>
        </row>
        <row r="367">
          <cell r="GF367">
            <v>17364416.51282547</v>
          </cell>
        </row>
        <row r="374">
          <cell r="AE374">
            <v>1869667.3779000002</v>
          </cell>
          <cell r="QE374">
            <v>65595.600000000006</v>
          </cell>
          <cell r="QF374">
            <v>82792.5</v>
          </cell>
          <cell r="QG374">
            <v>109012.36395</v>
          </cell>
          <cell r="QH374">
            <v>142347.45000000001</v>
          </cell>
          <cell r="QI374">
            <v>160479.9</v>
          </cell>
          <cell r="QJ374">
            <v>207480</v>
          </cell>
          <cell r="QK374">
            <v>196089.95</v>
          </cell>
          <cell r="QL374">
            <v>185274.95</v>
          </cell>
          <cell r="QM374">
            <v>187939.84999999998</v>
          </cell>
          <cell r="QN374">
            <v>190155</v>
          </cell>
          <cell r="QO374">
            <v>145289.86395</v>
          </cell>
          <cell r="QP374">
            <v>197209.95</v>
          </cell>
        </row>
        <row r="377">
          <cell r="AE377">
            <v>1773755.277</v>
          </cell>
          <cell r="MG377">
            <v>2</v>
          </cell>
          <cell r="QE377">
            <v>101956.05</v>
          </cell>
          <cell r="QF377">
            <v>124320</v>
          </cell>
          <cell r="QG377">
            <v>134651.2818</v>
          </cell>
          <cell r="QH377">
            <v>139983.84540000002</v>
          </cell>
          <cell r="QI377">
            <v>117180.00000000001</v>
          </cell>
          <cell r="QJ377">
            <v>157833.84540000002</v>
          </cell>
          <cell r="QK377">
            <v>149841.2818</v>
          </cell>
          <cell r="QL377">
            <v>168340.12719999999</v>
          </cell>
          <cell r="QM377">
            <v>130060</v>
          </cell>
          <cell r="QN377">
            <v>187390</v>
          </cell>
          <cell r="QO377">
            <v>174055</v>
          </cell>
          <cell r="QP377">
            <v>188143.84540000002</v>
          </cell>
          <cell r="QQ377">
            <v>1773755.2770000002</v>
          </cell>
        </row>
        <row r="380">
          <cell r="AE380">
            <v>2517076.1586026084</v>
          </cell>
          <cell r="QE380">
            <v>195193.57893839999</v>
          </cell>
          <cell r="QF380">
            <v>175797.26075939997</v>
          </cell>
          <cell r="QG380">
            <v>180251.4993699</v>
          </cell>
          <cell r="QH380">
            <v>191894.09255870807</v>
          </cell>
          <cell r="QI380">
            <v>214495.2706343999</v>
          </cell>
          <cell r="QJ380">
            <v>190937.78561339999</v>
          </cell>
          <cell r="QK380">
            <v>206121.06391589984</v>
          </cell>
          <cell r="QL380">
            <v>208644.89480939991</v>
          </cell>
          <cell r="QM380">
            <v>200241.26178839989</v>
          </cell>
          <cell r="QN380">
            <v>203955.48243839992</v>
          </cell>
          <cell r="QO380">
            <v>197807.03638289988</v>
          </cell>
          <cell r="QP380">
            <v>351736.93139340007</v>
          </cell>
          <cell r="QQ380">
            <v>2517076.1586026084</v>
          </cell>
        </row>
        <row r="384">
          <cell r="GF384">
            <v>345912.33046102937</v>
          </cell>
          <cell r="YG384">
            <v>21514.340101522841</v>
          </cell>
          <cell r="YH384">
            <v>19836.867529065006</v>
          </cell>
          <cell r="YI384">
            <v>32775.833018988633</v>
          </cell>
          <cell r="YJ384">
            <v>22910.185033568036</v>
          </cell>
          <cell r="YK384">
            <v>30733.175045030293</v>
          </cell>
          <cell r="YL384">
            <v>24921.811036515472</v>
          </cell>
          <cell r="YM384">
            <v>32111.511380383163</v>
          </cell>
          <cell r="YN384">
            <v>28200.016374652034</v>
          </cell>
          <cell r="YO384">
            <v>33787.866382839362</v>
          </cell>
          <cell r="YP384">
            <v>40654.701530532759</v>
          </cell>
          <cell r="YQ384">
            <v>28609.79204191911</v>
          </cell>
          <cell r="YR384">
            <v>29856.230986012601</v>
          </cell>
        </row>
        <row r="385">
          <cell r="GF385">
            <v>1757258.7225658353</v>
          </cell>
          <cell r="YG385">
            <v>112966.57787092168</v>
          </cell>
          <cell r="YH385">
            <v>141477.77881777429</v>
          </cell>
          <cell r="YI385">
            <v>160436.39597695507</v>
          </cell>
          <cell r="YJ385">
            <v>140411.56595631511</v>
          </cell>
          <cell r="YK385">
            <v>104563.99016213471</v>
          </cell>
          <cell r="YL385">
            <v>96210.678558857166</v>
          </cell>
          <cell r="YM385">
            <v>177859.62472710162</v>
          </cell>
          <cell r="YN385">
            <v>180190.86597649407</v>
          </cell>
          <cell r="YO385">
            <v>169714.92502606357</v>
          </cell>
          <cell r="YP385">
            <v>168954.77548365996</v>
          </cell>
          <cell r="YQ385">
            <v>155619.40431227852</v>
          </cell>
          <cell r="YR385">
            <v>148852.13969727958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
      <sheetName val="MC Cap working Tufting"/>
    </sheetNames>
    <sheetDataSet>
      <sheetData sheetId="0">
        <row r="53">
          <cell r="J53">
            <v>0.8</v>
          </cell>
        </row>
        <row r="67">
          <cell r="J67">
            <v>0.8</v>
          </cell>
        </row>
        <row r="130">
          <cell r="J130">
            <v>7.1098774287354658</v>
          </cell>
        </row>
      </sheetData>
      <sheetData sheetId="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entive utilisation"/>
      <sheetName val="QTR-1st 23-24"/>
      <sheetName val="Sheet1"/>
      <sheetName val="Auditor's Data"/>
      <sheetName val="Tufting Prod wise"/>
      <sheetName val="Summy For BP 25"/>
      <sheetName val="Masterdata"/>
      <sheetName val="Tufting Machines"/>
      <sheetName val="Capacity"/>
      <sheetName val="Final Note"/>
      <sheetName val="Cost Audit - Yarn "/>
      <sheetName val="Cost Audit - SPC"/>
      <sheetName val="WFL Mach. Cap FY 24"/>
    </sheetNames>
    <sheetDataSet>
      <sheetData sheetId="0"/>
      <sheetData sheetId="1"/>
      <sheetData sheetId="2"/>
      <sheetData sheetId="3"/>
      <sheetData sheetId="4"/>
      <sheetData sheetId="5">
        <row r="3">
          <cell r="Q3" t="str">
            <v>BP 24-25</v>
          </cell>
        </row>
        <row r="16">
          <cell r="V16" t="str">
            <v>TUFT2104</v>
          </cell>
        </row>
        <row r="17">
          <cell r="V17" t="str">
            <v>TUFT2103</v>
          </cell>
        </row>
        <row r="18">
          <cell r="V18" t="str">
            <v>TUFT2113</v>
          </cell>
        </row>
        <row r="19">
          <cell r="V19" t="str">
            <v>TUFT2107</v>
          </cell>
        </row>
        <row r="20">
          <cell r="V20" t="str">
            <v>TUFT2102</v>
          </cell>
        </row>
        <row r="21">
          <cell r="V21" t="str">
            <v>TUFT2116</v>
          </cell>
        </row>
        <row r="22">
          <cell r="V22" t="str">
            <v>TUFT2115</v>
          </cell>
        </row>
        <row r="23">
          <cell r="V23" t="str">
            <v>TUFT2111</v>
          </cell>
        </row>
        <row r="24">
          <cell r="V24" t="str">
            <v>TUFT2114</v>
          </cell>
        </row>
        <row r="25">
          <cell r="V25" t="str">
            <v>TUFT2105</v>
          </cell>
        </row>
        <row r="27">
          <cell r="V27" t="str">
            <v>TUFT2117</v>
          </cell>
        </row>
        <row r="28">
          <cell r="V28" t="str">
            <v>TUFT2109</v>
          </cell>
        </row>
        <row r="29">
          <cell r="V29" t="str">
            <v>TUFT2110</v>
          </cell>
        </row>
        <row r="30">
          <cell r="V30" t="str">
            <v>TUFT2112</v>
          </cell>
        </row>
        <row r="31">
          <cell r="V31" t="str">
            <v>TUFT2106</v>
          </cell>
        </row>
        <row r="32">
          <cell r="V32" t="str">
            <v>TUFT2101</v>
          </cell>
        </row>
      </sheetData>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Z:\Business%20Plan\2025-26\V1\3.2%20Softflooring_BPlan_2025-26.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Z:\Business%20Plan\2025-26\V1\3.2%20Softflooring_BPlan_2025-26.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Subesh Pal" refreshedDate="45703.41192337963" createdVersion="5" refreshedVersion="5" minRefreshableVersion="3" recordCount="346">
  <cacheSource type="worksheet">
    <worksheetSource ref="MP8:MX354" sheet="Data" r:id="rId2"/>
  </cacheSource>
  <cacheFields count="9">
    <cacheField name="Speed" numFmtId="0">
      <sharedItems containsString="0" containsBlank="1" containsNumber="1" containsInteger="1" minValue="350" maxValue="1000"/>
    </cacheField>
    <cacheField name="Utiliz" numFmtId="0">
      <sharedItems containsString="0" containsBlank="1" containsNumber="1" minValue="0.49" maxValue="0.6"/>
    </cacheField>
    <cacheField name="Effi" numFmtId="0">
      <sharedItems containsString="0" containsBlank="1" containsNumber="1" minValue="0.66609589041095896" maxValue="0.66609589041095896"/>
    </cacheField>
    <cacheField name="SPI" numFmtId="0">
      <sharedItems containsString="0" containsBlank="1" containsNumber="1" minValue="3.556" maxValue="18.491199999999999"/>
    </cacheField>
    <cacheField name="width" numFmtId="0">
      <sharedItems containsString="0" containsBlank="1" containsNumber="1" minValue="2.08" maxValue="5"/>
    </cacheField>
    <cacheField name="Prod" numFmtId="0">
      <sharedItems containsString="0" containsBlank="1" containsNumber="1" minValue="1303.6796668949673" maxValue="12097.575069028271"/>
    </cacheField>
    <cacheField name="Req /days" numFmtId="0">
      <sharedItems containsString="0" containsBlank="1" containsNumber="1" minValue="6.8348739203632716E-5" maxValue="331.02043415514157"/>
    </cacheField>
    <cacheField name="M/c" numFmtId="0">
      <sharedItems containsBlank="1" count="31">
        <m/>
        <s v="1/8 Cut pile"/>
        <s v="1/10 Cut pile"/>
        <s v="3/16 Cut pile"/>
        <s v="1/8 MLCL"/>
        <s v="1/10 Loop Inf"/>
        <s v="1/12 Rainbow"/>
        <s v="3/8 Cut pile"/>
        <s v="1/10 Loop"/>
        <s v="5/64 VLOC"/>
        <s v="1/12 Loop Inf"/>
        <s v="TUFT2111" u="1"/>
        <s v="1/10 cut" u="1"/>
        <s v="1/10 LOOP PILE " u="1"/>
        <s v="3/8 Cut Pile MT" u="1"/>
        <s v="TUFT2105" u="1"/>
        <s v="3/8 cut " u="1"/>
        <s v="3/16 Cut" u="1"/>
        <s v="1/8 Cut " u="1"/>
        <s v="TUFT2104" u="1"/>
        <s v="TUFT2114" u="1"/>
        <s v="1/8 CUT 5M" u="1"/>
        <s v="3/8 Cut" u="1"/>
        <s v="TUFT2103" u="1"/>
        <s v="1/10 Loop MT" u="1"/>
        <s v="1/8 Cut" u="1"/>
        <s v="1/12 loop inf." u="1"/>
        <s v="1/10 LOOP MC-11" u="1"/>
        <s v="1/10 loop pile" u="1"/>
        <s v="1/10 loop inf." u="1"/>
        <s v="TUFT2106" u="1"/>
      </sharedItems>
    </cacheField>
    <cacheField name="Tufting Prod" numFmtId="0">
      <sharedItems containsString="0" containsBlank="1" containsNumber="1" minValue="0.49072577399999995" maxValue="1879042.72311825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Subesh Pal" refreshedDate="45703.414277083335" createdVersion="5" refreshedVersion="5" minRefreshableVersion="3" recordCount="346">
  <cacheSource type="worksheet">
    <worksheetSource ref="YT8:ZG354" sheet="Data" r:id="rId2"/>
  </cacheSource>
  <cacheFields count="14">
    <cacheField name="M/c Name" numFmtId="0">
      <sharedItems containsBlank="1" containsMixedTypes="1" containsNumber="1" containsInteger="1" minValue="0" maxValue="0" count="12">
        <m/>
        <s v="1/8 Cut pile"/>
        <s v="1/10 Cut pile"/>
        <s v="3/16 Cut pile"/>
        <s v="1/8 MLCL"/>
        <s v="1/10 Loop Inf"/>
        <s v="1/12 Rainbow"/>
        <s v="3/8 Cut pile"/>
        <s v="1/10 Loop"/>
        <s v="5/64 VLOC"/>
        <s v="1/12 Loop Inf"/>
        <n v="0" u="1"/>
      </sharedItems>
    </cacheField>
    <cacheField name="Apr-25" numFmtId="0">
      <sharedItems containsString="0" containsBlank="1" containsNumber="1" minValue="0" maxValue="157441.18582500002"/>
    </cacheField>
    <cacheField name="May-25" numFmtId="0">
      <sharedItems containsString="0" containsBlank="1" containsNumber="1" minValue="0" maxValue="156586.89359318773"/>
    </cacheField>
    <cacheField name="Jun-25" numFmtId="0">
      <sharedItems containsString="0" containsBlank="1" containsNumber="1" minValue="0" maxValue="156586.89359318773"/>
    </cacheField>
    <cacheField name="Jul-25" numFmtId="0">
      <sharedItems containsString="0" containsBlank="1" containsNumber="1" minValue="0" maxValue="156586.89359318773"/>
    </cacheField>
    <cacheField name="Aug-25" numFmtId="0">
      <sharedItems containsString="0" containsBlank="1" containsNumber="1" minValue="0" maxValue="156586.89359318773"/>
    </cacheField>
    <cacheField name="Sep-25" numFmtId="0">
      <sharedItems containsString="0" containsBlank="1" containsNumber="1" minValue="0" maxValue="156586.89359318773"/>
    </cacheField>
    <cacheField name="Oct-25" numFmtId="0">
      <sharedItems containsString="0" containsBlank="1" containsNumber="1" minValue="0" maxValue="156586.89359318773"/>
    </cacheField>
    <cacheField name="Nov-25" numFmtId="0">
      <sharedItems containsString="0" containsBlank="1" containsNumber="1" minValue="0" maxValue="156586.89359318773"/>
    </cacheField>
    <cacheField name="Dec-25" numFmtId="0">
      <sharedItems containsString="0" containsBlank="1" containsNumber="1" minValue="0" maxValue="156586.89359318773"/>
    </cacheField>
    <cacheField name="Jan-26" numFmtId="0">
      <sharedItems containsString="0" containsBlank="1" containsNumber="1" minValue="0" maxValue="156586.89359318773"/>
    </cacheField>
    <cacheField name="Feb-26" numFmtId="0">
      <sharedItems containsString="0" containsBlank="1" containsNumber="1" minValue="0" maxValue="156586.89359318773"/>
    </cacheField>
    <cacheField name="Mar-26" numFmtId="0">
      <sharedItems containsString="0" containsBlank="1" containsNumber="1" minValue="0" maxValue="156586.89359318773"/>
    </cacheField>
    <cacheField name="FY26" numFmtId="0">
      <sharedItems containsString="0" containsBlank="1" containsNumber="1" minValue="0.49072577399999995" maxValue="1879042.72311825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46">
  <r>
    <m/>
    <m/>
    <m/>
    <m/>
    <m/>
    <m/>
    <m/>
    <x v="0"/>
    <m/>
  </r>
  <r>
    <n v="750"/>
    <n v="0.56999999999999995"/>
    <n v="0.66609589041095896"/>
    <n v="9"/>
    <n v="3.6"/>
    <n v="4166.1024143966097"/>
    <n v="4.6928614164803069"/>
    <x v="1"/>
    <n v="19550.941277627298"/>
  </r>
  <r>
    <n v="750"/>
    <n v="0.56999999999999995"/>
    <n v="0.66609589041095896"/>
    <n v="12"/>
    <n v="3.6"/>
    <n v="3124.5768107974573"/>
    <n v="3.4130040159150696"/>
    <x v="1"/>
    <n v="10664.193203286823"/>
  </r>
  <r>
    <n v="750"/>
    <n v="0.56999999999999995"/>
    <n v="0.66609589041095896"/>
    <n v="10.210800000000001"/>
    <n v="3.6"/>
    <n v="3672.0846289780907"/>
    <n v="5.6369925114692583"/>
    <x v="1"/>
    <n v="20699.513555030866"/>
  </r>
  <r>
    <n v="750"/>
    <n v="0.56999999999999995"/>
    <n v="0.66609589041095896"/>
    <n v="10.744199999999999"/>
    <n v="3.6"/>
    <n v="3489.7825551990363"/>
    <n v="8.0733792001950881"/>
    <x v="2"/>
    <n v="28174.337894347569"/>
  </r>
  <r>
    <n v="750"/>
    <n v="0.6"/>
    <n v="0.66609589041095896"/>
    <n v="7.2770999999999999"/>
    <n v="3.6"/>
    <n v="5423.6356052142655"/>
    <n v="1.0686110936596365"/>
    <x v="3"/>
    <n v="5795.7571756993602"/>
  </r>
  <r>
    <n v="750"/>
    <n v="0.56999999999999995"/>
    <n v="0.66609589041095896"/>
    <n v="8.89"/>
    <n v="3.6"/>
    <n v="4217.6514881405492"/>
    <n v="4.4988435259445785"/>
    <x v="1"/>
    <n v="18974.554092111626"/>
  </r>
  <r>
    <n v="750"/>
    <n v="0.56999999999999995"/>
    <n v="0.66609589041095896"/>
    <n v="12.446000000000002"/>
    <n v="3.6"/>
    <n v="3012.6082058146776"/>
    <n v="7.6344011349362555"/>
    <x v="2"/>
    <n v="22999.45950558985"/>
  </r>
  <r>
    <n v="750"/>
    <n v="0.56999999999999995"/>
    <n v="0.66609589041095896"/>
    <n v="7.8740000000000006"/>
    <n v="3.6"/>
    <n v="4761.8645833844912"/>
    <n v="7.8486317790288522"/>
    <x v="1"/>
    <n v="37374.121696583505"/>
  </r>
  <r>
    <n v="750"/>
    <n v="0.56999999999999995"/>
    <n v="0.66609589041095896"/>
    <n v="13.843"/>
    <n v="3.6"/>
    <n v="2708.5835244939312"/>
    <n v="32.670367979252333"/>
    <x v="1"/>
    <n v="88490.420447756958"/>
  </r>
  <r>
    <n v="750"/>
    <n v="0.56999999999999995"/>
    <n v="0.66609589041095896"/>
    <n v="11.938000000000001"/>
    <n v="4"/>
    <n v="3489.7825551990363"/>
    <n v="10.988735380964394"/>
    <x v="1"/>
    <n v="38348.297036187978"/>
  </r>
  <r>
    <n v="750"/>
    <n v="0.6"/>
    <n v="0.66609589041095896"/>
    <n v="9.9060000000000006"/>
    <n v="3.6"/>
    <n v="3984.2861561381715"/>
    <n v="13.964676909813889"/>
    <x v="3"/>
    <n v="55639.268886713857"/>
  </r>
  <r>
    <n v="350"/>
    <n v="0.55000000000000004"/>
    <n v="0.66609589041095896"/>
    <n v="12.827"/>
    <n v="4"/>
    <n v="1462.5120800492521"/>
    <n v="4.5848647004672793"/>
    <x v="4"/>
    <n v="6705.4200098247911"/>
  </r>
  <r>
    <n v="750"/>
    <n v="0.56999999999999995"/>
    <n v="0.66609589041095896"/>
    <n v="12.318999999999999"/>
    <n v="4"/>
    <n v="3381.8511359660765"/>
    <n v="1.3218441104661036"/>
    <x v="2"/>
    <n v="4470.2800065498604"/>
  </r>
  <r>
    <n v="750"/>
    <n v="0.56999999999999995"/>
    <n v="0.66609589041095896"/>
    <n v="11"/>
    <n v="4"/>
    <n v="3787.3658312696452"/>
    <n v="4.9741372650255329"/>
    <x v="2"/>
    <n v="18838.877517602748"/>
  </r>
  <r>
    <n v="750"/>
    <n v="0.6"/>
    <n v="0.66609589041095896"/>
    <n v="9.9060000000000006"/>
    <n v="3.6"/>
    <n v="3984.2861561381715"/>
    <n v="4.0730307653623843"/>
    <x v="3"/>
    <n v="16228.120091958208"/>
  </r>
  <r>
    <n v="750"/>
    <n v="0.56999999999999995"/>
    <n v="0.66609589041095896"/>
    <n v="12.4968"/>
    <n v="3.6"/>
    <n v="3000.3618309942935"/>
    <n v="10.76819815754375"/>
    <x v="2"/>
    <n v="32308.490740477344"/>
  </r>
  <r>
    <n v="750"/>
    <n v="0.6"/>
    <n v="0.66609589041095896"/>
    <n v="9.9060000000000006"/>
    <n v="3.6"/>
    <n v="3984.2861561381715"/>
    <n v="11.346299989223784"/>
    <x v="3"/>
    <n v="45206.905970455009"/>
  </r>
  <r>
    <n v="750"/>
    <n v="0.56999999999999995"/>
    <n v="0.66609589041095896"/>
    <n v="12.4968"/>
    <n v="3.6"/>
    <n v="3000.3618309942935"/>
    <n v="17.017547542087293"/>
    <x v="2"/>
    <n v="51058.80010240947"/>
  </r>
  <r>
    <n v="750"/>
    <n v="0.6"/>
    <n v="0.66609589041095896"/>
    <n v="9"/>
    <n v="3.6"/>
    <n v="4385.3709625227484"/>
    <n v="13.216116094236339"/>
    <x v="3"/>
    <n v="57957.571756993602"/>
  </r>
  <r>
    <n v="750"/>
    <n v="0.56999999999999995"/>
    <n v="0.66609589041095896"/>
    <n v="8"/>
    <n v="3.6"/>
    <n v="4686.8652161961863"/>
    <n v="6.0593187239071886"/>
    <x v="1"/>
    <n v="28399.210160926865"/>
  </r>
  <r>
    <n v="750"/>
    <n v="0.56999999999999995"/>
    <n v="0.66609589041095896"/>
    <n v="7.5"/>
    <n v="3.6"/>
    <n v="4999.3228972759316"/>
    <n v="7.651435633505252"/>
    <x v="1"/>
    <n v="38251.99735961578"/>
  </r>
  <r>
    <n v="750"/>
    <n v="0.56999999999999995"/>
    <n v="0.66609589041095896"/>
    <n v="13"/>
    <n v="3.6"/>
    <n v="2884.2247484284217"/>
    <n v="11.052073692840921"/>
    <x v="1"/>
    <n v="31876.664466346483"/>
  </r>
  <r>
    <n v="750"/>
    <n v="0.56999999999999995"/>
    <n v="0.66609589041095896"/>
    <n v="12.5"/>
    <n v="3.6"/>
    <n v="2999.5937383655587"/>
    <n v="9.6609035776581464"/>
    <x v="2"/>
    <n v="28978.785878496801"/>
  </r>
  <r>
    <n v="750"/>
    <n v="0.56999999999999995"/>
    <n v="0.66609589041095896"/>
    <n v="10.668000000000001"/>
    <n v="3.6"/>
    <n v="3514.7095734504578"/>
    <n v="8.768655017841068"/>
    <x v="1"/>
    <n v="30819.275737490399"/>
  </r>
  <r>
    <n v="750"/>
    <n v="0.56999999999999995"/>
    <n v="0.66609589041095896"/>
    <n v="12.192"/>
    <n v="3.6"/>
    <n v="3075.370876769151"/>
    <n v="7.4785970301416356"/>
    <x v="2"/>
    <n v="22999.45950558985"/>
  </r>
  <r>
    <n v="750"/>
    <n v="0.6"/>
    <n v="0.66609589041095896"/>
    <n v="9"/>
    <n v="3.6"/>
    <n v="4385.3709625227484"/>
    <n v="12.026665645755068"/>
    <x v="3"/>
    <n v="52741.390298864178"/>
  </r>
  <r>
    <n v="750"/>
    <n v="0.56999999999999995"/>
    <n v="0.66609589041095896"/>
    <n v="11"/>
    <n v="3.6"/>
    <n v="3408.6292481426808"/>
    <n v="10.712009886907351"/>
    <x v="1"/>
    <n v="36513.270206905967"/>
  </r>
  <r>
    <n v="750"/>
    <n v="0.56999999999999995"/>
    <n v="0.66609589041095896"/>
    <n v="13"/>
    <n v="3.6"/>
    <n v="2884.2247484284217"/>
    <n v="10.449233309595053"/>
    <x v="1"/>
    <n v="30137.937313636674"/>
  </r>
  <r>
    <n v="750"/>
    <n v="0.56999999999999995"/>
    <n v="0.66609589041095896"/>
    <n v="11"/>
    <n v="3.6"/>
    <n v="3408.6292481426808"/>
    <n v="15.302871267010504"/>
    <x v="1"/>
    <n v="52161.814581294246"/>
  </r>
  <r>
    <n v="900"/>
    <n v="0.56999999999999995"/>
    <n v="0.66609589041095896"/>
    <n v="11.99896"/>
    <n v="4"/>
    <n v="4166.4635079006284"/>
    <n v="0.6437517090558631"/>
    <x v="5"/>
    <n v="2682.1680039299163"/>
  </r>
  <r>
    <n v="350"/>
    <n v="0.55000000000000004"/>
    <n v="0.66609589041095896"/>
    <n v="12.750800000000002"/>
    <n v="4"/>
    <n v="1471.2521920814186"/>
    <n v="4.5576278804645041"/>
    <x v="4"/>
    <n v="6705.4200098247911"/>
  </r>
  <r>
    <n v="350"/>
    <n v="0.55000000000000004"/>
    <n v="0.66609589041095896"/>
    <n v="12.750800000000002"/>
    <n v="4"/>
    <n v="1471.2521920814186"/>
    <n v="10.254662731045133"/>
    <x v="4"/>
    <n v="15087.19502210578"/>
  </r>
  <r>
    <n v="750"/>
    <n v="0.56999999999999995"/>
    <n v="0.66609589041095896"/>
    <n v="12.065"/>
    <n v="3.6"/>
    <n v="3107.7432017877736"/>
    <n v="1.4801389955488655"/>
    <x v="1"/>
    <n v="4599.8919011179705"/>
  </r>
  <r>
    <n v="750"/>
    <n v="0.56999999999999995"/>
    <n v="0.66609589041095896"/>
    <n v="11.176000000000002"/>
    <n v="4"/>
    <n v="3727.7222748716968"/>
    <n v="1.7987981709435643"/>
    <x v="1"/>
    <n v="6705.4200098247911"/>
  </r>
  <r>
    <n v="350"/>
    <n v="0.55000000000000004"/>
    <n v="0.66609589041095896"/>
    <n v="12.750800000000002"/>
    <n v="4"/>
    <n v="1471.2521920814186"/>
    <n v="27.345767282787026"/>
    <x v="4"/>
    <n v="40232.52005894875"/>
  </r>
  <r>
    <n v="350"/>
    <n v="0.55000000000000004"/>
    <n v="0.66609589041095896"/>
    <n v="11.938000000000001"/>
    <n v="4"/>
    <n v="1571.4225540954728"/>
    <n v="12.801305401304681"/>
    <x v="4"/>
    <n v="20116.260029474375"/>
  </r>
  <r>
    <n v="350"/>
    <n v="0.55000000000000004"/>
    <n v="0.66609589041095896"/>
    <n v="13"/>
    <n v="4"/>
    <n v="1443.0494192916735"/>
    <n v="9.6806282818265235"/>
    <x v="4"/>
    <n v="13969.625020468315"/>
  </r>
  <r>
    <n v="750"/>
    <n v="0.56999999999999995"/>
    <n v="0.66609589041095896"/>
    <n v="11"/>
    <n v="4"/>
    <n v="3787.3658312696452"/>
    <n v="3.5409412813849679"/>
    <x v="1"/>
    <n v="13410.840019649582"/>
  </r>
  <r>
    <n v="750"/>
    <n v="0.56999999999999995"/>
    <n v="0.66609589041095896"/>
    <n v="13.124179999999999"/>
    <n v="4"/>
    <n v="3174.371590755849"/>
    <n v="4.4359589348766653"/>
    <x v="1"/>
    <n v="14081.382020632062"/>
  </r>
  <r>
    <n v="750"/>
    <n v="0.56999999999999995"/>
    <n v="0.66609589041095896"/>
    <n v="12.953999999999999"/>
    <n v="4"/>
    <n v="3216.0741194971515"/>
    <n v="4.1699412144600796"/>
    <x v="1"/>
    <n v="13410.840019649582"/>
  </r>
  <r>
    <n v="750"/>
    <n v="0.56999999999999995"/>
    <n v="0.66609589041095896"/>
    <n v="11.176000000000002"/>
    <n v="4"/>
    <n v="3727.7222748716968"/>
    <n v="1.7987981709435643"/>
    <x v="1"/>
    <n v="6705.4200098247911"/>
  </r>
  <r>
    <n v="750"/>
    <n v="0.56999999999999995"/>
    <n v="0.66609589041095896"/>
    <n v="12.065"/>
    <n v="4"/>
    <n v="3453.0480019864149"/>
    <n v="0.64729479636226728"/>
    <x v="1"/>
    <n v="2235.1400032749302"/>
  </r>
  <r>
    <n v="750"/>
    <n v="0.56999999999999995"/>
    <n v="0.66609589041095896"/>
    <n v="12.2682"/>
    <n v="4"/>
    <n v="3395.8546603386062"/>
    <n v="1.7771308293390167"/>
    <x v="2"/>
    <n v="6034.8780088423118"/>
  </r>
  <r>
    <n v="750"/>
    <n v="0.56999999999999995"/>
    <n v="0.66609589041095896"/>
    <n v="13.614400000000002"/>
    <n v="4"/>
    <n v="3060.0705241484084"/>
    <n v="2.1912632264221599"/>
    <x v="2"/>
    <n v="6705.4200098247911"/>
  </r>
  <r>
    <n v="750"/>
    <n v="0.56999999999999995"/>
    <n v="0.66609589041095896"/>
    <n v="6"/>
    <n v="4"/>
    <n v="6943.5040239943492"/>
    <n v="1.6095187642658948"/>
    <x v="2"/>
    <n v="11175.700016374652"/>
  </r>
  <r>
    <n v="350"/>
    <n v="0.55000000000000004"/>
    <n v="0.66609589041095896"/>
    <n v="13.1572"/>
    <n v="4"/>
    <n v="1425.8081089283248"/>
    <n v="18.811563681917232"/>
    <x v="4"/>
    <n v="26821.680039299164"/>
  </r>
  <r>
    <n v="350"/>
    <n v="0.55000000000000004"/>
    <n v="0.66609589041095896"/>
    <n v="11.938000000000001"/>
    <n v="4"/>
    <n v="1571.4225540954728"/>
    <n v="2.8447345336232623"/>
    <x v="4"/>
    <n v="4470.2800065498604"/>
  </r>
  <r>
    <n v="750"/>
    <n v="0.56999999999999995"/>
    <n v="0.66609589041095896"/>
    <n v="11.2776"/>
    <n v="4"/>
    <n v="3694.1391913142947"/>
    <n v="8.6219666875454024"/>
    <x v="1"/>
    <n v="31850.745046667758"/>
  </r>
  <r>
    <n v="750"/>
    <n v="0.56999999999999995"/>
    <n v="0.66609589041095896"/>
    <n v="11.8872"/>
    <n v="4"/>
    <n v="3504.6961558622797"/>
    <n v="4.4642900060690272"/>
    <x v="2"/>
    <n v="15645.980022924512"/>
  </r>
  <r>
    <n v="750"/>
    <n v="0.56999999999999995"/>
    <n v="0.66609589041095896"/>
    <n v="11.938000000000001"/>
    <n v="4"/>
    <n v="3489.7825551990363"/>
    <n v="4.4833681684881252"/>
    <x v="1"/>
    <n v="15645.980022924512"/>
  </r>
  <r>
    <n v="750"/>
    <n v="0.56999999999999995"/>
    <n v="0.66609589041095896"/>
    <n v="12.318999999999999"/>
    <n v="4"/>
    <n v="3381.8511359660765"/>
    <n v="7.9310646627966221"/>
    <x v="2"/>
    <n v="26821.680039299164"/>
  </r>
  <r>
    <n v="750"/>
    <n v="0.56999999999999995"/>
    <n v="0.66609589041095896"/>
    <n v="9.7281999999999993"/>
    <n v="4"/>
    <n v="4282.5007857533874"/>
    <n v="2.6096200737552455"/>
    <x v="2"/>
    <n v="11175.700016374652"/>
  </r>
  <r>
    <n v="750"/>
    <n v="0.6"/>
    <n v="0.66609589041095896"/>
    <n v="14.986000000000001"/>
    <n v="4"/>
    <n v="2926.3118660901828"/>
    <n v="1.7185676843418194"/>
    <x v="3"/>
    <n v="5029.0650073685938"/>
  </r>
  <r>
    <n v="350"/>
    <n v="0.55000000000000004"/>
    <n v="0.66609589041095896"/>
    <n v="12.827"/>
    <n v="4"/>
    <n v="1462.5120800492521"/>
    <n v="2.2924323502336397"/>
    <x v="4"/>
    <n v="3352.7100049123956"/>
  </r>
  <r>
    <n v="750"/>
    <n v="0.56999999999999995"/>
    <n v="0.66609589041095896"/>
    <n v="12.953999999999999"/>
    <n v="4"/>
    <n v="3216.0741194971515"/>
    <n v="3.1274559108450597"/>
    <x v="1"/>
    <n v="10058.130014737188"/>
  </r>
  <r>
    <n v="750"/>
    <n v="0.56999999999999995"/>
    <n v="0.66609589041095896"/>
    <n v="13.124179999999999"/>
    <n v="4"/>
    <n v="3174.371590755849"/>
    <n v="3.5206023292671951"/>
    <x v="1"/>
    <n v="11175.700016374652"/>
  </r>
  <r>
    <n v="350"/>
    <n v="0.55000000000000004"/>
    <n v="0.66609589041095896"/>
    <n v="12.827"/>
    <n v="4"/>
    <n v="1462.5120800492521"/>
    <n v="7.3357835207476461"/>
    <x v="4"/>
    <n v="10728.672015719665"/>
  </r>
  <r>
    <n v="350"/>
    <n v="0.55000000000000004"/>
    <n v="0.66609589041095896"/>
    <n v="9.1440000000000001"/>
    <n v="4"/>
    <n v="2051.5794456246454"/>
    <n v="3.4863129603553169"/>
    <x v="4"/>
    <n v="7152.4480104797776"/>
  </r>
  <r>
    <n v="750"/>
    <n v="0.56999999999999995"/>
    <n v="0.66609589041095896"/>
    <n v="11.176000000000002"/>
    <n v="4"/>
    <n v="3727.7222748716968"/>
    <n v="1.9187180490064688"/>
    <x v="2"/>
    <n v="7152.4480104797776"/>
  </r>
  <r>
    <n v="750"/>
    <n v="0.56999999999999995"/>
    <n v="0.66609589041095896"/>
    <n v="11.871960000000001"/>
    <n v="4"/>
    <n v="3509.1951239699333"/>
    <n v="2.1655894707096017"/>
    <x v="2"/>
    <n v="7599.4760111347632"/>
  </r>
  <r>
    <n v="750"/>
    <n v="0.56999999999999995"/>
    <n v="0.66609589041095896"/>
    <n v="12.192"/>
    <n v="4"/>
    <n v="3417.0787519657233"/>
    <n v="2.6164337031906379"/>
    <x v="2"/>
    <n v="8940.5600130997209"/>
  </r>
  <r>
    <n v="350"/>
    <n v="0.55000000000000004"/>
    <n v="0.66609589041095896"/>
    <n v="10.16"/>
    <n v="4"/>
    <n v="1846.4215010621806"/>
    <n v="2.7236820002775919"/>
    <x v="4"/>
    <n v="5029.0650073685938"/>
  </r>
  <r>
    <n v="350"/>
    <n v="0.55000000000000004"/>
    <n v="0.66609589041095896"/>
    <n v="10.16"/>
    <n v="4"/>
    <n v="1846.4215010621806"/>
    <n v="2.7236820002775919"/>
    <x v="4"/>
    <n v="5029.0650073685938"/>
  </r>
  <r>
    <n v="350"/>
    <n v="0.55000000000000004"/>
    <n v="0.66609589041095896"/>
    <n v="13.1572"/>
    <n v="4"/>
    <n v="1425.8081089283248"/>
    <n v="2.7433530369462629"/>
    <x v="4"/>
    <n v="3911.495005731128"/>
  </r>
  <r>
    <n v="350"/>
    <n v="0.55000000000000004"/>
    <n v="0.66609589041095896"/>
    <n v="13.1572"/>
    <n v="4"/>
    <n v="1425.8081089283248"/>
    <n v="2.7433530369462629"/>
    <x v="4"/>
    <n v="3911.495005731128"/>
  </r>
  <r>
    <n v="750"/>
    <n v="0.56999999999999995"/>
    <n v="0.66609589041095896"/>
    <n v="6"/>
    <n v="4"/>
    <n v="6943.5040239943492"/>
    <n v="1.6095187642658948E-4"/>
    <x v="2"/>
    <n v="1.1175700016374652"/>
  </r>
  <r>
    <n v="750"/>
    <n v="0.56999999999999995"/>
    <n v="0.66609589041095896"/>
    <n v="11.683999999999999"/>
    <n v="4"/>
    <n v="3565.6473933555376"/>
    <n v="3.2909830172944745"/>
    <x v="2"/>
    <n v="11734.485017193385"/>
  </r>
  <r>
    <n v="750"/>
    <n v="0.56999999999999995"/>
    <n v="0.66609589041095896"/>
    <n v="14"/>
    <n v="4"/>
    <n v="2975.7874388547211"/>
    <n v="1.1266631349861262"/>
    <x v="1"/>
    <n v="3352.7100049123956"/>
  </r>
  <r>
    <n v="750"/>
    <n v="0.56999999999999995"/>
    <n v="0.66609589041095896"/>
    <n v="6"/>
    <n v="4"/>
    <n v="6943.5040239943492"/>
    <n v="0.88523532034624208"/>
    <x v="2"/>
    <n v="6146.6350090060587"/>
  </r>
  <r>
    <n v="750"/>
    <n v="0.56999999999999995"/>
    <n v="0.66609589041095896"/>
    <n v="8"/>
    <n v="4"/>
    <n v="5207.6280179957621"/>
    <n v="6.4380750570635783"/>
    <x v="2"/>
    <n v="33527.100049123954"/>
  </r>
  <r>
    <n v="800"/>
    <n v="0.5"/>
    <n v="0.66609589041095896"/>
    <n v="15"/>
    <n v="4"/>
    <n v="2598.7383481616284"/>
    <n v="17.201731793091746"/>
    <x v="6"/>
    <n v="44702.80006549861"/>
  </r>
  <r>
    <n v="750"/>
    <n v="0.56999999999999995"/>
    <n v="0.66609589041095896"/>
    <n v="13"/>
    <n v="4"/>
    <n v="3204.6941649204687"/>
    <n v="11.333694631705676"/>
    <x v="2"/>
    <n v="36321.025053217621"/>
  </r>
  <r>
    <n v="750"/>
    <n v="0.56999999999999995"/>
    <n v="0.66609589041095896"/>
    <n v="11.861800000000001"/>
    <n v="3.6"/>
    <n v="3160.9807726963436"/>
    <n v="6.5484465245177699"/>
    <x v="2"/>
    <n v="20699.513555030866"/>
  </r>
  <r>
    <n v="750"/>
    <n v="0.56999999999999995"/>
    <n v="0.66609589041095896"/>
    <n v="8.9154"/>
    <n v="3.6"/>
    <n v="4205.6353870347357"/>
    <n v="16.068565733726643"/>
    <x v="2"/>
    <n v="67578.528668654544"/>
  </r>
  <r>
    <n v="750"/>
    <n v="0.56999999999999995"/>
    <n v="0.66609589041095896"/>
    <n v="13.5"/>
    <n v="3.78"/>
    <n v="2916.2716900776268"/>
    <n v="5.1045173397099397"/>
    <x v="2"/>
    <n v="14886.159409306456"/>
  </r>
  <r>
    <n v="750"/>
    <n v="0.56999999999999995"/>
    <n v="0.66609589041095896"/>
    <n v="12.5"/>
    <n v="3.78"/>
    <n v="3149.5734252838365"/>
    <n v="1.9255723846642434"/>
    <x v="2"/>
    <n v="6064.7316111989267"/>
  </r>
  <r>
    <n v="750"/>
    <n v="0.56999999999999995"/>
    <n v="0.66609589041095896"/>
    <n v="12.446000000000002"/>
    <n v="5"/>
    <n v="4184.178063631497"/>
    <n v="4.8076969296127992"/>
    <x v="2"/>
    <n v="20116.260029474375"/>
  </r>
  <r>
    <n v="750"/>
    <n v="0.56999999999999995"/>
    <n v="0.66609589041095896"/>
    <n v="12.217400000000001"/>
    <n v="5"/>
    <n v="4262.4682976703398"/>
    <n v="2.621884606738953E-4"/>
    <x v="2"/>
    <n v="1.1175700016374652"/>
  </r>
  <r>
    <n v="750"/>
    <n v="0.56999999999999995"/>
    <n v="0.66609589041095896"/>
    <n v="12.5"/>
    <n v="4"/>
    <n v="3332.8819315172873"/>
    <n v="5.4809769496703078"/>
    <x v="2"/>
    <n v="18267.449042618904"/>
  </r>
  <r>
    <n v="750"/>
    <n v="0.56999999999999995"/>
    <n v="0.66609589041095896"/>
    <n v="7.6"/>
    <n v="4"/>
    <n v="5481.7137031534339"/>
    <n v="0.76902322739989526"/>
    <x v="1"/>
    <n v="4215.5651636812854"/>
  </r>
  <r>
    <n v="750"/>
    <n v="0.56999999999999995"/>
    <n v="0.66609589041095896"/>
    <n v="10.4"/>
    <n v="4"/>
    <n v="4005.8677061505859"/>
    <n v="5.2617378716834944"/>
    <x v="2"/>
    <n v="21077.825818406425"/>
  </r>
  <r>
    <n v="750"/>
    <n v="0.56999999999999995"/>
    <n v="0.66609589041095896"/>
    <n v="11.683999999999999"/>
    <n v="4"/>
    <n v="3565.6473933555376"/>
    <n v="2.193988678196316"/>
    <x v="2"/>
    <n v="7822.990011462256"/>
  </r>
  <r>
    <n v="750"/>
    <n v="0.56999999999999995"/>
    <n v="0.66609589041095896"/>
    <n v="15"/>
    <n v="4"/>
    <n v="2777.4016095977399"/>
    <n v="4.0237969106647365E-4"/>
    <x v="2"/>
    <n v="1.1175700016374652"/>
  </r>
  <r>
    <n v="750"/>
    <n v="0.56999999999999995"/>
    <n v="0.66609589041095896"/>
    <n v="11"/>
    <n v="4"/>
    <n v="3787.3658312696452"/>
    <n v="3.5409412813849679"/>
    <x v="1"/>
    <n v="13410.840019649582"/>
  </r>
  <r>
    <n v="750"/>
    <n v="0.56999999999999995"/>
    <n v="0.66609589041095896"/>
    <n v="13"/>
    <n v="4"/>
    <n v="3204.6941649204687"/>
    <n v="5.2309359838641578"/>
    <x v="1"/>
    <n v="16763.550024561977"/>
  </r>
  <r>
    <n v="750"/>
    <n v="0.56999999999999995"/>
    <n v="0.66609589041095896"/>
    <n v="13"/>
    <n v="4"/>
    <n v="3204.6941649204687"/>
    <n v="20.923743935456631"/>
    <x v="1"/>
    <n v="67054.200098247908"/>
  </r>
  <r>
    <m/>
    <m/>
    <m/>
    <m/>
    <m/>
    <m/>
    <m/>
    <x v="0"/>
    <m/>
  </r>
  <r>
    <n v="750"/>
    <n v="0.56999999999999995"/>
    <n v="0.66609589041095896"/>
    <n v="9.9060000000000006"/>
    <n v="4"/>
    <n v="4205.6353870347357"/>
    <n v="41.454121484926688"/>
    <x v="2"/>
    <n v="174340.92025544459"/>
  </r>
  <r>
    <n v="750"/>
    <n v="0.56999999999999995"/>
    <n v="0.66609589041095896"/>
    <n v="9.9060000000000006"/>
    <n v="4"/>
    <n v="4205.6353870347357"/>
    <n v="24.779466849162908"/>
    <x v="2"/>
    <n v="104213.40265269365"/>
  </r>
  <r>
    <m/>
    <m/>
    <m/>
    <m/>
    <m/>
    <m/>
    <m/>
    <x v="0"/>
    <m/>
  </r>
  <r>
    <n v="500"/>
    <n v="0.49"/>
    <n v="0.66609589041095896"/>
    <n v="4.8259999999999996"/>
    <n v="4.0259"/>
    <n v="4979.3835643907778"/>
    <n v="2.7788950264846801"/>
    <x v="7"/>
    <n v="13837.184222045091"/>
  </r>
  <r>
    <n v="500"/>
    <n v="0.49"/>
    <n v="0.66609589041095896"/>
    <n v="4.8259999999999996"/>
    <n v="4.0259"/>
    <n v="4979.3835643907778"/>
    <n v="18.753946766025212"/>
    <x v="7"/>
    <n v="93383.094294205526"/>
  </r>
  <r>
    <n v="500"/>
    <n v="0.49"/>
    <n v="0.66609589041095896"/>
    <n v="4.8259999999999996"/>
    <n v="3.9253899999999997"/>
    <n v="4855.0690404192637"/>
    <n v="16.831142783856134"/>
    <x v="7"/>
    <n v="81716.36024477602"/>
  </r>
  <r>
    <n v="750"/>
    <n v="0.6"/>
    <n v="0.66609589041095896"/>
    <n v="5.588000000000001"/>
    <n v="4.0259"/>
    <n v="7898.6511086347209"/>
    <n v="3.089214689115972"/>
    <x v="3"/>
    <n v="24400.629028996536"/>
  </r>
  <r>
    <n v="750"/>
    <n v="0.6"/>
    <n v="0.66609589041095896"/>
    <n v="5.588000000000001"/>
    <n v="4.0259"/>
    <n v="7898.6511086347209"/>
    <n v="2.1018068474360163"/>
    <x v="3"/>
    <n v="16601.438985636538"/>
  </r>
  <r>
    <n v="750"/>
    <n v="0.6"/>
    <n v="0.66609589041095896"/>
    <n v="5.588000000000001"/>
    <n v="3.82524"/>
    <n v="7504.9643972264284"/>
    <n v="13.99027135299427"/>
    <x v="3"/>
    <n v="104996.48841175881"/>
  </r>
  <r>
    <n v="750"/>
    <n v="0.56999999999999995"/>
    <n v="0.66609589041095896"/>
    <n v="9.6519999999999992"/>
    <n v="4.0507900000000001"/>
    <n v="4371.1163487395461"/>
    <n v="4.717402069253759"/>
    <x v="1"/>
    <n v="20620.31330849287"/>
  </r>
  <r>
    <n v="1000"/>
    <n v="0.49"/>
    <n v="0.66609589041095896"/>
    <n v="9.6519999999999992"/>
    <n v="4.0513000000000003"/>
    <n v="5010.7992335667459"/>
    <n v="1.3712785832098189"/>
    <x v="8"/>
    <n v="6871.2016737542535"/>
  </r>
  <r>
    <n v="750"/>
    <n v="0.6"/>
    <n v="0.66609589041095896"/>
    <n v="3.6829999999999998"/>
    <n v="4.0259"/>
    <n v="11984.16030275613"/>
    <n v="0.92369820646426437"/>
    <x v="3"/>
    <n v="11069.747377636073"/>
  </r>
  <r>
    <n v="1000"/>
    <n v="0.49"/>
    <n v="0.66609589041095896"/>
    <n v="9.6519999999999992"/>
    <n v="4.05"/>
    <n v="5009.1913449868725"/>
    <n v="81.267741535630165"/>
    <x v="8"/>
    <n v="407085.6675269088"/>
  </r>
  <r>
    <n v="1000"/>
    <n v="0.49"/>
    <n v="0.66609589041095896"/>
    <n v="7"/>
    <n v="4.0254000000000003"/>
    <n v="6865.0058837651941"/>
    <n v="3.0232366921127718"/>
    <x v="8"/>
    <n v="20754.537679369001"/>
  </r>
  <r>
    <n v="500"/>
    <n v="0.49"/>
    <n v="0.66609589041095896"/>
    <n v="7"/>
    <n v="4.0259"/>
    <n v="3432.9292973928423"/>
    <n v="3.5712254346986021"/>
    <x v="7"/>
    <n v="12259.76442237132"/>
  </r>
  <r>
    <n v="500"/>
    <n v="0.49"/>
    <n v="0.66609589041095896"/>
    <n v="7"/>
    <n v="4.0259"/>
    <n v="3432.9292973928423"/>
    <n v="6.6893667003676498"/>
    <x v="7"/>
    <n v="22964.122926696193"/>
  </r>
  <r>
    <n v="500"/>
    <n v="0.49"/>
    <n v="0.66609589041095896"/>
    <n v="7"/>
    <n v="3.68"/>
    <n v="3137.9765554051664"/>
    <n v="11.932808026796126"/>
    <x v="7"/>
    <n v="37444.871828236828"/>
  </r>
  <r>
    <n v="750"/>
    <n v="0.6"/>
    <n v="0.66609589041095896"/>
    <n v="13.4008"/>
    <n v="3.99"/>
    <n v="3264.2883522748202"/>
    <n v="1.6148566706370489"/>
    <x v="3"/>
    <n v="5271.3578205538142"/>
  </r>
  <r>
    <n v="750"/>
    <n v="0.6"/>
    <n v="0.66609589041095896"/>
    <n v="13.4008"/>
    <n v="3.58"/>
    <n v="2928.8602258505907"/>
    <n v="2.0378109304484231"/>
    <x v="3"/>
    <n v="5968.4633819939709"/>
  </r>
  <r>
    <n v="750"/>
    <n v="0.6"/>
    <n v="0.66609589041095896"/>
    <n v="13.4008"/>
    <n v="3.96"/>
    <n v="3239.744830829145"/>
    <n v="1.9990837800959642"/>
    <x v="3"/>
    <n v="6476.5213429602873"/>
  </r>
  <r>
    <n v="750"/>
    <n v="0.6"/>
    <n v="0.66609589041095896"/>
    <n v="13.4008"/>
    <n v="3.68"/>
    <n v="3010.6719640028418"/>
    <n v="3.5234632026075681"/>
    <x v="3"/>
    <n v="10607.99188028627"/>
  </r>
  <r>
    <n v="500"/>
    <n v="0.49"/>
    <n v="0.66609589041095896"/>
    <n v="10.555999999999999"/>
    <n v="4.0259"/>
    <n v="2276.4783139209835"/>
    <n v="2.2936348004535407"/>
    <x v="7"/>
    <n v="5221.4098832869677"/>
  </r>
  <r>
    <n v="500"/>
    <n v="0.49"/>
    <n v="0.66609589041095896"/>
    <n v="10.555999999999999"/>
    <n v="4.0259"/>
    <n v="2276.4783139209835"/>
    <n v="2.313238516696734"/>
    <x v="7"/>
    <n v="5266.0373181868581"/>
  </r>
  <r>
    <n v="500"/>
    <n v="0.49"/>
    <n v="0.66609589041095896"/>
    <n v="10.555999999999999"/>
    <n v="3.6830000000000003"/>
    <n v="2082.5826846595746"/>
    <n v="5.0892368349581663"/>
    <x v="7"/>
    <n v="10598.756510615574"/>
  </r>
  <r>
    <n v="500"/>
    <n v="0.49"/>
    <n v="0.66609589041095896"/>
    <n v="12.105399999999999"/>
    <n v="4.0259"/>
    <n v="1985.1062403348835"/>
    <n v="2.6302924131688417"/>
    <x v="7"/>
    <n v="5221.4098832869677"/>
  </r>
  <r>
    <n v="500"/>
    <n v="0.49"/>
    <n v="0.66609589041095896"/>
    <n v="12.105399999999999"/>
    <n v="3.5813999999999999"/>
    <n v="1765.930472474565"/>
    <n v="3.378369038646079"/>
    <x v="7"/>
    <n v="5965.9648326097122"/>
  </r>
  <r>
    <n v="500"/>
    <n v="0.49"/>
    <n v="0.66609589041095896"/>
    <n v="12.105399999999999"/>
    <n v="3.6830000000000003"/>
    <n v="1816.0277908426381"/>
    <n v="3.85299281485486"/>
    <x v="7"/>
    <n v="6997.1420296934293"/>
  </r>
  <r>
    <n v="500"/>
    <n v="0.49"/>
    <n v="0.66609589041095896"/>
    <n v="12.105399999999999"/>
    <n v="4.0259"/>
    <n v="1985.1062403348835"/>
    <n v="4.8559244550809382"/>
    <x v="7"/>
    <n v="9639.5259383759385"/>
  </r>
  <r>
    <n v="750"/>
    <n v="0.6"/>
    <n v="0.66609589041095896"/>
    <n v="10.683"/>
    <n v="4.0132000000000003"/>
    <n v="4118.5459952251931"/>
    <n v="1.2720438069553928"/>
    <x v="3"/>
    <n v="5238.9709268871411"/>
  </r>
  <r>
    <n v="750"/>
    <n v="0.6"/>
    <n v="0.66609589041095896"/>
    <n v="10.683"/>
    <n v="4.0132000000000003"/>
    <n v="4118.5459952251931"/>
    <n v="1.2829159762456102"/>
    <x v="3"/>
    <n v="5283.7484561767769"/>
  </r>
  <r>
    <n v="350"/>
    <n v="0.55000000000000004"/>
    <n v="0.66609589041095896"/>
    <n v="14.620000000000001"/>
    <n v="4.0640000000000001"/>
    <n v="1303.6796668949673"/>
    <n v="3.6873509343584336"/>
    <x v="4"/>
    <n v="4807.1244378292495"/>
  </r>
  <r>
    <n v="350"/>
    <n v="0.55000000000000004"/>
    <n v="0.66609589041095896"/>
    <n v="14.620000000000001"/>
    <n v="4.0640000000000001"/>
    <n v="1303.6796668949673"/>
    <n v="8.2355356346424564"/>
    <x v="4"/>
    <n v="10736.500352872312"/>
  </r>
  <r>
    <n v="350"/>
    <n v="0.55000000000000004"/>
    <n v="0.66609589041095896"/>
    <n v="14.620000000000001"/>
    <n v="4.0640000000000001"/>
    <n v="1303.6796668949673"/>
    <n v="8.1338623552024281"/>
    <x v="4"/>
    <n v="10603.950965799817"/>
  </r>
  <r>
    <n v="500"/>
    <n v="0.49"/>
    <n v="0.66609589041095896"/>
    <n v="11.064"/>
    <n v="4.03"/>
    <n v="2174.166475780728"/>
    <n v="4.5309616282729568"/>
    <x v="7"/>
    <n v="9851.0648752399229"/>
  </r>
  <r>
    <n v="500"/>
    <n v="0.49"/>
    <n v="0.66609589041095896"/>
    <n v="11.064"/>
    <n v="4.03"/>
    <n v="2174.166475780728"/>
    <n v="8.5809574152867185"/>
    <x v="7"/>
    <n v="18656.429942418428"/>
  </r>
  <r>
    <n v="500"/>
    <n v="0.49"/>
    <n v="0.66609589041095896"/>
    <n v="11.064"/>
    <n v="4.03"/>
    <n v="2174.166475780728"/>
    <n v="16.484972634478591"/>
    <x v="7"/>
    <n v="35841.074856046063"/>
  </r>
  <r>
    <n v="500"/>
    <n v="0.49"/>
    <n v="0.66609589041095896"/>
    <n v="11.064"/>
    <n v="3.63"/>
    <n v="1958.3683144129138"/>
    <n v="24.849151049022971"/>
    <x v="7"/>
    <n v="48663.790054467005"/>
  </r>
  <r>
    <n v="500"/>
    <n v="0.49"/>
    <n v="0.66609589041095896"/>
    <n v="11.064"/>
    <n v="4.03"/>
    <n v="2174.166475780728"/>
    <n v="35.595082611559718"/>
    <x v="7"/>
    <n v="77389.635316698666"/>
  </r>
  <r>
    <n v="500"/>
    <n v="0.49"/>
    <n v="0.66609589041095896"/>
    <n v="11.064"/>
    <n v="4.03"/>
    <n v="2174.166475780728"/>
    <n v="4.8307612115688183"/>
    <x v="7"/>
    <n v="10502.879078694818"/>
  </r>
  <r>
    <n v="500"/>
    <n v="0.49"/>
    <n v="0.66609589041095896"/>
    <n v="7"/>
    <n v="4.0250000000000004"/>
    <n v="3432.1618574744011"/>
    <n v="0.8060392004799225"/>
    <x v="7"/>
    <n v="2766.456999516352"/>
  </r>
  <r>
    <n v="500"/>
    <n v="0.49"/>
    <n v="0.66609589041095896"/>
    <n v="7"/>
    <n v="4.0199999999999996"/>
    <n v="3427.8983023719475"/>
    <n v="60.63238349794274"/>
    <x v="7"/>
    <n v="207841.6444613628"/>
  </r>
  <r>
    <n v="750"/>
    <n v="0.56999999999999995"/>
    <n v="0.66609589041095896"/>
    <n v="7"/>
    <n v="4.01"/>
    <n v="5966.4538149037153"/>
    <n v="0.2586953719178321"/>
    <x v="1"/>
    <n v="1543.4939886770849"/>
  </r>
  <r>
    <n v="750"/>
    <n v="0.56999999999999995"/>
    <n v="0.66609589041095896"/>
    <n v="7"/>
    <n v="3.6576"/>
    <n v="5442.1200681775135"/>
    <n v="3.1354430895584131"/>
    <x v="1"/>
    <n v="17063.457760314344"/>
  </r>
  <r>
    <n v="750"/>
    <n v="0.56999999999999995"/>
    <n v="0.66609589041095896"/>
    <n v="7"/>
    <n v="4.0513000000000003"/>
    <n v="6027.9038255160667"/>
    <n v="0.19378283369314012"/>
    <x v="1"/>
    <n v="1168.1042845382231"/>
  </r>
  <r>
    <n v="750"/>
    <n v="0.56999999999999995"/>
    <n v="0.66609589041095896"/>
    <n v="7"/>
    <n v="3.2511999999999999"/>
    <n v="4837.4400606022346"/>
    <n v="6.1737366964077705"/>
    <x v="1"/>
    <n v="29865.081218813044"/>
  </r>
  <r>
    <n v="750"/>
    <n v="0.56999999999999995"/>
    <n v="0.66609589041095896"/>
    <n v="7"/>
    <n v="4.0513000000000003"/>
    <n v="6027.9038255160667"/>
    <n v="2.0292102418396372"/>
    <x v="1"/>
    <n v="12231.884179561532"/>
  </r>
  <r>
    <n v="750"/>
    <n v="0.56999999999999995"/>
    <n v="0.66609589041095896"/>
    <n v="7"/>
    <n v="4.0385999999999997"/>
    <n v="6009.0075752793382"/>
    <n v="1.1967525568376058"/>
    <x v="1"/>
    <n v="7191.2951797720898"/>
  </r>
  <r>
    <n v="750"/>
    <n v="0.56999999999999995"/>
    <n v="0.66609589041095896"/>
    <n v="7"/>
    <n v="4.0385999999999997"/>
    <n v="6009.0075752793382"/>
    <n v="0.62780461998038339"/>
    <x v="1"/>
    <n v="3772.4827172574901"/>
  </r>
  <r>
    <n v="1000"/>
    <n v="0.49"/>
    <n v="0.66609589041095896"/>
    <n v="16.652000000000001"/>
    <n v="4.0614600000000003"/>
    <n v="2911.6937195496516"/>
    <n v="0.31381263897764611"/>
    <x v="8"/>
    <n v="913.72629002651445"/>
  </r>
  <r>
    <n v="750"/>
    <n v="0.6"/>
    <n v="0.66609589041095896"/>
    <n v="13.426200000000001"/>
    <n v="4.0259"/>
    <n v="3287.4277453822242"/>
    <n v="0.58916414240431314"/>
    <x v="3"/>
    <n v="1936.8345483242626"/>
  </r>
  <r>
    <n v="750"/>
    <n v="0.6"/>
    <n v="0.66609589041095896"/>
    <n v="13.426200000000001"/>
    <n v="3.6253899999999999"/>
    <n v="2960.3834357115829"/>
    <n v="1.2436977732260468"/>
    <x v="3"/>
    <n v="3681.8222868897697"/>
  </r>
  <r>
    <n v="1000"/>
    <n v="0.49"/>
    <n v="0.66609589041095896"/>
    <n v="16.652000000000001"/>
    <n v="4.05"/>
    <n v="2903.4779523068278"/>
    <n v="4.6216420611612259"/>
    <x v="8"/>
    <n v="13418.835828035504"/>
  </r>
  <r>
    <n v="1000"/>
    <n v="0.49"/>
    <n v="0.66609589041095896"/>
    <n v="16.652000000000001"/>
    <n v="4.05"/>
    <n v="2903.4779523068278"/>
    <n v="2.4068043896394333"/>
    <x v="8"/>
    <n v="6988.1034808333861"/>
  </r>
  <r>
    <n v="500"/>
    <n v="0.49"/>
    <n v="0.66609589041095896"/>
    <n v="11.190999999999999"/>
    <n v="4.0233600000000003"/>
    <n v="2145.9515574841907"/>
    <n v="2.7868883444780179"/>
    <x v="7"/>
    <n v="5980.5273833671408"/>
  </r>
  <r>
    <n v="500"/>
    <n v="0.49"/>
    <n v="0.66609589041095896"/>
    <n v="11.190999999999999"/>
    <n v="4.0233600000000003"/>
    <n v="2145.9515574841907"/>
    <n v="5.9350399928698527"/>
    <x v="7"/>
    <n v="12736.308316430021"/>
  </r>
  <r>
    <n v="500"/>
    <n v="0.49"/>
    <n v="0.66609589041095896"/>
    <n v="11.190999999999999"/>
    <n v="4.0233600000000003"/>
    <n v="2145.9515574841907"/>
    <n v="7.4833112953576402"/>
    <x v="7"/>
    <n v="16058.823529411766"/>
  </r>
  <r>
    <n v="500"/>
    <n v="0.49"/>
    <n v="0.66609589041095896"/>
    <n v="13.146799999999999"/>
    <n v="3.59918"/>
    <n v="1634.1180481260726"/>
    <n v="3.7093793138879603"/>
    <x v="7"/>
    <n v="6061.5636841698242"/>
  </r>
  <r>
    <n v="500"/>
    <n v="0.49"/>
    <n v="0.66609589041095896"/>
    <n v="13.146799999999999"/>
    <n v="3.8988999999999998"/>
    <n v="1770.1984501577426"/>
    <n v="4.3644438618027683"/>
    <x v="7"/>
    <n v="7725.9317599637334"/>
  </r>
  <r>
    <n v="500"/>
    <n v="0.49"/>
    <n v="0.66609589041095896"/>
    <n v="13.146799999999999"/>
    <n v="4.0004999999999997"/>
    <n v="1816.3273999989867"/>
    <n v="5.3370455364799101"/>
    <x v="7"/>
    <n v="9693.8220429507528"/>
  </r>
  <r>
    <n v="500"/>
    <n v="0.49"/>
    <n v="0.66609589041095896"/>
    <n v="11.190999999999999"/>
    <n v="3.62534"/>
    <n v="1933.6584395653722"/>
    <n v="1.3602972148309627"/>
    <x v="7"/>
    <n v="2630.3501897751612"/>
  </r>
  <r>
    <n v="1000"/>
    <n v="0.49"/>
    <n v="0.66609589041095896"/>
    <n v="16.652000000000001"/>
    <n v="4.05"/>
    <n v="2903.4779523068278"/>
    <n v="7.9552855151135855"/>
    <x v="8"/>
    <n v="23097.996097438161"/>
  </r>
  <r>
    <n v="1000"/>
    <n v="0.49"/>
    <n v="0.66609589041095896"/>
    <n v="16.652000000000001"/>
    <n v="4.05"/>
    <n v="2903.4779523068278"/>
    <n v="0.85224548879035678"/>
    <x v="8"/>
    <n v="2474.4759866557565"/>
  </r>
  <r>
    <n v="500"/>
    <n v="0.49"/>
    <n v="0.66609589041095896"/>
    <n v="11.419599999999999"/>
    <n v="4.0259"/>
    <n v="2104.3210867061803"/>
    <n v="1.6766674926465053"/>
    <x v="7"/>
    <n v="3528.2467601708204"/>
  </r>
  <r>
    <n v="500"/>
    <n v="0.49"/>
    <n v="0.66609589041095896"/>
    <n v="11.419599999999999"/>
    <n v="3.62534"/>
    <n v="1894.9500505425826"/>
    <n v="2.1511719525716635"/>
    <x v="7"/>
    <n v="4076.3634002514596"/>
  </r>
  <r>
    <n v="500"/>
    <n v="0.49"/>
    <n v="0.66609589041095896"/>
    <n v="11.419599999999999"/>
    <n v="3.9253899999999997"/>
    <n v="2051.7849302132622"/>
    <n v="2.0178994029871236"/>
    <x v="7"/>
    <n v="4140.295585735319"/>
  </r>
  <r>
    <n v="500"/>
    <n v="0.49"/>
    <n v="0.66609589041095896"/>
    <n v="9.6923999999999992"/>
    <n v="4.0259"/>
    <n v="2479.3142133785132"/>
    <n v="5.8177838330166916"/>
    <x v="7"/>
    <n v="14424.11414756201"/>
  </r>
  <r>
    <n v="500"/>
    <n v="0.49"/>
    <n v="0.66609589041095896"/>
    <n v="9.6923999999999992"/>
    <n v="4.03"/>
    <n v="2481.8391614087304"/>
    <n v="9.1876635752708946"/>
    <x v="7"/>
    <n v="22802.303262955855"/>
  </r>
  <r>
    <n v="500"/>
    <n v="0.49"/>
    <n v="0.66609589041095896"/>
    <n v="9.6923999999999992"/>
    <n v="4.03"/>
    <n v="2481.8391614087304"/>
    <n v="2.390648623222003"/>
    <x v="7"/>
    <n v="5933.2053742802318"/>
  </r>
  <r>
    <n v="500"/>
    <n v="0.49"/>
    <n v="0.66609589041095896"/>
    <n v="9.6923999999999992"/>
    <n v="3.28"/>
    <n v="2019.9584241738548"/>
    <n v="19.9550342152999"/>
    <x v="7"/>
    <n v="40308.339467872545"/>
  </r>
  <r>
    <n v="500"/>
    <n v="0.49"/>
    <n v="0.66609589041095896"/>
    <n v="9.6923999999999992"/>
    <n v="4.03"/>
    <n v="2481.8391614087304"/>
    <n v="3.2073298299127484"/>
    <x v="7"/>
    <n v="7960.0767754318613"/>
  </r>
  <r>
    <n v="500"/>
    <n v="0.49"/>
    <n v="0.66609589041095896"/>
    <n v="9.6923999999999992"/>
    <n v="3.83"/>
    <n v="2358.6709648127635"/>
    <n v="8.3458975966556288"/>
    <x v="7"/>
    <n v="19685.226336532254"/>
  </r>
  <r>
    <n v="750"/>
    <n v="0.6"/>
    <n v="0.66609589041095896"/>
    <n v="13.7056"/>
    <n v="4.03"/>
    <n v="3223.6904949375939"/>
    <n v="1.0288514550756056"/>
    <x v="3"/>
    <n v="3316.6986564299427"/>
  </r>
  <r>
    <n v="750"/>
    <n v="0.6"/>
    <n v="0.66609589041095896"/>
    <n v="13.7056"/>
    <n v="3.93"/>
    <n v="3143.6981749639563"/>
    <n v="3.6074856864952873"/>
    <x v="3"/>
    <n v="11340.846168843829"/>
  </r>
  <r>
    <n v="750"/>
    <n v="0.6"/>
    <n v="0.66609589041095896"/>
    <n v="13.7056"/>
    <n v="3.63"/>
    <n v="2903.7212150430437"/>
    <n v="3.9157798997288595"/>
    <x v="3"/>
    <n v="11370.333168281812"/>
  </r>
  <r>
    <n v="750"/>
    <n v="0.6"/>
    <n v="0.66609589041095896"/>
    <n v="13.7056"/>
    <n v="4.03"/>
    <n v="3223.6904949375939"/>
    <n v="7.4591730492981405"/>
    <x v="3"/>
    <n v="24046.065259117084"/>
  </r>
  <r>
    <n v="750"/>
    <n v="0.56999999999999995"/>
    <n v="0.66609589041095896"/>
    <n v="16.652000000000001"/>
    <n v="3.6804600000000001"/>
    <n v="2302.001755358237"/>
    <n v="11.902846220678095"/>
    <x v="1"/>
    <n v="27400.37289376013"/>
  </r>
  <r>
    <n v="750"/>
    <n v="0.6"/>
    <n v="0.66609589041095896"/>
    <n v="11.571999999999999"/>
    <n v="3.9254199999999999"/>
    <n v="3718.9817844162735"/>
    <n v="149.44551780355903"/>
    <x v="3"/>
    <n v="555785.15847409389"/>
  </r>
  <r>
    <n v="750"/>
    <n v="0.6"/>
    <n v="0.66609589041095896"/>
    <n v="15.89"/>
    <n v="3.68"/>
    <n v="2539.0442325493568"/>
    <n v="27.482305725842217"/>
    <x v="3"/>
    <n v="69778.789850357847"/>
  </r>
  <r>
    <n v="500"/>
    <n v="0.49"/>
    <n v="0.66609589041095896"/>
    <n v="7"/>
    <n v="4.0199999999999996"/>
    <n v="3427.8983023719475"/>
    <n v="3.0316191748971373"/>
    <x v="7"/>
    <n v="10392.082223068141"/>
  </r>
  <r>
    <n v="500"/>
    <n v="0.49"/>
    <n v="0.66609589041095896"/>
    <n v="7"/>
    <n v="4.0199999999999996"/>
    <n v="3427.8983023719475"/>
    <n v="4.0421588998628497"/>
    <x v="7"/>
    <n v="13856.109630757521"/>
  </r>
  <r>
    <m/>
    <m/>
    <m/>
    <m/>
    <m/>
    <m/>
    <m/>
    <x v="0"/>
    <m/>
  </r>
  <r>
    <n v="600"/>
    <n v="0.5"/>
    <n v="0.66609589041095896"/>
    <n v="8.89"/>
    <n v="4.0199999999999996"/>
    <n v="3305.0602304727117"/>
    <n v="20.124238497722228"/>
    <x v="9"/>
    <n v="66511.820327369642"/>
  </r>
  <r>
    <n v="600"/>
    <n v="0.5"/>
    <n v="0.66609589041095896"/>
    <n v="8.89"/>
    <n v="4.0199999999999996"/>
    <n v="3305.0602304727117"/>
    <n v="14.086438706954047"/>
    <x v="9"/>
    <n v="46556.52835934527"/>
  </r>
  <r>
    <n v="750"/>
    <n v="0.56999999999999995"/>
    <n v="0.66609589041095896"/>
    <n v="8.89"/>
    <n v="4.0199999999999996"/>
    <n v="4709.7108284236128"/>
    <n v="5.8840596102564957"/>
    <x v="1"/>
    <n v="27712.219261515042"/>
  </r>
  <r>
    <n v="750"/>
    <n v="0.56999999999999995"/>
    <n v="0.66609589041095896"/>
    <n v="8.89"/>
    <n v="4.0199999999999996"/>
    <n v="4709.7108284236128"/>
    <n v="5.9410031855407128"/>
    <x v="1"/>
    <n v="27980.407034640273"/>
  </r>
  <r>
    <n v="750"/>
    <n v="0.56999999999999995"/>
    <n v="0.66609589041095896"/>
    <n v="8.89"/>
    <n v="4.0199999999999996"/>
    <n v="4709.7108284236128"/>
    <n v="8.5603052659775347"/>
    <x v="1"/>
    <n v="40316.56240578607"/>
  </r>
  <r>
    <n v="750"/>
    <n v="0.56999999999999995"/>
    <n v="0.66609589041095896"/>
    <n v="8.89"/>
    <n v="4.0199999999999996"/>
    <n v="4709.7108284236128"/>
    <n v="1.4710149025641239"/>
    <x v="1"/>
    <n v="6928.0548153787604"/>
  </r>
  <r>
    <n v="750"/>
    <n v="0.56999999999999995"/>
    <n v="0.66609589041095896"/>
    <n v="8.89"/>
    <n v="4.0199999999999996"/>
    <n v="4709.7108284236128"/>
    <n v="11.297394451692472"/>
    <x v="1"/>
    <n v="53207.460982108882"/>
  </r>
  <r>
    <n v="750"/>
    <n v="0.56999999999999995"/>
    <n v="0.66609589041095896"/>
    <n v="8.89"/>
    <n v="4.0199999999999996"/>
    <n v="4709.7108284236128"/>
    <n v="0.68604457518334339"/>
    <x v="1"/>
    <n v="3231.0715645222699"/>
  </r>
  <r>
    <n v="750"/>
    <n v="0.56999999999999995"/>
    <n v="0.66609589041095896"/>
    <n v="8.89"/>
    <n v="4.0199999999999996"/>
    <n v="4709.7108284236128"/>
    <n v="0.98567192314937335"/>
    <x v="1"/>
    <n v="4642.2297297297309"/>
  </r>
  <r>
    <n v="750"/>
    <n v="0.56999999999999995"/>
    <n v="0.66609589041095896"/>
    <n v="8.89"/>
    <n v="4.0199999999999996"/>
    <n v="4709.7108284236128"/>
    <n v="0.28384458390726908"/>
    <x v="1"/>
    <n v="1336.8259104174599"/>
  </r>
  <r>
    <n v="750"/>
    <n v="0.56999999999999995"/>
    <n v="0.66609589041095896"/>
    <n v="8.89"/>
    <n v="4.0199999999999996"/>
    <n v="4709.7108284236128"/>
    <n v="2.4683700673741322"/>
    <x v="1"/>
    <n v="11625.309234868673"/>
  </r>
  <r>
    <n v="750"/>
    <n v="0.56999999999999995"/>
    <n v="0.66609589041095896"/>
    <n v="8.89"/>
    <n v="4.0199999999999996"/>
    <n v="4709.7108284236128"/>
    <n v="5.8840596102564957"/>
    <x v="1"/>
    <n v="27712.219261515042"/>
  </r>
  <r>
    <n v="750"/>
    <n v="0.56999999999999995"/>
    <n v="0.66609589041095896"/>
    <n v="8.89"/>
    <n v="4.0199999999999996"/>
    <n v="4709.7108284236128"/>
    <n v="1.8240584791795138"/>
    <x v="1"/>
    <n v="8590.7879710696634"/>
  </r>
  <r>
    <n v="750"/>
    <n v="0.56999999999999995"/>
    <n v="0.66609589041095896"/>
    <n v="8.89"/>
    <n v="4.0199999999999996"/>
    <n v="4709.7108284236128"/>
    <n v="0.99293505923078373"/>
    <x v="1"/>
    <n v="4676.4370003806634"/>
  </r>
  <r>
    <n v="750"/>
    <n v="0.56999999999999995"/>
    <n v="0.66609589041095896"/>
    <n v="8.89"/>
    <n v="4.0199999999999996"/>
    <n v="4709.7108284236128"/>
    <n v="3.530435766153897"/>
    <x v="1"/>
    <n v="16627.331556909023"/>
  </r>
  <r>
    <n v="750"/>
    <n v="0.56999999999999995"/>
    <n v="0.66609589041095896"/>
    <n v="8.89"/>
    <n v="4.0199999999999996"/>
    <n v="4709.7108284236128"/>
    <n v="8.9080028802340276"/>
    <x v="1"/>
    <n v="41954.117624666935"/>
  </r>
  <r>
    <m/>
    <m/>
    <m/>
    <m/>
    <m/>
    <m/>
    <m/>
    <x v="0"/>
    <m/>
  </r>
  <r>
    <n v="750"/>
    <n v="0.56999999999999995"/>
    <n v="0.66609589041095896"/>
    <n v="4.0640000000000001"/>
    <n v="3.7200099999999998"/>
    <n v="9533.675346075006"/>
    <n v="2.698546425668634"/>
    <x v="1"/>
    <n v="25727.065528635885"/>
  </r>
  <r>
    <n v="500"/>
    <n v="0.49"/>
    <n v="0.66609589041095896"/>
    <n v="4.0640000000000001"/>
    <n v="3.7200099999999998"/>
    <n v="5463.7437655868471"/>
    <n v="0.69245413983994031"/>
    <x v="7"/>
    <n v="3783.3919895052763"/>
  </r>
  <r>
    <n v="500"/>
    <n v="0.49"/>
    <n v="0.66609589041095896"/>
    <n v="4.0640000000000001"/>
    <n v="3.7200099999999998"/>
    <n v="5463.7437655868471"/>
    <n v="5.9458728807589525"/>
    <x v="7"/>
    <n v="32486.725883218634"/>
  </r>
  <r>
    <n v="1000"/>
    <n v="0.49"/>
    <n v="0.66609589041095896"/>
    <n v="9.6519999999999992"/>
    <n v="4.0513000000000003"/>
    <n v="5010.7992335667459"/>
    <n v="20.767395179197905"/>
    <x v="8"/>
    <n v="104061.2478471026"/>
  </r>
  <r>
    <n v="1000"/>
    <n v="0.49"/>
    <n v="0.66609589041095896"/>
    <n v="9.6519999999999992"/>
    <n v="4.0513000000000003"/>
    <n v="5010.7992335667459"/>
    <n v="81.180293877461608"/>
    <x v="8"/>
    <n v="406778.15434190782"/>
  </r>
  <r>
    <n v="500"/>
    <n v="0.49"/>
    <n v="0.66609589041095896"/>
    <n v="4.0640000000000001"/>
    <n v="3.5200099999999996"/>
    <n v="5169.9948904178636"/>
    <n v="6.8877732286129945"/>
    <x v="7"/>
    <n v="35609.752398286131"/>
  </r>
  <r>
    <n v="500"/>
    <n v="0.49"/>
    <n v="0.66609589041095896"/>
    <n v="4.0640000000000001"/>
    <n v="3.5200099999999996"/>
    <n v="5169.9948904178636"/>
    <n v="0.61958979567733086"/>
    <x v="7"/>
    <n v="3203.2760778068487"/>
  </r>
  <r>
    <n v="500"/>
    <n v="0.49"/>
    <n v="0.66609589041095896"/>
    <n v="4.0640000000000001"/>
    <n v="3.5200099999999996"/>
    <n v="5169.9948904178636"/>
    <n v="5.7002261202314433"/>
    <x v="7"/>
    <n v="29470.139915823005"/>
  </r>
  <r>
    <n v="1000"/>
    <n v="0.49"/>
    <n v="0.66609589041095896"/>
    <n v="9.6519999999999992"/>
    <n v="4.0513000000000003"/>
    <n v="5010.7992335667459"/>
    <n v="14.114301094604123"/>
    <x v="8"/>
    <n v="70723.929107172618"/>
  </r>
  <r>
    <n v="500"/>
    <n v="0.49"/>
    <n v="0.66609589041095896"/>
    <n v="5.156200000000001"/>
    <n v="4.05"/>
    <n v="4688.4056923522448"/>
    <n v="1.0093653433916348"/>
    <x v="7"/>
    <n v="4732.3142216204187"/>
  </r>
  <r>
    <n v="500"/>
    <n v="0.49"/>
    <n v="0.66609589041095896"/>
    <n v="5.156200000000001"/>
    <n v="3.63"/>
    <n v="4202.2006575897904"/>
    <n v="3.2645700742610555"/>
    <x v="7"/>
    <n v="13718.378512807758"/>
  </r>
  <r>
    <n v="500"/>
    <n v="0.49"/>
    <n v="0.66609589041095896"/>
    <n v="5.156200000000001"/>
    <n v="4.03"/>
    <n v="4665.2530716492711"/>
    <n v="2.719598558094269"/>
    <x v="7"/>
    <n v="12687.615526802218"/>
  </r>
  <r>
    <n v="500"/>
    <n v="0.49"/>
    <n v="0.66609589041095896"/>
    <n v="5.156200000000001"/>
    <n v="4.03"/>
    <n v="4665.2530716492711"/>
    <n v="0.86668525477729463"/>
    <x v="7"/>
    <n v="4043.306047002905"/>
  </r>
  <r>
    <n v="500"/>
    <n v="0.49"/>
    <n v="0.66609589041095896"/>
    <n v="5.156200000000001"/>
    <n v="3.9"/>
    <n v="4514.7610370799393"/>
    <n v="2.9381139929403215"/>
    <x v="7"/>
    <n v="13264.882577826327"/>
  </r>
  <r>
    <m/>
    <m/>
    <m/>
    <m/>
    <m/>
    <m/>
    <m/>
    <x v="0"/>
    <m/>
  </r>
  <r>
    <n v="350"/>
    <n v="0.55000000000000004"/>
    <n v="0.66609589041095896"/>
    <n v="8.0518000000000001"/>
    <n v="4.0640000000000001"/>
    <n v="2367.1473124027452"/>
    <n v="1.9435014065855754"/>
    <x v="4"/>
    <n v="4600.55413125"/>
  </r>
  <r>
    <n v="750"/>
    <n v="0.56999999999999995"/>
    <n v="0.66609589041095896"/>
    <n v="5.8419999999999996"/>
    <n v="4.0436800000000002"/>
    <n v="7209.1685257819609"/>
    <n v="16.563827064623013"/>
    <x v="2"/>
    <n v="119411.42074077562"/>
  </r>
  <r>
    <n v="750"/>
    <n v="0.6"/>
    <n v="0.66609589041095896"/>
    <n v="3.556"/>
    <n v="3.6987700000000001"/>
    <n v="11403.598534202942"/>
    <n v="0.9931156432636612"/>
    <x v="3"/>
    <n v="11325.092093815498"/>
  </r>
  <r>
    <n v="750"/>
    <n v="0.6"/>
    <n v="0.66609589041095896"/>
    <n v="8.7629999999999999"/>
    <n v="3.6982400000000002"/>
    <n v="4626.8841459660298"/>
    <n v="16.573148114488799"/>
    <x v="3"/>
    <n v="76682.03625967502"/>
  </r>
  <r>
    <n v="750"/>
    <n v="0.6"/>
    <n v="0.66609589041095896"/>
    <n v="5.8419999999999996"/>
    <n v="3.99085"/>
    <n v="7489.4546840910252"/>
    <n v="15.616966943143197"/>
    <x v="3"/>
    <n v="116962.56622361852"/>
  </r>
  <r>
    <n v="750"/>
    <n v="0.6"/>
    <n v="0.66609589041095896"/>
    <n v="8.5090000000000003"/>
    <n v="3.99085"/>
    <n v="5142.013663704286"/>
    <n v="35.65699322308636"/>
    <x v="3"/>
    <n v="183348.7463597212"/>
  </r>
  <r>
    <n v="750"/>
    <n v="0.56999999999999995"/>
    <n v="0.66609589041095896"/>
    <n v="6.9595999999999991"/>
    <n v="4.0284399999999998"/>
    <n v="6028.684698205313"/>
    <n v="14.384892100580846"/>
    <x v="1"/>
    <n v="86721.978892106228"/>
  </r>
  <r>
    <n v="750"/>
    <n v="0.56999999999999995"/>
    <n v="0.66609589041095896"/>
    <n v="7.62"/>
    <n v="3.81"/>
    <n v="5207.6280179957612"/>
    <n v="30.274031313584835"/>
    <x v="1"/>
    <n v="157655.89368630541"/>
  </r>
  <r>
    <n v="750"/>
    <n v="0.6"/>
    <n v="0.66609589041095896"/>
    <n v="4.5720000000000001"/>
    <n v="3.99092"/>
    <n v="9570.0266195052973"/>
    <n v="6.9429555884594469"/>
    <x v="3"/>
    <n v="66444.269799599977"/>
  </r>
  <r>
    <n v="750"/>
    <n v="0.6"/>
    <n v="0.66609589041095896"/>
    <n v="7.6454000000000004"/>
    <n v="3.7592000000000003"/>
    <n v="5390.6553359914187"/>
    <n v="2.6171893996456501"/>
    <x v="3"/>
    <n v="14108.366002500001"/>
  </r>
  <r>
    <n v="750"/>
    <n v="0.6"/>
    <n v="0.66609589041095896"/>
    <n v="7.6454000000000004"/>
    <n v="3.99085"/>
    <n v="5722.8391273785246"/>
    <n v="6.0109809120490905"/>
    <x v="3"/>
    <n v="34399.876757399987"/>
  </r>
  <r>
    <n v="750"/>
    <n v="0.6"/>
    <n v="0.66609589041095896"/>
    <n v="6.4769999999999994"/>
    <n v="3.5966399999999998"/>
    <n v="6087.9267479727559"/>
    <n v="2.5566162581525202"/>
    <x v="3"/>
    <n v="15564.492502308749"/>
  </r>
  <r>
    <n v="750"/>
    <n v="0.56999999999999995"/>
    <n v="0.66609589041095896"/>
    <n v="5.8419999999999996"/>
    <n v="4.0271699999999999"/>
    <n v="7179.7341065498103"/>
    <n v="3.3105623149802224"/>
    <x v="1"/>
    <n v="23768.957164722"/>
  </r>
  <r>
    <n v="750"/>
    <n v="0.6"/>
    <n v="0.66609589041095896"/>
    <n v="7.62"/>
    <n v="4.0004999999999997"/>
    <n v="5755.7993883111067"/>
    <n v="2.0892948887008718"/>
    <x v="3"/>
    <n v="12025.562242385999"/>
  </r>
  <r>
    <n v="750"/>
    <n v="0.6"/>
    <n v="0.66609589041095896"/>
    <n v="5.4609999999999994"/>
    <n v="4.0272199999999998"/>
    <n v="8084.9906828835656"/>
    <n v="1.4887608851075553"/>
    <x v="3"/>
    <n v="12036.617885136075"/>
  </r>
  <r>
    <n v="750"/>
    <n v="0.56999999999999995"/>
    <n v="0.66609589041095896"/>
    <n v="7.9755999999999991"/>
    <n v="4.0300099999999999"/>
    <n v="5262.7496335832047"/>
    <n v="14.490992548125607"/>
    <x v="1"/>
    <n v="76262.465722904992"/>
  </r>
  <r>
    <n v="750"/>
    <n v="0.6"/>
    <n v="0.66609589041095896"/>
    <n v="4.5720000000000001"/>
    <n v="3.9933899999999998"/>
    <n v="9575.9495560087034"/>
    <n v="1.7833486731855623"/>
    <x v="3"/>
    <n v="17077.256935199995"/>
  </r>
  <r>
    <n v="750"/>
    <n v="0.6"/>
    <n v="0.66609589041095896"/>
    <n v="5.7149999999999999"/>
    <n v="3.99085"/>
    <n v="7655.8870104041598"/>
    <n v="3.3795582927214758"/>
    <x v="3"/>
    <n v="25873.516434150006"/>
  </r>
  <r>
    <n v="750"/>
    <n v="0.6"/>
    <n v="0.66609589041095896"/>
    <n v="5.7149999999999999"/>
    <n v="3.6537900000000003"/>
    <n v="7009.2845884321932"/>
    <n v="7.8616318603601627"/>
    <x v="3"/>
    <n v="55104.415038749998"/>
  </r>
  <r>
    <n v="350"/>
    <n v="0.55000000000000004"/>
    <n v="0.66609589041095896"/>
    <n v="8.7629999999999999"/>
    <n v="4.0640000000000001"/>
    <n v="2175.03100878745"/>
    <n v="2.1112413957456106"/>
    <x v="4"/>
    <n v="4592.0155027823994"/>
  </r>
  <r>
    <n v="350"/>
    <n v="0.55000000000000004"/>
    <n v="0.66609589041095896"/>
    <n v="8.7629999999999999"/>
    <n v="4.0640000000000001"/>
    <n v="2175.03100878745"/>
    <n v="3.3658570187111354"/>
    <x v="4"/>
    <n v="7320.8433868415996"/>
  </r>
  <r>
    <n v="350"/>
    <n v="0.55000000000000004"/>
    <n v="0.66609589041095896"/>
    <n v="8.7629999999999999"/>
    <n v="4.0640000000000001"/>
    <n v="2175.03100878745"/>
    <n v="17.096416602977197"/>
    <x v="4"/>
    <n v="37185.236250624002"/>
  </r>
  <r>
    <n v="350"/>
    <n v="0.55000000000000004"/>
    <n v="0.66609589041095896"/>
    <n v="8.7629999999999999"/>
    <n v="4.0640000000000001"/>
    <n v="2175.03100878745"/>
    <n v="2.5644624904465796"/>
    <x v="4"/>
    <n v="5577.7854375936004"/>
  </r>
  <r>
    <n v="750"/>
    <n v="0.6"/>
    <n v="0.66609589041095896"/>
    <n v="7.6454000000000004"/>
    <n v="3.7592000000000003"/>
    <n v="5390.6553359914187"/>
    <n v="2.654512796301467"/>
    <x v="3"/>
    <n v="14309.563569840006"/>
  </r>
  <r>
    <n v="750"/>
    <n v="0.56999999999999995"/>
    <n v="0.66609589041095896"/>
    <n v="10.16"/>
    <n v="3.69875"/>
    <n v="3791.6760101499658"/>
    <n v="19.216493541533151"/>
    <x v="1"/>
    <n v="72862.717560632998"/>
  </r>
  <r>
    <n v="350"/>
    <n v="0.55000000000000004"/>
    <n v="0.66609589041095896"/>
    <n v="8.9916"/>
    <n v="4.0004999999999997"/>
    <n v="2086.6127725986589"/>
    <n v="12.377133130570531"/>
    <x v="4"/>
    <n v="25826.284078402496"/>
  </r>
  <r>
    <n v="750"/>
    <n v="0.6"/>
    <n v="0.66609589041095896"/>
    <n v="4.5720000000000001"/>
    <n v="4.0049999999999999"/>
    <n v="9603.7897555247182"/>
    <n v="1.121506117652989"/>
    <x v="3"/>
    <n v="10770.708963474075"/>
  </r>
  <r>
    <n v="750"/>
    <n v="0.6"/>
    <n v="0.66609589041095896"/>
    <n v="4.5720000000000001"/>
    <n v="4.0049999999999999"/>
    <n v="9603.7897555247182"/>
    <n v="1.9365799656225233E-2"/>
    <x v="3"/>
    <n v="185.98506834600002"/>
  </r>
  <r>
    <n v="350"/>
    <n v="0.55000000000000004"/>
    <n v="0.66609589041095896"/>
    <n v="8.4328000000000003"/>
    <n v="4.0640000000000001"/>
    <n v="2260.1978856375608"/>
    <n v="6.4917417155811767"/>
    <x v="4"/>
    <n v="14672.620899661728"/>
  </r>
  <r>
    <n v="900"/>
    <n v="0.56999999999999995"/>
    <n v="0.66609589041095896"/>
    <n v="8.89"/>
    <n v="4.0106599999999997"/>
    <n v="5638.5220391419261"/>
    <n v="2.7238502935961324"/>
    <x v="5"/>
    <n v="15358.489911764998"/>
  </r>
  <r>
    <n v="750"/>
    <n v="0.6"/>
    <n v="0.66609589041095896"/>
    <n v="6.8199000000000005"/>
    <n v="4.0004999999999997"/>
    <n v="6431.0607690626885"/>
    <n v="21.543606646123024"/>
    <x v="3"/>
    <n v="138548.24352599998"/>
  </r>
  <r>
    <n v="750"/>
    <n v="0.6"/>
    <n v="0.66609589041095896"/>
    <n v="6.35"/>
    <n v="3.7592000000000003"/>
    <n v="6490.3490245336689"/>
    <n v="1.5407491896352215E-3"/>
    <x v="3"/>
    <n v="10"/>
  </r>
  <r>
    <n v="350"/>
    <n v="0.55000000000000004"/>
    <n v="0.66609589041095896"/>
    <n v="7.62"/>
    <n v="3.7719"/>
    <n v="2321.5057532854794"/>
    <n v="7.5759500984519939"/>
    <x v="4"/>
    <n v="17587.611740159999"/>
  </r>
  <r>
    <n v="350"/>
    <n v="0.55000000000000004"/>
    <n v="0.66609589041095896"/>
    <n v="7.62"/>
    <n v="3.7719"/>
    <n v="2321.5057532854794"/>
    <n v="123.30647946699212"/>
    <x v="4"/>
    <n v="286256.70150000002"/>
  </r>
  <r>
    <n v="750"/>
    <n v="0.6"/>
    <n v="0.66609589041095896"/>
    <n v="3.6829999999999998"/>
    <n v="4.0640000000000001"/>
    <n v="12097.575069028271"/>
    <n v="155.32391511493097"/>
    <x v="3"/>
    <n v="1879042.7231182524"/>
  </r>
  <r>
    <n v="350"/>
    <n v="0.55000000000000004"/>
    <n v="0.66609589041095896"/>
    <n v="6.5023999999999997"/>
    <n v="4.0132000000000003"/>
    <n v="2894.5542062745099"/>
    <n v="3.2355538691616301"/>
    <x v="4"/>
    <n v="9365.4860616095611"/>
  </r>
  <r>
    <n v="750"/>
    <n v="0.6"/>
    <n v="0.66609589041095896"/>
    <n v="4.3687999999999994"/>
    <n v="4.0132000000000003"/>
    <n v="10071.055408119104"/>
    <n v="2.1598117204550649"/>
    <x v="3"/>
    <n v="21751.583507808005"/>
  </r>
  <r>
    <n v="750"/>
    <n v="0.56999999999999995"/>
    <n v="0.66609589041095896"/>
    <n v="7.3659999999999997"/>
    <n v="3.7147500000000004"/>
    <n v="5252.5213629784857"/>
    <n v="23.758411571206992"/>
    <x v="1"/>
    <n v="124791.56432819997"/>
  </r>
  <r>
    <n v="750"/>
    <n v="0.6"/>
    <n v="0.66609589041095896"/>
    <n v="5.08"/>
    <n v="4.0640000000000001"/>
    <n v="8770.741925045495"/>
    <n v="24.151960600520493"/>
    <x v="3"/>
    <n v="211830.61341103204"/>
  </r>
  <r>
    <n v="750"/>
    <n v="0.56999999999999995"/>
    <n v="0.66609589041095896"/>
    <n v="6.35"/>
    <n v="4.0317400000000001"/>
    <n v="6612.8510819761368"/>
    <n v="1.3134426783912179"/>
    <x v="1"/>
    <n v="8685.6008369129995"/>
  </r>
  <r>
    <n v="750"/>
    <n v="0.6"/>
    <n v="0.66609589041095896"/>
    <n v="5.5880000000000001"/>
    <n v="3.9500799999999998"/>
    <n v="7749.8953702764211"/>
    <n v="139.36967935716609"/>
    <x v="3"/>
    <n v="1080100.4328070108"/>
  </r>
  <r>
    <n v="750"/>
    <n v="0.6"/>
    <n v="0.66609589041095896"/>
    <n v="7.6454000000000004"/>
    <n v="3.7592000000000003"/>
    <n v="5390.6553359914187"/>
    <n v="79.881172110923728"/>
    <x v="3"/>
    <n v="430611.8666849999"/>
  </r>
  <r>
    <n v="750"/>
    <n v="0.6"/>
    <n v="0.66609589041095896"/>
    <n v="7.6454000000000004"/>
    <n v="3.7592000000000003"/>
    <n v="5390.6553359914187"/>
    <n v="5.1636172805388627"/>
    <x v="3"/>
    <n v="27835.281046354321"/>
  </r>
  <r>
    <n v="750"/>
    <n v="0.6"/>
    <n v="0.66609589041095896"/>
    <n v="7.6454000000000004"/>
    <n v="3.7592000000000003"/>
    <n v="5390.6553359914187"/>
    <n v="9.8924843542167959"/>
    <x v="3"/>
    <n v="53326.973570270391"/>
  </r>
  <r>
    <n v="750"/>
    <n v="0.6"/>
    <n v="0.66609589041095896"/>
    <n v="7.6454000000000004"/>
    <n v="3.7592000000000003"/>
    <n v="5390.6553359914187"/>
    <n v="0.95857406533108525"/>
    <x v="3"/>
    <n v="5167.3424002200018"/>
  </r>
  <r>
    <n v="750"/>
    <n v="0.56999999999999995"/>
    <n v="0.66609589041095896"/>
    <n v="6.0960000000000001"/>
    <n v="4.0208199999999996"/>
    <n v="6869.7292937394095"/>
    <n v="0.75433309696243345"/>
    <x v="1"/>
    <n v="5182.0641734399996"/>
  </r>
  <r>
    <n v="750"/>
    <n v="0.56999999999999995"/>
    <n v="0.66609589041095896"/>
    <n v="6.0960000000000001"/>
    <n v="4.0208199999999996"/>
    <n v="6869.7292937394095"/>
    <n v="0.35359363920114067"/>
    <x v="1"/>
    <n v="2429.0925812999999"/>
  </r>
  <r>
    <n v="750"/>
    <n v="0.56999999999999995"/>
    <n v="0.66609589041095896"/>
    <n v="5.5880000000000001"/>
    <n v="3.68"/>
    <n v="6859.0089857639241"/>
    <n v="70.889895893654383"/>
    <x v="1"/>
    <n v="486234.43293444451"/>
  </r>
  <r>
    <n v="750"/>
    <n v="0.6"/>
    <n v="0.66609589041095896"/>
    <n v="11.176"/>
    <n v="3.7033199999999997"/>
    <n v="3632.8811723625945"/>
    <n v="8.9580948853155871"/>
    <x v="3"/>
    <n v="32543.694249100648"/>
  </r>
  <r>
    <n v="750"/>
    <n v="0.6"/>
    <n v="0.66609589041095896"/>
    <n v="8.5090000000000003"/>
    <n v="3.6988499999999997"/>
    <n v="4765.7860455774071"/>
    <n v="5.0179975540010991E-4"/>
    <x v="3"/>
    <n v="2.3914702719599998"/>
  </r>
  <r>
    <n v="750"/>
    <n v="0.56999999999999995"/>
    <n v="0.66609589041095896"/>
    <n v="8.89"/>
    <n v="3.4861500000000003"/>
    <n v="4084.2682598281044"/>
    <n v="8.8010044048901097"/>
    <x v="1"/>
    <n v="35945.662945500007"/>
  </r>
  <r>
    <n v="750"/>
    <n v="0.6"/>
    <n v="0.66609589041095896"/>
    <n v="7.62"/>
    <n v="4.0272199999999998"/>
    <n v="5794.2433227332222"/>
    <n v="16.95702251315409"/>
    <x v="3"/>
    <n v="98253.114470280008"/>
  </r>
  <r>
    <n v="350"/>
    <n v="0.55000000000000004"/>
    <n v="0.66609589041095896"/>
    <n v="6.4769999999999994"/>
    <n v="3.8354000000000004"/>
    <n v="2777.1627549701529"/>
    <n v="3.3599360481083993"/>
    <x v="4"/>
    <n v="9331.0892518882501"/>
  </r>
  <r>
    <n v="750"/>
    <n v="0.6"/>
    <n v="0.66609589041095896"/>
    <n v="5.2069999999999999"/>
    <n v="3.68"/>
    <n v="7748.3028337256164"/>
    <n v="16.03124764343054"/>
    <x v="3"/>
    <n v="124214.96154374996"/>
  </r>
  <r>
    <n v="350"/>
    <n v="0.55000000000000004"/>
    <n v="0.66609589041095896"/>
    <n v="8.0009999999999994"/>
    <n v="3.9243000000000001"/>
    <n v="2300.2894909899419"/>
    <n v="107.51941921430159"/>
    <x v="4"/>
    <n v="247325.79009599998"/>
  </r>
  <r>
    <n v="350"/>
    <n v="0.55000000000000004"/>
    <n v="0.66609589041095896"/>
    <n v="8.0009999999999994"/>
    <n v="3.9243000000000001"/>
    <n v="2300.2894909899419"/>
    <n v="331.02043415514157"/>
    <x v="4"/>
    <n v="761442.82599000016"/>
  </r>
  <r>
    <n v="350"/>
    <n v="0.55000000000000004"/>
    <n v="0.66609589041095896"/>
    <n v="9.9440999999999988"/>
    <n v="4.0132000000000003"/>
    <n v="1892.7353175128339"/>
    <n v="3.2093818284972966"/>
    <x v="4"/>
    <n v="6074.5103341807499"/>
  </r>
  <r>
    <n v="750"/>
    <n v="0.6"/>
    <n v="0.66609589041095896"/>
    <n v="5.5880000000000001"/>
    <n v="4.0167599999999997"/>
    <n v="7880.7188025334972"/>
    <n v="9.5713154097153659"/>
    <x v="3"/>
    <n v="75428.845314322491"/>
  </r>
  <r>
    <n v="750"/>
    <n v="0.6"/>
    <n v="0.66609589041095896"/>
    <n v="6.6040000000000001"/>
    <n v="4.0168299999999997"/>
    <n v="6668.4167335668717"/>
    <n v="60.030673866775317"/>
    <x v="3"/>
    <n v="400309.55014050001"/>
  </r>
  <r>
    <n v="750"/>
    <n v="0.6"/>
    <n v="0.66609589041095896"/>
    <n v="5.2069999999999999"/>
    <n v="3.68"/>
    <n v="7748.3028337256164"/>
    <n v="4.7499993017571974E-4"/>
    <x v="3"/>
    <n v="3.6804433049999994"/>
  </r>
  <r>
    <n v="750"/>
    <n v="0.6"/>
    <n v="0.66609589041095896"/>
    <n v="5.2069999999999999"/>
    <n v="3.68"/>
    <n v="7748.3028337256164"/>
    <n v="1.266666480468586E-4"/>
    <x v="3"/>
    <n v="0.9814515479999999"/>
  </r>
  <r>
    <n v="750"/>
    <n v="0.6"/>
    <n v="0.66609589041095896"/>
    <n v="5.2069999999999999"/>
    <n v="3.68"/>
    <n v="7748.3028337256164"/>
    <n v="1.6672497549167766E-3"/>
    <x v="3"/>
    <n v="12.91835600055"/>
  </r>
  <r>
    <n v="750"/>
    <n v="0.6"/>
    <n v="0.66609589041095896"/>
    <n v="5.2069999999999999"/>
    <n v="3.68"/>
    <n v="7748.3028337256164"/>
    <n v="1.2811592561159475"/>
    <x v="3"/>
    <n v="9926.8098946169994"/>
  </r>
  <r>
    <n v="750"/>
    <n v="0.6"/>
    <n v="0.66609589041095896"/>
    <n v="5.2069999999999999"/>
    <n v="3.68"/>
    <n v="7748.3028337256164"/>
    <n v="0.98774652146940367"/>
    <x v="3"/>
    <n v="7653.3591713040005"/>
  </r>
  <r>
    <n v="750"/>
    <n v="0.6"/>
    <n v="0.66609589041095896"/>
    <n v="4.5720000000000001"/>
    <n v="4.0049999999999999"/>
    <n v="9603.7897555247182"/>
    <n v="2.4803382365328055"/>
    <x v="3"/>
    <n v="23820.646946250003"/>
  </r>
  <r>
    <n v="750"/>
    <n v="0.6"/>
    <n v="0.66609589041095896"/>
    <n v="4.5720000000000001"/>
    <n v="4.0049999999999999"/>
    <n v="9603.7897555247182"/>
    <n v="4.1278278612889165"/>
    <x v="3"/>
    <n v="39642.790926816"/>
  </r>
  <r>
    <n v="750"/>
    <n v="0.6"/>
    <n v="0.66609589041095896"/>
    <n v="4.5720000000000001"/>
    <n v="4.0049999999999999"/>
    <n v="9603.7897555247182"/>
    <n v="4.1278278612889165"/>
    <x v="3"/>
    <n v="39642.790926816"/>
  </r>
  <r>
    <n v="750"/>
    <n v="0.6"/>
    <n v="0.66609589041095896"/>
    <n v="4.5720000000000001"/>
    <n v="4.0049999999999999"/>
    <n v="9603.7897555247182"/>
    <n v="2.0639139306444583"/>
    <x v="3"/>
    <n v="19821.395463408"/>
  </r>
  <r>
    <n v="750"/>
    <n v="0.6"/>
    <n v="0.66609589041095896"/>
    <n v="4.5720000000000001"/>
    <n v="4.0049999999999999"/>
    <n v="9603.7897555247182"/>
    <n v="2.3249179006813937E-2"/>
    <x v="3"/>
    <n v="223.28022717000002"/>
  </r>
  <r>
    <n v="750"/>
    <n v="0.6"/>
    <n v="0.66609589041095896"/>
    <n v="4.5720000000000001"/>
    <n v="4.0049999999999999"/>
    <n v="9603.7897555247182"/>
    <n v="1.0412556141441306E-3"/>
    <x v="3"/>
    <n v="10"/>
  </r>
  <r>
    <n v="750"/>
    <n v="0.6"/>
    <n v="0.66609589041095896"/>
    <n v="5.2069999999999999"/>
    <n v="3.68"/>
    <n v="7748.3028337256164"/>
    <n v="12.539998156639006"/>
    <x v="3"/>
    <n v="97163.703252000021"/>
  </r>
  <r>
    <n v="750"/>
    <n v="0.56999999999999995"/>
    <n v="0.66609589041095896"/>
    <n v="5.8419999999999996"/>
    <n v="4.0271699999999999"/>
    <n v="7179.7341065498103"/>
    <n v="1.1822472796522123"/>
    <x v="1"/>
    <n v="8488.2211160947209"/>
  </r>
  <r>
    <n v="750"/>
    <n v="0.56999999999999995"/>
    <n v="0.66609589041095896"/>
    <n v="5.8419999999999996"/>
    <n v="4.0271699999999999"/>
    <n v="7179.7341065498103"/>
    <n v="1.7952935497487525"/>
    <x v="1"/>
    <n v="12889.730330399998"/>
  </r>
  <r>
    <n v="750"/>
    <n v="0.56999999999999995"/>
    <n v="0.66609589041095896"/>
    <n v="5.3339999999999996"/>
    <n v="3.7241500000000003"/>
    <n v="7271.8364766475142"/>
    <n v="0.22501665254406292"/>
    <x v="1"/>
    <n v="1636.2843018230365"/>
  </r>
  <r>
    <n v="750"/>
    <n v="0.56999999999999995"/>
    <n v="0.66609589041095896"/>
    <n v="5.8419999999999996"/>
    <n v="4.0271699999999999"/>
    <n v="7179.7341065498103"/>
    <n v="3.8514514541247041E-3"/>
    <x v="1"/>
    <n v="27.652397364900001"/>
  </r>
  <r>
    <n v="750"/>
    <n v="0.56999999999999995"/>
    <n v="0.66609589041095896"/>
    <n v="5.8419999999999996"/>
    <n v="4.0271699999999999"/>
    <n v="7179.7341065498103"/>
    <n v="6.9722548861625731"/>
    <x v="1"/>
    <n v="50058.936205739992"/>
  </r>
  <r>
    <n v="750"/>
    <n v="0.56999999999999995"/>
    <n v="0.66609589041095896"/>
    <n v="5.8419999999999996"/>
    <n v="4.0271699999999999"/>
    <n v="7179.7341065498103"/>
    <n v="9.4073495921399974E-3"/>
    <x v="1"/>
    <n v="67.542268718924987"/>
  </r>
  <r>
    <n v="750"/>
    <n v="0.56999999999999995"/>
    <n v="0.66609589041095896"/>
    <n v="5.8419999999999996"/>
    <n v="4.0271699999999999"/>
    <n v="7179.7341065498103"/>
    <n v="1.2270763063793522"/>
    <x v="1"/>
    <n v="8810.0816082509991"/>
  </r>
  <r>
    <n v="750"/>
    <n v="0.56999999999999995"/>
    <n v="0.66609589041095896"/>
    <n v="5.8419999999999996"/>
    <n v="4.0271699999999999"/>
    <n v="7179.7341065498103"/>
    <n v="1.0252310880544909E-3"/>
    <x v="1"/>
    <n v="7.3608866100000006"/>
  </r>
  <r>
    <n v="750"/>
    <n v="0.56999999999999995"/>
    <n v="0.66609589041095896"/>
    <n v="5.8419999999999996"/>
    <n v="4.0271699999999999"/>
    <n v="7179.7341065498103"/>
    <n v="0.78957038796591483"/>
    <x v="1"/>
    <n v="5668.9054440006448"/>
  </r>
  <r>
    <n v="750"/>
    <n v="0.56999999999999995"/>
    <n v="0.66609589041095896"/>
    <n v="5.8419999999999996"/>
    <n v="4.0271699999999999"/>
    <n v="7179.7341065498103"/>
    <n v="165.35245948925777"/>
    <x v="1"/>
    <n v="1187186.6929969199"/>
  </r>
  <r>
    <n v="750"/>
    <n v="0.56999999999999995"/>
    <n v="0.66609589041095896"/>
    <n v="5.8419999999999996"/>
    <n v="4.0271699999999999"/>
    <n v="7179.7341065498103"/>
    <n v="0.61240470326454921"/>
    <x v="1"/>
    <n v="4396.9029350399996"/>
  </r>
  <r>
    <n v="750"/>
    <n v="0.56999999999999995"/>
    <n v="0.66609589041095896"/>
    <n v="5.8419999999999996"/>
    <n v="4.0271699999999999"/>
    <n v="7179.7341065498103"/>
    <n v="0.10007394565065227"/>
    <x v="1"/>
    <n v="718.5043207650001"/>
  </r>
  <r>
    <n v="750"/>
    <n v="0.56999999999999995"/>
    <n v="0.66609589041095896"/>
    <n v="5.8419999999999996"/>
    <n v="4.0271699999999999"/>
    <n v="7179.7341065498103"/>
    <n v="6.8348739203632716E-5"/>
    <x v="1"/>
    <n v="0.49072577399999995"/>
  </r>
  <r>
    <n v="750"/>
    <n v="0.56999999999999995"/>
    <n v="0.66609589041095896"/>
    <n v="8.7629999999999999"/>
    <n v="3.6802100000000002"/>
    <n v="4374.1103978336605"/>
    <n v="6.6457783168257505"/>
    <x v="1"/>
    <n v="29069.368037324999"/>
  </r>
  <r>
    <n v="750"/>
    <n v="0.56999999999999995"/>
    <n v="0.66609589041095896"/>
    <n v="8.7629999999999999"/>
    <n v="3.6802100000000002"/>
    <n v="4374.1103978336605"/>
    <n v="3.3015031868299269"/>
    <x v="1"/>
    <n v="14441.139417993749"/>
  </r>
  <r>
    <n v="750"/>
    <n v="0.56999999999999995"/>
    <n v="0.66609589041095896"/>
    <n v="8.7629999999999999"/>
    <n v="3.6802100000000002"/>
    <n v="4374.1103978336605"/>
    <n v="6.3288452297604163"/>
    <x v="1"/>
    <n v="27683.067725774999"/>
  </r>
  <r>
    <n v="750"/>
    <n v="0.56999999999999995"/>
    <n v="0.66609589041095896"/>
    <n v="13.715999999999999"/>
    <n v="4.0640000000000001"/>
    <n v="3086.0017884419335"/>
    <n v="12.374784430204993"/>
    <x v="1"/>
    <n v="38188.606883196"/>
  </r>
  <r>
    <n v="750"/>
    <n v="0.56999999999999995"/>
    <n v="0.66609589041095896"/>
    <n v="8.7629999999999999"/>
    <n v="4.0627300000000002"/>
    <n v="4828.7542114691141"/>
    <n v="1.3414599155646898"/>
    <x v="1"/>
    <n v="6477.5802167999982"/>
  </r>
  <r>
    <n v="750"/>
    <n v="0.56999999999999995"/>
    <n v="0.66609589041095896"/>
    <n v="8.7629999999999999"/>
    <n v="4.0627300000000002"/>
    <n v="4828.7542114691141"/>
    <n v="3.6265759062784322"/>
    <x v="1"/>
    <n v="17511.843680654398"/>
  </r>
  <r>
    <n v="750"/>
    <n v="0.56999999999999995"/>
    <n v="0.66609589041095896"/>
    <n v="6.35"/>
    <n v="4.0162500000000003"/>
    <n v="6587.4444180395212"/>
    <n v="32.575527032123873"/>
    <x v="1"/>
    <n v="214589.47371245993"/>
  </r>
  <r>
    <n v="750"/>
    <n v="0.56999999999999995"/>
    <n v="0.66609589041095896"/>
    <n v="5.5880000000000001"/>
    <n v="3.6872699999999998"/>
    <n v="6872.5592562330821"/>
    <n v="1.5708801663963217"/>
    <x v="1"/>
    <n v="10795.967028000005"/>
  </r>
  <r>
    <n v="750"/>
    <n v="0.56999999999999995"/>
    <n v="0.66609589041095896"/>
    <n v="5.5880000000000001"/>
    <n v="3.6872699999999998"/>
    <n v="6872.5592562330821"/>
    <n v="1.2959761372769649"/>
    <x v="1"/>
    <n v="8906.6727981000004"/>
  </r>
  <r>
    <n v="750"/>
    <n v="0.56999999999999995"/>
    <n v="0.66609589041095896"/>
    <n v="5.3339999999999996"/>
    <n v="3.7241500000000003"/>
    <n v="7271.8364766475142"/>
    <n v="0.66115121698188262"/>
    <x v="1"/>
    <n v="4807.7835362287497"/>
  </r>
  <r>
    <n v="750"/>
    <n v="0.56999999999999995"/>
    <n v="0.66609589041095896"/>
    <n v="5.3339999999999996"/>
    <n v="3.68"/>
    <n v="7185.628461276493"/>
    <n v="6.4964116466632088E-3"/>
    <x v="1"/>
    <n v="46.68080042443124"/>
  </r>
  <r>
    <n v="750"/>
    <n v="0.56999999999999995"/>
    <n v="0.66609589041095896"/>
    <n v="5.3339999999999996"/>
    <n v="3.7241500000000003"/>
    <n v="7271.8364766475142"/>
    <n v="0.22501665254406292"/>
    <x v="1"/>
    <n v="1636.2843018230365"/>
  </r>
  <r>
    <m/>
    <m/>
    <m/>
    <m/>
    <m/>
    <m/>
    <m/>
    <x v="0"/>
    <m/>
  </r>
  <r>
    <m/>
    <m/>
    <m/>
    <m/>
    <m/>
    <m/>
    <m/>
    <x v="0"/>
    <m/>
  </r>
  <r>
    <n v="800"/>
    <n v="0.6"/>
    <n v="0.66609589041095896"/>
    <n v="12.192"/>
    <n v="2.08"/>
    <n v="1995.0944011477068"/>
    <n v="7.793153503980899"/>
    <x v="10"/>
    <n v="15548.076923076924"/>
  </r>
  <r>
    <n v="900"/>
    <n v="0.56999999999999995"/>
    <n v="0.66609589041095896"/>
    <n v="6.9731200000000007"/>
    <n v="4.1630599999999998"/>
    <n v="7461.6818514286088"/>
    <n v="2.058529967462507"/>
    <x v="5"/>
    <n v="15360.095698836914"/>
  </r>
  <r>
    <n v="900"/>
    <n v="0.56999999999999995"/>
    <n v="0.66609589041095896"/>
    <n v="11.99896"/>
    <n v="4.1630599999999998"/>
    <n v="4336.3093928001972"/>
    <n v="1.720499446661002"/>
    <x v="5"/>
    <n v="7460.6179108636443"/>
  </r>
  <r>
    <n v="900"/>
    <n v="0.56999999999999995"/>
    <n v="0.66609589041095896"/>
    <n v="9.9060000000000006"/>
    <n v="4.1630599999999998"/>
    <n v="5252.4937363046483"/>
    <n v="2.7154617829392094"/>
    <x v="5"/>
    <n v="14262.94600606285"/>
  </r>
  <r>
    <n v="900"/>
    <n v="0.56999999999999995"/>
    <n v="0.66609589041095896"/>
    <n v="10.998200000000001"/>
    <n v="4.1630599999999998"/>
    <n v="4730.8835038309771"/>
    <n v="7.8850154572842275"/>
    <x v="5"/>
    <n v="37303.08955431822"/>
  </r>
  <r>
    <n v="900"/>
    <n v="0.56999999999999995"/>
    <n v="0.66609589041095896"/>
    <n v="10.998200000000001"/>
    <n v="4.1630599999999998"/>
    <n v="4730.8835038309771"/>
    <n v="24.831256910562406"/>
    <x v="5"/>
    <n v="117473.78369756864"/>
  </r>
  <r>
    <n v="900"/>
    <n v="0.56999999999999995"/>
    <n v="0.66609589041095896"/>
    <n v="10.998200000000001"/>
    <n v="4.1630599999999998"/>
    <n v="4730.8835038309771"/>
    <n v="4.3318030012036406"/>
    <x v="5"/>
    <n v="20493.255360239822"/>
  </r>
  <r>
    <n v="800"/>
    <n v="0.6"/>
    <n v="0.66609589041095896"/>
    <n v="10.500360000000001"/>
    <n v="2.08"/>
    <n v="2316.5101900118511"/>
    <n v="3.278891909036632"/>
    <x v="10"/>
    <n v="7595.5865192307692"/>
  </r>
  <r>
    <n v="800"/>
    <n v="0.6"/>
    <n v="0.66609589041095896"/>
    <n v="9.4995999999999992"/>
    <n v="2.08"/>
    <n v="2560.5489640398378"/>
    <n v="4.3372610275131782E-4"/>
    <x v="10"/>
    <n v="1.1105769230769231"/>
  </r>
  <r>
    <n v="800"/>
    <n v="0.6"/>
    <n v="0.66609589041095896"/>
    <n v="9.4995999999999992"/>
    <n v="2.08"/>
    <n v="2560.5489640398378"/>
    <n v="1.3011783082539536"/>
    <x v="10"/>
    <n v="3331.7307692307695"/>
  </r>
  <r>
    <n v="800"/>
    <n v="0.6"/>
    <n v="0.66609589041095896"/>
    <n v="10.033000000000001"/>
    <n v="2.08"/>
    <n v="2424.4185127870865"/>
    <n v="9.1615941490251647"/>
    <x v="10"/>
    <n v="22211.538461538461"/>
  </r>
  <r>
    <n v="800"/>
    <n v="0.6"/>
    <n v="0.66609589041095896"/>
    <n v="12.192"/>
    <n v="2.08"/>
    <n v="1995.0944011477068"/>
    <n v="8.9064611474067412"/>
    <x v="10"/>
    <n v="17769.23076923077"/>
  </r>
  <r>
    <n v="800"/>
    <n v="0.5"/>
    <n v="0.66609589041095896"/>
    <n v="9.4843600000000006"/>
    <n v="3.8"/>
    <n v="3904.5356208856683"/>
    <n v="2.6750266500926623"/>
    <x v="6"/>
    <n v="10444.736842105263"/>
  </r>
  <r>
    <n v="900"/>
    <n v="0.56999999999999995"/>
    <n v="0.66609589041095896"/>
    <n v="11.43"/>
    <n v="4.1630599999999998"/>
    <n v="4552.1612381306959"/>
    <n v="2.1691558621112024"/>
    <x v="5"/>
    <n v="9874.3472349665881"/>
  </r>
  <r>
    <n v="800"/>
    <n v="0.6"/>
    <n v="0.66609589041095896"/>
    <n v="13"/>
    <n v="2.08"/>
    <n v="1871.0916106763723"/>
    <n v="5.935449214458643"/>
    <x v="10"/>
    <n v="11105.76923076923"/>
  </r>
  <r>
    <n v="900"/>
    <n v="0.56999999999999995"/>
    <n v="0.66609589041095896"/>
    <n v="10.500360000000001"/>
    <n v="4.1630599999999998"/>
    <n v="4955.1827700987251"/>
    <n v="1.5941849482609265"/>
    <x v="5"/>
    <n v="7899.4777879732701"/>
  </r>
  <r>
    <n v="800"/>
    <n v="0.6"/>
    <n v="0.66609589041095896"/>
    <n v="18.491199999999999"/>
    <n v="2.08"/>
    <n v="1315.4468578995868"/>
    <n v="4.8629277864840814"/>
    <x v="10"/>
    <n v="6396.9230769230771"/>
  </r>
  <r>
    <n v="800"/>
    <n v="0.6"/>
    <n v="0.66609589041095896"/>
    <n v="8.4988399999999995"/>
    <n v="2.08"/>
    <n v="2862.060109237595"/>
    <n v="2.1729909686933406"/>
    <x v="10"/>
    <n v="6219.2307692307695"/>
  </r>
  <r>
    <n v="900"/>
    <n v="0.56999999999999995"/>
    <n v="0.66609589041095896"/>
    <n v="9.999979999999999"/>
    <n v="4.1630599999999998"/>
    <n v="5203.1307014447893"/>
    <n v="1.2651802413528594"/>
    <x v="5"/>
    <n v="6582.8981566443917"/>
  </r>
  <r>
    <n v="900"/>
    <n v="0.56999999999999995"/>
    <n v="0.66609589041095896"/>
    <n v="10"/>
    <n v="4.1630599999999998"/>
    <n v="5203.1202951833857"/>
    <n v="5.0607310868736128"/>
    <x v="5"/>
    <n v="26331.592626577567"/>
  </r>
  <r>
    <n v="800"/>
    <n v="0.6"/>
    <n v="0.66609589041095896"/>
    <n v="13"/>
    <n v="2.08"/>
    <n v="1871.0916106763723"/>
    <n v="7.1225390573503722"/>
    <x v="10"/>
    <n v="13326.923076923078"/>
  </r>
  <r>
    <n v="800"/>
    <n v="0.6"/>
    <n v="0.66609589041095896"/>
    <n v="9.6519999999999992"/>
    <n v="2.08"/>
    <n v="2520.1192435549983"/>
    <n v="3.9661584797045641"/>
    <x v="10"/>
    <n v="9995.1923076923085"/>
  </r>
  <r>
    <n v="800"/>
    <n v="0.6"/>
    <n v="0.66609589041095896"/>
    <n v="9.6519999999999992"/>
    <n v="2.08"/>
    <n v="2520.1192435549983"/>
    <n v="5.2882113062727525"/>
    <x v="10"/>
    <n v="13326.923076923078"/>
  </r>
  <r>
    <n v="900"/>
    <n v="0.56999999999999995"/>
    <n v="0.66609589041095896"/>
    <n v="12.7"/>
    <n v="3.8"/>
    <n v="3739.6509861512877"/>
    <n v="1.8619806822943843"/>
    <x v="5"/>
    <n v="6963.1578947368416"/>
  </r>
  <r>
    <n v="900"/>
    <n v="0.56999999999999995"/>
    <n v="0.66609589041095896"/>
    <n v="11.501120000000002"/>
    <n v="4.1630599999999998"/>
    <n v="4524.0118311811239"/>
    <n v="1.697618869271029"/>
    <x v="5"/>
    <n v="7680.0478494184572"/>
  </r>
  <r>
    <n v="900"/>
    <n v="0.56999999999999995"/>
    <n v="0.66609589041095896"/>
    <n v="13"/>
    <n v="2.08"/>
    <n v="1999.7291589103731"/>
    <n v="8.7848434944459637"/>
    <x v="5"/>
    <n v="17567.307692307691"/>
  </r>
  <r>
    <n v="900"/>
    <n v="0.56999999999999995"/>
    <n v="0.66609589041095896"/>
    <n v="11.501120000000002"/>
    <n v="4.1630599999999998"/>
    <n v="4524.0118311811239"/>
    <n v="5.8204075517863849"/>
    <x v="5"/>
    <n v="26331.592626577567"/>
  </r>
  <r>
    <n v="900"/>
    <n v="0.56999999999999995"/>
    <n v="0.66609589041095896"/>
    <n v="13"/>
    <n v="2.08"/>
    <n v="1999.7291589103731"/>
    <n v="14.494991765835842"/>
    <x v="5"/>
    <n v="28986.057692307691"/>
  </r>
  <r>
    <n v="900"/>
    <n v="0.56999999999999995"/>
    <n v="0.66609589041095896"/>
    <n v="11.480800000000002"/>
    <n v="4.1630599999999998"/>
    <n v="4532.0189317672848"/>
    <n v="1.6946195426468755"/>
    <x v="5"/>
    <n v="7680.0478494184572"/>
  </r>
  <r>
    <n v="800"/>
    <n v="0.6"/>
    <n v="0.66609589041095896"/>
    <n v="10.033000000000001"/>
    <n v="2.08"/>
    <n v="2424.4185127870865"/>
    <n v="2.7484782447075493"/>
    <x v="10"/>
    <n v="6663.461538461539"/>
  </r>
  <r>
    <n v="800"/>
    <n v="0.6"/>
    <n v="0.66609589041095896"/>
    <n v="10"/>
    <n v="2.08"/>
    <n v="2432.4190938792844"/>
    <n v="4.65704476826755"/>
    <x v="10"/>
    <n v="11327.884615384615"/>
  </r>
  <r>
    <n v="900"/>
    <n v="0.56999999999999995"/>
    <n v="0.66609589041095896"/>
    <n v="12"/>
    <n v="4.1630599999999998"/>
    <n v="4335.9335793194878"/>
    <n v="1.0121462173747227"/>
    <x v="5"/>
    <n v="4388.5987710962618"/>
  </r>
  <r>
    <n v="800"/>
    <n v="0.6"/>
    <n v="0.66609589041095896"/>
    <n v="10"/>
    <n v="2.08"/>
    <n v="2432.4190938792844"/>
    <n v="0.82183142969427347"/>
    <x v="10"/>
    <n v="1999.0384615384617"/>
  </r>
  <r>
    <n v="900"/>
    <n v="0.56999999999999995"/>
    <n v="0.66609589041095896"/>
    <n v="6.9731200000000007"/>
    <n v="4.1630599999999998"/>
    <n v="7461.6818514286088"/>
    <n v="0.73518927409375256"/>
    <x v="5"/>
    <n v="5485.7484638703263"/>
  </r>
  <r>
    <n v="800"/>
    <n v="0.6"/>
    <n v="0.66609589041095896"/>
    <n v="9.4995999999999992"/>
    <n v="2.08"/>
    <n v="2560.5489640398378"/>
    <n v="9.3684838194284659"/>
    <x v="10"/>
    <n v="23988.461538461539"/>
  </r>
  <r>
    <n v="800"/>
    <n v="0.6"/>
    <n v="0.66609589041095896"/>
    <n v="9.4995999999999992"/>
    <n v="2.08"/>
    <n v="2560.5489640398378"/>
    <n v="21.252579034814573"/>
    <x v="10"/>
    <n v="54418.269230769234"/>
  </r>
  <r>
    <n v="800"/>
    <n v="0.6"/>
    <n v="0.66609589041095896"/>
    <n v="9.4995999999999992"/>
    <n v="2.08"/>
    <n v="2560.5489640398378"/>
    <n v="13.011783082539536"/>
    <x v="10"/>
    <n v="33317.307692307695"/>
  </r>
  <r>
    <n v="900"/>
    <n v="0.56999999999999995"/>
    <n v="0.66609589041095896"/>
    <n v="13"/>
    <n v="4.1630599999999998"/>
    <n v="4002.4002270641431"/>
    <n v="11.513163222637468"/>
    <x v="5"/>
    <n v="46080.287096510743"/>
  </r>
  <r>
    <n v="900"/>
    <n v="0.56999999999999995"/>
    <n v="0.66609589041095896"/>
    <n v="13"/>
    <n v="4.1630599999999998"/>
    <n v="4002.4002270641431"/>
    <n v="4.7971513427656118"/>
    <x v="5"/>
    <n v="19200.119623546143"/>
  </r>
  <r>
    <n v="800"/>
    <n v="0.6"/>
    <n v="0.66609589041095896"/>
    <n v="11.683999999999999"/>
    <n v="4.1630599999999998"/>
    <n v="4166.7379754056719"/>
    <n v="3.6863598789989815"/>
    <x v="10"/>
    <n v="15360.095698836914"/>
  </r>
  <r>
    <n v="900"/>
    <n v="0.56999999999999995"/>
    <n v="0.66609589041095896"/>
    <n v="11.43"/>
    <n v="4.1630599999999998"/>
    <n v="4552.1612381306959"/>
    <n v="1.6871212260864907"/>
    <x v="5"/>
    <n v="7680.0478494184572"/>
  </r>
  <r>
    <n v="900"/>
    <n v="0.56999999999999995"/>
    <n v="0.66609589041095896"/>
    <n v="13"/>
    <n v="4.1630599999999998"/>
    <n v="4002.4002270641431"/>
    <n v="24.67106404850886"/>
    <x v="5"/>
    <n v="98743.472349665884"/>
  </r>
  <r>
    <m/>
    <m/>
    <m/>
    <m/>
    <m/>
    <m/>
    <m/>
    <x v="0"/>
    <m/>
  </r>
  <r>
    <n v="900"/>
    <n v="0.56999999999999995"/>
    <n v="0.66609589041095896"/>
    <n v="11.25"/>
    <n v="3.88"/>
    <n v="4310.5272980956925"/>
    <n v="178.878329577231"/>
    <x v="5"/>
    <n v="771059.9226804123"/>
  </r>
  <r>
    <n v="800"/>
    <n v="0.6"/>
    <n v="0.66609589041095896"/>
    <n v="11.25"/>
    <n v="3.88"/>
    <n v="4033.2419163468467"/>
    <n v="68.006195470855104"/>
    <x v="10"/>
    <n v="274285.43814432988"/>
  </r>
  <r>
    <n v="800"/>
    <n v="0.5"/>
    <n v="0.66609589041095896"/>
    <n v="11.25"/>
    <n v="3.88"/>
    <n v="3361.034930289039"/>
    <n v="14.535229761581904"/>
    <x v="6"/>
    <n v="48853.414948453603"/>
  </r>
  <r>
    <n v="600"/>
    <n v="0.5"/>
    <n v="0.66609589041095896"/>
    <n v="11.25"/>
    <n v="3.88"/>
    <n v="2520.7761977167797"/>
    <n v="16.111339012837771"/>
    <x v="9"/>
    <n v="40613.079896907213"/>
  </r>
</pivotCacheRecords>
</file>

<file path=xl/pivotCache/pivotCacheRecords2.xml><?xml version="1.0" encoding="utf-8"?>
<pivotCacheRecords xmlns="http://schemas.openxmlformats.org/spreadsheetml/2006/main" xmlns:r="http://schemas.openxmlformats.org/officeDocument/2006/relationships" count="346">
  <r>
    <x v="0"/>
    <m/>
    <m/>
    <m/>
    <m/>
    <m/>
    <m/>
    <m/>
    <m/>
    <m/>
    <m/>
    <m/>
    <m/>
    <m/>
  </r>
  <r>
    <x v="1"/>
    <n v="0"/>
    <n v="0"/>
    <n v="9775.4706388136492"/>
    <n v="0"/>
    <n v="0"/>
    <n v="0"/>
    <n v="0"/>
    <n v="0"/>
    <n v="0"/>
    <n v="0"/>
    <n v="9775.4706388136492"/>
    <n v="0"/>
    <n v="19550.941277627298"/>
  </r>
  <r>
    <x v="1"/>
    <n v="0"/>
    <n v="0"/>
    <n v="0"/>
    <n v="0"/>
    <n v="2318.3028702797442"/>
    <n v="0"/>
    <n v="8345.8903330070789"/>
    <n v="0"/>
    <n v="0"/>
    <n v="0"/>
    <n v="0"/>
    <n v="0"/>
    <n v="10664.193203286823"/>
  </r>
  <r>
    <x v="1"/>
    <n v="0"/>
    <n v="5174.8783887577165"/>
    <n v="0"/>
    <n v="5174.8783887577165"/>
    <n v="0"/>
    <n v="5174.8783887577165"/>
    <n v="0"/>
    <n v="0"/>
    <n v="5174.8783887577165"/>
    <n v="0"/>
    <n v="0"/>
    <n v="0"/>
    <n v="20699.513555030866"/>
  </r>
  <r>
    <x v="2"/>
    <n v="0"/>
    <n v="8049.8108269564482"/>
    <n v="0"/>
    <n v="0"/>
    <n v="8049.8108269564482"/>
    <n v="0"/>
    <n v="0"/>
    <n v="0"/>
    <n v="0"/>
    <n v="8049.8108269564482"/>
    <n v="0"/>
    <n v="4024.9054134782241"/>
    <n v="28174.337894347569"/>
  </r>
  <r>
    <x v="3"/>
    <n v="0"/>
    <n v="0"/>
    <n v="0"/>
    <n v="0"/>
    <n v="5795.7571756993602"/>
    <n v="0"/>
    <n v="0"/>
    <n v="0"/>
    <n v="0"/>
    <n v="0"/>
    <n v="0"/>
    <n v="0"/>
    <n v="5795.7571756993602"/>
  </r>
  <r>
    <x v="1"/>
    <n v="0"/>
    <n v="0"/>
    <n v="0"/>
    <n v="6324.8513640372084"/>
    <n v="0"/>
    <n v="0"/>
    <n v="6324.8513640372084"/>
    <n v="0"/>
    <n v="0"/>
    <n v="6324.8513640372084"/>
    <n v="0"/>
    <n v="0"/>
    <n v="18974.554092111626"/>
  </r>
  <r>
    <x v="2"/>
    <n v="0"/>
    <n v="0"/>
    <n v="5749.8648763974625"/>
    <n v="0"/>
    <n v="0"/>
    <n v="5749.8648763974625"/>
    <n v="0"/>
    <n v="5749.8648763974625"/>
    <n v="0"/>
    <n v="0"/>
    <n v="5749.8648763974625"/>
    <n v="0"/>
    <n v="22999.45950558985"/>
  </r>
  <r>
    <x v="1"/>
    <n v="0"/>
    <n v="0"/>
    <n v="0"/>
    <n v="0"/>
    <n v="14949.648678633403"/>
    <n v="7474.8243393167013"/>
    <n v="0"/>
    <n v="0"/>
    <n v="14949.648678633403"/>
    <n v="0"/>
    <n v="0"/>
    <n v="0"/>
    <n v="37374.121696583505"/>
  </r>
  <r>
    <x v="1"/>
    <n v="0"/>
    <n v="11844.721645378773"/>
    <n v="0"/>
    <n v="17767.082468068162"/>
    <n v="23689.443290757546"/>
    <n v="0"/>
    <n v="23689.443290757546"/>
    <n v="0"/>
    <n v="11499.729752794927"/>
    <n v="0"/>
    <n v="0"/>
    <n v="0"/>
    <n v="88490.420447756944"/>
  </r>
  <r>
    <x v="1"/>
    <n v="0"/>
    <n v="0"/>
    <n v="6391.3828393646636"/>
    <n v="0"/>
    <n v="6391.3828393646636"/>
    <n v="0"/>
    <n v="0"/>
    <n v="6391.3828393646636"/>
    <n v="6391.3828393646636"/>
    <n v="0"/>
    <n v="6391.3828393646636"/>
    <n v="6391.3828393646636"/>
    <n v="38348.297036187978"/>
  </r>
  <r>
    <x v="3"/>
    <n v="8114.060045979104"/>
    <n v="0"/>
    <n v="0"/>
    <n v="15068.968656818335"/>
    <n v="0"/>
    <n v="0"/>
    <n v="15068.968656818335"/>
    <n v="0"/>
    <n v="0"/>
    <n v="17387.271527098081"/>
    <n v="0"/>
    <n v="0"/>
    <n v="55639.268886713864"/>
  </r>
  <r>
    <x v="4"/>
    <n v="0"/>
    <n v="1676.3550024561978"/>
    <n v="0"/>
    <n v="0"/>
    <n v="1676.3550024561978"/>
    <n v="0"/>
    <n v="0"/>
    <n v="1676.3550024561978"/>
    <n v="0"/>
    <n v="0"/>
    <n v="1676.3550024561978"/>
    <n v="0"/>
    <n v="6705.4200098247911"/>
  </r>
  <r>
    <x v="2"/>
    <n v="0"/>
    <n v="1117.5700016374651"/>
    <n v="0"/>
    <n v="0"/>
    <n v="1117.5700016374651"/>
    <n v="0"/>
    <n v="0"/>
    <n v="1117.5700016374651"/>
    <n v="0"/>
    <n v="0"/>
    <n v="1117.5700016374651"/>
    <n v="0"/>
    <n v="4470.2800065498604"/>
  </r>
  <r>
    <x v="2"/>
    <n v="6279.6258392009158"/>
    <n v="0"/>
    <n v="0"/>
    <n v="6279.6258392009158"/>
    <n v="0"/>
    <n v="0"/>
    <n v="0"/>
    <n v="0"/>
    <n v="6279.6258392009158"/>
    <n v="0"/>
    <n v="0"/>
    <n v="0"/>
    <n v="18838.877517602748"/>
  </r>
  <r>
    <x v="3"/>
    <n v="0"/>
    <n v="0"/>
    <n v="0"/>
    <n v="0"/>
    <n v="0"/>
    <n v="8114.060045979104"/>
    <n v="0"/>
    <n v="0"/>
    <n v="0"/>
    <n v="0"/>
    <n v="0"/>
    <n v="8114.060045979104"/>
    <n v="16228.120091958208"/>
  </r>
  <r>
    <x v="2"/>
    <n v="0"/>
    <n v="0"/>
    <n v="6461.6981480954692"/>
    <n v="0"/>
    <n v="6461.6981480954692"/>
    <n v="0"/>
    <n v="6461.6981480954692"/>
    <n v="0"/>
    <n v="6461.6981480954692"/>
    <n v="0"/>
    <n v="6461.6981480954692"/>
    <n v="0"/>
    <n v="32308.490740477348"/>
  </r>
  <r>
    <x v="3"/>
    <n v="0"/>
    <n v="9041.3811940910018"/>
    <n v="9041.3811940910018"/>
    <n v="0"/>
    <n v="0"/>
    <n v="9041.3811940910018"/>
    <n v="0"/>
    <n v="9041.3811940910018"/>
    <n v="9041.3811940910018"/>
    <n v="0"/>
    <n v="0"/>
    <n v="0"/>
    <n v="45206.905970455009"/>
  </r>
  <r>
    <x v="2"/>
    <n v="8509.8000170682444"/>
    <n v="0"/>
    <n v="0"/>
    <n v="0"/>
    <n v="8509.8000170682444"/>
    <n v="8509.8000170682444"/>
    <n v="0"/>
    <n v="8509.8000170682444"/>
    <n v="8509.8000170682444"/>
    <n v="0"/>
    <n v="0"/>
    <n v="8509.8000170682444"/>
    <n v="51058.800102409463"/>
  </r>
  <r>
    <x v="3"/>
    <n v="0"/>
    <n v="11591.51435139872"/>
    <n v="0"/>
    <n v="11591.51435139872"/>
    <n v="0"/>
    <n v="0"/>
    <n v="11591.51435139872"/>
    <n v="0"/>
    <n v="11591.51435139872"/>
    <n v="0"/>
    <n v="0"/>
    <n v="11591.51435139872"/>
    <n v="57957.571756993602"/>
  </r>
  <r>
    <x v="1"/>
    <n v="4057.0300229895524"/>
    <n v="0"/>
    <n v="0"/>
    <n v="0"/>
    <n v="8114.0600459791049"/>
    <n v="0"/>
    <n v="8114.0600459791049"/>
    <n v="0"/>
    <n v="0"/>
    <n v="0"/>
    <n v="0"/>
    <n v="8114.0600459791049"/>
    <n v="28399.210160926868"/>
  </r>
  <r>
    <x v="1"/>
    <n v="3477.454305419616"/>
    <n v="0"/>
    <n v="6954.9086108392321"/>
    <n v="0"/>
    <n v="6954.9086108392321"/>
    <n v="0"/>
    <n v="6954.9086108392321"/>
    <n v="0"/>
    <n v="6954.9086108392321"/>
    <n v="0"/>
    <n v="0"/>
    <n v="6954.9086108392321"/>
    <n v="38251.99735961578"/>
  </r>
  <r>
    <x v="1"/>
    <n v="0"/>
    <n v="0"/>
    <n v="0"/>
    <n v="6375.3328932692957"/>
    <n v="0"/>
    <n v="6375.3328932692957"/>
    <n v="0"/>
    <n v="6375.3328932692957"/>
    <n v="0"/>
    <n v="6375.3328932692957"/>
    <n v="0"/>
    <n v="6375.3328932692957"/>
    <n v="31876.664466346479"/>
  </r>
  <r>
    <x v="2"/>
    <n v="0"/>
    <n v="0"/>
    <n v="0"/>
    <n v="5795.7571756993602"/>
    <n v="0"/>
    <n v="5795.7571756993602"/>
    <n v="0"/>
    <n v="5795.7571756993602"/>
    <n v="0"/>
    <n v="5795.7571756993602"/>
    <n v="0"/>
    <n v="5795.7571756993602"/>
    <n v="28978.785878496801"/>
  </r>
  <r>
    <x v="1"/>
    <n v="0"/>
    <n v="0"/>
    <n v="0"/>
    <n v="0"/>
    <n v="0"/>
    <n v="15409.6378687452"/>
    <n v="0"/>
    <n v="0"/>
    <n v="0"/>
    <n v="15409.6378687452"/>
    <n v="0"/>
    <n v="0"/>
    <n v="30819.275737490399"/>
  </r>
  <r>
    <x v="2"/>
    <n v="0"/>
    <n v="0"/>
    <n v="0"/>
    <n v="0"/>
    <n v="0"/>
    <n v="11499.729752794925"/>
    <n v="0"/>
    <n v="0"/>
    <n v="0"/>
    <n v="11499.729752794925"/>
    <n v="0"/>
    <n v="0"/>
    <n v="22999.45950558985"/>
  </r>
  <r>
    <x v="3"/>
    <n v="0"/>
    <n v="0"/>
    <n v="0"/>
    <n v="0"/>
    <n v="0"/>
    <n v="5795.7571756993602"/>
    <n v="5795.7571756993602"/>
    <n v="11591.51435139872"/>
    <n v="5795.7571756993602"/>
    <n v="11591.51435139872"/>
    <n v="2318.3028702797442"/>
    <n v="9852.7871986889113"/>
    <n v="52741.390298864178"/>
  </r>
  <r>
    <x v="1"/>
    <n v="0"/>
    <n v="0"/>
    <n v="0"/>
    <n v="0"/>
    <n v="0"/>
    <n v="4057.0300229895515"/>
    <n v="4057.0300229895515"/>
    <n v="8114.0600459791031"/>
    <n v="0"/>
    <n v="8114.0600459791031"/>
    <n v="4057.0300229895515"/>
    <n v="8114.0600459791031"/>
    <n v="36513.270206905967"/>
  </r>
  <r>
    <x v="1"/>
    <n v="0"/>
    <n v="0"/>
    <n v="0"/>
    <n v="0"/>
    <n v="0"/>
    <n v="3013.7937313636671"/>
    <n v="3013.7937313636671"/>
    <n v="6027.5874627273342"/>
    <n v="3013.7937313636671"/>
    <n v="6027.5874627273342"/>
    <n v="3013.7937313636671"/>
    <n v="6027.5874627273342"/>
    <n v="30137.93731363667"/>
  </r>
  <r>
    <x v="1"/>
    <n v="0"/>
    <n v="0"/>
    <n v="0"/>
    <n v="0"/>
    <n v="0"/>
    <n v="6954.908610839233"/>
    <n v="6954.908610839233"/>
    <n v="13909.817221678466"/>
    <n v="6954.908610839233"/>
    <n v="13909.817221678466"/>
    <n v="3477.4543054196165"/>
    <n v="0"/>
    <n v="52161.814581294253"/>
  </r>
  <r>
    <x v="5"/>
    <n v="0"/>
    <n v="0"/>
    <n v="0"/>
    <n v="0"/>
    <n v="0"/>
    <n v="0"/>
    <n v="0"/>
    <n v="1341.0840019649581"/>
    <n v="0"/>
    <n v="0"/>
    <n v="1341.0840019649581"/>
    <n v="0"/>
    <n v="2682.1680039299163"/>
  </r>
  <r>
    <x v="4"/>
    <n v="0"/>
    <n v="0"/>
    <n v="0"/>
    <n v="3352.7100049123956"/>
    <n v="0"/>
    <n v="0"/>
    <n v="0"/>
    <n v="3352.7100049123956"/>
    <n v="0"/>
    <n v="0"/>
    <n v="0"/>
    <n v="0"/>
    <n v="6705.4200098247911"/>
  </r>
  <r>
    <x v="4"/>
    <n v="0"/>
    <n v="0"/>
    <n v="5029.0650073685929"/>
    <n v="0"/>
    <n v="0"/>
    <n v="0"/>
    <n v="5029.0650073685929"/>
    <n v="0"/>
    <n v="0"/>
    <n v="5029.0650073685929"/>
    <n v="0"/>
    <n v="0"/>
    <n v="15087.195022105778"/>
  </r>
  <r>
    <x v="1"/>
    <n v="0"/>
    <n v="0"/>
    <n v="0"/>
    <n v="0"/>
    <n v="0"/>
    <n v="2299.9459505589853"/>
    <n v="0"/>
    <n v="0"/>
    <n v="0"/>
    <n v="2299.9459505589853"/>
    <n v="0"/>
    <n v="0"/>
    <n v="4599.8919011179705"/>
  </r>
  <r>
    <x v="1"/>
    <n v="0"/>
    <n v="2235.1400032749302"/>
    <n v="0"/>
    <n v="0"/>
    <n v="0"/>
    <n v="2235.1400032749302"/>
    <n v="0"/>
    <n v="0"/>
    <n v="0"/>
    <n v="2235.1400032749302"/>
    <n v="0"/>
    <n v="0"/>
    <n v="6705.4200098247911"/>
  </r>
  <r>
    <x v="4"/>
    <n v="6705.420009824792"/>
    <n v="0"/>
    <n v="6705.420009824792"/>
    <n v="0"/>
    <n v="6705.420009824792"/>
    <n v="0"/>
    <n v="0"/>
    <n v="0"/>
    <n v="6705.420009824792"/>
    <n v="0"/>
    <n v="6705.420009824792"/>
    <n v="6705.420009824792"/>
    <n v="40232.52005894875"/>
  </r>
  <r>
    <x v="4"/>
    <n v="0"/>
    <n v="6705.420009824792"/>
    <n v="0"/>
    <n v="0"/>
    <n v="0"/>
    <n v="0"/>
    <n v="6705.420009824792"/>
    <n v="0"/>
    <n v="0"/>
    <n v="0"/>
    <n v="6705.420009824792"/>
    <n v="0"/>
    <n v="20116.260029474375"/>
  </r>
  <r>
    <x v="4"/>
    <n v="0"/>
    <n v="0"/>
    <n v="0"/>
    <n v="0"/>
    <n v="0"/>
    <n v="0"/>
    <n v="0"/>
    <n v="7264.2050106435236"/>
    <n v="0"/>
    <n v="6705.4200098247911"/>
    <n v="0"/>
    <n v="0"/>
    <n v="13969.625020468315"/>
  </r>
  <r>
    <x v="1"/>
    <n v="0"/>
    <n v="0"/>
    <n v="0"/>
    <n v="0"/>
    <n v="0"/>
    <n v="6705.4200098247911"/>
    <n v="0"/>
    <n v="0"/>
    <n v="0"/>
    <n v="0"/>
    <n v="6705.4200098247911"/>
    <n v="0"/>
    <n v="13410.840019649582"/>
  </r>
  <r>
    <x v="1"/>
    <n v="0"/>
    <n v="0"/>
    <n v="0"/>
    <n v="4693.7940068773541"/>
    <n v="0"/>
    <n v="0"/>
    <n v="4693.7940068773541"/>
    <n v="0"/>
    <n v="0"/>
    <n v="4693.7940068773541"/>
    <n v="0"/>
    <n v="0"/>
    <n v="14081.382020632063"/>
  </r>
  <r>
    <x v="1"/>
    <n v="0"/>
    <n v="0"/>
    <n v="3352.7100049123956"/>
    <n v="0"/>
    <n v="0"/>
    <n v="3352.7100049123956"/>
    <n v="0"/>
    <n v="0"/>
    <n v="3352.7100049123956"/>
    <n v="0"/>
    <n v="0"/>
    <n v="3352.7100049123956"/>
    <n v="13410.840019649582"/>
  </r>
  <r>
    <x v="1"/>
    <n v="0"/>
    <n v="0"/>
    <n v="0"/>
    <n v="0"/>
    <n v="3352.7100049123956"/>
    <n v="0"/>
    <n v="0"/>
    <n v="3352.7100049123956"/>
    <n v="0"/>
    <n v="0"/>
    <n v="0"/>
    <n v="0"/>
    <n v="6705.4200098247911"/>
  </r>
  <r>
    <x v="1"/>
    <n v="0"/>
    <n v="0"/>
    <n v="0"/>
    <n v="0"/>
    <n v="0"/>
    <n v="1117.5700016374651"/>
    <n v="0"/>
    <n v="0"/>
    <n v="0"/>
    <n v="1117.5700016374651"/>
    <n v="0"/>
    <n v="0"/>
    <n v="2235.1400032749302"/>
  </r>
  <r>
    <x v="2"/>
    <n v="0"/>
    <n v="0"/>
    <n v="0"/>
    <n v="2011.6260029474374"/>
    <n v="0"/>
    <n v="0"/>
    <n v="2011.6260029474374"/>
    <n v="0"/>
    <n v="0"/>
    <n v="0"/>
    <n v="2011.6260029474374"/>
    <n v="0"/>
    <n v="6034.8780088423118"/>
  </r>
  <r>
    <x v="2"/>
    <n v="0"/>
    <n v="0"/>
    <n v="0"/>
    <n v="0"/>
    <n v="2235.1400032749302"/>
    <n v="0"/>
    <n v="0"/>
    <n v="2235.1400032749302"/>
    <n v="0"/>
    <n v="0"/>
    <n v="2235.1400032749302"/>
    <n v="0"/>
    <n v="6705.4200098247911"/>
  </r>
  <r>
    <x v="2"/>
    <n v="0"/>
    <n v="0"/>
    <n v="0"/>
    <n v="0"/>
    <n v="2235.1400032749307"/>
    <n v="0"/>
    <n v="2235.1400032749307"/>
    <n v="0"/>
    <n v="2235.1400032749307"/>
    <n v="0"/>
    <n v="2235.1400032749307"/>
    <n v="2235.1400032749307"/>
    <n v="11175.700016374652"/>
  </r>
  <r>
    <x v="4"/>
    <n v="0"/>
    <n v="0"/>
    <n v="0"/>
    <n v="6705.4200098247911"/>
    <n v="0"/>
    <n v="10058.130014737186"/>
    <n v="0"/>
    <n v="0"/>
    <n v="0"/>
    <n v="0"/>
    <n v="0"/>
    <n v="10058.130014737186"/>
    <n v="26821.680039299164"/>
  </r>
  <r>
    <x v="4"/>
    <n v="0"/>
    <n v="0"/>
    <n v="0"/>
    <n v="0"/>
    <n v="0"/>
    <n v="0"/>
    <n v="4470.2800065498604"/>
    <n v="0"/>
    <n v="0"/>
    <n v="0"/>
    <n v="0"/>
    <n v="0"/>
    <n v="4470.2800065498604"/>
  </r>
  <r>
    <x v="1"/>
    <n v="5029.0650073685938"/>
    <n v="0"/>
    <n v="0"/>
    <n v="0"/>
    <n v="10058.130014737188"/>
    <n v="0"/>
    <n v="0"/>
    <n v="6705.4200098247911"/>
    <n v="0"/>
    <n v="0"/>
    <n v="0"/>
    <n v="10058.130014737188"/>
    <n v="31850.745046667762"/>
  </r>
  <r>
    <x v="2"/>
    <n v="0"/>
    <n v="0"/>
    <n v="0"/>
    <n v="7822.990011462256"/>
    <n v="0"/>
    <n v="0"/>
    <n v="0"/>
    <n v="0"/>
    <n v="0"/>
    <n v="7822.990011462256"/>
    <n v="0"/>
    <n v="0"/>
    <n v="15645.980022924512"/>
  </r>
  <r>
    <x v="1"/>
    <n v="0"/>
    <n v="0"/>
    <n v="7822.990011462256"/>
    <n v="0"/>
    <n v="7822.990011462256"/>
    <n v="0"/>
    <n v="0"/>
    <n v="0"/>
    <n v="0"/>
    <n v="0"/>
    <n v="0"/>
    <n v="0"/>
    <n v="15645.980022924512"/>
  </r>
  <r>
    <x v="2"/>
    <n v="0"/>
    <n v="6705.4200098247911"/>
    <n v="0"/>
    <n v="0"/>
    <n v="0"/>
    <n v="0"/>
    <n v="6705.4200098247911"/>
    <n v="0"/>
    <n v="0"/>
    <n v="0"/>
    <n v="13410.840019649582"/>
    <n v="0"/>
    <n v="26821.680039299164"/>
  </r>
  <r>
    <x v="2"/>
    <n v="0"/>
    <n v="0"/>
    <n v="0"/>
    <n v="0"/>
    <n v="4470.2800065498614"/>
    <n v="0"/>
    <n v="0"/>
    <n v="0"/>
    <n v="0"/>
    <n v="0"/>
    <n v="6705.4200098247911"/>
    <n v="0"/>
    <n v="11175.700016374652"/>
  </r>
  <r>
    <x v="3"/>
    <n v="0"/>
    <n v="0"/>
    <n v="0"/>
    <n v="0"/>
    <n v="0"/>
    <n v="0"/>
    <n v="0"/>
    <n v="5029.0650073685938"/>
    <n v="0"/>
    <n v="0"/>
    <n v="0"/>
    <n v="0"/>
    <n v="5029.0650073685938"/>
  </r>
  <r>
    <x v="4"/>
    <n v="3352.7100049123956"/>
    <n v="0"/>
    <n v="0"/>
    <n v="0"/>
    <n v="0"/>
    <n v="0"/>
    <n v="0"/>
    <n v="0"/>
    <n v="0"/>
    <n v="0"/>
    <n v="0"/>
    <n v="0"/>
    <n v="3352.7100049123956"/>
  </r>
  <r>
    <x v="1"/>
    <n v="0"/>
    <n v="0"/>
    <n v="0"/>
    <n v="5029.0650073685938"/>
    <n v="0"/>
    <n v="0"/>
    <n v="0"/>
    <n v="0"/>
    <n v="5029.0650073685938"/>
    <n v="0"/>
    <n v="0"/>
    <n v="0"/>
    <n v="10058.130014737188"/>
  </r>
  <r>
    <x v="1"/>
    <n v="0"/>
    <n v="5587.8500081873262"/>
    <n v="0"/>
    <n v="0"/>
    <n v="0"/>
    <n v="5587.8500081873262"/>
    <n v="0"/>
    <n v="0"/>
    <n v="0"/>
    <n v="0"/>
    <n v="0"/>
    <n v="0"/>
    <n v="11175.700016374652"/>
  </r>
  <r>
    <x v="4"/>
    <n v="3576.2240052398884"/>
    <n v="0"/>
    <n v="0"/>
    <n v="0"/>
    <n v="0"/>
    <n v="0"/>
    <n v="3576.2240052398884"/>
    <n v="0"/>
    <n v="0"/>
    <n v="0"/>
    <n v="0"/>
    <n v="3576.2240052398884"/>
    <n v="10728.672015719665"/>
  </r>
  <r>
    <x v="4"/>
    <n v="0"/>
    <n v="0"/>
    <n v="0"/>
    <n v="0"/>
    <n v="0"/>
    <n v="0"/>
    <n v="3576.2240052398888"/>
    <n v="0"/>
    <n v="0"/>
    <n v="0"/>
    <n v="0"/>
    <n v="3576.2240052398888"/>
    <n v="7152.4480104797776"/>
  </r>
  <r>
    <x v="2"/>
    <n v="0"/>
    <n v="0"/>
    <n v="0"/>
    <n v="0"/>
    <n v="0"/>
    <n v="0"/>
    <n v="0"/>
    <n v="3576.2240052398888"/>
    <n v="0"/>
    <n v="0"/>
    <n v="3576.2240052398888"/>
    <n v="0"/>
    <n v="7152.4480104797776"/>
  </r>
  <r>
    <x v="2"/>
    <n v="0"/>
    <n v="0"/>
    <n v="0"/>
    <n v="0"/>
    <n v="0"/>
    <n v="0"/>
    <n v="7599.4760111347632"/>
    <n v="0"/>
    <n v="0"/>
    <n v="0"/>
    <n v="0"/>
    <n v="0"/>
    <n v="7599.4760111347632"/>
  </r>
  <r>
    <x v="2"/>
    <n v="0"/>
    <n v="0"/>
    <n v="0"/>
    <n v="0"/>
    <n v="0"/>
    <n v="0"/>
    <n v="4470.2800065498604"/>
    <n v="0"/>
    <n v="0"/>
    <n v="0"/>
    <n v="4470.2800065498604"/>
    <n v="0"/>
    <n v="8940.5600130997209"/>
  </r>
  <r>
    <x v="4"/>
    <n v="0"/>
    <n v="0"/>
    <n v="0"/>
    <n v="0"/>
    <n v="0"/>
    <n v="0"/>
    <n v="0"/>
    <n v="0"/>
    <n v="0"/>
    <n v="5029.0650073685938"/>
    <n v="0"/>
    <n v="0"/>
    <n v="5029.0650073685938"/>
  </r>
  <r>
    <x v="4"/>
    <n v="0"/>
    <n v="0"/>
    <n v="0"/>
    <n v="0"/>
    <n v="0"/>
    <n v="0"/>
    <n v="0"/>
    <n v="0"/>
    <n v="0"/>
    <n v="5029.0650073685938"/>
    <n v="0"/>
    <n v="0"/>
    <n v="5029.0650073685938"/>
  </r>
  <r>
    <x v="4"/>
    <n v="0"/>
    <n v="0"/>
    <n v="0"/>
    <n v="0"/>
    <n v="0"/>
    <n v="0"/>
    <n v="0"/>
    <n v="0"/>
    <n v="3911.495005731128"/>
    <n v="0"/>
    <n v="0"/>
    <n v="0"/>
    <n v="3911.495005731128"/>
  </r>
  <r>
    <x v="4"/>
    <n v="0"/>
    <n v="0"/>
    <n v="0"/>
    <n v="0"/>
    <n v="0"/>
    <n v="0"/>
    <n v="0"/>
    <n v="0"/>
    <n v="3911.495005731128"/>
    <n v="0"/>
    <n v="0"/>
    <n v="0"/>
    <n v="3911.495005731128"/>
  </r>
  <r>
    <x v="2"/>
    <n v="1.1175700016374652"/>
    <n v="0"/>
    <n v="0"/>
    <n v="0"/>
    <n v="0"/>
    <n v="0"/>
    <n v="0"/>
    <n v="0"/>
    <n v="0"/>
    <n v="0"/>
    <n v="0"/>
    <n v="0"/>
    <n v="1.1175700016374652"/>
  </r>
  <r>
    <x v="2"/>
    <n v="0"/>
    <n v="0"/>
    <n v="2793.9250040936631"/>
    <n v="0"/>
    <n v="3352.7100049123956"/>
    <n v="0"/>
    <n v="0"/>
    <n v="0"/>
    <n v="5587.8500081873262"/>
    <n v="0"/>
    <n v="0"/>
    <n v="0"/>
    <n v="11734.485017193385"/>
  </r>
  <r>
    <x v="1"/>
    <n v="0"/>
    <n v="0"/>
    <n v="0"/>
    <n v="0"/>
    <n v="0"/>
    <n v="0"/>
    <n v="1452.8410021287048"/>
    <n v="0"/>
    <n v="0"/>
    <n v="0"/>
    <n v="1899.8690027836908"/>
    <n v="0"/>
    <n v="3352.7100049123956"/>
  </r>
  <r>
    <x v="2"/>
    <n v="1676.3550024561978"/>
    <n v="0"/>
    <n v="0"/>
    <n v="0"/>
    <n v="0"/>
    <n v="2011.6260029474374"/>
    <n v="0"/>
    <n v="0"/>
    <n v="0"/>
    <n v="2458.6540036024235"/>
    <n v="0"/>
    <n v="0"/>
    <n v="6146.6350090060587"/>
  </r>
  <r>
    <x v="2"/>
    <n v="0"/>
    <n v="0"/>
    <n v="3352.7100049123951"/>
    <n v="3352.7100049123951"/>
    <n v="3352.7100049123951"/>
    <n v="3352.7100049123951"/>
    <n v="3352.7100049123951"/>
    <n v="3352.7100049123951"/>
    <n v="3352.7100049123951"/>
    <n v="3352.7100049123951"/>
    <n v="3352.7100049123951"/>
    <n v="3352.7100049123951"/>
    <n v="33527.100049123954"/>
  </r>
  <r>
    <x v="6"/>
    <n v="0"/>
    <n v="0"/>
    <n v="4470.2800065498614"/>
    <n v="4470.2800065498614"/>
    <n v="4470.2800065498614"/>
    <n v="4470.2800065498614"/>
    <n v="4470.2800065498614"/>
    <n v="4470.2800065498614"/>
    <n v="4470.2800065498614"/>
    <n v="4470.2800065498614"/>
    <n v="4470.2800065498614"/>
    <n v="4470.2800065498614"/>
    <n v="44702.800065498603"/>
  </r>
  <r>
    <x v="2"/>
    <n v="0"/>
    <n v="0"/>
    <n v="0"/>
    <n v="7264.2050106435245"/>
    <n v="0"/>
    <n v="7264.2050106435245"/>
    <n v="0"/>
    <n v="7264.2050106435245"/>
    <n v="0"/>
    <n v="7264.2050106435245"/>
    <n v="0"/>
    <n v="7264.2050106435245"/>
    <n v="36321.025053217621"/>
  </r>
  <r>
    <x v="2"/>
    <n v="0"/>
    <n v="0"/>
    <n v="0"/>
    <n v="0"/>
    <n v="5174.8783887577165"/>
    <n v="0"/>
    <n v="5174.8783887577165"/>
    <n v="0"/>
    <n v="5174.8783887577165"/>
    <n v="0"/>
    <n v="5174.8783887577165"/>
    <n v="0"/>
    <n v="20699.513555030866"/>
  </r>
  <r>
    <x v="2"/>
    <n v="0"/>
    <n v="0"/>
    <n v="15068.968656818337"/>
    <n v="0"/>
    <n v="0"/>
    <n v="16344.035235472198"/>
    <n v="0"/>
    <n v="24574.010424965287"/>
    <n v="0"/>
    <n v="0"/>
    <n v="0"/>
    <n v="11591.514351398722"/>
    <n v="67578.528668654544"/>
  </r>
  <r>
    <x v="2"/>
    <n v="0"/>
    <n v="0"/>
    <n v="4962.0531364354856"/>
    <n v="0"/>
    <n v="0"/>
    <n v="4962.0531364354856"/>
    <n v="0"/>
    <n v="0"/>
    <n v="4962.0531364354856"/>
    <n v="0"/>
    <n v="0"/>
    <n v="0"/>
    <n v="14886.159409306456"/>
  </r>
  <r>
    <x v="2"/>
    <n v="0"/>
    <n v="0"/>
    <n v="0"/>
    <n v="0"/>
    <n v="0"/>
    <n v="0"/>
    <n v="0"/>
    <n v="6064.7316111989267"/>
    <n v="0"/>
    <n v="0"/>
    <n v="0"/>
    <n v="0"/>
    <n v="6064.7316111989267"/>
  </r>
  <r>
    <x v="2"/>
    <n v="0"/>
    <n v="0"/>
    <n v="0"/>
    <n v="5029.0650073685938"/>
    <n v="0"/>
    <n v="0"/>
    <n v="0"/>
    <n v="5029.0650073685938"/>
    <n v="0"/>
    <n v="0"/>
    <n v="10058.130014737188"/>
    <n v="0"/>
    <n v="20116.260029474375"/>
  </r>
  <r>
    <x v="2"/>
    <n v="1.1175700016374652"/>
    <n v="0"/>
    <n v="0"/>
    <n v="0"/>
    <n v="0"/>
    <n v="0"/>
    <n v="0"/>
    <n v="0"/>
    <n v="0"/>
    <n v="0"/>
    <n v="0"/>
    <n v="0"/>
    <n v="1.1175700016374652"/>
  </r>
  <r>
    <x v="2"/>
    <n v="0"/>
    <n v="0"/>
    <n v="0"/>
    <n v="0"/>
    <n v="0"/>
    <n v="0"/>
    <n v="9133.724521309452"/>
    <n v="0"/>
    <n v="0"/>
    <n v="0"/>
    <n v="0"/>
    <n v="9133.724521309452"/>
    <n v="18267.449042618904"/>
  </r>
  <r>
    <x v="1"/>
    <n v="0"/>
    <n v="0"/>
    <n v="0"/>
    <n v="0"/>
    <n v="0"/>
    <n v="0"/>
    <n v="0"/>
    <n v="0"/>
    <n v="0"/>
    <n v="4215.5651636812854"/>
    <n v="0"/>
    <n v="0"/>
    <n v="4215.5651636812854"/>
  </r>
  <r>
    <x v="2"/>
    <n v="0"/>
    <n v="0"/>
    <n v="0"/>
    <n v="4215.5651636812854"/>
    <n v="0"/>
    <n v="4215.5651636812854"/>
    <n v="0"/>
    <n v="4215.5651636812854"/>
    <n v="0"/>
    <n v="4215.5651636812854"/>
    <n v="4215.5651636812854"/>
    <n v="0"/>
    <n v="21077.825818406425"/>
  </r>
  <r>
    <x v="2"/>
    <n v="0"/>
    <n v="0"/>
    <n v="0"/>
    <n v="0"/>
    <n v="0"/>
    <n v="0"/>
    <n v="3911.495005731128"/>
    <n v="0"/>
    <n v="0"/>
    <n v="3911.495005731128"/>
    <n v="0"/>
    <n v="0"/>
    <n v="7822.990011462256"/>
  </r>
  <r>
    <x v="2"/>
    <n v="1.1175700016374652"/>
    <n v="0"/>
    <n v="0"/>
    <n v="0"/>
    <n v="0"/>
    <n v="0"/>
    <n v="0"/>
    <n v="0"/>
    <n v="0"/>
    <n v="0"/>
    <n v="0"/>
    <n v="0"/>
    <n v="1.1175700016374652"/>
  </r>
  <r>
    <x v="1"/>
    <n v="0"/>
    <n v="0"/>
    <n v="0"/>
    <n v="0"/>
    <n v="3352.7100049123956"/>
    <n v="0"/>
    <n v="3352.7100049123956"/>
    <n v="0"/>
    <n v="3352.7100049123956"/>
    <n v="0"/>
    <n v="3352.7100049123956"/>
    <n v="0"/>
    <n v="13410.840019649582"/>
  </r>
  <r>
    <x v="1"/>
    <n v="0"/>
    <n v="0"/>
    <n v="0"/>
    <n v="3352.7100049123951"/>
    <n v="0"/>
    <n v="3352.7100049123951"/>
    <n v="0"/>
    <n v="3352.7100049123951"/>
    <n v="0"/>
    <n v="3352.7100049123951"/>
    <n v="0"/>
    <n v="3352.7100049123951"/>
    <n v="16763.550024561977"/>
  </r>
  <r>
    <x v="1"/>
    <n v="0"/>
    <n v="0"/>
    <n v="0"/>
    <n v="0"/>
    <n v="0"/>
    <n v="22351.400032749305"/>
    <n v="0"/>
    <n v="0"/>
    <n v="22351.400032749305"/>
    <n v="0"/>
    <n v="0"/>
    <n v="22351.400032749305"/>
    <n v="67054.200098247908"/>
  </r>
  <r>
    <x v="0"/>
    <m/>
    <m/>
    <m/>
    <m/>
    <m/>
    <m/>
    <m/>
    <m/>
    <m/>
    <m/>
    <m/>
    <m/>
    <m/>
  </r>
  <r>
    <x v="2"/>
    <n v="12852.055018830848"/>
    <n v="12852.055018830848"/>
    <n v="12852.055018830848"/>
    <n v="14528.410021287047"/>
    <n v="14528.410021287047"/>
    <n v="14528.410021287047"/>
    <n v="15832.241689864088"/>
    <n v="15832.241689864088"/>
    <n v="15832.241689864088"/>
    <n v="14900.933355166204"/>
    <n v="14900.933355166204"/>
    <n v="14900.933355166204"/>
    <n v="174340.92025544451"/>
  </r>
  <r>
    <x v="2"/>
    <n v="6984.8125102341583"/>
    <n v="6984.8125102341583"/>
    <n v="6984.8125102341583"/>
    <n v="8381.7750122809903"/>
    <n v="8381.7750122809903"/>
    <n v="8381.7750122809903"/>
    <n v="10132.634681513018"/>
    <n v="10132.634681513018"/>
    <n v="10132.634681513018"/>
    <n v="9238.5786802030452"/>
    <n v="9238.5786802030452"/>
    <n v="9238.5786802030452"/>
    <n v="104213.40265269365"/>
  </r>
  <r>
    <x v="0"/>
    <m/>
    <m/>
    <m/>
    <m/>
    <m/>
    <m/>
    <m/>
    <m/>
    <m/>
    <m/>
    <m/>
    <m/>
    <m/>
  </r>
  <r>
    <x v="7"/>
    <n v="0"/>
    <n v="0"/>
    <n v="0"/>
    <n v="0"/>
    <n v="0"/>
    <n v="0"/>
    <n v="0"/>
    <n v="0"/>
    <n v="0"/>
    <n v="0"/>
    <n v="0"/>
    <n v="13837.184222045091"/>
    <n v="13837.184222045091"/>
  </r>
  <r>
    <x v="7"/>
    <n v="20751.79873204567"/>
    <n v="20751.79873204567"/>
    <n v="31127.698098068508"/>
    <n v="0"/>
    <n v="0"/>
    <n v="0"/>
    <n v="0"/>
    <n v="0"/>
    <n v="0"/>
    <n v="0"/>
    <n v="0"/>
    <n v="20751.79873204567"/>
    <n v="93383.094294205526"/>
  </r>
  <r>
    <x v="7"/>
    <n v="0"/>
    <n v="0"/>
    <n v="0"/>
    <n v="0"/>
    <n v="0"/>
    <n v="0"/>
    <n v="0"/>
    <n v="0"/>
    <n v="0"/>
    <n v="0"/>
    <n v="0"/>
    <n v="81716.36024477602"/>
    <n v="81716.36024477602"/>
  </r>
  <r>
    <x v="3"/>
    <n v="0"/>
    <n v="0"/>
    <n v="0"/>
    <n v="24400.629028996536"/>
    <n v="0"/>
    <n v="0"/>
    <n v="0"/>
    <n v="0"/>
    <n v="0"/>
    <n v="0"/>
    <n v="0"/>
    <n v="0"/>
    <n v="24400.629028996536"/>
  </r>
  <r>
    <x v="3"/>
    <n v="0"/>
    <n v="0"/>
    <n v="0"/>
    <n v="16601.438985636538"/>
    <n v="0"/>
    <n v="0"/>
    <n v="0"/>
    <n v="0"/>
    <n v="0"/>
    <n v="0"/>
    <n v="0"/>
    <n v="0"/>
    <n v="16601.438985636538"/>
  </r>
  <r>
    <x v="3"/>
    <n v="0"/>
    <n v="0"/>
    <n v="0"/>
    <n v="0"/>
    <n v="62997.893047055288"/>
    <n v="41998.59536470352"/>
    <n v="0"/>
    <n v="0"/>
    <n v="0"/>
    <n v="0"/>
    <n v="0"/>
    <n v="0"/>
    <n v="104996.48841175881"/>
  </r>
  <r>
    <x v="1"/>
    <n v="0"/>
    <n v="0"/>
    <n v="4124.0626616985746"/>
    <n v="0"/>
    <n v="0"/>
    <n v="0"/>
    <n v="6873.4377694976229"/>
    <n v="0"/>
    <n v="0"/>
    <n v="0"/>
    <n v="9622.812877296672"/>
    <n v="0"/>
    <n v="20620.31330849287"/>
  </r>
  <r>
    <x v="8"/>
    <n v="0"/>
    <n v="1717.8004184385634"/>
    <n v="0"/>
    <n v="0"/>
    <n v="1717.8004184385634"/>
    <n v="0"/>
    <n v="1717.8004184385634"/>
    <n v="0"/>
    <n v="0"/>
    <n v="0"/>
    <n v="1717.8004184385634"/>
    <n v="0"/>
    <n v="6871.2016737542535"/>
  </r>
  <r>
    <x v="3"/>
    <n v="0"/>
    <n v="2767.4368444090182"/>
    <n v="0"/>
    <n v="0"/>
    <n v="2767.4368444090182"/>
    <n v="0"/>
    <n v="0"/>
    <n v="2767.4368444090182"/>
    <n v="0"/>
    <n v="0"/>
    <n v="2767.4368444090182"/>
    <n v="0"/>
    <n v="11069.747377636073"/>
  </r>
  <r>
    <x v="8"/>
    <n v="0"/>
    <n v="0"/>
    <n v="0"/>
    <n v="0"/>
    <n v="0"/>
    <n v="0"/>
    <n v="59284.320513627499"/>
    <n v="79045.76068483667"/>
    <n v="79045.76068483667"/>
    <n v="71141.184616352999"/>
    <n v="59284.320513627499"/>
    <n v="59284.320513627499"/>
    <n v="407085.66752690886"/>
  </r>
  <r>
    <x v="8"/>
    <n v="0"/>
    <n v="0"/>
    <n v="0"/>
    <n v="0"/>
    <n v="4612.1194843042231"/>
    <n v="5765.1493553802784"/>
    <n v="4612.1194843042231"/>
    <n v="1153.0298710760558"/>
    <n v="1153.0298710760558"/>
    <n v="1153.0298710760558"/>
    <n v="1153.0298710760558"/>
    <n v="1153.0298710760558"/>
    <n v="20754.537679368997"/>
  </r>
  <r>
    <x v="7"/>
    <n v="1021.6470351976099"/>
    <n v="1021.6470351976099"/>
    <n v="1021.6470351976099"/>
    <n v="1021.6470351976099"/>
    <n v="1021.6470351976099"/>
    <n v="1021.6470351976099"/>
    <n v="1021.6470351976099"/>
    <n v="1021.6470351976099"/>
    <n v="1021.6470351976099"/>
    <n v="1021.6470351976099"/>
    <n v="1021.6470351976099"/>
    <n v="1021.6470351976099"/>
    <n v="12259.764422371316"/>
  </r>
  <r>
    <x v="7"/>
    <n v="1913.6769105580165"/>
    <n v="1913.6769105580165"/>
    <n v="1913.6769105580165"/>
    <n v="1913.6769105580165"/>
    <n v="1913.6769105580165"/>
    <n v="1913.6769105580165"/>
    <n v="1913.6769105580165"/>
    <n v="1913.6769105580165"/>
    <n v="1913.6769105580165"/>
    <n v="1913.6769105580165"/>
    <n v="1913.6769105580165"/>
    <n v="1913.6769105580165"/>
    <n v="22964.1229266962"/>
  </r>
  <r>
    <x v="7"/>
    <n v="3120.4059856864023"/>
    <n v="3120.4059856864023"/>
    <n v="3120.4059856864023"/>
    <n v="3120.4059856864023"/>
    <n v="3120.4059856864023"/>
    <n v="3120.4059856864023"/>
    <n v="3120.4059856864023"/>
    <n v="3120.4059856864023"/>
    <n v="3120.4059856864023"/>
    <n v="3120.4059856864023"/>
    <n v="3120.4059856864023"/>
    <n v="3120.4059856864023"/>
    <n v="37444.871828236835"/>
  </r>
  <r>
    <x v="3"/>
    <n v="439.27981837948454"/>
    <n v="439.27981837948454"/>
    <n v="439.27981837948454"/>
    <n v="439.27981837948454"/>
    <n v="439.27981837948454"/>
    <n v="439.27981837948454"/>
    <n v="439.27981837948454"/>
    <n v="439.27981837948454"/>
    <n v="439.27981837948454"/>
    <n v="439.27981837948454"/>
    <n v="439.27981837948454"/>
    <n v="439.27981837948454"/>
    <n v="5271.3578205538142"/>
  </r>
  <r>
    <x v="3"/>
    <n v="497.37194849949748"/>
    <n v="497.37194849949748"/>
    <n v="497.37194849949748"/>
    <n v="497.37194849949748"/>
    <n v="497.37194849949748"/>
    <n v="497.37194849949748"/>
    <n v="497.37194849949748"/>
    <n v="497.37194849949748"/>
    <n v="497.37194849949748"/>
    <n v="497.37194849949748"/>
    <n v="497.37194849949748"/>
    <n v="497.37194849949748"/>
    <n v="5968.4633819939691"/>
  </r>
  <r>
    <x v="3"/>
    <n v="539.71011191335731"/>
    <n v="539.71011191335731"/>
    <n v="539.71011191335731"/>
    <n v="539.71011191335731"/>
    <n v="539.71011191335731"/>
    <n v="539.71011191335731"/>
    <n v="539.71011191335731"/>
    <n v="539.71011191335731"/>
    <n v="539.71011191335731"/>
    <n v="539.71011191335731"/>
    <n v="539.71011191335731"/>
    <n v="539.71011191335731"/>
    <n v="6476.5213429602891"/>
  </r>
  <r>
    <x v="3"/>
    <n v="883.99932335718927"/>
    <n v="883.99932335718927"/>
    <n v="883.99932335718927"/>
    <n v="883.99932335718927"/>
    <n v="883.99932335718927"/>
    <n v="883.99932335718927"/>
    <n v="883.99932335718927"/>
    <n v="883.99932335718927"/>
    <n v="883.99932335718927"/>
    <n v="883.99932335718927"/>
    <n v="883.99932335718927"/>
    <n v="883.99932335718927"/>
    <n v="10607.991880286272"/>
  </r>
  <r>
    <x v="7"/>
    <n v="435.11749027391397"/>
    <n v="435.11749027391397"/>
    <n v="435.11749027391397"/>
    <n v="435.11749027391397"/>
    <n v="435.11749027391397"/>
    <n v="435.11749027391397"/>
    <n v="435.11749027391397"/>
    <n v="435.11749027391397"/>
    <n v="435.11749027391397"/>
    <n v="435.11749027391397"/>
    <n v="435.11749027391397"/>
    <n v="435.11749027391397"/>
    <n v="5221.4098832869677"/>
  </r>
  <r>
    <x v="7"/>
    <n v="438.83644318223816"/>
    <n v="438.83644318223816"/>
    <n v="438.83644318223816"/>
    <n v="438.83644318223816"/>
    <n v="438.83644318223816"/>
    <n v="438.83644318223816"/>
    <n v="438.83644318223816"/>
    <n v="438.83644318223816"/>
    <n v="438.83644318223816"/>
    <n v="438.83644318223816"/>
    <n v="438.83644318223816"/>
    <n v="438.83644318223816"/>
    <n v="5266.037318186859"/>
  </r>
  <r>
    <x v="7"/>
    <n v="883.22970921796457"/>
    <n v="883.22970921796457"/>
    <n v="883.22970921796457"/>
    <n v="883.22970921796457"/>
    <n v="883.22970921796457"/>
    <n v="883.22970921796457"/>
    <n v="883.22970921796457"/>
    <n v="883.22970921796457"/>
    <n v="883.22970921796457"/>
    <n v="883.22970921796457"/>
    <n v="883.22970921796457"/>
    <n v="883.22970921796457"/>
    <n v="10598.756510615574"/>
  </r>
  <r>
    <x v="7"/>
    <n v="435.11749027391397"/>
    <n v="435.11749027391397"/>
    <n v="435.11749027391397"/>
    <n v="435.11749027391397"/>
    <n v="435.11749027391397"/>
    <n v="435.11749027391397"/>
    <n v="435.11749027391397"/>
    <n v="435.11749027391397"/>
    <n v="435.11749027391397"/>
    <n v="435.11749027391397"/>
    <n v="435.11749027391397"/>
    <n v="435.11749027391397"/>
    <n v="5221.4098832869677"/>
  </r>
  <r>
    <x v="7"/>
    <n v="497.16373605080929"/>
    <n v="497.16373605080929"/>
    <n v="497.16373605080929"/>
    <n v="497.16373605080929"/>
    <n v="497.16373605080929"/>
    <n v="497.16373605080929"/>
    <n v="497.16373605080929"/>
    <n v="497.16373605080929"/>
    <n v="497.16373605080929"/>
    <n v="497.16373605080929"/>
    <n v="497.16373605080929"/>
    <n v="497.16373605080929"/>
    <n v="5965.9648326097113"/>
  </r>
  <r>
    <x v="7"/>
    <n v="583.09516914111919"/>
    <n v="583.09516914111919"/>
    <n v="583.09516914111919"/>
    <n v="583.09516914111919"/>
    <n v="583.09516914111919"/>
    <n v="583.09516914111919"/>
    <n v="583.09516914111919"/>
    <n v="583.09516914111919"/>
    <n v="583.09516914111919"/>
    <n v="583.09516914111919"/>
    <n v="583.09516914111919"/>
    <n v="583.09516914111919"/>
    <n v="6997.1420296934302"/>
  </r>
  <r>
    <x v="7"/>
    <n v="803.29382819799491"/>
    <n v="803.29382819799491"/>
    <n v="803.29382819799491"/>
    <n v="803.29382819799491"/>
    <n v="803.29382819799491"/>
    <n v="803.29382819799491"/>
    <n v="803.29382819799491"/>
    <n v="803.29382819799491"/>
    <n v="803.29382819799491"/>
    <n v="803.29382819799491"/>
    <n v="803.29382819799491"/>
    <n v="803.29382819799491"/>
    <n v="9639.5259383759385"/>
  </r>
  <r>
    <x v="3"/>
    <n v="436.58091057392841"/>
    <n v="436.58091057392841"/>
    <n v="436.58091057392841"/>
    <n v="436.58091057392841"/>
    <n v="436.58091057392841"/>
    <n v="436.58091057392841"/>
    <n v="436.58091057392841"/>
    <n v="436.58091057392841"/>
    <n v="436.58091057392841"/>
    <n v="436.58091057392841"/>
    <n v="436.58091057392841"/>
    <n v="436.58091057392841"/>
    <n v="5238.9709268871411"/>
  </r>
  <r>
    <x v="3"/>
    <n v="440.31237134806474"/>
    <n v="440.31237134806474"/>
    <n v="440.31237134806474"/>
    <n v="440.31237134806474"/>
    <n v="440.31237134806474"/>
    <n v="440.31237134806474"/>
    <n v="440.31237134806474"/>
    <n v="440.31237134806474"/>
    <n v="440.31237134806474"/>
    <n v="440.31237134806474"/>
    <n v="440.31237134806474"/>
    <n v="440.31237134806474"/>
    <n v="5283.7484561767751"/>
  </r>
  <r>
    <x v="4"/>
    <n v="400.59370315243751"/>
    <n v="400.59370315243751"/>
    <n v="400.59370315243751"/>
    <n v="400.59370315243751"/>
    <n v="400.59370315243751"/>
    <n v="400.59370315243751"/>
    <n v="400.59370315243751"/>
    <n v="400.59370315243751"/>
    <n v="400.59370315243751"/>
    <n v="400.59370315243751"/>
    <n v="400.59370315243751"/>
    <n v="400.59370315243751"/>
    <n v="4807.1244378292504"/>
  </r>
  <r>
    <x v="4"/>
    <n v="894.70836273935947"/>
    <n v="894.70836273935947"/>
    <n v="894.70836273935947"/>
    <n v="894.70836273935947"/>
    <n v="894.70836273935947"/>
    <n v="894.70836273935947"/>
    <n v="894.70836273935947"/>
    <n v="894.70836273935947"/>
    <n v="894.70836273935947"/>
    <n v="894.70836273935947"/>
    <n v="894.70836273935947"/>
    <n v="894.70836273935947"/>
    <n v="10736.500352872314"/>
  </r>
  <r>
    <x v="4"/>
    <n v="883.66258048331815"/>
    <n v="883.66258048331815"/>
    <n v="883.66258048331815"/>
    <n v="883.66258048331815"/>
    <n v="883.66258048331815"/>
    <n v="883.66258048331815"/>
    <n v="883.66258048331815"/>
    <n v="883.66258048331815"/>
    <n v="883.66258048331815"/>
    <n v="883.66258048331815"/>
    <n v="883.66258048331815"/>
    <n v="883.66258048331815"/>
    <n v="10603.950965799819"/>
  </r>
  <r>
    <x v="7"/>
    <n v="820.92207293666013"/>
    <n v="820.92207293666013"/>
    <n v="820.92207293666013"/>
    <n v="820.92207293666013"/>
    <n v="820.92207293666013"/>
    <n v="820.92207293666013"/>
    <n v="820.92207293666013"/>
    <n v="820.92207293666013"/>
    <n v="820.92207293666013"/>
    <n v="820.92207293666013"/>
    <n v="820.92207293666013"/>
    <n v="820.92207293666013"/>
    <n v="9851.0648752399211"/>
  </r>
  <r>
    <x v="7"/>
    <n v="1554.7024952015356"/>
    <n v="1554.7024952015356"/>
    <n v="1554.7024952015356"/>
    <n v="1554.7024952015356"/>
    <n v="1554.7024952015356"/>
    <n v="1554.7024952015356"/>
    <n v="1554.7024952015356"/>
    <n v="1554.7024952015356"/>
    <n v="1554.7024952015356"/>
    <n v="1554.7024952015356"/>
    <n v="1554.7024952015356"/>
    <n v="1554.7024952015356"/>
    <n v="18656.429942418428"/>
  </r>
  <r>
    <x v="7"/>
    <n v="2986.7562380038385"/>
    <n v="2986.7562380038385"/>
    <n v="2986.7562380038385"/>
    <n v="2986.7562380038385"/>
    <n v="2986.7562380038385"/>
    <n v="2986.7562380038385"/>
    <n v="2986.7562380038385"/>
    <n v="2986.7562380038385"/>
    <n v="2986.7562380038385"/>
    <n v="2986.7562380038385"/>
    <n v="2986.7562380038385"/>
    <n v="2986.7562380038385"/>
    <n v="35841.074856046063"/>
  </r>
  <r>
    <x v="7"/>
    <n v="4055.3158378722505"/>
    <n v="4055.3158378722505"/>
    <n v="4055.3158378722505"/>
    <n v="4055.3158378722505"/>
    <n v="4055.3158378722505"/>
    <n v="4055.3158378722505"/>
    <n v="4055.3158378722505"/>
    <n v="4055.3158378722505"/>
    <n v="4055.3158378722505"/>
    <n v="4055.3158378722505"/>
    <n v="4055.3158378722505"/>
    <n v="4055.3158378722505"/>
    <n v="48663.790054467005"/>
  </r>
  <r>
    <x v="7"/>
    <n v="6449.1362763915558"/>
    <n v="6449.1362763915558"/>
    <n v="6449.1362763915558"/>
    <n v="6449.1362763915558"/>
    <n v="6449.1362763915558"/>
    <n v="6449.1362763915558"/>
    <n v="6449.1362763915558"/>
    <n v="6449.1362763915558"/>
    <n v="6449.1362763915558"/>
    <n v="6449.1362763915558"/>
    <n v="6449.1362763915558"/>
    <n v="6449.1362763915558"/>
    <n v="77389.635316698652"/>
  </r>
  <r>
    <x v="7"/>
    <n v="875.2399232245682"/>
    <n v="875.2399232245682"/>
    <n v="875.2399232245682"/>
    <n v="875.2399232245682"/>
    <n v="875.2399232245682"/>
    <n v="875.2399232245682"/>
    <n v="875.2399232245682"/>
    <n v="875.2399232245682"/>
    <n v="875.2399232245682"/>
    <n v="875.2399232245682"/>
    <n v="875.2399232245682"/>
    <n v="875.2399232245682"/>
    <n v="10502.879078694818"/>
  </r>
  <r>
    <x v="7"/>
    <n v="230.53808329302936"/>
    <n v="230.53808329302936"/>
    <n v="230.53808329302936"/>
    <n v="230.53808329302936"/>
    <n v="230.53808329302936"/>
    <n v="230.53808329302936"/>
    <n v="230.53808329302936"/>
    <n v="230.53808329302936"/>
    <n v="230.53808329302936"/>
    <n v="230.53808329302936"/>
    <n v="230.53808329302936"/>
    <n v="230.53808329302936"/>
    <n v="2766.4569995163529"/>
  </r>
  <r>
    <x v="7"/>
    <n v="17320.137038446901"/>
    <n v="17320.137038446901"/>
    <n v="17320.137038446901"/>
    <n v="17320.137038446901"/>
    <n v="17320.137038446901"/>
    <n v="17320.137038446901"/>
    <n v="17320.137038446901"/>
    <n v="17320.137038446901"/>
    <n v="17320.137038446901"/>
    <n v="17320.137038446901"/>
    <n v="17320.137038446901"/>
    <n v="17320.137038446901"/>
    <n v="207841.64446136283"/>
  </r>
  <r>
    <x v="1"/>
    <n v="229.2317804965968"/>
    <n v="229.2317804965968"/>
    <n v="152.82118699773122"/>
    <n v="122.25694959818497"/>
    <n v="0"/>
    <n v="229.2317804965968"/>
    <n v="305.64237399546244"/>
    <n v="0"/>
    <n v="122.25694959818497"/>
    <n v="152.82118699773122"/>
    <n v="0"/>
    <n v="0"/>
    <n v="1543.4939886770853"/>
  </r>
  <r>
    <x v="1"/>
    <n v="2084.086444007859"/>
    <n v="1302.5540275049118"/>
    <n v="1823.5756385068767"/>
    <n v="0"/>
    <n v="1302.5540275049118"/>
    <n v="1823.5756385068767"/>
    <n v="1823.5756385068767"/>
    <n v="1823.5756385068767"/>
    <n v="1563.0648330058941"/>
    <n v="1432.8094302554032"/>
    <n v="911.78781925343833"/>
    <n v="1172.2986247544206"/>
    <n v="17063.457760314344"/>
  </r>
  <r>
    <x v="1"/>
    <n v="286.30006973976054"/>
    <n v="0"/>
    <n v="137.42403347508508"/>
    <n v="0"/>
    <n v="286.30006973976054"/>
    <n v="91.616022316723388"/>
    <n v="0"/>
    <n v="137.42403347508508"/>
    <n v="57.26001394795211"/>
    <n v="114.52002789590422"/>
    <n v="0"/>
    <n v="57.26001394795211"/>
    <n v="1168.1042845382231"/>
  </r>
  <r>
    <x v="1"/>
    <n v="3199.8301305871119"/>
    <n v="3733.1351523516305"/>
    <n v="3733.1351523516305"/>
    <n v="0"/>
    <n v="2933.1776197048525"/>
    <n v="3733.1351523516305"/>
    <n v="2666.5251088225932"/>
    <n v="3199.8301305871119"/>
    <n v="2133.2200870580746"/>
    <n v="1599.9150652935559"/>
    <n v="1599.9150652935559"/>
    <n v="1333.2625544112966"/>
    <n v="29865.081218813048"/>
  </r>
  <r>
    <x v="1"/>
    <n v="1375.3855350298099"/>
    <n v="687.12016737542547"/>
    <n v="1099.3922678006807"/>
    <n v="687.12016737542547"/>
    <n v="687.12016737542547"/>
    <n v="0"/>
    <n v="1099.3922678006807"/>
    <n v="824.54420085051049"/>
    <n v="1649.088401701021"/>
    <n v="1374.2403347508509"/>
    <n v="1374.2403347508509"/>
    <n v="1374.2403347508509"/>
    <n v="12231.884179561534"/>
  </r>
  <r>
    <x v="1"/>
    <n v="589.4504245714827"/>
    <n v="589.4504245714827"/>
    <n v="707.34050948577931"/>
    <n v="0"/>
    <n v="589.4504245714827"/>
    <n v="0"/>
    <n v="943.12067931437241"/>
    <n v="707.34050948577931"/>
    <n v="589.4504245714827"/>
    <n v="1178.9008491429654"/>
    <n v="707.34050948577931"/>
    <n v="589.4504245714827"/>
    <n v="7191.295179772088"/>
  </r>
  <r>
    <x v="1"/>
    <n v="261.97796647621459"/>
    <n v="261.97796647621459"/>
    <n v="261.97796647621459"/>
    <n v="392.96694971432191"/>
    <n v="392.96694971432191"/>
    <n v="0"/>
    <n v="523.95593295242918"/>
    <n v="523.95593295242918"/>
    <n v="314.37355977145756"/>
    <n v="314.37355977145756"/>
    <n v="261.97796647621459"/>
    <n v="261.97796647621459"/>
    <n v="3772.4827172574901"/>
  </r>
  <r>
    <x v="8"/>
    <n v="913.72629002651445"/>
    <n v="0"/>
    <n v="0"/>
    <n v="0"/>
    <n v="0"/>
    <n v="0"/>
    <n v="0"/>
    <n v="0"/>
    <n v="0"/>
    <n v="0"/>
    <n v="0"/>
    <n v="0"/>
    <n v="913.72629002651445"/>
  </r>
  <r>
    <x v="3"/>
    <n v="691.72662440152237"/>
    <n v="0"/>
    <n v="0"/>
    <n v="0"/>
    <n v="0"/>
    <n v="0"/>
    <n v="0"/>
    <n v="0"/>
    <n v="0"/>
    <n v="0"/>
    <n v="691.72662440152237"/>
    <n v="553.3812995212179"/>
    <n v="1936.8345483242626"/>
  </r>
  <r>
    <x v="3"/>
    <n v="1314.9365310320607"/>
    <n v="0"/>
    <n v="0"/>
    <n v="0"/>
    <n v="0"/>
    <n v="0"/>
    <n v="0"/>
    <n v="0"/>
    <n v="0"/>
    <n v="0"/>
    <n v="1314.9365310320607"/>
    <n v="1051.9492248256486"/>
    <n v="3681.8222868897701"/>
  </r>
  <r>
    <x v="8"/>
    <n v="3299.7137282054514"/>
    <n v="2199.8091521369679"/>
    <n v="1759.8473217095743"/>
    <n v="0"/>
    <n v="2199.8091521369679"/>
    <n v="0"/>
    <n v="2199.8091521369679"/>
    <n v="1759.8473217095743"/>
    <n v="0"/>
    <n v="0"/>
    <n v="0"/>
    <n v="0"/>
    <n v="13418.835828035504"/>
  </r>
  <r>
    <x v="8"/>
    <n v="1718.3861018442753"/>
    <n v="1145.5907345628502"/>
    <n v="916.47258765028016"/>
    <n v="0"/>
    <n v="1145.5907345628502"/>
    <n v="0"/>
    <n v="1145.5907345628502"/>
    <n v="916.47258765028016"/>
    <n v="0"/>
    <n v="0"/>
    <n v="0"/>
    <n v="0"/>
    <n v="6988.1034808333861"/>
  </r>
  <r>
    <x v="7"/>
    <n v="498.37728194726174"/>
    <n v="498.37728194726174"/>
    <n v="498.37728194726174"/>
    <n v="498.37728194726174"/>
    <n v="498.37728194726174"/>
    <n v="498.37728194726174"/>
    <n v="498.37728194726174"/>
    <n v="498.37728194726174"/>
    <n v="498.37728194726174"/>
    <n v="498.37728194726174"/>
    <n v="498.37728194726174"/>
    <n v="498.37728194726174"/>
    <n v="5980.527383367139"/>
  </r>
  <r>
    <x v="7"/>
    <n v="1061.3590263691683"/>
    <n v="1061.3590263691683"/>
    <n v="1061.3590263691683"/>
    <n v="1061.3590263691683"/>
    <n v="1061.3590263691683"/>
    <n v="1061.3590263691683"/>
    <n v="1061.3590263691683"/>
    <n v="1061.3590263691683"/>
    <n v="1061.3590263691683"/>
    <n v="1061.3590263691683"/>
    <n v="1061.3590263691683"/>
    <n v="1061.3590263691683"/>
    <n v="12736.308316430017"/>
  </r>
  <r>
    <x v="7"/>
    <n v="1338.2352941176471"/>
    <n v="1338.2352941176471"/>
    <n v="1338.2352941176471"/>
    <n v="1338.2352941176471"/>
    <n v="1338.2352941176471"/>
    <n v="1338.2352941176471"/>
    <n v="1338.2352941176471"/>
    <n v="1338.2352941176471"/>
    <n v="1338.2352941176471"/>
    <n v="1338.2352941176471"/>
    <n v="1338.2352941176471"/>
    <n v="1338.2352941176471"/>
    <n v="16058.823529411764"/>
  </r>
  <r>
    <x v="7"/>
    <n v="449.00471734591298"/>
    <n v="449.00471734591298"/>
    <n v="449.00471734591298"/>
    <n v="449.00471734591298"/>
    <n v="449.00471734591298"/>
    <n v="449.00471734591298"/>
    <n v="449.00471734591298"/>
    <n v="449.00471734591298"/>
    <n v="617.38148635063033"/>
    <n v="617.38148635063033"/>
    <n v="617.38148635063033"/>
    <n v="617.38148635063033"/>
    <n v="6061.5636841698251"/>
  </r>
  <r>
    <x v="7"/>
    <n v="526.76807454298182"/>
    <n v="526.76807454298182"/>
    <n v="526.76807454298182"/>
    <n v="526.76807454298182"/>
    <n v="526.76807454298182"/>
    <n v="526.76807454298182"/>
    <n v="526.76807454298182"/>
    <n v="526.76807454298182"/>
    <n v="877.94679090496982"/>
    <n v="877.94679090496982"/>
    <n v="877.94679090496982"/>
    <n v="877.94679090496982"/>
    <n v="7725.9317599637334"/>
  </r>
  <r>
    <x v="7"/>
    <n v="673.18208631602454"/>
    <n v="673.18208631602454"/>
    <n v="673.18208631602454"/>
    <n v="673.18208631602454"/>
    <n v="673.18208631602454"/>
    <n v="673.18208631602454"/>
    <n v="673.18208631602454"/>
    <n v="673.18208631602454"/>
    <n v="1077.0913381056391"/>
    <n v="1077.0913381056391"/>
    <n v="1077.0913381056391"/>
    <n v="1077.0913381056391"/>
    <n v="9693.8220429507528"/>
  </r>
  <r>
    <x v="7"/>
    <n v="263.03501897751613"/>
    <n v="0"/>
    <n v="0"/>
    <n v="0"/>
    <n v="0"/>
    <n v="0"/>
    <n v="657.5875474437903"/>
    <n v="263.03501897751613"/>
    <n v="394.55252846627423"/>
    <n v="263.03501897751613"/>
    <n v="394.55252846627423"/>
    <n v="394.55252846627423"/>
    <n v="2630.3501897751612"/>
  </r>
  <r>
    <x v="8"/>
    <n v="5499.5228803424197"/>
    <n v="3299.7137282054518"/>
    <n v="2199.8091521369679"/>
    <n v="4399.6183042739358"/>
    <n v="0"/>
    <n v="0"/>
    <n v="2199.8091521369679"/>
    <n v="3299.7137282054518"/>
    <n v="2199.8091521369679"/>
    <n v="0"/>
    <n v="0"/>
    <n v="0"/>
    <n v="23097.996097438165"/>
  </r>
  <r>
    <x v="8"/>
    <n v="274.94177629508403"/>
    <n v="412.41266444262612"/>
    <n v="274.94177629508403"/>
    <n v="549.88355259016805"/>
    <n v="0"/>
    <n v="0"/>
    <n v="274.94177629508403"/>
    <n v="412.41266444262612"/>
    <n v="274.94177629508403"/>
    <n v="0"/>
    <n v="0"/>
    <n v="0"/>
    <n v="2474.4759866557565"/>
  </r>
  <r>
    <x v="7"/>
    <n v="276.72523609182906"/>
    <n v="276.72523609182906"/>
    <n v="276.72523609182906"/>
    <n v="0"/>
    <n v="345.9065451147863"/>
    <n v="345.9065451147863"/>
    <n v="345.9065451147863"/>
    <n v="276.72523609182906"/>
    <n v="0"/>
    <n v="553.45047218365812"/>
    <n v="553.45047218365812"/>
    <n v="276.72523609182906"/>
    <n v="3528.2467601708204"/>
  </r>
  <r>
    <x v="7"/>
    <n v="394.48678066949606"/>
    <n v="394.48678066949606"/>
    <n v="262.99118711299741"/>
    <n v="0"/>
    <n v="262.99118711299741"/>
    <n v="394.48678066949606"/>
    <n v="262.99118711299741"/>
    <n v="262.99118711299741"/>
    <n v="0"/>
    <n v="788.97356133899211"/>
    <n v="788.97356133899211"/>
    <n v="262.99118711299741"/>
    <n v="4076.36340025146"/>
  </r>
  <r>
    <x v="7"/>
    <n v="348.65647037771106"/>
    <n v="348.65647037771106"/>
    <n v="435.82058797213875"/>
    <n v="0"/>
    <n v="435.82058797213875"/>
    <n v="435.82058797213875"/>
    <n v="435.82058797213875"/>
    <n v="653.73088195820822"/>
    <n v="0"/>
    <n v="348.65647037771106"/>
    <n v="348.65647037771106"/>
    <n v="348.65647037771106"/>
    <n v="4140.295585735319"/>
  </r>
  <r>
    <x v="7"/>
    <n v="1227.584182771235"/>
    <n v="1227.584182771235"/>
    <n v="920.68813707842639"/>
    <n v="1227.584182771235"/>
    <n v="1227.584182771235"/>
    <n v="1227.584182771235"/>
    <n v="1227.584182771235"/>
    <n v="1227.584182771235"/>
    <n v="1227.584182771235"/>
    <n v="1227.584182771235"/>
    <n v="1227.584182771235"/>
    <n v="1227.584182771235"/>
    <n v="14424.114147562013"/>
  </r>
  <r>
    <x v="7"/>
    <n v="1900.1919385796546"/>
    <n v="1900.1919385796546"/>
    <n v="1900.1919385796546"/>
    <n v="1900.1919385796546"/>
    <n v="1900.1919385796546"/>
    <n v="1900.1919385796546"/>
    <n v="1900.1919385796546"/>
    <n v="1900.1919385796546"/>
    <n v="1900.1919385796546"/>
    <n v="1900.1919385796546"/>
    <n v="1900.1919385796546"/>
    <n v="1900.1919385796546"/>
    <n v="22802.303262955847"/>
  </r>
  <r>
    <x v="7"/>
    <n v="515.93090211132449"/>
    <n v="515.93090211132449"/>
    <n v="257.96545105566224"/>
    <n v="515.93090211132449"/>
    <n v="515.93090211132449"/>
    <n v="515.93090211132449"/>
    <n v="515.93090211132449"/>
    <n v="515.93090211132449"/>
    <n v="515.93090211132449"/>
    <n v="515.93090211132449"/>
    <n v="515.93090211132449"/>
    <n v="515.93090211132449"/>
    <n v="5933.2053742802309"/>
  </r>
  <r>
    <x v="7"/>
    <n v="3359.0282889893788"/>
    <n v="3359.0282889893788"/>
    <n v="3359.0282889893788"/>
    <n v="3359.0282889893788"/>
    <n v="3359.0282889893788"/>
    <n v="3359.0282889893788"/>
    <n v="3359.0282889893788"/>
    <n v="3359.0282889893788"/>
    <n v="3359.0282889893788"/>
    <n v="3359.0282889893788"/>
    <n v="3359.0282889893788"/>
    <n v="3359.0282889893788"/>
    <n v="40308.339467872545"/>
  </r>
  <r>
    <x v="7"/>
    <n v="663.33973128598836"/>
    <n v="663.33973128598836"/>
    <n v="663.33973128598836"/>
    <n v="663.33973128598836"/>
    <n v="663.33973128598836"/>
    <n v="663.33973128598836"/>
    <n v="663.33973128598836"/>
    <n v="663.33973128598836"/>
    <n v="663.33973128598836"/>
    <n v="663.33973128598836"/>
    <n v="663.33973128598836"/>
    <n v="663.33973128598836"/>
    <n v="7960.0767754318622"/>
  </r>
  <r>
    <x v="7"/>
    <n v="1711.75881187237"/>
    <n v="1711.75881187237"/>
    <n v="855.87940593618498"/>
    <n v="1711.75881187237"/>
    <n v="1711.75881187237"/>
    <n v="1711.75881187237"/>
    <n v="1711.75881187237"/>
    <n v="1711.75881187237"/>
    <n v="1711.75881187237"/>
    <n v="1711.75881187237"/>
    <n v="1711.75881187237"/>
    <n v="1711.75881187237"/>
    <n v="19685.226336532254"/>
  </r>
  <r>
    <x v="3"/>
    <n v="276.39155470249523"/>
    <n v="276.39155470249523"/>
    <n v="276.39155470249523"/>
    <n v="276.39155470249523"/>
    <n v="276.39155470249523"/>
    <n v="276.39155470249523"/>
    <n v="276.39155470249523"/>
    <n v="276.39155470249523"/>
    <n v="276.39155470249523"/>
    <n v="276.39155470249523"/>
    <n v="276.39155470249523"/>
    <n v="276.39155470249523"/>
    <n v="3316.6986564299436"/>
  </r>
  <r>
    <x v="3"/>
    <n v="965.17839734841095"/>
    <n v="965.17839734841095"/>
    <n v="723.88379801130827"/>
    <n v="965.17839734841095"/>
    <n v="965.17839734841095"/>
    <n v="965.17839734841095"/>
    <n v="965.17839734841095"/>
    <n v="965.17839734841095"/>
    <n v="965.17839734841095"/>
    <n v="965.17839734841095"/>
    <n v="965.17839734841095"/>
    <n v="965.17839734841095"/>
    <n v="11340.846168843827"/>
  </r>
  <r>
    <x v="3"/>
    <n v="947.52776402348434"/>
    <n v="947.52776402348434"/>
    <n v="947.52776402348434"/>
    <n v="947.52776402348434"/>
    <n v="947.52776402348434"/>
    <n v="947.52776402348434"/>
    <n v="947.52776402348434"/>
    <n v="947.52776402348434"/>
    <n v="947.52776402348434"/>
    <n v="947.52776402348434"/>
    <n v="947.52776402348434"/>
    <n v="947.52776402348434"/>
    <n v="11370.33316828181"/>
  </r>
  <r>
    <x v="3"/>
    <n v="2003.8387715930903"/>
    <n v="2003.8387715930903"/>
    <n v="2003.8387715930903"/>
    <n v="2003.8387715930903"/>
    <n v="2003.8387715930903"/>
    <n v="2003.8387715930903"/>
    <n v="2003.8387715930903"/>
    <n v="2003.8387715930903"/>
    <n v="2003.8387715930903"/>
    <n v="2003.8387715930903"/>
    <n v="2003.8387715930903"/>
    <n v="2003.8387715930903"/>
    <n v="24046.065259117091"/>
  </r>
  <r>
    <x v="1"/>
    <n v="0"/>
    <n v="0"/>
    <n v="0"/>
    <n v="0"/>
    <n v="3425.0466117200167"/>
    <n v="3425.0466117200167"/>
    <n v="3425.0466117200167"/>
    <n v="3425.0466117200167"/>
    <n v="3425.0466117200167"/>
    <n v="3425.0466117200167"/>
    <n v="3425.0466117200167"/>
    <n v="3425.0466117200167"/>
    <n v="27400.37289376013"/>
  </r>
  <r>
    <x v="3"/>
    <n v="58503.700892009889"/>
    <n v="58503.700892009889"/>
    <n v="29251.850446004944"/>
    <n v="58503.700892009889"/>
    <n v="58503.700892009889"/>
    <n v="58503.700892009889"/>
    <n v="29251.850446004944"/>
    <n v="29251.850446004944"/>
    <n v="29251.850446004944"/>
    <n v="29251.850446004944"/>
    <n v="29251.850446004944"/>
    <n v="87755.551338014819"/>
    <n v="555785.15847409389"/>
  </r>
  <r>
    <x v="3"/>
    <n v="5074.8210800260249"/>
    <n v="5074.8210800260249"/>
    <n v="5074.8210800260249"/>
    <n v="5074.8210800260249"/>
    <n v="5074.8210800260249"/>
    <n v="6343.5263500325309"/>
    <n v="6343.5263500325309"/>
    <n v="6343.5263500325309"/>
    <n v="6343.5263500325309"/>
    <n v="6343.5263500325309"/>
    <n v="6343.5263500325309"/>
    <n v="6343.5263500325309"/>
    <n v="69778.789850357833"/>
  </r>
  <r>
    <x v="7"/>
    <n v="0"/>
    <n v="0"/>
    <n v="0"/>
    <n v="0"/>
    <n v="0"/>
    <n v="0"/>
    <n v="0"/>
    <n v="0"/>
    <n v="0"/>
    <n v="3464.0274076893802"/>
    <n v="3464.0274076893802"/>
    <n v="3464.0274076893802"/>
    <n v="10392.082223068141"/>
  </r>
  <r>
    <x v="7"/>
    <n v="1154.6758025631266"/>
    <n v="1154.6758025631266"/>
    <n v="1154.6758025631266"/>
    <n v="1154.6758025631266"/>
    <n v="1154.6758025631266"/>
    <n v="1154.6758025631266"/>
    <n v="1154.6758025631266"/>
    <n v="1154.6758025631266"/>
    <n v="1154.6758025631266"/>
    <n v="1154.6758025631266"/>
    <n v="1154.6758025631266"/>
    <n v="1154.6758025631266"/>
    <n v="13856.109630757515"/>
  </r>
  <r>
    <x v="0"/>
    <m/>
    <m/>
    <m/>
    <m/>
    <m/>
    <m/>
    <m/>
    <m/>
    <m/>
    <m/>
    <m/>
    <m/>
    <m/>
  </r>
  <r>
    <x v="9"/>
    <n v="5542.4438523030085"/>
    <n v="5542.4438523030085"/>
    <n v="5544.9379520365446"/>
    <n v="5542.4438523030085"/>
    <n v="5542.4438523030085"/>
    <n v="5542.4438523030085"/>
    <n v="5542.4438523030085"/>
    <n v="5542.4438523030085"/>
    <n v="5542.4438523030085"/>
    <n v="5542.4438523030085"/>
    <n v="5542.4438523030085"/>
    <n v="5542.4438523030085"/>
    <n v="66511.820327369656"/>
  </r>
  <r>
    <x v="9"/>
    <n v="3879.7106966121055"/>
    <n v="3879.7106966121055"/>
    <n v="3879.7106966121055"/>
    <n v="3879.7106966121055"/>
    <n v="3879.7106966121055"/>
    <n v="3879.7106966121055"/>
    <n v="3879.7106966121055"/>
    <n v="3879.7106966121055"/>
    <n v="3879.7106966121055"/>
    <n v="3879.7106966121055"/>
    <n v="3879.7106966121055"/>
    <n v="3879.7106966121055"/>
    <n v="46556.52835934527"/>
  </r>
  <r>
    <x v="1"/>
    <n v="2309.3516051262532"/>
    <n v="2309.3516051262532"/>
    <n v="2309.3516051262532"/>
    <n v="2309.3516051262532"/>
    <n v="2309.3516051262532"/>
    <n v="2309.3516051262532"/>
    <n v="2309.3516051262532"/>
    <n v="2309.3516051262532"/>
    <n v="2309.3516051262532"/>
    <n v="2309.3516051262532"/>
    <n v="2309.3516051262532"/>
    <n v="2309.3516051262532"/>
    <n v="27712.219261515031"/>
  </r>
  <r>
    <x v="1"/>
    <n v="2331.7005862200235"/>
    <n v="2331.7005862200235"/>
    <n v="2331.7005862200235"/>
    <n v="2331.7005862200235"/>
    <n v="2331.7005862200235"/>
    <n v="2331.7005862200235"/>
    <n v="2331.7005862200235"/>
    <n v="2331.7005862200235"/>
    <n v="2331.7005862200235"/>
    <n v="2331.7005862200235"/>
    <n v="2331.7005862200235"/>
    <n v="2331.7005862200235"/>
    <n v="27980.407034640284"/>
  </r>
  <r>
    <x v="1"/>
    <n v="3359.7135338155058"/>
    <n v="3359.7135338155058"/>
    <n v="3359.7135338155058"/>
    <n v="3359.7135338155058"/>
    <n v="3359.7135338155058"/>
    <n v="3359.7135338155058"/>
    <n v="3359.7135338155058"/>
    <n v="3359.7135338155058"/>
    <n v="3359.7135338155058"/>
    <n v="3359.7135338155058"/>
    <n v="3359.7135338155058"/>
    <n v="3359.7135338155058"/>
    <n v="40316.56240578607"/>
  </r>
  <r>
    <x v="1"/>
    <n v="6928.0548153787604"/>
    <n v="0"/>
    <n v="0"/>
    <n v="0"/>
    <n v="0"/>
    <n v="0"/>
    <n v="0"/>
    <n v="0"/>
    <n v="0"/>
    <n v="0"/>
    <n v="0"/>
    <n v="0"/>
    <n v="6928.0548153787604"/>
  </r>
  <r>
    <x v="1"/>
    <n v="4433.9550818424068"/>
    <n v="4433.9550818424068"/>
    <n v="4433.9550818424068"/>
    <n v="4433.9550818424068"/>
    <n v="4433.9550818424068"/>
    <n v="4433.9550818424068"/>
    <n v="4433.9550818424068"/>
    <n v="4433.9550818424068"/>
    <n v="4433.9550818424068"/>
    <n v="4433.9550818424068"/>
    <n v="4433.9550818424068"/>
    <n v="4433.9550818424068"/>
    <n v="53207.460982108867"/>
  </r>
  <r>
    <x v="1"/>
    <n v="0"/>
    <n v="0"/>
    <n v="1292.428625808908"/>
    <n v="0"/>
    <n v="0"/>
    <n v="0"/>
    <n v="0"/>
    <n v="646.214312904454"/>
    <n v="0"/>
    <n v="0"/>
    <n v="0"/>
    <n v="1292.428625808908"/>
    <n v="3231.0715645222699"/>
  </r>
  <r>
    <x v="1"/>
    <n v="0"/>
    <n v="0"/>
    <n v="1856.8918918918923"/>
    <n v="0"/>
    <n v="0"/>
    <n v="0"/>
    <n v="0"/>
    <n v="928.44594594594616"/>
    <n v="0"/>
    <n v="0"/>
    <n v="0"/>
    <n v="1856.8918918918923"/>
    <n v="4642.2297297297309"/>
  </r>
  <r>
    <x v="1"/>
    <n v="0"/>
    <n v="0"/>
    <n v="534.73036416698392"/>
    <n v="0"/>
    <n v="0"/>
    <n v="0"/>
    <n v="0"/>
    <n v="267.36518208349196"/>
    <n v="0"/>
    <n v="0"/>
    <n v="0"/>
    <n v="534.73036416698392"/>
    <n v="1336.8259104174599"/>
  </r>
  <r>
    <x v="1"/>
    <n v="968.77576957238966"/>
    <n v="968.77576957238966"/>
    <n v="968.77576957238966"/>
    <n v="968.77576957238966"/>
    <n v="968.77576957238966"/>
    <n v="968.77576957238966"/>
    <n v="968.77576957238966"/>
    <n v="968.77576957238966"/>
    <n v="968.77576957238966"/>
    <n v="968.77576957238966"/>
    <n v="968.77576957238966"/>
    <n v="968.77576957238966"/>
    <n v="11625.309234868677"/>
  </r>
  <r>
    <x v="1"/>
    <n v="2309.3516051262532"/>
    <n v="2309.3516051262532"/>
    <n v="2309.3516051262532"/>
    <n v="2309.3516051262532"/>
    <n v="2309.3516051262532"/>
    <n v="2309.3516051262532"/>
    <n v="2309.3516051262532"/>
    <n v="2309.3516051262532"/>
    <n v="2309.3516051262532"/>
    <n v="2309.3516051262532"/>
    <n v="2309.3516051262532"/>
    <n v="2309.3516051262532"/>
    <n v="27712.219261515031"/>
  </r>
  <r>
    <x v="1"/>
    <n v="2632.6608298439292"/>
    <n v="0"/>
    <n v="0"/>
    <n v="1524.1720593833275"/>
    <n v="0"/>
    <n v="0"/>
    <n v="1524.1720593833275"/>
    <n v="0"/>
    <n v="0"/>
    <n v="1524.1720593833275"/>
    <n v="0"/>
    <n v="1385.6109630757521"/>
    <n v="8590.7879710696634"/>
  </r>
  <r>
    <x v="1"/>
    <n v="935.28740007613271"/>
    <n v="0"/>
    <n v="0"/>
    <n v="935.28740007613271"/>
    <n v="0"/>
    <n v="0"/>
    <n v="935.28740007613271"/>
    <n v="0"/>
    <n v="0"/>
    <n v="935.28740007613271"/>
    <n v="0"/>
    <n v="935.28740007613271"/>
    <n v="4676.4370003806634"/>
  </r>
  <r>
    <x v="1"/>
    <n v="3325.4663113818042"/>
    <n v="0"/>
    <n v="0"/>
    <n v="3325.4663113818042"/>
    <n v="0"/>
    <n v="0"/>
    <n v="3325.4663113818042"/>
    <n v="0"/>
    <n v="0"/>
    <n v="3325.4663113818042"/>
    <n v="0"/>
    <n v="3325.4663113818042"/>
    <n v="16627.331556909019"/>
  </r>
  <r>
    <x v="1"/>
    <n v="3953.3212790255056"/>
    <n v="0"/>
    <n v="22187.511229539403"/>
    <n v="3953.3212790255056"/>
    <n v="0"/>
    <n v="0"/>
    <n v="3953.3212790255056"/>
    <n v="0"/>
    <n v="0"/>
    <n v="3953.3212790255056"/>
    <n v="0"/>
    <n v="3953.3212790255056"/>
    <n v="41954.117624666935"/>
  </r>
  <r>
    <x v="0"/>
    <m/>
    <m/>
    <m/>
    <m/>
    <m/>
    <m/>
    <m/>
    <m/>
    <m/>
    <m/>
    <m/>
    <m/>
    <m/>
  </r>
  <r>
    <x v="1"/>
    <n v="2058.1652422908705"/>
    <n v="2058.1652422908705"/>
    <n v="2058.1652422908705"/>
    <n v="2058.1652422908705"/>
    <n v="2058.1652422908705"/>
    <n v="2058.1652422908705"/>
    <n v="3087.247863436306"/>
    <n v="2058.1652422908705"/>
    <n v="2058.1652422908705"/>
    <n v="2058.1652422908705"/>
    <n v="2058.1652422908705"/>
    <n v="2058.1652422908705"/>
    <n v="25727.065528635878"/>
  </r>
  <r>
    <x v="7"/>
    <n v="302.67135916042213"/>
    <n v="302.67135916042213"/>
    <n v="302.67135916042213"/>
    <n v="302.67135916042213"/>
    <n v="302.67135916042213"/>
    <n v="302.67135916042213"/>
    <n v="454.00703874063328"/>
    <n v="302.67135916042213"/>
    <n v="302.67135916042213"/>
    <n v="302.67135916042213"/>
    <n v="302.67135916042213"/>
    <n v="302.67135916042213"/>
    <n v="3783.3919895052763"/>
  </r>
  <r>
    <x v="7"/>
    <n v="2784.5765042758835"/>
    <n v="2784.5765042758835"/>
    <n v="2784.5765042758835"/>
    <n v="2784.5765042758835"/>
    <n v="2784.5765042758835"/>
    <n v="2784.5765042758835"/>
    <n v="1856.3843361839222"/>
    <n v="2784.5765042758835"/>
    <n v="2784.5765042758835"/>
    <n v="2784.5765042758835"/>
    <n v="2784.5765042758835"/>
    <n v="2784.5765042758835"/>
    <n v="32486.725883218638"/>
  </r>
  <r>
    <x v="8"/>
    <n v="8671.7706539252194"/>
    <n v="8671.7706539252194"/>
    <n v="8671.7706539252194"/>
    <n v="8671.7706539252194"/>
    <n v="8671.7706539252194"/>
    <n v="8671.7706539252194"/>
    <n v="8671.7706539252194"/>
    <n v="8671.7706539252194"/>
    <n v="8671.7706539252194"/>
    <n v="8671.7706539252194"/>
    <n v="8671.7706539252194"/>
    <n v="8671.7706539252194"/>
    <n v="104061.24784710266"/>
  </r>
  <r>
    <x v="8"/>
    <n v="36979.832212900714"/>
    <n v="46224.790266125892"/>
    <n v="49922.773487415965"/>
    <n v="44375.798655480852"/>
    <n v="36979.832212900714"/>
    <n v="33281.848991610641"/>
    <n v="35130.840602255674"/>
    <n v="27734.874159675535"/>
    <n v="22187.899327740426"/>
    <n v="29583.865770320572"/>
    <n v="22187.899327740426"/>
    <n v="22187.899327740426"/>
    <n v="406778.15434190788"/>
  </r>
  <r>
    <x v="7"/>
    <n v="2322.3751564099653"/>
    <n v="2322.3751564099653"/>
    <n v="3096.5002085466203"/>
    <n v="3096.5002085466203"/>
    <n v="3096.5002085466203"/>
    <n v="3096.5002085466203"/>
    <n v="3096.5002085466203"/>
    <n v="3096.5002085466203"/>
    <n v="3096.5002085466203"/>
    <n v="3096.5002085466203"/>
    <n v="3096.5002085466203"/>
    <n v="3096.5002085466203"/>
    <n v="35609.752398286124"/>
  </r>
  <r>
    <x v="7"/>
    <n v="266.93967315057068"/>
    <n v="266.93967315057068"/>
    <n v="266.93967315057068"/>
    <n v="266.93967315057068"/>
    <n v="266.93967315057068"/>
    <n v="266.93967315057068"/>
    <n v="266.93967315057068"/>
    <n v="266.93967315057068"/>
    <n v="266.93967315057068"/>
    <n v="266.93967315057068"/>
    <n v="266.93967315057068"/>
    <n v="266.93967315057068"/>
    <n v="3203.2760778068491"/>
  </r>
  <r>
    <x v="7"/>
    <n v="1281.3104311227394"/>
    <n v="1281.3104311227394"/>
    <n v="1921.9656466841093"/>
    <n v="1921.9656466841093"/>
    <n v="1921.9656466841093"/>
    <n v="1921.9656466841093"/>
    <n v="3203.2760778068482"/>
    <n v="3203.2760778068482"/>
    <n v="3203.2760778068482"/>
    <n v="3203.2760778068482"/>
    <n v="3203.2760778068482"/>
    <n v="3203.2760778068482"/>
    <n v="29470.139915823005"/>
  </r>
  <r>
    <x v="8"/>
    <n v="0"/>
    <n v="23574.643035724206"/>
    <n v="24961.386743707986"/>
    <n v="22187.89932774043"/>
    <n v="0"/>
    <n v="0"/>
    <n v="0"/>
    <n v="0"/>
    <n v="0"/>
    <n v="0"/>
    <n v="0"/>
    <n v="0"/>
    <n v="70723.929107172618"/>
  </r>
  <r>
    <x v="7"/>
    <n v="352.40637820577598"/>
    <n v="352.40637820577598"/>
    <n v="402.75014652088686"/>
    <n v="402.75014652088686"/>
    <n v="402.75014652088686"/>
    <n v="402.75014652088686"/>
    <n v="402.75014652088686"/>
    <n v="402.75014652088686"/>
    <n v="402.75014652088686"/>
    <n v="402.75014652088686"/>
    <n v="402.75014652088686"/>
    <n v="402.75014652088686"/>
    <n v="4732.3142216204214"/>
  </r>
  <r>
    <x v="7"/>
    <n v="923.35239990052241"/>
    <n v="923.35239990052241"/>
    <n v="1187.1673713006714"/>
    <n v="1187.1673713006714"/>
    <n v="1187.1673713006714"/>
    <n v="1187.1673713006714"/>
    <n v="1187.1673713006714"/>
    <n v="1187.1673713006714"/>
    <n v="1187.1673713006714"/>
    <n v="1187.1673713006714"/>
    <n v="1187.1673713006714"/>
    <n v="1187.1673713006714"/>
    <n v="13718.378512807758"/>
  </r>
  <r>
    <x v="7"/>
    <n v="1463.9556377079482"/>
    <n v="1463.9556377079482"/>
    <n v="975.97042513863221"/>
    <n v="975.97042513863221"/>
    <n v="975.97042513863221"/>
    <n v="975.97042513863221"/>
    <n v="975.97042513863221"/>
    <n v="975.97042513863221"/>
    <n v="975.97042513863221"/>
    <n v="975.97042513863221"/>
    <n v="975.97042513863221"/>
    <n v="975.97042513863221"/>
    <n v="12687.615526802218"/>
  </r>
  <r>
    <x v="7"/>
    <n v="278.84869289675208"/>
    <n v="278.84869289675208"/>
    <n v="348.56086612094009"/>
    <n v="348.56086612094009"/>
    <n v="348.56086612094009"/>
    <n v="348.56086612094009"/>
    <n v="348.56086612094009"/>
    <n v="348.56086612094009"/>
    <n v="348.56086612094009"/>
    <n v="348.56086612094009"/>
    <n v="348.56086612094009"/>
    <n v="348.56086612094009"/>
    <n v="4043.3060470029041"/>
  </r>
  <r>
    <x v="7"/>
    <n v="1105.4068814855273"/>
    <n v="1105.4068814855273"/>
    <n v="1105.4068814855273"/>
    <n v="1105.4068814855273"/>
    <n v="1105.4068814855273"/>
    <n v="1105.4068814855273"/>
    <n v="1105.4068814855273"/>
    <n v="1105.4068814855273"/>
    <n v="1105.4068814855273"/>
    <n v="1105.4068814855273"/>
    <n v="1105.4068814855273"/>
    <n v="1105.4068814855273"/>
    <n v="13264.882577826327"/>
  </r>
  <r>
    <x v="0"/>
    <m/>
    <m/>
    <m/>
    <m/>
    <m/>
    <m/>
    <m/>
    <m/>
    <m/>
    <m/>
    <m/>
    <m/>
    <m/>
  </r>
  <r>
    <x v="4"/>
    <n v="0"/>
    <n v="0"/>
    <n v="0"/>
    <n v="0"/>
    <n v="0"/>
    <n v="0"/>
    <n v="0"/>
    <n v="0"/>
    <n v="0"/>
    <n v="4600.55413125"/>
    <n v="0"/>
    <n v="0"/>
    <n v="4600.55413125"/>
  </r>
  <r>
    <x v="2"/>
    <n v="10168.221416790935"/>
    <n v="9907.4977907193752"/>
    <n v="14079.075807864372"/>
    <n v="6518.0906517890617"/>
    <n v="9907.4977907193752"/>
    <n v="9907.4977907193752"/>
    <n v="14079.075807864372"/>
    <n v="6518.0906517890617"/>
    <n v="7821.7087821468758"/>
    <n v="9907.4977907193752"/>
    <n v="14079.075807864372"/>
    <n v="6518.0906517890617"/>
    <n v="119411.42074077562"/>
  </r>
  <r>
    <x v="3"/>
    <n v="943.75767448462523"/>
    <n v="943.75767448462523"/>
    <n v="943.75767448462523"/>
    <n v="943.75767448462523"/>
    <n v="943.75767448462523"/>
    <n v="943.75767448462523"/>
    <n v="943.75767448462523"/>
    <n v="943.75767448462523"/>
    <n v="943.75767448462523"/>
    <n v="943.75767448462523"/>
    <n v="943.75767448462523"/>
    <n v="943.75767448462523"/>
    <n v="11325.092093815501"/>
  </r>
  <r>
    <x v="3"/>
    <n v="6390.1696883062505"/>
    <n v="6390.1696883062505"/>
    <n v="6390.1696883062505"/>
    <n v="6390.1696883062505"/>
    <n v="6390.1696883062505"/>
    <n v="6390.1696883062505"/>
    <n v="6390.1696883062505"/>
    <n v="6390.1696883062505"/>
    <n v="6390.1696883062505"/>
    <n v="6390.1696883062505"/>
    <n v="6390.1696883062505"/>
    <n v="6390.1696883062505"/>
    <n v="76682.03625967502"/>
  </r>
  <r>
    <x v="3"/>
    <n v="9102.1452314100006"/>
    <n v="9102.1452314100006"/>
    <n v="12287.896062403499"/>
    <n v="9102.1452314100006"/>
    <n v="9102.1452314100006"/>
    <n v="8191.9307082689993"/>
    <n v="12287.896062403499"/>
    <n v="9102.1452314100006"/>
    <n v="9102.1452314100006"/>
    <n v="8191.9307082689993"/>
    <n v="12287.896062403499"/>
    <n v="9102.1452314100006"/>
    <n v="116962.56622361852"/>
  </r>
  <r>
    <x v="3"/>
    <n v="13723.708559859375"/>
    <n v="13723.708559859375"/>
    <n v="14821.605244648123"/>
    <n v="19213.191983803124"/>
    <n v="13723.708559859375"/>
    <n v="13723.708559859375"/>
    <n v="14821.605244648123"/>
    <n v="19213.191983803124"/>
    <n v="13723.708559859375"/>
    <n v="13723.708559859375"/>
    <n v="13723.708559859375"/>
    <n v="19213.191983803124"/>
    <n v="183348.7463597212"/>
  </r>
  <r>
    <x v="1"/>
    <n v="6272.3443852781238"/>
    <n v="6272.3443852781238"/>
    <n v="8181.3187634062497"/>
    <n v="8181.3187634062497"/>
    <n v="6272.3443852781238"/>
    <n v="6272.3443852781238"/>
    <n v="8181.3187634062497"/>
    <n v="8181.3187634062497"/>
    <n v="6272.3443852781238"/>
    <n v="6272.3443852781238"/>
    <n v="8181.3187634062497"/>
    <n v="8181.3187634062497"/>
    <n v="86721.978892106228"/>
  </r>
  <r>
    <x v="1"/>
    <n v="9548.7056857499992"/>
    <n v="8708.419585403999"/>
    <n v="9548.7056857499992"/>
    <n v="19097.411371499998"/>
    <n v="19089.772406951401"/>
    <n v="19097.411371499998"/>
    <n v="19097.411371499998"/>
    <n v="4060.8007630459497"/>
    <n v="10289.685246964198"/>
    <n v="19097.411371499998"/>
    <n v="11238.477972359135"/>
    <n v="8781.6808540807524"/>
    <n v="157655.89368630541"/>
  </r>
  <r>
    <x v="3"/>
    <n v="5537.0224832999993"/>
    <n v="5537.0224832999993"/>
    <n v="5537.0224832999993"/>
    <n v="5537.0224832999993"/>
    <n v="5537.0224832999993"/>
    <n v="5537.0224832999993"/>
    <n v="5537.0224832999993"/>
    <n v="5537.0224832999993"/>
    <n v="5537.0224832999993"/>
    <n v="5537.0224832999993"/>
    <n v="5537.0224832999993"/>
    <n v="5537.0224832999993"/>
    <n v="66444.269799599977"/>
  </r>
  <r>
    <x v="3"/>
    <n v="0"/>
    <n v="0"/>
    <n v="3527.0915006250007"/>
    <n v="0"/>
    <n v="0"/>
    <n v="3527.0915006250007"/>
    <n v="0"/>
    <n v="0"/>
    <n v="3527.0915006250007"/>
    <n v="0"/>
    <n v="0"/>
    <n v="3527.0915006250007"/>
    <n v="14108.366002500003"/>
  </r>
  <r>
    <x v="3"/>
    <n v="2866.6563964499996"/>
    <n v="2866.6563964499996"/>
    <n v="2866.6563964499996"/>
    <n v="2866.6563964499996"/>
    <n v="2866.6563964499996"/>
    <n v="2866.6563964499996"/>
    <n v="2866.6563964499996"/>
    <n v="2866.6563964499996"/>
    <n v="2866.6563964499996"/>
    <n v="2866.6563964499996"/>
    <n v="2866.6563964499996"/>
    <n v="2866.6563964499996"/>
    <n v="34399.876757399987"/>
  </r>
  <r>
    <x v="3"/>
    <n v="152.43169354874999"/>
    <n v="794.36234666249993"/>
    <n v="966.1163675624997"/>
    <n v="0"/>
    <n v="6226.0832576249986"/>
    <n v="0"/>
    <n v="1700.3648069099997"/>
    <n v="2862.5670149999996"/>
    <n v="715.64175374999991"/>
    <n v="715.64175374999991"/>
    <n v="715.64175374999991"/>
    <n v="715.64175374999991"/>
    <n v="15564.492502308749"/>
  </r>
  <r>
    <x v="1"/>
    <n v="994.37399338199975"/>
    <n v="2406.2738328089999"/>
    <n v="2570.830542357"/>
    <n v="1703.8816749569999"/>
    <n v="3408.3358633169996"/>
    <n v="2419.605216336"/>
    <n v="2732.2793220029998"/>
    <n v="1512.416835468"/>
    <n v="1662.7424975699998"/>
    <n v="1209.3936700230001"/>
    <n v="686.93429597099998"/>
    <n v="2461.8894205289994"/>
    <n v="23768.957164722"/>
  </r>
  <r>
    <x v="3"/>
    <n v="0"/>
    <n v="764.30539300499993"/>
    <n v="2337.2450739329997"/>
    <n v="1289.954484588"/>
    <n v="1673.9474027429999"/>
    <n v="1607.208697479"/>
    <n v="791.78603634900003"/>
    <n v="478.45762964999989"/>
    <n v="1359.6375444959999"/>
    <n v="1090.474457457"/>
    <n v="358.80232842299995"/>
    <n v="273.74319426300002"/>
    <n v="12025.562242385999"/>
  </r>
  <r>
    <x v="3"/>
    <n v="453.12595625797502"/>
    <n v="700.72777960184999"/>
    <n v="1329.9159201173998"/>
    <n v="1284.5503670018247"/>
    <n v="1411.7055938081251"/>
    <n v="1458.7661955347248"/>
    <n v="626.74882448062499"/>
    <n v="912.09563860799994"/>
    <n v="1220.306184422325"/>
    <n v="591.87049009357509"/>
    <n v="898.73154002939987"/>
    <n v="1148.0733951802501"/>
    <n v="12036.617885136075"/>
  </r>
  <r>
    <x v="1"/>
    <n v="6355.205476908749"/>
    <n v="6355.205476908749"/>
    <n v="6355.205476908749"/>
    <n v="6355.205476908749"/>
    <n v="6355.205476908749"/>
    <n v="6355.205476908749"/>
    <n v="6355.205476908749"/>
    <n v="6355.205476908749"/>
    <n v="6355.205476908749"/>
    <n v="6355.205476908749"/>
    <n v="6355.205476908749"/>
    <n v="6355.205476908749"/>
    <n v="76262.465722904992"/>
  </r>
  <r>
    <x v="3"/>
    <n v="1423.1047445999995"/>
    <n v="1423.1047445999995"/>
    <n v="1423.1047445999995"/>
    <n v="1423.1047445999995"/>
    <n v="1423.1047445999995"/>
    <n v="1423.1047445999995"/>
    <n v="1423.1047445999995"/>
    <n v="1423.1047445999995"/>
    <n v="1423.1047445999995"/>
    <n v="1423.1047445999995"/>
    <n v="1423.1047445999995"/>
    <n v="1423.1047445999995"/>
    <n v="17077.256935199995"/>
  </r>
  <r>
    <x v="3"/>
    <n v="2156.1263695124999"/>
    <n v="2156.1263695124999"/>
    <n v="2156.1263695124999"/>
    <n v="2156.1263695124999"/>
    <n v="2156.1263695124999"/>
    <n v="2156.1263695124999"/>
    <n v="2156.1263695124999"/>
    <n v="2156.1263695124999"/>
    <n v="2156.1263695124999"/>
    <n v="2156.1263695124999"/>
    <n v="2156.1263695124999"/>
    <n v="2156.1263695124999"/>
    <n v="25873.516434150006"/>
  </r>
  <r>
    <x v="3"/>
    <n v="7872.0592912499997"/>
    <n v="0"/>
    <n v="7872.0592912499997"/>
    <n v="0"/>
    <n v="7872.0592912499997"/>
    <n v="7872.0592912499997"/>
    <n v="0"/>
    <n v="7872.0592912499997"/>
    <n v="0"/>
    <n v="7872.0592912499997"/>
    <n v="7872.0592912499997"/>
    <n v="0"/>
    <n v="55104.415038749998"/>
  </r>
  <r>
    <x v="4"/>
    <n v="0"/>
    <n v="0"/>
    <n v="0"/>
    <n v="0"/>
    <n v="0"/>
    <n v="2296.0077513911997"/>
    <n v="2296.0077513911997"/>
    <n v="0"/>
    <n v="0"/>
    <n v="0"/>
    <n v="0"/>
    <n v="0"/>
    <n v="4592.0155027823994"/>
  </r>
  <r>
    <x v="4"/>
    <n v="0"/>
    <n v="0"/>
    <n v="2440.2811289471997"/>
    <n v="2440.2811289471997"/>
    <n v="2440.2811289471997"/>
    <n v="0"/>
    <n v="0"/>
    <n v="0"/>
    <n v="0"/>
    <n v="0"/>
    <n v="0"/>
    <n v="0"/>
    <n v="7320.8433868415996"/>
  </r>
  <r>
    <x v="4"/>
    <n v="3718.5236250624002"/>
    <n v="3718.5236250624002"/>
    <n v="3718.5236250624002"/>
    <n v="3718.5236250624002"/>
    <n v="3718.5236250624002"/>
    <n v="3718.5236250624002"/>
    <n v="3718.5236250624002"/>
    <n v="0"/>
    <n v="0"/>
    <n v="3718.5236250624002"/>
    <n v="3718.5236250624002"/>
    <n v="3718.5236250624002"/>
    <n v="37185.236250624002"/>
  </r>
  <r>
    <x v="4"/>
    <n v="1859.2618125312001"/>
    <n v="3718.5236250624002"/>
    <n v="0"/>
    <n v="0"/>
    <n v="0"/>
    <n v="0"/>
    <n v="0"/>
    <n v="0"/>
    <n v="0"/>
    <n v="0"/>
    <n v="0"/>
    <n v="0"/>
    <n v="5577.7854375936004"/>
  </r>
  <r>
    <x v="3"/>
    <n v="1192.4636308200002"/>
    <n v="1192.4636308200002"/>
    <n v="1192.4636308200002"/>
    <n v="1192.4636308200002"/>
    <n v="1192.4636308200002"/>
    <n v="1192.4636308200002"/>
    <n v="1192.4636308200002"/>
    <n v="1192.4636308200002"/>
    <n v="1192.4636308200002"/>
    <n v="1192.4636308200002"/>
    <n v="1192.4636308200002"/>
    <n v="1192.4636308200002"/>
    <n v="14309.563569840006"/>
  </r>
  <r>
    <x v="1"/>
    <n v="10053.989657712"/>
    <n v="7758.5380621980003"/>
    <n v="3687.8041916099992"/>
    <n v="1924.626485628"/>
    <n v="11442.988961018997"/>
    <n v="4871.3529708690003"/>
    <n v="7051.8929476379999"/>
    <n v="8423.7986364839999"/>
    <n v="6384.8330455140012"/>
    <n v="5486.0687904329998"/>
    <n v="2867.8014232560004"/>
    <n v="2909.0223882720002"/>
    <n v="72862.717560632998"/>
  </r>
  <r>
    <x v="4"/>
    <n v="0"/>
    <n v="5165.2568156804991"/>
    <n v="0"/>
    <n v="0"/>
    <n v="5165.2568156804991"/>
    <n v="5165.2568156804991"/>
    <n v="0"/>
    <n v="0"/>
    <n v="5165.2568156804991"/>
    <n v="5165.2568156804991"/>
    <n v="0"/>
    <n v="0"/>
    <n v="25826.284078402496"/>
  </r>
  <r>
    <x v="3"/>
    <n v="508.36941026602506"/>
    <n v="1606.7220610864501"/>
    <n v="1631.3115117452996"/>
    <n v="1178.80100739555"/>
    <n v="1764.6376151596498"/>
    <n v="1069.301684999625"/>
    <n v="504.34136953777488"/>
    <n v="190.32799144589995"/>
    <n v="570.92672299740002"/>
    <n v="263.90823187575"/>
    <n v="272.97643524112505"/>
    <n v="1209.0849217235248"/>
    <n v="10770.708963474073"/>
  </r>
  <r>
    <x v="3"/>
    <n v="0"/>
    <n v="15.376074251999999"/>
    <n v="0"/>
    <n v="2.0446907250000002"/>
    <n v="0"/>
    <n v="0"/>
    <n v="0"/>
    <n v="0"/>
    <n v="61.749659895000008"/>
    <n v="18.565791783000005"/>
    <n v="62.076810411000018"/>
    <n v="26.172041279999995"/>
    <n v="185.98506834600005"/>
  </r>
  <r>
    <x v="4"/>
    <n v="4890.8736332205763"/>
    <n v="0"/>
    <n v="0"/>
    <n v="0"/>
    <n v="4890.8736332205763"/>
    <n v="0"/>
    <n v="0"/>
    <n v="0"/>
    <n v="4890.8736332205763"/>
    <n v="0"/>
    <n v="0"/>
    <n v="0"/>
    <n v="14672.620899661728"/>
  </r>
  <r>
    <x v="5"/>
    <n v="5119.4966372549998"/>
    <n v="0"/>
    <n v="0"/>
    <n v="0"/>
    <n v="5119.4966372549998"/>
    <n v="0"/>
    <n v="0"/>
    <n v="0"/>
    <n v="5119.4966372549998"/>
    <n v="0"/>
    <n v="0"/>
    <n v="0"/>
    <n v="15358.489911764998"/>
  </r>
  <r>
    <x v="3"/>
    <n v="12595.294865999998"/>
    <n v="12595.294865999998"/>
    <n v="12595.294865999998"/>
    <n v="12595.294865999998"/>
    <n v="12595.294865999998"/>
    <n v="10795.967027999997"/>
    <n v="10795.967027999997"/>
    <n v="10795.967027999997"/>
    <n v="10795.967027999997"/>
    <n v="10795.967027999997"/>
    <n v="10795.967027999997"/>
    <n v="10795.967027999997"/>
    <n v="138548.24352599998"/>
  </r>
  <r>
    <x v="3"/>
    <n v="10"/>
    <n v="0"/>
    <n v="0"/>
    <n v="0"/>
    <n v="0"/>
    <n v="0"/>
    <n v="0"/>
    <n v="0"/>
    <n v="0"/>
    <n v="0"/>
    <n v="0"/>
    <n v="0"/>
    <n v="10"/>
  </r>
  <r>
    <x v="4"/>
    <n v="0"/>
    <n v="0"/>
    <n v="0"/>
    <n v="0"/>
    <n v="0"/>
    <n v="17587.611740159999"/>
    <n v="0"/>
    <n v="0"/>
    <n v="0"/>
    <n v="0"/>
    <n v="0"/>
    <n v="0"/>
    <n v="17587.611740159999"/>
  </r>
  <r>
    <x v="4"/>
    <n v="157441.18582500002"/>
    <n v="128815.51567500003"/>
    <n v="0"/>
    <n v="0"/>
    <n v="0"/>
    <n v="0"/>
    <n v="0"/>
    <n v="0"/>
    <n v="0"/>
    <n v="0"/>
    <n v="0"/>
    <n v="0"/>
    <n v="286256.70150000008"/>
  </r>
  <r>
    <x v="3"/>
    <n v="156586.89359318773"/>
    <n v="156586.89359318773"/>
    <n v="156586.89359318773"/>
    <n v="156586.89359318773"/>
    <n v="156586.89359318773"/>
    <n v="156586.89359318773"/>
    <n v="156586.89359318773"/>
    <n v="156586.89359318773"/>
    <n v="156586.89359318773"/>
    <n v="156586.89359318773"/>
    <n v="156586.89359318773"/>
    <n v="156586.89359318773"/>
    <n v="1879042.7231182524"/>
  </r>
  <r>
    <x v="4"/>
    <n v="3121.8286872031872"/>
    <n v="0"/>
    <n v="0"/>
    <n v="0"/>
    <n v="3121.8286872031872"/>
    <n v="0"/>
    <n v="0"/>
    <n v="0"/>
    <n v="3121.8286872031872"/>
    <n v="0"/>
    <n v="0"/>
    <n v="0"/>
    <n v="9365.4860616095611"/>
  </r>
  <r>
    <x v="3"/>
    <n v="4971.379241136"/>
    <n v="1204.8953504280003"/>
    <n v="594.43248757200024"/>
    <n v="0"/>
    <n v="0"/>
    <n v="0"/>
    <n v="1897.4729928000004"/>
    <n v="3529.2997666080009"/>
    <n v="2070.86276628"/>
    <n v="0"/>
    <n v="3569.2121295600004"/>
    <n v="3914.028773424001"/>
    <n v="21751.583507808005"/>
  </r>
  <r>
    <x v="1"/>
    <n v="10399.29702735"/>
    <n v="10399.29702735"/>
    <n v="10399.29702735"/>
    <n v="10399.29702735"/>
    <n v="10399.29702735"/>
    <n v="10399.29702735"/>
    <n v="10399.29702735"/>
    <n v="10399.29702735"/>
    <n v="10399.29702735"/>
    <n v="10399.29702735"/>
    <n v="10399.29702735"/>
    <n v="10399.29702735"/>
    <n v="124791.56432819997"/>
  </r>
  <r>
    <x v="3"/>
    <n v="17652.551117586005"/>
    <n v="17652.551117586005"/>
    <n v="17652.551117586005"/>
    <n v="17652.551117586005"/>
    <n v="17652.551117586005"/>
    <n v="17652.551117586005"/>
    <n v="17652.551117586005"/>
    <n v="17652.551117586005"/>
    <n v="17652.551117586005"/>
    <n v="17652.551117586005"/>
    <n v="17652.551117586005"/>
    <n v="17652.551117586005"/>
    <n v="211830.61341103204"/>
  </r>
  <r>
    <x v="1"/>
    <n v="0"/>
    <n v="0"/>
    <n v="3257.1003138423753"/>
    <n v="0"/>
    <n v="3257.1003138423753"/>
    <n v="0"/>
    <n v="0"/>
    <n v="0"/>
    <n v="0"/>
    <n v="2171.4002092282499"/>
    <n v="0"/>
    <n v="0"/>
    <n v="8685.6008369129995"/>
  </r>
  <r>
    <x v="3"/>
    <n v="85271.086800553516"/>
    <n v="85271.086800553516"/>
    <n v="85271.086800553516"/>
    <n v="88429.275200573989"/>
    <n v="88429.275200573989"/>
    <n v="88429.275200573989"/>
    <n v="78954.710000512481"/>
    <n v="78954.710000512481"/>
    <n v="78954.710000512481"/>
    <n v="107378.40560069699"/>
    <n v="107378.40560069699"/>
    <n v="107378.40560069699"/>
    <n v="1080100.4328070108"/>
  </r>
  <r>
    <x v="3"/>
    <n v="41404.987181249999"/>
    <n v="33123.989744999992"/>
    <n v="33123.989744999992"/>
    <n v="33123.989744999992"/>
    <n v="33123.989744999992"/>
    <n v="41404.987181249999"/>
    <n v="33123.989744999992"/>
    <n v="33123.989744999992"/>
    <n v="41404.987181249999"/>
    <n v="33123.989744999992"/>
    <n v="33123.989744999992"/>
    <n v="41404.987181249999"/>
    <n v="430611.8666849999"/>
  </r>
  <r>
    <x v="3"/>
    <n v="3259.4005909080001"/>
    <n v="0"/>
    <n v="3259.4005909080001"/>
    <n v="3259.4005909080001"/>
    <n v="3259.4005909080001"/>
    <n v="0"/>
    <n v="3259.4005909080001"/>
    <n v="3259.4005909080001"/>
    <n v="3259.4005909080001"/>
    <n v="0"/>
    <n v="3259.4005909080001"/>
    <n v="1760.0763190903206"/>
    <n v="27835.281046354321"/>
  </r>
  <r>
    <x v="3"/>
    <n v="2962.6096427928001"/>
    <n v="5925.2192855856001"/>
    <n v="2962.6096427928001"/>
    <n v="2962.6096427928001"/>
    <n v="5925.2192855856001"/>
    <n v="2962.6096427928001"/>
    <n v="5925.2192855856001"/>
    <n v="5925.2192855856001"/>
    <n v="2962.6096427928001"/>
    <n v="5925.2192855856001"/>
    <n v="5925.2192855856001"/>
    <n v="2962.6096427928001"/>
    <n v="53326.973570270391"/>
  </r>
  <r>
    <x v="3"/>
    <n v="496.85984617500009"/>
    <n v="496.85984617500009"/>
    <n v="496.85984617500009"/>
    <n v="496.85984617500009"/>
    <n v="397.48787693999998"/>
    <n v="397.48787693999998"/>
    <n v="397.48787693999998"/>
    <n v="397.48787693999998"/>
    <n v="397.48787693999998"/>
    <n v="397.48787693999998"/>
    <n v="397.48787693999998"/>
    <n v="397.48787693999998"/>
    <n v="5167.3424002200018"/>
  </r>
  <r>
    <x v="1"/>
    <n v="0"/>
    <n v="0"/>
    <n v="2591.0320867199998"/>
    <n v="0"/>
    <n v="0"/>
    <n v="0"/>
    <n v="0"/>
    <n v="0"/>
    <n v="0"/>
    <n v="2591.0320867199998"/>
    <n v="0"/>
    <n v="0"/>
    <n v="5182.0641734399996"/>
  </r>
  <r>
    <x v="1"/>
    <n v="0"/>
    <n v="0"/>
    <n v="1457.4555487799998"/>
    <n v="0"/>
    <n v="0"/>
    <n v="0"/>
    <n v="971.63703251999982"/>
    <n v="0"/>
    <n v="0"/>
    <n v="0"/>
    <n v="0"/>
    <n v="0"/>
    <n v="2429.0925812999994"/>
  </r>
  <r>
    <x v="1"/>
    <n v="58345.276418854424"/>
    <n v="38899.014228690001"/>
    <n v="38899.014228690001"/>
    <n v="38899.014228690001"/>
    <n v="38899.014228690001"/>
    <n v="38899.014228690001"/>
    <n v="38899.014228690001"/>
    <n v="38899.014228690001"/>
    <n v="38899.014228690001"/>
    <n v="38899.014228690001"/>
    <n v="38899.014228690001"/>
    <n v="38899.014228690001"/>
    <n v="486234.43293444451"/>
  </r>
  <r>
    <x v="3"/>
    <n v="0"/>
    <n v="0"/>
    <n v="0"/>
    <n v="12035.329729979321"/>
    <n v="6017.3704295252628"/>
    <n v="0"/>
    <n v="5175.2850013412626"/>
    <n v="0"/>
    <n v="5175.2850013412626"/>
    <n v="0"/>
    <n v="4140.4240869135374"/>
    <n v="0"/>
    <n v="32543.694249100648"/>
  </r>
  <r>
    <x v="3"/>
    <n v="0"/>
    <n v="0"/>
    <n v="1.86394006491"/>
    <n v="0"/>
    <n v="0"/>
    <n v="0"/>
    <n v="0.52753020704999998"/>
    <n v="0"/>
    <n v="0"/>
    <n v="0"/>
    <n v="0"/>
    <n v="0"/>
    <n v="2.3914702719599998"/>
  </r>
  <r>
    <x v="1"/>
    <n v="2995.471912125"/>
    <n v="2995.471912125"/>
    <n v="2995.471912125"/>
    <n v="2995.471912125"/>
    <n v="2995.471912125"/>
    <n v="2995.471912125"/>
    <n v="2995.471912125"/>
    <n v="2995.471912125"/>
    <n v="2995.471912125"/>
    <n v="2995.471912125"/>
    <n v="2995.471912125"/>
    <n v="2995.471912125"/>
    <n v="35945.662945500007"/>
  </r>
  <r>
    <x v="3"/>
    <n v="8187.7595391900013"/>
    <n v="8187.7595391900013"/>
    <n v="8187.7595391900013"/>
    <n v="8187.7595391900013"/>
    <n v="8187.7595391900013"/>
    <n v="8187.7595391900013"/>
    <n v="8187.7595391900013"/>
    <n v="8187.7595391900013"/>
    <n v="8187.7595391900013"/>
    <n v="8187.7595391900013"/>
    <n v="8187.7595391900013"/>
    <n v="8187.7595391900013"/>
    <n v="98253.114470280008"/>
  </r>
  <r>
    <x v="4"/>
    <n v="0"/>
    <n v="0"/>
    <n v="0"/>
    <n v="0"/>
    <n v="0"/>
    <n v="4665.9024468210009"/>
    <n v="0"/>
    <n v="0"/>
    <n v="0"/>
    <n v="4665.1868050672501"/>
    <n v="0"/>
    <n v="0"/>
    <n v="9331.0892518882501"/>
  </r>
  <r>
    <x v="3"/>
    <n v="12421.496154375"/>
    <n v="12421.496154375"/>
    <n v="8280.9974362499979"/>
    <n v="12421.496154375"/>
    <n v="8280.9974362499979"/>
    <n v="8280.9974362499979"/>
    <n v="12421.496154375"/>
    <n v="8280.9974362499979"/>
    <n v="12421.496154375"/>
    <n v="12421.496154375"/>
    <n v="8280.9974362499979"/>
    <n v="8280.9974362499979"/>
    <n v="124214.96154374996"/>
  </r>
  <r>
    <x v="4"/>
    <n v="0"/>
    <n v="8015.1876420000008"/>
    <n v="8015.1876420000008"/>
    <n v="0"/>
    <n v="8015.1876420000008"/>
    <n v="0"/>
    <n v="0"/>
    <n v="0"/>
    <n v="0"/>
    <n v="74426.742389999999"/>
    <n v="74426.742389999999"/>
    <n v="74426.742389999999"/>
    <n v="247325.79009599998"/>
  </r>
  <r>
    <x v="4"/>
    <n v="80151.876420000015"/>
    <n v="80151.876420000015"/>
    <n v="80151.876420000015"/>
    <n v="74426.742389999999"/>
    <n v="74426.742389999999"/>
    <n v="74426.742389999999"/>
    <n v="74426.742389999999"/>
    <n v="0"/>
    <n v="0"/>
    <n v="74426.742389999999"/>
    <n v="74426.742389999999"/>
    <n v="74426.742389999999"/>
    <n v="761442.82599000016"/>
  </r>
  <r>
    <x v="4"/>
    <n v="0"/>
    <n v="0"/>
    <n v="0"/>
    <n v="3274.2041517569992"/>
    <n v="0"/>
    <n v="0"/>
    <n v="0"/>
    <n v="0"/>
    <n v="2800.3061824237498"/>
    <n v="0"/>
    <n v="0"/>
    <n v="0"/>
    <n v="6074.5103341807489"/>
  </r>
  <r>
    <x v="3"/>
    <n v="6285.7371095268745"/>
    <n v="6285.7371095268745"/>
    <n v="6285.7371095268745"/>
    <n v="6285.7371095268745"/>
    <n v="6285.7371095268745"/>
    <n v="6285.7371095268745"/>
    <n v="6285.7371095268745"/>
    <n v="6285.7371095268745"/>
    <n v="6285.7371095268745"/>
    <n v="6285.7371095268745"/>
    <n v="6285.7371095268745"/>
    <n v="6285.7371095268745"/>
    <n v="75428.845314322491"/>
  </r>
  <r>
    <x v="3"/>
    <n v="33359.129178374991"/>
    <n v="33359.129178374991"/>
    <n v="33359.129178374991"/>
    <n v="33359.129178374991"/>
    <n v="33359.129178374991"/>
    <n v="33359.129178374991"/>
    <n v="33359.129178374991"/>
    <n v="33359.129178374991"/>
    <n v="33359.129178374991"/>
    <n v="33359.129178374991"/>
    <n v="33359.129178374991"/>
    <n v="33359.129178374991"/>
    <n v="400309.55014050001"/>
  </r>
  <r>
    <x v="3"/>
    <n v="3.6804433049999994"/>
    <n v="0"/>
    <n v="0"/>
    <n v="0"/>
    <n v="0"/>
    <n v="0"/>
    <n v="0"/>
    <n v="0"/>
    <n v="0"/>
    <n v="0"/>
    <n v="0"/>
    <n v="0"/>
    <n v="3.6804433049999994"/>
  </r>
  <r>
    <x v="3"/>
    <n v="0"/>
    <n v="0.49072577399999995"/>
    <n v="0"/>
    <n v="0"/>
    <n v="0.49072577399999995"/>
    <n v="0"/>
    <n v="0"/>
    <n v="0"/>
    <n v="0"/>
    <n v="0"/>
    <n v="0"/>
    <n v="0"/>
    <n v="0.9814515479999999"/>
  </r>
  <r>
    <x v="3"/>
    <n v="0.71768644447500018"/>
    <n v="0.95691525929999999"/>
    <n v="1.1961440741250002"/>
    <n v="0"/>
    <n v="1.1961440741250002"/>
    <n v="0"/>
    <n v="0"/>
    <n v="0"/>
    <n v="3.8276610371999999"/>
    <n v="3.5884322223749998"/>
    <n v="1.4353728889500004"/>
    <n v="0"/>
    <n v="12.91835600055"/>
  </r>
  <r>
    <x v="3"/>
    <n v="2798.3637262349998"/>
    <n v="519.43323177900004"/>
    <n v="0"/>
    <n v="33.532927890000003"/>
    <n v="0"/>
    <n v="131.67808268999997"/>
    <n v="2385.9905008169999"/>
    <n v="1309.3381526610001"/>
    <n v="606.86420717999999"/>
    <n v="380.72141299499998"/>
    <n v="694.37697020999997"/>
    <n v="1066.51068216"/>
    <n v="9926.8098946169994"/>
  </r>
  <r>
    <x v="3"/>
    <n v="0"/>
    <n v="3826.6795856520002"/>
    <n v="0"/>
    <n v="0"/>
    <n v="0"/>
    <n v="0"/>
    <n v="0"/>
    <n v="0"/>
    <n v="0"/>
    <n v="0"/>
    <n v="3826.6795856520002"/>
    <n v="0"/>
    <n v="7653.3591713040005"/>
  </r>
  <r>
    <x v="3"/>
    <n v="0"/>
    <n v="0"/>
    <n v="0"/>
    <n v="0"/>
    <n v="3373.7396962499997"/>
    <n v="0"/>
    <n v="0"/>
    <n v="10223.453625"/>
    <n v="0"/>
    <n v="0"/>
    <n v="10223.453625"/>
    <n v="0"/>
    <n v="23820.646946250003"/>
  </r>
  <r>
    <x v="3"/>
    <n v="3303.5659105679997"/>
    <n v="3303.5659105679997"/>
    <n v="3303.5659105679997"/>
    <n v="3303.5659105679997"/>
    <n v="3303.5659105679997"/>
    <n v="3303.5659105679997"/>
    <n v="3303.5659105679997"/>
    <n v="3303.5659105679997"/>
    <n v="3303.5659105679997"/>
    <n v="3303.5659105679997"/>
    <n v="3303.5659105679997"/>
    <n v="3303.5659105679997"/>
    <n v="39642.790926816"/>
  </r>
  <r>
    <x v="3"/>
    <n v="3303.5659105679997"/>
    <n v="3303.5659105679997"/>
    <n v="3303.5659105679997"/>
    <n v="3303.5659105679997"/>
    <n v="3303.5659105679997"/>
    <n v="3303.5659105679997"/>
    <n v="3303.5659105679997"/>
    <n v="3303.5659105679997"/>
    <n v="3303.5659105679997"/>
    <n v="3303.5659105679997"/>
    <n v="3303.5659105679997"/>
    <n v="3303.5659105679997"/>
    <n v="39642.790926816"/>
  </r>
  <r>
    <x v="3"/>
    <n v="1651.7829552839999"/>
    <n v="1651.7829552839999"/>
    <n v="1651.7829552839999"/>
    <n v="1651.7829552839999"/>
    <n v="1651.7829552839999"/>
    <n v="1651.7829552839999"/>
    <n v="1651.7829552839999"/>
    <n v="1651.7829552839999"/>
    <n v="1651.7829552839999"/>
    <n v="1651.7829552839999"/>
    <n v="1651.7829552839999"/>
    <n v="1651.7829552839999"/>
    <n v="19821.395463408"/>
  </r>
  <r>
    <x v="3"/>
    <n v="0"/>
    <n v="0"/>
    <n v="0"/>
    <n v="0"/>
    <n v="0"/>
    <n v="0"/>
    <n v="0"/>
    <n v="0"/>
    <n v="132.90489712499999"/>
    <n v="63.794350620000017"/>
    <n v="15.948587655000004"/>
    <n v="10.63239177"/>
    <n v="223.28022717000002"/>
  </r>
  <r>
    <x v="3"/>
    <n v="10"/>
    <n v="0"/>
    <n v="0"/>
    <n v="0"/>
    <n v="0"/>
    <n v="0"/>
    <n v="0"/>
    <n v="0"/>
    <n v="0"/>
    <n v="0"/>
    <n v="0"/>
    <n v="0"/>
    <n v="10"/>
  </r>
  <r>
    <x v="3"/>
    <n v="8096.9752710000021"/>
    <n v="8096.9752710000021"/>
    <n v="8096.9752710000021"/>
    <n v="8096.9752710000021"/>
    <n v="8096.9752710000021"/>
    <n v="8096.9752710000021"/>
    <n v="8096.9752710000021"/>
    <n v="8096.9752710000021"/>
    <n v="8096.9752710000021"/>
    <n v="8096.9752710000021"/>
    <n v="8096.9752710000021"/>
    <n v="8096.9752710000021"/>
    <n v="97163.703252000021"/>
  </r>
  <r>
    <x v="1"/>
    <n v="4244.1105580473604"/>
    <n v="4244.1105580473604"/>
    <n v="0"/>
    <n v="0"/>
    <n v="0"/>
    <n v="0"/>
    <n v="0"/>
    <n v="0"/>
    <n v="0"/>
    <n v="0"/>
    <n v="0"/>
    <n v="0"/>
    <n v="8488.2211160947209"/>
  </r>
  <r>
    <x v="1"/>
    <n v="262.37471383200005"/>
    <n v="867.8485313189999"/>
    <n v="1837.2772978559999"/>
    <n v="1224.769744275"/>
    <n v="1253.7225649409997"/>
    <n v="1233.1938700619999"/>
    <n v="1150.75194003"/>
    <n v="280.61335509899999"/>
    <n v="1666.4229408749998"/>
    <n v="1332.5658392969999"/>
    <n v="1293.798503151"/>
    <n v="486.3910296630001"/>
    <n v="12889.730330399996"/>
  </r>
  <r>
    <x v="1"/>
    <n v="0"/>
    <n v="0"/>
    <n v="610.61498784594005"/>
    <n v="328.37804607675372"/>
    <n v="375.16598829517505"/>
    <n v="50.022131772690003"/>
    <n v="272.10314783247753"/>
    <n v="0"/>
    <n v="0"/>
    <n v="0"/>
    <n v="0"/>
    <n v="0"/>
    <n v="1636.2843018230365"/>
  </r>
  <r>
    <x v="1"/>
    <n v="2.8053156746999997"/>
    <n v="1.2022781463000001"/>
    <n v="0"/>
    <n v="1.2022781463000001"/>
    <n v="1.2022781463000001"/>
    <n v="0.80151876419999979"/>
    <n v="0"/>
    <n v="0"/>
    <n v="7.6144282598999995"/>
    <n v="2.4045562926000001"/>
    <n v="9.6182251704000006"/>
    <n v="0.80151876419999979"/>
    <n v="27.652397364900001"/>
  </r>
  <r>
    <x v="1"/>
    <n v="0"/>
    <n v="149.67136106999999"/>
    <n v="0"/>
    <n v="0"/>
    <n v="0"/>
    <n v="6859.3648689719985"/>
    <n v="7015.9063908779981"/>
    <n v="3725.0993504339999"/>
    <n v="14278.402483191001"/>
    <n v="6381.8886908699997"/>
    <n v="5649.4804731749982"/>
    <n v="5999.122587150001"/>
    <n v="50058.936205739992"/>
  </r>
  <r>
    <x v="1"/>
    <n v="9.2103093707624986"/>
    <n v="14.327147910074999"/>
    <n v="5.628522393243748"/>
    <n v="0"/>
    <n v="2.5584192696562496"/>
    <n v="0"/>
    <n v="3.5817869775187496"/>
    <n v="1.0233677078624999"/>
    <n v="0"/>
    <n v="0"/>
    <n v="14.327147910074999"/>
    <n v="16.885567179731247"/>
    <n v="67.542268718924987"/>
  </r>
  <r>
    <x v="1"/>
    <n v="0"/>
    <n v="583.47294528600003"/>
    <n v="1522.7220767219997"/>
    <n v="749.6654074139999"/>
    <n v="0"/>
    <n v="2.9443546439999997"/>
    <n v="0"/>
    <n v="0"/>
    <n v="398.71469137499997"/>
    <n v="477.23081521500018"/>
    <n v="353.73149542500005"/>
    <n v="4721.5998221700002"/>
    <n v="8810.0816082509991"/>
  </r>
  <r>
    <x v="1"/>
    <n v="0.73608866099999992"/>
    <n v="0"/>
    <n v="4.416531966"/>
    <n v="0"/>
    <n v="0"/>
    <n v="0.73608866099999992"/>
    <n v="0.73608866099999992"/>
    <n v="0.73608866099999992"/>
    <n v="0"/>
    <n v="0"/>
    <n v="0"/>
    <n v="0"/>
    <n v="7.3608866100000006"/>
  </r>
  <r>
    <x v="1"/>
    <n v="311.25120539147252"/>
    <n v="391.66214412632991"/>
    <n v="669.092733642795"/>
    <n v="561.74810633287495"/>
    <n v="946.69221461314498"/>
    <n v="705.62031556862974"/>
    <n v="385.13221982696984"/>
    <n v="185.28149026752746"/>
    <n v="214.28072541298496"/>
    <n v="291.02164876553996"/>
    <n v="278.64431793082491"/>
    <n v="728.47832212154992"/>
    <n v="5668.9054440006448"/>
  </r>
  <r>
    <x v="1"/>
    <n v="94178.454793500001"/>
    <n v="97407.43038641999"/>
    <n v="107632.51976399998"/>
    <n v="107632.51976399998"/>
    <n v="94178.454793500001"/>
    <n v="107632.51976399998"/>
    <n v="107632.51976399998"/>
    <n v="94178.454793500001"/>
    <n v="94178.454793500001"/>
    <n v="94178.454793500001"/>
    <n v="94178.454793500001"/>
    <n v="94178.454793500001"/>
    <n v="1187186.6929969199"/>
  </r>
  <r>
    <x v="1"/>
    <n v="0"/>
    <n v="0"/>
    <n v="4396.9029350399996"/>
    <n v="0"/>
    <n v="0"/>
    <n v="0"/>
    <n v="0"/>
    <n v="0"/>
    <n v="0"/>
    <n v="0"/>
    <n v="0"/>
    <n v="0"/>
    <n v="4396.9029350399996"/>
  </r>
  <r>
    <x v="1"/>
    <n v="0"/>
    <n v="88.330639320000017"/>
    <n v="0"/>
    <n v="58.88709287999999"/>
    <n v="87.921701174999995"/>
    <n v="38.849123774999995"/>
    <n v="108.36860842499999"/>
    <n v="150.08029921500003"/>
    <n v="146.80879405499999"/>
    <n v="39.258061920000003"/>
    <n v="0"/>
    <n v="0"/>
    <n v="718.5043207650001"/>
  </r>
  <r>
    <x v="1"/>
    <n v="0"/>
    <n v="0"/>
    <n v="0.49072577399999995"/>
    <n v="0"/>
    <n v="0"/>
    <n v="0"/>
    <n v="0"/>
    <n v="0"/>
    <n v="0"/>
    <n v="0"/>
    <n v="0"/>
    <n v="0"/>
    <n v="0.49072577399999995"/>
  </r>
  <r>
    <x v="1"/>
    <n v="2422.4473364437495"/>
    <n v="2422.4473364437495"/>
    <n v="2422.4473364437495"/>
    <n v="2422.4473364437495"/>
    <n v="2422.4473364437495"/>
    <n v="2422.4473364437495"/>
    <n v="2422.4473364437495"/>
    <n v="2422.4473364437495"/>
    <n v="2422.4473364437495"/>
    <n v="2422.4473364437495"/>
    <n v="2422.4473364437495"/>
    <n v="2422.4473364437495"/>
    <n v="29069.368037324999"/>
  </r>
  <r>
    <x v="1"/>
    <n v="593.47148293125008"/>
    <n v="2176.0621040812498"/>
    <n v="1978.2382764375002"/>
    <n v="1978.2382764375002"/>
    <n v="2373.8859317250003"/>
    <n v="0"/>
    <n v="0"/>
    <n v="0"/>
    <n v="1780.4144487937501"/>
    <n v="1186.9429658625002"/>
    <n v="1186.9429658625002"/>
    <n v="1186.9429658625002"/>
    <n v="14441.139417993749"/>
  </r>
  <r>
    <x v="1"/>
    <n v="0"/>
    <n v="0"/>
    <n v="11231.486152425001"/>
    <n v="11231.486152425001"/>
    <n v="0"/>
    <n v="1740.0318069749997"/>
    <n v="1740.0318069749997"/>
    <n v="1740.0318069749997"/>
    <n v="0"/>
    <n v="0"/>
    <n v="0"/>
    <n v="0"/>
    <n v="27683.067725774999"/>
  </r>
  <r>
    <x v="1"/>
    <n v="2666.5073465137798"/>
    <n v="5814.5508090331205"/>
    <n v="2701.0282689620999"/>
    <n v="1639.9122988109398"/>
    <n v="1753.3697335123197"/>
    <n v="2252.6979303305402"/>
    <n v="1904.9393854514101"/>
    <n v="2714.6745348607501"/>
    <n v="4763.6910075585592"/>
    <n v="3619.917188034839"/>
    <n v="3672.6898377707998"/>
    <n v="4684.6285423568397"/>
    <n v="38188.606883196"/>
  </r>
  <r>
    <x v="1"/>
    <n v="539.7983514"/>
    <n v="539.7983514"/>
    <n v="539.7983514"/>
    <n v="539.7983514"/>
    <n v="539.7983514"/>
    <n v="539.7983514"/>
    <n v="539.7983514"/>
    <n v="539.7983514"/>
    <n v="539.7983514"/>
    <n v="539.7983514"/>
    <n v="539.7983514"/>
    <n v="539.7983514"/>
    <n v="6477.5802167999982"/>
  </r>
  <r>
    <x v="1"/>
    <n v="4377.9609201635994"/>
    <n v="0"/>
    <n v="0"/>
    <n v="4377.9609201635994"/>
    <n v="0"/>
    <n v="0"/>
    <n v="4377.9609201635994"/>
    <n v="0"/>
    <n v="0"/>
    <n v="4377.9609201635994"/>
    <n v="0"/>
    <n v="0"/>
    <n v="17511.843680654398"/>
  </r>
  <r>
    <x v="1"/>
    <n v="17882.456142704999"/>
    <n v="17882.456142704999"/>
    <n v="17882.456142704999"/>
    <n v="17882.456142704999"/>
    <n v="17882.456142704999"/>
    <n v="17882.456142704999"/>
    <n v="17882.456142704999"/>
    <n v="17882.456142704999"/>
    <n v="17882.456142704999"/>
    <n v="17882.456142704999"/>
    <n v="17882.456142704999"/>
    <n v="17882.456142704999"/>
    <n v="214589.47371245993"/>
  </r>
  <r>
    <x v="1"/>
    <n v="899.66391899999996"/>
    <n v="899.66391899999996"/>
    <n v="899.66391899999996"/>
    <n v="899.66391899999996"/>
    <n v="899.66391899999996"/>
    <n v="899.66391899999996"/>
    <n v="899.66391899999996"/>
    <n v="899.66391899999996"/>
    <n v="899.66391899999996"/>
    <n v="899.66391899999996"/>
    <n v="899.66391899999996"/>
    <n v="899.66391899999996"/>
    <n v="10795.967027999999"/>
  </r>
  <r>
    <x v="1"/>
    <n v="742.22273317500003"/>
    <n v="742.22273317500003"/>
    <n v="742.22273317500003"/>
    <n v="742.22273317500003"/>
    <n v="742.22273317500003"/>
    <n v="742.22273317500003"/>
    <n v="742.22273317500003"/>
    <n v="742.22273317500003"/>
    <n v="742.22273317500003"/>
    <n v="742.22273317500003"/>
    <n v="742.22273317500003"/>
    <n v="742.22273317500003"/>
    <n v="8906.6727981000004"/>
  </r>
  <r>
    <x v="1"/>
    <n v="645.94642569765006"/>
    <n v="138.63003115500001"/>
    <n v="139.89365002304999"/>
    <n v="169.740000535875"/>
    <n v="431.61376514025005"/>
    <n v="344.46086767784999"/>
    <n v="711.76910951685011"/>
    <n v="844.32436452787488"/>
    <n v="368.77224039809994"/>
    <n v="213.26533199894999"/>
    <n v="427.61843946359994"/>
    <n v="371.74931009369988"/>
    <n v="4807.7835362287497"/>
  </r>
  <r>
    <x v="1"/>
    <n v="0"/>
    <n v="0"/>
    <n v="45.81691859311875"/>
    <n v="0"/>
    <n v="0"/>
    <n v="0"/>
    <n v="0"/>
    <n v="0"/>
    <n v="0.86388183131249985"/>
    <n v="0"/>
    <n v="0"/>
    <n v="0"/>
    <n v="46.680800424431247"/>
  </r>
  <r>
    <x v="1"/>
    <n v="0"/>
    <n v="0"/>
    <n v="610.61498784594005"/>
    <n v="328.37804607675372"/>
    <n v="375.16598829517505"/>
    <n v="50.022131772690003"/>
    <n v="272.10314783247753"/>
    <n v="0"/>
    <n v="0"/>
    <n v="0"/>
    <n v="0"/>
    <n v="0"/>
    <n v="1636.2843018230365"/>
  </r>
  <r>
    <x v="0"/>
    <m/>
    <m/>
    <m/>
    <m/>
    <m/>
    <m/>
    <m/>
    <m/>
    <m/>
    <m/>
    <m/>
    <m/>
    <m/>
  </r>
  <r>
    <x v="0"/>
    <m/>
    <m/>
    <m/>
    <m/>
    <m/>
    <m/>
    <m/>
    <m/>
    <m/>
    <m/>
    <m/>
    <m/>
    <m/>
  </r>
  <r>
    <x v="10"/>
    <n v="0"/>
    <n v="0"/>
    <n v="3887.0192307692309"/>
    <n v="0"/>
    <n v="3887.0192307692309"/>
    <n v="0"/>
    <n v="3887.0192307692309"/>
    <n v="0"/>
    <n v="0"/>
    <n v="0"/>
    <n v="3887.0192307692309"/>
    <n v="0"/>
    <n v="15548.076923076924"/>
  </r>
  <r>
    <x v="5"/>
    <n v="0"/>
    <n v="0"/>
    <n v="3840.0239247092286"/>
    <n v="0"/>
    <n v="3840.0239247092286"/>
    <n v="0"/>
    <n v="3840.0239247092286"/>
    <n v="0"/>
    <n v="0"/>
    <n v="0"/>
    <n v="3840.0239247092286"/>
    <n v="0"/>
    <n v="15360.095698836914"/>
  </r>
  <r>
    <x v="5"/>
    <n v="0"/>
    <n v="0"/>
    <n v="0"/>
    <n v="0"/>
    <n v="7460.6179108636443"/>
    <n v="0"/>
    <n v="0"/>
    <n v="0"/>
    <n v="0"/>
    <n v="0"/>
    <n v="0"/>
    <n v="0"/>
    <n v="7460.6179108636443"/>
  </r>
  <r>
    <x v="5"/>
    <n v="0"/>
    <n v="0"/>
    <n v="7131.4730030314249"/>
    <n v="0"/>
    <n v="0"/>
    <n v="0"/>
    <n v="7131.4730030314249"/>
    <n v="0"/>
    <n v="0"/>
    <n v="0"/>
    <n v="0"/>
    <n v="0"/>
    <n v="14262.94600606285"/>
  </r>
  <r>
    <x v="5"/>
    <n v="0"/>
    <n v="7460.6179108636443"/>
    <n v="7460.6179108636443"/>
    <n v="0"/>
    <n v="0"/>
    <n v="7460.6179108636443"/>
    <n v="0"/>
    <n v="7460.6179108636443"/>
    <n v="0"/>
    <n v="0"/>
    <n v="0"/>
    <n v="7460.6179108636443"/>
    <n v="37303.08955431822"/>
  </r>
  <r>
    <x v="5"/>
    <n v="0"/>
    <n v="10971.496927740654"/>
    <n v="0"/>
    <n v="22511.260344554248"/>
    <n v="0"/>
    <n v="22511.260344554248"/>
    <n v="0"/>
    <n v="22511.260344554248"/>
    <n v="0"/>
    <n v="16457.245391610981"/>
    <n v="0"/>
    <n v="22511.260344554248"/>
    <n v="117473.78369756862"/>
  </r>
  <r>
    <x v="5"/>
    <n v="0"/>
    <n v="0"/>
    <n v="7503.7534481847488"/>
    <n v="0"/>
    <n v="0"/>
    <n v="0"/>
    <n v="7503.7534481847488"/>
    <n v="0"/>
    <n v="0"/>
    <n v="0"/>
    <n v="5485.7484638703263"/>
    <n v="0"/>
    <n v="20493.255360239826"/>
  </r>
  <r>
    <x v="10"/>
    <n v="0"/>
    <n v="0"/>
    <n v="0"/>
    <n v="0"/>
    <n v="0"/>
    <n v="0"/>
    <n v="0"/>
    <n v="7595.5865192307692"/>
    <n v="0"/>
    <n v="0"/>
    <n v="0"/>
    <n v="0"/>
    <n v="7595.5865192307692"/>
  </r>
  <r>
    <x v="10"/>
    <n v="1.1105769230769231"/>
    <n v="0"/>
    <n v="0"/>
    <n v="0"/>
    <n v="0"/>
    <n v="0"/>
    <n v="0"/>
    <n v="0"/>
    <n v="0"/>
    <n v="0"/>
    <n v="0"/>
    <n v="0"/>
    <n v="1.1105769230769231"/>
  </r>
  <r>
    <x v="10"/>
    <n v="0"/>
    <n v="0"/>
    <n v="0"/>
    <n v="0"/>
    <n v="0"/>
    <n v="0"/>
    <n v="0"/>
    <n v="0"/>
    <n v="1665.8653846153848"/>
    <n v="0"/>
    <n v="1665.8653846153848"/>
    <n v="0"/>
    <n v="3331.7307692307695"/>
  </r>
  <r>
    <x v="10"/>
    <n v="0"/>
    <n v="0"/>
    <n v="5552.8846153846152"/>
    <n v="0"/>
    <n v="0"/>
    <n v="0"/>
    <n v="0"/>
    <n v="5552.8846153846152"/>
    <n v="5552.8846153846152"/>
    <n v="0"/>
    <n v="5552.8846153846152"/>
    <n v="0"/>
    <n v="22211.538461538461"/>
  </r>
  <r>
    <x v="10"/>
    <n v="0"/>
    <n v="0"/>
    <n v="0"/>
    <n v="0"/>
    <n v="0"/>
    <n v="4442.3076923076924"/>
    <n v="0"/>
    <n v="0"/>
    <n v="4442.3076923076924"/>
    <n v="4442.3076923076924"/>
    <n v="0"/>
    <n v="4442.3076923076924"/>
    <n v="17769.23076923077"/>
  </r>
  <r>
    <x v="6"/>
    <n v="0"/>
    <n v="0"/>
    <n v="3481.5789473684213"/>
    <n v="0"/>
    <n v="0"/>
    <n v="0"/>
    <n v="0"/>
    <n v="0"/>
    <n v="0"/>
    <n v="3481.5789473684213"/>
    <n v="0"/>
    <n v="3481.5789473684213"/>
    <n v="10444.736842105263"/>
  </r>
  <r>
    <x v="5"/>
    <n v="0"/>
    <n v="0"/>
    <n v="0"/>
    <n v="3291.4490783221963"/>
    <n v="0"/>
    <n v="0"/>
    <n v="3291.4490783221963"/>
    <n v="0"/>
    <n v="3291.4490783221963"/>
    <n v="0"/>
    <n v="0"/>
    <n v="0"/>
    <n v="9874.3472349665899"/>
  </r>
  <r>
    <x v="10"/>
    <n v="5552.8846153846152"/>
    <n v="0"/>
    <n v="0"/>
    <n v="0"/>
    <n v="5552.8846153846152"/>
    <n v="0"/>
    <n v="0"/>
    <n v="0"/>
    <n v="0"/>
    <n v="0"/>
    <n v="0"/>
    <n v="0"/>
    <n v="11105.76923076923"/>
  </r>
  <r>
    <x v="5"/>
    <n v="0"/>
    <n v="0"/>
    <n v="0"/>
    <n v="2633.1592626577567"/>
    <n v="0"/>
    <n v="0"/>
    <n v="0"/>
    <n v="0"/>
    <n v="2633.1592626577567"/>
    <n v="0"/>
    <n v="0"/>
    <n v="2633.1592626577567"/>
    <n v="7899.4777879732701"/>
  </r>
  <r>
    <x v="10"/>
    <n v="0"/>
    <n v="0"/>
    <n v="0"/>
    <n v="3198.4615384615386"/>
    <n v="0"/>
    <n v="0"/>
    <n v="0"/>
    <n v="0"/>
    <n v="3198.4615384615386"/>
    <n v="0"/>
    <n v="0"/>
    <n v="0"/>
    <n v="6396.9230769230771"/>
  </r>
  <r>
    <x v="10"/>
    <m/>
    <m/>
    <m/>
    <m/>
    <m/>
    <m/>
    <m/>
    <m/>
    <m/>
    <m/>
    <m/>
    <m/>
    <m/>
  </r>
  <r>
    <x v="5"/>
    <n v="0"/>
    <n v="2194.2993855481304"/>
    <n v="0"/>
    <n v="0"/>
    <n v="2194.2993855481304"/>
    <n v="0"/>
    <n v="2194.2993855481304"/>
    <n v="0"/>
    <n v="0"/>
    <n v="0"/>
    <n v="0"/>
    <n v="0"/>
    <n v="6582.8981566443908"/>
  </r>
  <r>
    <x v="5"/>
    <n v="0"/>
    <n v="0"/>
    <n v="0"/>
    <n v="3291.4490783221959"/>
    <n v="0"/>
    <n v="3291.4490783221959"/>
    <n v="0"/>
    <n v="6582.8981566443917"/>
    <n v="0"/>
    <n v="6582.8981566443917"/>
    <n v="0"/>
    <n v="6582.8981566443917"/>
    <n v="26331.592626577567"/>
  </r>
  <r>
    <x v="10"/>
    <n v="0"/>
    <n v="6663.461538461539"/>
    <n v="0"/>
    <n v="3331.7307692307695"/>
    <n v="3331.7307692307695"/>
    <n v="0"/>
    <n v="0"/>
    <n v="0"/>
    <n v="0"/>
    <n v="0"/>
    <n v="0"/>
    <n v="0"/>
    <n v="13326.923076923078"/>
  </r>
  <r>
    <x v="10"/>
    <n v="0"/>
    <n v="3331.7307692307695"/>
    <n v="0"/>
    <n v="0"/>
    <n v="0"/>
    <n v="0"/>
    <n v="6663.461538461539"/>
    <n v="0"/>
    <n v="0"/>
    <n v="0"/>
    <n v="0"/>
    <n v="0"/>
    <n v="9995.1923076923085"/>
  </r>
  <r>
    <x v="10"/>
    <n v="0"/>
    <n v="0"/>
    <n v="6663.461538461539"/>
    <n v="0"/>
    <n v="0"/>
    <n v="0"/>
    <n v="0"/>
    <n v="0"/>
    <n v="0"/>
    <n v="6663.461538461539"/>
    <n v="0"/>
    <n v="0"/>
    <n v="13326.923076923078"/>
  </r>
  <r>
    <x v="5"/>
    <n v="0"/>
    <n v="0"/>
    <n v="0"/>
    <n v="0"/>
    <n v="0"/>
    <n v="0"/>
    <n v="0"/>
    <n v="0"/>
    <n v="0"/>
    <n v="0"/>
    <n v="6963.1578947368416"/>
    <n v="0"/>
    <n v="6963.1578947368416"/>
  </r>
  <r>
    <x v="5"/>
    <n v="4388.5987710962618"/>
    <n v="0"/>
    <n v="0"/>
    <n v="0"/>
    <n v="0"/>
    <n v="0"/>
    <n v="3291.4490783221963"/>
    <n v="0"/>
    <n v="0"/>
    <n v="0"/>
    <n v="0"/>
    <n v="0"/>
    <n v="7680.0478494184581"/>
  </r>
  <r>
    <x v="5"/>
    <n v="0"/>
    <n v="6587.7403846153838"/>
    <n v="0"/>
    <n v="0"/>
    <n v="0"/>
    <n v="6587.7403846153838"/>
    <n v="0"/>
    <n v="0"/>
    <n v="0"/>
    <n v="0"/>
    <n v="4391.8269230769229"/>
    <n v="0"/>
    <n v="17567.307692307691"/>
  </r>
  <r>
    <x v="5"/>
    <n v="7680.0478494184572"/>
    <n v="0"/>
    <n v="0"/>
    <n v="0"/>
    <n v="0"/>
    <n v="7680.0478494184572"/>
    <n v="0"/>
    <n v="0"/>
    <n v="0"/>
    <n v="10971.496927740653"/>
    <n v="0"/>
    <n v="0"/>
    <n v="26331.592626577567"/>
  </r>
  <r>
    <x v="5"/>
    <n v="0"/>
    <n v="7905.2884615384619"/>
    <n v="0"/>
    <n v="0"/>
    <n v="0"/>
    <n v="0"/>
    <n v="7905.2884615384619"/>
    <n v="0"/>
    <n v="0"/>
    <n v="0"/>
    <n v="13175.480769230768"/>
    <n v="0"/>
    <n v="28986.057692307691"/>
  </r>
  <r>
    <x v="5"/>
    <n v="0"/>
    <n v="0"/>
    <n v="0"/>
    <n v="0"/>
    <n v="0"/>
    <n v="0"/>
    <n v="0"/>
    <n v="0"/>
    <n v="0"/>
    <n v="7680.0478494184572"/>
    <n v="0"/>
    <n v="0"/>
    <n v="7680.0478494184572"/>
  </r>
  <r>
    <x v="10"/>
    <n v="0"/>
    <n v="0"/>
    <n v="0"/>
    <n v="3331.7307692307695"/>
    <n v="0"/>
    <n v="0"/>
    <n v="0"/>
    <n v="3331.7307692307695"/>
    <n v="0"/>
    <n v="0"/>
    <n v="0"/>
    <n v="0"/>
    <n v="6663.461538461539"/>
  </r>
  <r>
    <x v="10"/>
    <n v="0"/>
    <n v="0"/>
    <n v="3553.8461538461538"/>
    <n v="0"/>
    <n v="0"/>
    <n v="0"/>
    <n v="0"/>
    <n v="3331.7307692307695"/>
    <n v="0"/>
    <n v="0"/>
    <n v="4442.3076923076924"/>
    <n v="0"/>
    <n v="11327.884615384617"/>
  </r>
  <r>
    <x v="5"/>
    <n v="0"/>
    <n v="0"/>
    <n v="0"/>
    <n v="0"/>
    <n v="0"/>
    <n v="0"/>
    <n v="0"/>
    <n v="0"/>
    <n v="2742.8742319351636"/>
    <n v="0"/>
    <n v="0"/>
    <n v="1645.7245391610982"/>
    <n v="4388.5987710962618"/>
  </r>
  <r>
    <x v="10"/>
    <n v="0"/>
    <n v="0"/>
    <n v="0"/>
    <n v="0"/>
    <n v="0"/>
    <n v="0"/>
    <n v="0"/>
    <n v="0"/>
    <n v="1999.0384615384617"/>
    <n v="0"/>
    <n v="0"/>
    <n v="0"/>
    <n v="1999.0384615384617"/>
  </r>
  <r>
    <x v="5"/>
    <n v="0"/>
    <n v="0"/>
    <n v="0"/>
    <n v="0"/>
    <n v="3510.8790168770088"/>
    <n v="0"/>
    <n v="0"/>
    <n v="0"/>
    <n v="0"/>
    <n v="1974.8694469933175"/>
    <n v="0"/>
    <n v="0"/>
    <n v="5485.7484638703263"/>
  </r>
  <r>
    <x v="10"/>
    <n v="3998.0769230769229"/>
    <n v="0"/>
    <n v="3998.0769230769229"/>
    <n v="0"/>
    <n v="3998.0769230769229"/>
    <n v="0"/>
    <n v="3998.0769230769229"/>
    <n v="0"/>
    <n v="3998.0769230769229"/>
    <n v="0"/>
    <n v="3998.0769230769229"/>
    <n v="0"/>
    <n v="23988.461538461535"/>
  </r>
  <r>
    <x v="10"/>
    <n v="3887.0192307692309"/>
    <n v="3887.0192307692309"/>
    <n v="3887.0192307692309"/>
    <n v="3887.0192307692309"/>
    <n v="3887.0192307692309"/>
    <n v="3887.0192307692309"/>
    <n v="3887.0192307692309"/>
    <n v="3887.0192307692309"/>
    <n v="3887.0192307692309"/>
    <n v="3887.0192307692309"/>
    <n v="7774.0384615384619"/>
    <n v="7774.0384615384619"/>
    <n v="54418.269230769234"/>
  </r>
  <r>
    <x v="10"/>
    <n v="0"/>
    <n v="11105.76923076923"/>
    <n v="0"/>
    <n v="0"/>
    <n v="0"/>
    <n v="11105.76923076923"/>
    <n v="0"/>
    <n v="0"/>
    <n v="0"/>
    <n v="0"/>
    <n v="0"/>
    <n v="11105.76923076923"/>
    <n v="33317.307692307688"/>
  </r>
  <r>
    <x v="5"/>
    <n v="3840.0239247092286"/>
    <n v="3840.0239247092286"/>
    <n v="3840.0239247092286"/>
    <n v="3840.0239247092286"/>
    <n v="3840.0239247092286"/>
    <n v="3840.0239247092286"/>
    <n v="3840.0239247092286"/>
    <n v="3840.0239247092286"/>
    <n v="3840.0239247092286"/>
    <n v="3840.0239247092286"/>
    <n v="3840.0239247092286"/>
    <n v="3840.0239247092286"/>
    <n v="46080.287096510729"/>
  </r>
  <r>
    <x v="5"/>
    <n v="0"/>
    <n v="0"/>
    <n v="3840.023924709229"/>
    <n v="0"/>
    <n v="3840.023924709229"/>
    <n v="0"/>
    <n v="3840.023924709229"/>
    <n v="0"/>
    <n v="3840.023924709229"/>
    <n v="0"/>
    <n v="3840.023924709229"/>
    <n v="0"/>
    <n v="19200.119623546147"/>
  </r>
  <r>
    <x v="10"/>
    <n v="3840.0239247092286"/>
    <n v="0"/>
    <n v="0"/>
    <n v="3840.0239247092286"/>
    <n v="0"/>
    <n v="0"/>
    <n v="3840.0239247092286"/>
    <n v="0"/>
    <n v="0"/>
    <n v="3840.0239247092286"/>
    <n v="0"/>
    <n v="0"/>
    <n v="15360.095698836914"/>
  </r>
  <r>
    <x v="5"/>
    <n v="0"/>
    <n v="0"/>
    <n v="0"/>
    <n v="0"/>
    <n v="0"/>
    <n v="3840.0239247092286"/>
    <n v="0"/>
    <n v="0"/>
    <n v="0"/>
    <n v="3840.0239247092286"/>
    <n v="0"/>
    <n v="0"/>
    <n v="7680.0478494184572"/>
  </r>
  <r>
    <x v="5"/>
    <n v="0"/>
    <n v="0"/>
    <n v="0"/>
    <n v="16457.245391610981"/>
    <n v="0"/>
    <n v="16457.245391610981"/>
    <n v="0"/>
    <n v="16457.245391610981"/>
    <n v="0"/>
    <n v="16457.245391610981"/>
    <n v="16457.245391610981"/>
    <n v="16457.245391610981"/>
    <n v="98743.472349665884"/>
  </r>
  <r>
    <x v="0"/>
    <m/>
    <m/>
    <m/>
    <m/>
    <m/>
    <m/>
    <m/>
    <m/>
    <m/>
    <m/>
    <m/>
    <m/>
    <m/>
  </r>
  <r>
    <x v="5"/>
    <n v="51011.597938144332"/>
    <n v="51011.597938144332"/>
    <n v="51011.597938144332"/>
    <n v="56897.551546391747"/>
    <n v="56897.551546391747"/>
    <n v="56897.551546391747"/>
    <n v="70631.443298969069"/>
    <n v="70631.443298969069"/>
    <n v="70631.443298969069"/>
    <n v="78479.381443298975"/>
    <n v="78479.381443298975"/>
    <n v="78479.381443298975"/>
    <n v="771059.92268041242"/>
  </r>
  <r>
    <x v="10"/>
    <n v="23543.81443298969"/>
    <n v="23543.81443298969"/>
    <n v="23543.81443298969"/>
    <n v="19619.84536082474"/>
    <n v="19619.84536082474"/>
    <n v="19619.84536082474"/>
    <n v="22759.020618556697"/>
    <n v="22759.020618556697"/>
    <n v="22759.020618556697"/>
    <n v="25505.798969072166"/>
    <n v="25505.798969072166"/>
    <n v="25505.798969072166"/>
    <n v="274285.43814432988"/>
  </r>
  <r>
    <x v="6"/>
    <n v="2550.5798969072162"/>
    <n v="2550.5798969072162"/>
    <n v="2550.5798969072162"/>
    <n v="2550.5798969072162"/>
    <n v="2550.5798969072162"/>
    <n v="2550.5798969072162"/>
    <n v="5297.3582474226805"/>
    <n v="5297.3582474226805"/>
    <n v="5297.3582474226805"/>
    <n v="5885.9536082474224"/>
    <n v="5885.9536082474224"/>
    <n v="5885.9536082474224"/>
    <n v="48853.414948453603"/>
  </r>
  <r>
    <x v="9"/>
    <n v="1765.7860824742268"/>
    <n v="1765.7860824742268"/>
    <n v="1765.7860824742268"/>
    <n v="3923.9690721649486"/>
    <n v="3923.9690721649486"/>
    <n v="3923.9690721649486"/>
    <n v="3923.9690721649486"/>
    <n v="3923.9690721649486"/>
    <n v="3923.9690721649486"/>
    <n v="3923.9690721649486"/>
    <n v="3923.9690721649486"/>
    <n v="3923.9690721649486"/>
    <n v="40613.079896907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K126:M137" firstHeaderRow="0" firstDataRow="1" firstDataCol="1"/>
  <pivotFields count="9">
    <pivotField showAll="0"/>
    <pivotField showAll="0"/>
    <pivotField showAll="0"/>
    <pivotField showAll="0"/>
    <pivotField showAll="0"/>
    <pivotField showAll="0"/>
    <pivotField dataField="1" showAll="0"/>
    <pivotField axis="axisRow" showAll="0">
      <items count="32">
        <item m="1" x="12"/>
        <item x="8"/>
        <item m="1" x="29"/>
        <item m="1" x="26"/>
        <item m="1" x="25"/>
        <item x="3"/>
        <item x="7"/>
        <item h="1" x="0"/>
        <item m="1" x="18"/>
        <item m="1" x="17"/>
        <item x="4"/>
        <item x="6"/>
        <item m="1" x="22"/>
        <item m="1" x="13"/>
        <item m="1" x="14"/>
        <item m="1" x="21"/>
        <item m="1" x="24"/>
        <item m="1" x="27"/>
        <item m="1" x="28"/>
        <item x="9"/>
        <item m="1" x="16"/>
        <item m="1" x="20"/>
        <item m="1" x="19"/>
        <item m="1" x="30"/>
        <item m="1" x="15"/>
        <item m="1" x="23"/>
        <item m="1" x="11"/>
        <item x="10"/>
        <item x="5"/>
        <item x="1"/>
        <item x="2"/>
        <item t="default"/>
      </items>
    </pivotField>
    <pivotField dataField="1" showAll="0"/>
  </pivotFields>
  <rowFields count="1">
    <field x="7"/>
  </rowFields>
  <rowItems count="11">
    <i>
      <x v="1"/>
    </i>
    <i>
      <x v="5"/>
    </i>
    <i>
      <x v="6"/>
    </i>
    <i>
      <x v="10"/>
    </i>
    <i>
      <x v="11"/>
    </i>
    <i>
      <x v="19"/>
    </i>
    <i>
      <x v="27"/>
    </i>
    <i>
      <x v="28"/>
    </i>
    <i>
      <x v="29"/>
    </i>
    <i>
      <x v="30"/>
    </i>
    <i t="grand">
      <x/>
    </i>
  </rowItems>
  <colFields count="1">
    <field x="-2"/>
  </colFields>
  <colItems count="2">
    <i>
      <x/>
    </i>
    <i i="1">
      <x v="1"/>
    </i>
  </colItems>
  <dataFields count="2">
    <dataField name="Sum of Tufting Prod" fld="8" baseField="7" baseItem="0" numFmtId="1"/>
    <dataField name="Sum of Req /days" fld="6" baseField="7" baseItem="0" numFmtId="1"/>
  </dataFields>
  <formats count="4">
    <format dxfId="99">
      <pivotArea outline="0" collapsedLevelsAreSubtotals="1" fieldPosition="0">
        <references count="1">
          <reference field="4294967294" count="1" selected="0">
            <x v="1"/>
          </reference>
        </references>
      </pivotArea>
    </format>
    <format dxfId="98">
      <pivotArea outline="0" collapsedLevelsAreSubtotals="1" fieldPosition="0">
        <references count="1">
          <reference field="4294967294" count="1" selected="0">
            <x v="0"/>
          </reference>
        </references>
      </pivotArea>
    </format>
    <format dxfId="97">
      <pivotArea collapsedLevelsAreSubtotals="1" fieldPosition="0">
        <references count="1">
          <reference field="7" count="1">
            <x v="5"/>
          </reference>
        </references>
      </pivotArea>
    </format>
    <format dxfId="96">
      <pivotArea dataOnly="0" labelOnly="1" fieldPosition="0">
        <references count="1">
          <reference field="7"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3:G14" firstHeaderRow="0" firstDataRow="1" firstDataCol="1"/>
  <pivotFields count="9">
    <pivotField showAll="0"/>
    <pivotField showAll="0"/>
    <pivotField showAll="0"/>
    <pivotField showAll="0"/>
    <pivotField showAll="0"/>
    <pivotField showAll="0"/>
    <pivotField dataField="1" showAll="0"/>
    <pivotField axis="axisRow" showAll="0">
      <items count="32">
        <item m="1" x="12"/>
        <item x="8"/>
        <item m="1" x="29"/>
        <item m="1" x="26"/>
        <item m="1" x="25"/>
        <item x="3"/>
        <item x="7"/>
        <item h="1" x="0"/>
        <item m="1" x="18"/>
        <item m="1" x="17"/>
        <item x="4"/>
        <item x="6"/>
        <item m="1" x="22"/>
        <item m="1" x="13"/>
        <item m="1" x="14"/>
        <item m="1" x="21"/>
        <item m="1" x="24"/>
        <item m="1" x="27"/>
        <item m="1" x="28"/>
        <item x="9"/>
        <item m="1" x="16"/>
        <item m="1" x="20"/>
        <item m="1" x="19"/>
        <item m="1" x="30"/>
        <item m="1" x="15"/>
        <item m="1" x="23"/>
        <item m="1" x="11"/>
        <item x="10"/>
        <item x="5"/>
        <item x="1"/>
        <item x="2"/>
        <item t="default"/>
      </items>
    </pivotField>
    <pivotField dataField="1" showAll="0"/>
  </pivotFields>
  <rowFields count="1">
    <field x="7"/>
  </rowFields>
  <rowItems count="11">
    <i>
      <x v="1"/>
    </i>
    <i>
      <x v="5"/>
    </i>
    <i>
      <x v="6"/>
    </i>
    <i>
      <x v="10"/>
    </i>
    <i>
      <x v="11"/>
    </i>
    <i>
      <x v="19"/>
    </i>
    <i>
      <x v="27"/>
    </i>
    <i>
      <x v="28"/>
    </i>
    <i>
      <x v="29"/>
    </i>
    <i>
      <x v="30"/>
    </i>
    <i t="grand">
      <x/>
    </i>
  </rowItems>
  <colFields count="1">
    <field x="-2"/>
  </colFields>
  <colItems count="2">
    <i>
      <x/>
    </i>
    <i i="1">
      <x v="1"/>
    </i>
  </colItems>
  <dataFields count="2">
    <dataField name="Sum of Tufting Prod" fld="8" baseField="7" baseItem="0" numFmtId="1"/>
    <dataField name="Sum of Req /days" fld="6" baseField="7" baseItem="0" numFmtId="1"/>
  </dataFields>
  <formats count="14">
    <format dxfId="113">
      <pivotArea outline="0" collapsedLevelsAreSubtotals="1" fieldPosition="0">
        <references count="1">
          <reference field="4294967294" count="1" selected="0">
            <x v="1"/>
          </reference>
        </references>
      </pivotArea>
    </format>
    <format dxfId="112">
      <pivotArea outline="0" collapsedLevelsAreSubtotals="1" fieldPosition="0">
        <references count="1">
          <reference field="4294967294" count="1" selected="0">
            <x v="0"/>
          </reference>
        </references>
      </pivotArea>
    </format>
    <format dxfId="111">
      <pivotArea collapsedLevelsAreSubtotals="1" fieldPosition="0">
        <references count="1">
          <reference field="7" count="2">
            <x v="1"/>
            <x v="5"/>
          </reference>
        </references>
      </pivotArea>
    </format>
    <format dxfId="110">
      <pivotArea dataOnly="0" labelOnly="1" fieldPosition="0">
        <references count="1">
          <reference field="7" count="2">
            <x v="1"/>
            <x v="5"/>
          </reference>
        </references>
      </pivotArea>
    </format>
    <format dxfId="109">
      <pivotArea collapsedLevelsAreSubtotals="1" fieldPosition="0">
        <references count="1">
          <reference field="7" count="5">
            <x v="19"/>
            <x v="27"/>
            <x v="28"/>
            <x v="29"/>
            <x v="30"/>
          </reference>
        </references>
      </pivotArea>
    </format>
    <format dxfId="108">
      <pivotArea dataOnly="0" labelOnly="1" fieldPosition="0">
        <references count="1">
          <reference field="7" count="5">
            <x v="19"/>
            <x v="27"/>
            <x v="28"/>
            <x v="29"/>
            <x v="30"/>
          </reference>
        </references>
      </pivotArea>
    </format>
    <format dxfId="107">
      <pivotArea collapsedLevelsAreSubtotals="1" fieldPosition="0">
        <references count="2">
          <reference field="4294967294" count="1" selected="0">
            <x v="0"/>
          </reference>
          <reference field="7" count="1">
            <x v="1"/>
          </reference>
        </references>
      </pivotArea>
    </format>
    <format dxfId="106">
      <pivotArea collapsedLevelsAreSubtotals="1" fieldPosition="0">
        <references count="2">
          <reference field="4294967294" count="1" selected="0">
            <x v="0"/>
          </reference>
          <reference field="7" count="1">
            <x v="30"/>
          </reference>
        </references>
      </pivotArea>
    </format>
    <format dxfId="105">
      <pivotArea collapsedLevelsAreSubtotals="1" fieldPosition="0">
        <references count="2">
          <reference field="4294967294" count="1" selected="0">
            <x v="0"/>
          </reference>
          <reference field="7" count="1">
            <x v="28"/>
          </reference>
        </references>
      </pivotArea>
    </format>
    <format dxfId="104">
      <pivotArea collapsedLevelsAreSubtotals="1" fieldPosition="0">
        <references count="2">
          <reference field="4294967294" count="1" selected="0">
            <x v="0"/>
          </reference>
          <reference field="7" count="1">
            <x v="19"/>
          </reference>
        </references>
      </pivotArea>
    </format>
    <format dxfId="103">
      <pivotArea collapsedLevelsAreSubtotals="1" fieldPosition="0">
        <references count="2">
          <reference field="4294967294" count="1" selected="0">
            <x v="0"/>
          </reference>
          <reference field="7" count="1">
            <x v="11"/>
          </reference>
        </references>
      </pivotArea>
    </format>
    <format dxfId="102">
      <pivotArea collapsedLevelsAreSubtotals="1" fieldPosition="0">
        <references count="2">
          <reference field="4294967294" count="1" selected="0">
            <x v="0"/>
          </reference>
          <reference field="7" count="1">
            <x v="27"/>
          </reference>
        </references>
      </pivotArea>
    </format>
    <format dxfId="101">
      <pivotArea collapsedLevelsAreSubtotals="1" fieldPosition="0">
        <references count="2">
          <reference field="4294967294" count="1" selected="0">
            <x v="0"/>
          </reference>
          <reference field="7" count="1">
            <x v="6"/>
          </reference>
        </references>
      </pivotArea>
    </format>
    <format dxfId="100">
      <pivotArea collapsedLevelsAreSubtotals="1" fieldPosition="0">
        <references count="2">
          <reference field="4294967294" count="1" selected="0">
            <x v="0"/>
          </reference>
          <reference field="7" count="1">
            <x v="2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K3:X14" firstHeaderRow="0" firstDataRow="1" firstDataCol="1"/>
  <pivotFields count="14">
    <pivotField axis="axisRow" showAll="0" defaultSubtotal="0">
      <items count="12">
        <item x="8"/>
        <item x="3"/>
        <item x="7"/>
        <item h="1" x="0"/>
        <item x="4"/>
        <item x="6"/>
        <item x="9"/>
        <item x="10"/>
        <item x="5"/>
        <item x="1"/>
        <item x="2"/>
        <item h="1" m="1" x="11"/>
      </items>
    </pivotField>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s>
  <rowFields count="1">
    <field x="0"/>
  </rowFields>
  <rowItems count="11">
    <i>
      <x/>
    </i>
    <i>
      <x v="1"/>
    </i>
    <i>
      <x v="2"/>
    </i>
    <i>
      <x v="4"/>
    </i>
    <i>
      <x v="5"/>
    </i>
    <i>
      <x v="6"/>
    </i>
    <i>
      <x v="7"/>
    </i>
    <i>
      <x v="8"/>
    </i>
    <i>
      <x v="9"/>
    </i>
    <i>
      <x v="10"/>
    </i>
    <i t="grand">
      <x/>
    </i>
  </rowItems>
  <colFields count="1">
    <field x="-2"/>
  </colFields>
  <colItems count="13">
    <i>
      <x/>
    </i>
    <i i="1">
      <x v="1"/>
    </i>
    <i i="2">
      <x v="2"/>
    </i>
    <i i="3">
      <x v="3"/>
    </i>
    <i i="4">
      <x v="4"/>
    </i>
    <i i="5">
      <x v="5"/>
    </i>
    <i i="6">
      <x v="6"/>
    </i>
    <i i="7">
      <x v="7"/>
    </i>
    <i i="8">
      <x v="8"/>
    </i>
    <i i="9">
      <x v="9"/>
    </i>
    <i i="10">
      <x v="10"/>
    </i>
    <i i="11">
      <x v="11"/>
    </i>
    <i i="12">
      <x v="12"/>
    </i>
  </colItems>
  <dataFields count="13">
    <dataField name="Sum of Apr-25" fld="1" baseField="0" baseItem="0"/>
    <dataField name="Sum of May-25" fld="2" baseField="0" baseItem="0"/>
    <dataField name="Sum of Jun-25" fld="3" baseField="0" baseItem="1"/>
    <dataField name="Sum of Jul-25" fld="4" baseField="0" baseItem="1"/>
    <dataField name="Sum of Aug-25" fld="5" baseField="0" baseItem="1"/>
    <dataField name="Sum of Sep-25" fld="6" baseField="0" baseItem="1"/>
    <dataField name="Sum of Oct-25" fld="7" baseField="0" baseItem="1"/>
    <dataField name="Sum of Nov-25" fld="8" baseField="0" baseItem="1"/>
    <dataField name="Sum of Dec-25" fld="9" baseField="0" baseItem="1"/>
    <dataField name="Sum of Jan-26" fld="10" baseField="0" baseItem="1"/>
    <dataField name="Sum of Feb-26" fld="11" baseField="0" baseItem="1"/>
    <dataField name="Sum of Mar-26" fld="12" baseField="0" baseItem="1"/>
    <dataField name="Sum of FY26" fld="13" baseField="0" baseItem="1"/>
  </dataFields>
  <formats count="1">
    <format dxfId="1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2"/>
  <sheetViews>
    <sheetView topLeftCell="C1" zoomScale="117" workbookViewId="0">
      <selection activeCell="E13" sqref="E13"/>
    </sheetView>
  </sheetViews>
  <sheetFormatPr defaultRowHeight="14.5"/>
  <cols>
    <col min="1" max="1" width="17.26953125" customWidth="1"/>
    <col min="2" max="2" width="21.7265625" bestFit="1" customWidth="1"/>
    <col min="3" max="3" width="12.7265625" bestFit="1" customWidth="1"/>
    <col min="4" max="4" width="13.453125" bestFit="1" customWidth="1"/>
    <col min="5" max="5" width="15.7265625" bestFit="1" customWidth="1"/>
    <col min="6" max="6" width="15.7265625" hidden="1" customWidth="1"/>
    <col min="7" max="7" width="12.26953125" bestFit="1" customWidth="1"/>
    <col min="8" max="8" width="15.7265625" bestFit="1" customWidth="1"/>
    <col min="9" max="9" width="13.453125" bestFit="1" customWidth="1"/>
    <col min="10" max="10" width="16.26953125" bestFit="1" customWidth="1"/>
    <col min="11" max="11" width="16.26953125" customWidth="1"/>
    <col min="12" max="12" width="15.7265625" bestFit="1" customWidth="1"/>
    <col min="13" max="13" width="18.7265625" hidden="1" customWidth="1"/>
    <col min="14" max="14" width="19.54296875" hidden="1" customWidth="1"/>
    <col min="15" max="15" width="17.1796875" hidden="1" customWidth="1"/>
    <col min="16" max="16" width="18.7265625" hidden="1" customWidth="1"/>
    <col min="17" max="17" width="19.54296875" hidden="1" customWidth="1"/>
    <col min="18" max="18" width="17.1796875" hidden="1" customWidth="1"/>
    <col min="20" max="20" width="23.1796875" bestFit="1" customWidth="1"/>
    <col min="21" max="21" width="5.7265625" bestFit="1" customWidth="1"/>
    <col min="22" max="22" width="16.1796875" bestFit="1" customWidth="1"/>
    <col min="23" max="23" width="17" bestFit="1" customWidth="1"/>
    <col min="24" max="24" width="20.7265625" bestFit="1" customWidth="1"/>
    <col min="25" max="25" width="15.453125" bestFit="1" customWidth="1"/>
    <col min="26" max="26" width="20.1796875" bestFit="1" customWidth="1"/>
    <col min="27" max="27" width="20.1796875" customWidth="1"/>
  </cols>
  <sheetData>
    <row r="1" spans="1:20">
      <c r="M1" s="1395" t="s">
        <v>1331</v>
      </c>
      <c r="N1" s="1395"/>
      <c r="O1" s="1395"/>
      <c r="P1" s="1395" t="s">
        <v>1332</v>
      </c>
      <c r="Q1" s="1395"/>
      <c r="R1" s="1395"/>
    </row>
    <row r="2" spans="1:20" ht="23.25" customHeight="1">
      <c r="A2" s="1388" t="s">
        <v>1269</v>
      </c>
      <c r="B2" s="1388"/>
      <c r="C2" s="1389" t="s">
        <v>1213</v>
      </c>
      <c r="D2" s="1389"/>
      <c r="E2" s="1389" t="s">
        <v>1214</v>
      </c>
      <c r="F2" s="1389"/>
      <c r="G2" s="1389"/>
      <c r="H2" s="1389" t="s">
        <v>1229</v>
      </c>
      <c r="I2" s="1389"/>
      <c r="J2" s="1389"/>
      <c r="K2" s="1389"/>
      <c r="L2" s="1389"/>
      <c r="M2" s="1396" t="s">
        <v>1284</v>
      </c>
      <c r="N2" s="1396" t="s">
        <v>1270</v>
      </c>
      <c r="O2" s="1396" t="s">
        <v>1271</v>
      </c>
      <c r="P2" s="1394" t="s">
        <v>1284</v>
      </c>
      <c r="Q2" s="1394" t="s">
        <v>1270</v>
      </c>
      <c r="R2" s="1394" t="s">
        <v>1271</v>
      </c>
      <c r="T2" s="1396" t="s">
        <v>1374</v>
      </c>
    </row>
    <row r="3" spans="1:20">
      <c r="A3" s="1388"/>
      <c r="B3" s="1388"/>
      <c r="C3" s="986" t="s">
        <v>9</v>
      </c>
      <c r="D3" s="986" t="s">
        <v>968</v>
      </c>
      <c r="E3" s="986" t="s">
        <v>9</v>
      </c>
      <c r="F3" s="986" t="s">
        <v>1272</v>
      </c>
      <c r="G3" s="986" t="s">
        <v>968</v>
      </c>
      <c r="H3" s="986" t="s">
        <v>1329</v>
      </c>
      <c r="I3" s="986" t="s">
        <v>1330</v>
      </c>
      <c r="J3" s="1009" t="s">
        <v>1354</v>
      </c>
      <c r="K3" s="1062" t="s">
        <v>1407</v>
      </c>
      <c r="L3" s="986" t="s">
        <v>968</v>
      </c>
      <c r="M3" s="1396"/>
      <c r="N3" s="1396"/>
      <c r="O3" s="1396"/>
      <c r="P3" s="1394"/>
      <c r="Q3" s="1394"/>
      <c r="R3" s="1394"/>
      <c r="T3" s="1396"/>
    </row>
    <row r="4" spans="1:20">
      <c r="A4" s="1388" t="s">
        <v>1273</v>
      </c>
      <c r="B4" s="13" t="s">
        <v>940</v>
      </c>
      <c r="C4" s="137">
        <v>702.13</v>
      </c>
      <c r="D4" s="137">
        <v>576.9</v>
      </c>
      <c r="E4" s="931">
        <v>554.70000000000005</v>
      </c>
      <c r="F4" s="137">
        <v>472.22</v>
      </c>
      <c r="G4" s="137">
        <v>502.76009999999997</v>
      </c>
      <c r="H4" s="959">
        <v>718.06000000000006</v>
      </c>
      <c r="I4" s="959">
        <v>736</v>
      </c>
      <c r="J4" s="959">
        <v>706.39967166528254</v>
      </c>
      <c r="K4" s="959">
        <v>714</v>
      </c>
      <c r="L4" s="579"/>
      <c r="M4" s="930">
        <f>(H4/E4)-1</f>
        <v>0.29450153235983412</v>
      </c>
      <c r="N4" s="930">
        <f>(H4/F4)-1</f>
        <v>0.52060480284613098</v>
      </c>
      <c r="O4" s="930">
        <f>(H4/G4)-1</f>
        <v>0.42823585244732043</v>
      </c>
      <c r="P4" s="809">
        <f>(I4/E4)-1</f>
        <v>0.32684333874166205</v>
      </c>
      <c r="Q4" s="809">
        <f>(I4/F4)-1</f>
        <v>0.55859556986150505</v>
      </c>
      <c r="R4" s="809">
        <f>(I4/G4)-1</f>
        <v>0.4639188750260812</v>
      </c>
      <c r="T4" s="809">
        <f>J4/E4-1</f>
        <v>0.27348056907388218</v>
      </c>
    </row>
    <row r="5" spans="1:20">
      <c r="A5" s="1388"/>
      <c r="B5" s="13" t="s">
        <v>941</v>
      </c>
      <c r="C5" s="137">
        <v>433.4899999999999</v>
      </c>
      <c r="D5" s="137">
        <v>208.78</v>
      </c>
      <c r="E5" s="931">
        <v>183.9</v>
      </c>
      <c r="F5" s="137">
        <v>130.12</v>
      </c>
      <c r="G5" s="137">
        <v>70.239999999999995</v>
      </c>
      <c r="H5" s="959">
        <v>38.050000000000004</v>
      </c>
      <c r="I5" s="959">
        <v>53</v>
      </c>
      <c r="J5" s="959">
        <v>53.239857148986118</v>
      </c>
      <c r="K5" s="959">
        <v>53</v>
      </c>
      <c r="L5" s="579"/>
      <c r="M5" s="930">
        <f t="shared" ref="M5:M6" si="0">(H5/E5)-1</f>
        <v>-0.79309407286568789</v>
      </c>
      <c r="N5" s="930">
        <f>(H5/F5)-1</f>
        <v>-0.70757762065785434</v>
      </c>
      <c r="O5" s="930">
        <f>(H5/G5)-1</f>
        <v>-0.45828587699316614</v>
      </c>
      <c r="P5" s="809">
        <f t="shared" ref="P5:P6" si="1">(I5/E5)-1</f>
        <v>-0.71179989124524201</v>
      </c>
      <c r="Q5" s="809">
        <f t="shared" ref="Q5:Q6" si="2">(I5/F5)-1</f>
        <v>-0.59268367660620969</v>
      </c>
      <c r="R5" s="809">
        <f t="shared" ref="R5:R6" si="3">(I5/G5)-1</f>
        <v>-0.24544419134396345</v>
      </c>
      <c r="T5" s="809">
        <f>J5/E5-1</f>
        <v>-0.7104956109353664</v>
      </c>
    </row>
    <row r="6" spans="1:20">
      <c r="A6" s="1388"/>
      <c r="B6" s="13" t="s">
        <v>91</v>
      </c>
      <c r="C6" s="137">
        <f>SUM(C4:C5)</f>
        <v>1135.6199999999999</v>
      </c>
      <c r="D6" s="137">
        <f>SUM(D4:D5)</f>
        <v>785.68</v>
      </c>
      <c r="E6" s="931">
        <f t="shared" ref="E6:H6" si="4">SUM(E4:E5)</f>
        <v>738.6</v>
      </c>
      <c r="F6" s="137">
        <f t="shared" si="4"/>
        <v>602.34</v>
      </c>
      <c r="G6" s="137">
        <f t="shared" si="4"/>
        <v>573.00009999999997</v>
      </c>
      <c r="H6" s="959">
        <f t="shared" si="4"/>
        <v>756.11</v>
      </c>
      <c r="I6" s="959">
        <f t="shared" ref="I6:K6" si="5">SUM(I4:I5)</f>
        <v>789</v>
      </c>
      <c r="J6" s="959">
        <f t="shared" si="5"/>
        <v>759.63952881426871</v>
      </c>
      <c r="K6" s="959">
        <f t="shared" si="5"/>
        <v>767</v>
      </c>
      <c r="L6" s="579"/>
      <c r="M6" s="930">
        <f t="shared" si="0"/>
        <v>2.3707013268345456E-2</v>
      </c>
      <c r="N6" s="930">
        <f>(H6/F6)-1</f>
        <v>0.25528771125942162</v>
      </c>
      <c r="O6" s="930">
        <f>(H6/G6)-1</f>
        <v>0.31956346953517123</v>
      </c>
      <c r="P6" s="809">
        <f t="shared" si="1"/>
        <v>6.8237205523964173E-2</v>
      </c>
      <c r="Q6" s="809">
        <f t="shared" si="2"/>
        <v>0.30989142344855058</v>
      </c>
      <c r="R6" s="809">
        <f t="shared" si="3"/>
        <v>0.3769631104776423</v>
      </c>
      <c r="T6" s="809">
        <f>J6/E6-1</f>
        <v>2.8485687536242477E-2</v>
      </c>
    </row>
    <row r="7" spans="1:20">
      <c r="A7" s="154"/>
      <c r="C7" s="607"/>
      <c r="D7" s="607"/>
      <c r="E7" s="932"/>
      <c r="F7" s="607"/>
      <c r="G7" s="607"/>
      <c r="H7" s="960"/>
      <c r="I7" s="960"/>
      <c r="J7" s="960"/>
      <c r="K7" s="960"/>
      <c r="L7" s="607"/>
      <c r="M7" s="607"/>
      <c r="N7" s="607"/>
      <c r="O7" s="607"/>
      <c r="T7" s="13"/>
    </row>
    <row r="8" spans="1:20">
      <c r="A8" s="1388" t="s">
        <v>1274</v>
      </c>
      <c r="B8" s="13" t="s">
        <v>940</v>
      </c>
      <c r="C8" s="933">
        <f>C4/12</f>
        <v>58.510833333333331</v>
      </c>
      <c r="D8" s="933">
        <f t="shared" ref="D8:H9" si="6">D4/12</f>
        <v>48.074999999999996</v>
      </c>
      <c r="E8" s="934">
        <f t="shared" si="6"/>
        <v>46.225000000000001</v>
      </c>
      <c r="F8" s="933">
        <f t="shared" si="6"/>
        <v>39.351666666666667</v>
      </c>
      <c r="G8" s="933">
        <f t="shared" si="6"/>
        <v>41.896674999999995</v>
      </c>
      <c r="H8" s="961">
        <f t="shared" si="6"/>
        <v>59.838333333333338</v>
      </c>
      <c r="I8" s="961">
        <f t="shared" ref="I8:J8" si="7">I4/12</f>
        <v>61.333333333333336</v>
      </c>
      <c r="J8" s="961">
        <f t="shared" si="7"/>
        <v>58.866639305440209</v>
      </c>
      <c r="K8" s="961">
        <f t="shared" ref="K8" si="8">K4/12</f>
        <v>59.5</v>
      </c>
      <c r="L8" s="579"/>
      <c r="M8" s="930">
        <f>(H8/E8)-1</f>
        <v>0.29450153235983412</v>
      </c>
      <c r="N8" s="930">
        <f>(H8/F8)-1</f>
        <v>0.5206048028461312</v>
      </c>
      <c r="O8" s="930">
        <f>(H8/G8)-1</f>
        <v>0.42823585244732065</v>
      </c>
      <c r="P8" s="809">
        <f>(I8/E8)-1</f>
        <v>0.32684333874166227</v>
      </c>
      <c r="Q8" s="809">
        <f>(I8/F8)-1</f>
        <v>0.55859556986150527</v>
      </c>
      <c r="R8" s="809">
        <f>(I8/G8)-1</f>
        <v>0.4639188750260812</v>
      </c>
      <c r="T8" s="809">
        <f t="shared" ref="T8:T10" si="9">J8/E8-1</f>
        <v>0.27348056907388218</v>
      </c>
    </row>
    <row r="9" spans="1:20">
      <c r="A9" s="1388"/>
      <c r="B9" s="13" t="s">
        <v>941</v>
      </c>
      <c r="C9" s="933">
        <f t="shared" ref="C9:H9" si="10">C5/12</f>
        <v>36.12416666666666</v>
      </c>
      <c r="D9" s="933">
        <f t="shared" si="10"/>
        <v>17.398333333333333</v>
      </c>
      <c r="E9" s="934">
        <f t="shared" si="6"/>
        <v>15.325000000000001</v>
      </c>
      <c r="F9" s="933">
        <f t="shared" si="10"/>
        <v>10.843333333333334</v>
      </c>
      <c r="G9" s="933">
        <f t="shared" si="10"/>
        <v>5.8533333333333326</v>
      </c>
      <c r="H9" s="961">
        <f t="shared" si="10"/>
        <v>3.1708333333333338</v>
      </c>
      <c r="I9" s="961">
        <f t="shared" ref="I9:J9" si="11">I5/12</f>
        <v>4.416666666666667</v>
      </c>
      <c r="J9" s="961">
        <f t="shared" si="11"/>
        <v>4.4366547624155102</v>
      </c>
      <c r="K9" s="961">
        <f t="shared" ref="K9" si="12">K5/12</f>
        <v>4.416666666666667</v>
      </c>
      <c r="L9" s="579"/>
      <c r="M9" s="930">
        <f t="shared" ref="M9:M10" si="13">(H9/E9)-1</f>
        <v>-0.79309407286568789</v>
      </c>
      <c r="N9" s="930">
        <f>(H9/F9)-1</f>
        <v>-0.70757762065785423</v>
      </c>
      <c r="O9" s="930">
        <f>(H9/G9)-1</f>
        <v>-0.45828587699316614</v>
      </c>
      <c r="P9" s="809">
        <f t="shared" ref="P9:P10" si="14">(I9/E9)-1</f>
        <v>-0.7117998912452419</v>
      </c>
      <c r="Q9" s="809">
        <f t="shared" ref="Q9:Q10" si="15">(I9/F9)-1</f>
        <v>-0.59268367660620958</v>
      </c>
      <c r="R9" s="809">
        <f t="shared" ref="R9:R10" si="16">(I9/G9)-1</f>
        <v>-0.24544419134396345</v>
      </c>
      <c r="T9" s="809">
        <f t="shared" si="9"/>
        <v>-0.7104956109353664</v>
      </c>
    </row>
    <row r="10" spans="1:20">
      <c r="A10" s="1388"/>
      <c r="B10" s="13" t="s">
        <v>91</v>
      </c>
      <c r="C10" s="933">
        <f>SUM(C8:C9)</f>
        <v>94.634999999999991</v>
      </c>
      <c r="D10" s="933">
        <f t="shared" ref="D10:H10" si="17">SUM(D8:D9)</f>
        <v>65.473333333333329</v>
      </c>
      <c r="E10" s="934">
        <f t="shared" si="17"/>
        <v>61.550000000000004</v>
      </c>
      <c r="F10" s="933">
        <f t="shared" si="17"/>
        <v>50.195</v>
      </c>
      <c r="G10" s="933">
        <f t="shared" si="17"/>
        <v>47.750008333333327</v>
      </c>
      <c r="H10" s="961">
        <f t="shared" si="17"/>
        <v>63.009166666666673</v>
      </c>
      <c r="I10" s="961">
        <f t="shared" ref="I10:J10" si="18">SUM(I8:I9)</f>
        <v>65.75</v>
      </c>
      <c r="J10" s="961">
        <f t="shared" si="18"/>
        <v>63.303294067855717</v>
      </c>
      <c r="K10" s="961">
        <f t="shared" ref="K10" si="19">SUM(K8:K9)</f>
        <v>63.916666666666664</v>
      </c>
      <c r="L10" s="579"/>
      <c r="M10" s="930">
        <f t="shared" si="13"/>
        <v>2.3707013268345456E-2</v>
      </c>
      <c r="N10" s="930">
        <f>(H10/F10)-1</f>
        <v>0.25528771125942162</v>
      </c>
      <c r="O10" s="930">
        <f>(H10/G10)-1</f>
        <v>0.31956346953517145</v>
      </c>
      <c r="P10" s="809">
        <f t="shared" si="14"/>
        <v>6.8237205523964173E-2</v>
      </c>
      <c r="Q10" s="809">
        <f t="shared" si="15"/>
        <v>0.30989142344855058</v>
      </c>
      <c r="R10" s="809">
        <f t="shared" si="16"/>
        <v>0.3769631104776423</v>
      </c>
      <c r="T10" s="809">
        <f t="shared" si="9"/>
        <v>2.8485687536242255E-2</v>
      </c>
    </row>
    <row r="11" spans="1:20">
      <c r="A11" s="1036"/>
      <c r="B11" s="22"/>
      <c r="C11" s="1027"/>
      <c r="D11" s="1027"/>
      <c r="E11" s="1028"/>
      <c r="F11" s="1027"/>
      <c r="G11" s="1027"/>
      <c r="H11" s="1029"/>
      <c r="I11" s="1029"/>
      <c r="J11" s="1029"/>
      <c r="K11" s="1029"/>
      <c r="L11" s="1030"/>
      <c r="M11" s="1031"/>
      <c r="N11" s="1031"/>
      <c r="O11" s="1031"/>
      <c r="P11" s="853"/>
      <c r="Q11" s="853"/>
      <c r="R11" s="853"/>
      <c r="T11" s="13"/>
    </row>
    <row r="12" spans="1:20" ht="15" customHeight="1">
      <c r="A12" s="1409" t="s">
        <v>1360</v>
      </c>
      <c r="B12" s="13" t="s">
        <v>1030</v>
      </c>
      <c r="C12" s="937">
        <v>1773</v>
      </c>
      <c r="D12" s="937">
        <v>1660</v>
      </c>
      <c r="E12" s="1034">
        <v>1589.6666666666667</v>
      </c>
      <c r="F12" s="937"/>
      <c r="G12" s="937">
        <v>1561</v>
      </c>
      <c r="H12" s="1035">
        <v>1607</v>
      </c>
      <c r="I12" s="1035">
        <v>1642.2083333333333</v>
      </c>
      <c r="J12" s="1035">
        <v>1593.875</v>
      </c>
      <c r="K12" s="1035"/>
      <c r="L12" s="579"/>
      <c r="M12" s="1031"/>
      <c r="N12" s="1031"/>
      <c r="O12" s="1031"/>
      <c r="P12" s="853"/>
      <c r="Q12" s="853"/>
      <c r="R12" s="853"/>
      <c r="T12" s="809">
        <f t="shared" ref="T12:T14" si="20">J12/E12-1</f>
        <v>2.6473055147828717E-3</v>
      </c>
    </row>
    <row r="13" spans="1:20">
      <c r="A13" s="1410"/>
      <c r="B13" s="13" t="s">
        <v>1283</v>
      </c>
      <c r="C13" s="937">
        <v>529</v>
      </c>
      <c r="D13" s="937">
        <v>373</v>
      </c>
      <c r="E13" s="1034">
        <v>245</v>
      </c>
      <c r="F13" s="937"/>
      <c r="G13" s="937">
        <v>178</v>
      </c>
      <c r="H13" s="1035">
        <v>66</v>
      </c>
      <c r="I13" s="1035">
        <v>66</v>
      </c>
      <c r="J13" s="1035">
        <v>66</v>
      </c>
      <c r="K13" s="1035"/>
      <c r="L13" s="579"/>
      <c r="M13" s="1031"/>
      <c r="N13" s="1031"/>
      <c r="O13" s="1031"/>
      <c r="P13" s="853"/>
      <c r="Q13" s="853"/>
      <c r="R13" s="853"/>
      <c r="T13" s="809">
        <f t="shared" si="20"/>
        <v>-0.73061224489795917</v>
      </c>
    </row>
    <row r="14" spans="1:20">
      <c r="A14" s="1410"/>
      <c r="B14" s="13" t="s">
        <v>91</v>
      </c>
      <c r="C14" s="937">
        <f t="shared" ref="C14:J14" si="21">SUM(C12:C13)</f>
        <v>2302</v>
      </c>
      <c r="D14" s="937">
        <f t="shared" si="21"/>
        <v>2033</v>
      </c>
      <c r="E14" s="1035">
        <f t="shared" si="21"/>
        <v>1834.6666666666667</v>
      </c>
      <c r="F14" s="937"/>
      <c r="G14" s="937">
        <f t="shared" si="21"/>
        <v>1739</v>
      </c>
      <c r="H14" s="1035">
        <f t="shared" si="21"/>
        <v>1673</v>
      </c>
      <c r="I14" s="1035">
        <f t="shared" si="21"/>
        <v>1708.2083333333333</v>
      </c>
      <c r="J14" s="1035">
        <f t="shared" si="21"/>
        <v>1659.875</v>
      </c>
      <c r="K14" s="1035"/>
      <c r="L14" s="579"/>
      <c r="M14" s="1031"/>
      <c r="N14" s="1031"/>
      <c r="O14" s="1031"/>
      <c r="P14" s="853"/>
      <c r="Q14" s="853"/>
      <c r="R14" s="853"/>
      <c r="T14" s="809">
        <f t="shared" si="20"/>
        <v>-9.5271620639534871E-2</v>
      </c>
    </row>
    <row r="15" spans="1:20">
      <c r="C15" s="607"/>
      <c r="D15" s="607"/>
      <c r="E15" s="607"/>
      <c r="F15" s="607"/>
      <c r="G15" s="607"/>
      <c r="H15" s="610"/>
      <c r="I15" s="607"/>
      <c r="J15" s="607"/>
      <c r="K15" s="607"/>
      <c r="L15" s="607"/>
      <c r="M15" s="607"/>
      <c r="N15" s="607"/>
      <c r="O15" s="607"/>
    </row>
    <row r="16" spans="1:20">
      <c r="A16" s="607"/>
      <c r="B16" s="607"/>
      <c r="C16" s="607"/>
      <c r="D16" s="607"/>
      <c r="E16" s="607"/>
      <c r="F16" s="607"/>
      <c r="G16" s="607"/>
      <c r="H16" s="607"/>
      <c r="I16" s="607"/>
      <c r="J16" s="607"/>
      <c r="K16" s="607"/>
      <c r="L16" s="607"/>
      <c r="M16" s="607"/>
      <c r="N16" s="607"/>
      <c r="O16" s="607"/>
    </row>
    <row r="17" spans="1:6">
      <c r="E17" s="607"/>
    </row>
    <row r="18" spans="1:6" hidden="1">
      <c r="A18" s="1388" t="s">
        <v>1269</v>
      </c>
      <c r="B18" s="1388"/>
      <c r="C18" s="1390" t="s">
        <v>1329</v>
      </c>
      <c r="D18" s="1392" t="s">
        <v>1330</v>
      </c>
      <c r="E18" s="1392" t="s">
        <v>1354</v>
      </c>
    </row>
    <row r="19" spans="1:6" hidden="1">
      <c r="A19" s="1388"/>
      <c r="B19" s="1388"/>
      <c r="C19" s="1391"/>
      <c r="D19" s="1393"/>
      <c r="E19" s="1393"/>
    </row>
    <row r="20" spans="1:6" hidden="1">
      <c r="A20" s="1412" t="s">
        <v>1273</v>
      </c>
      <c r="B20" s="13" t="s">
        <v>940</v>
      </c>
      <c r="C20" s="1025">
        <v>718.06000000000006</v>
      </c>
      <c r="D20" s="1025">
        <v>736</v>
      </c>
      <c r="E20" s="1025">
        <v>706.39967166528254</v>
      </c>
    </row>
    <row r="21" spans="1:6" hidden="1">
      <c r="A21" s="1412"/>
      <c r="B21" s="13" t="s">
        <v>941</v>
      </c>
      <c r="C21" s="1025">
        <v>38.050000000000004</v>
      </c>
      <c r="D21" s="1025">
        <v>53</v>
      </c>
      <c r="E21" s="1025">
        <v>53.239857148986118</v>
      </c>
    </row>
    <row r="22" spans="1:6" hidden="1">
      <c r="A22" s="1412"/>
      <c r="B22" s="13" t="s">
        <v>91</v>
      </c>
      <c r="C22" s="1025">
        <f t="shared" ref="C22:E22" si="22">SUM(C20:C21)</f>
        <v>756.11</v>
      </c>
      <c r="D22" s="1025">
        <f t="shared" si="22"/>
        <v>789</v>
      </c>
      <c r="E22" s="1025">
        <f t="shared" si="22"/>
        <v>759.63952881426871</v>
      </c>
    </row>
    <row r="23" spans="1:6" hidden="1"/>
    <row r="24" spans="1:6" hidden="1">
      <c r="A24" s="1412" t="s">
        <v>1274</v>
      </c>
      <c r="B24" s="13" t="s">
        <v>940</v>
      </c>
      <c r="C24" s="1026">
        <f t="shared" ref="C24:E24" si="23">C20/12</f>
        <v>59.838333333333338</v>
      </c>
      <c r="D24" s="1026">
        <f t="shared" si="23"/>
        <v>61.333333333333336</v>
      </c>
      <c r="E24" s="1026">
        <f t="shared" si="23"/>
        <v>58.866639305440209</v>
      </c>
    </row>
    <row r="25" spans="1:6" hidden="1">
      <c r="A25" s="1412"/>
      <c r="B25" s="13" t="s">
        <v>941</v>
      </c>
      <c r="C25" s="1026">
        <f t="shared" ref="C25:E25" si="24">C21/12</f>
        <v>3.1708333333333338</v>
      </c>
      <c r="D25" s="1026">
        <f t="shared" si="24"/>
        <v>4.416666666666667</v>
      </c>
      <c r="E25" s="1026">
        <f t="shared" si="24"/>
        <v>4.4366547624155102</v>
      </c>
    </row>
    <row r="26" spans="1:6" hidden="1">
      <c r="A26" s="1412"/>
      <c r="B26" s="13" t="s">
        <v>91</v>
      </c>
      <c r="C26" s="1026">
        <f t="shared" ref="C26:E26" si="25">SUM(C24:C25)</f>
        <v>63.009166666666673</v>
      </c>
      <c r="D26" s="1026">
        <f t="shared" si="25"/>
        <v>65.75</v>
      </c>
      <c r="E26" s="1026">
        <f t="shared" si="25"/>
        <v>63.303294067855717</v>
      </c>
    </row>
    <row r="27" spans="1:6" hidden="1"/>
    <row r="29" spans="1:6">
      <c r="A29" s="1409" t="s">
        <v>1360</v>
      </c>
      <c r="B29" s="1389" t="s">
        <v>1036</v>
      </c>
      <c r="C29" s="1389" t="s">
        <v>1329</v>
      </c>
      <c r="D29" s="1389" t="s">
        <v>1330</v>
      </c>
      <c r="E29" s="1389" t="s">
        <v>1354</v>
      </c>
    </row>
    <row r="30" spans="1:6">
      <c r="A30" s="1410"/>
      <c r="B30" s="1389"/>
      <c r="C30" s="1389"/>
      <c r="D30" s="1389"/>
      <c r="E30" s="1389"/>
    </row>
    <row r="31" spans="1:6" ht="15" customHeight="1">
      <c r="A31" s="1410"/>
      <c r="B31" s="13" t="s">
        <v>1030</v>
      </c>
      <c r="C31" s="1024">
        <v>1609</v>
      </c>
      <c r="D31" s="1024">
        <v>1642.2083333333333</v>
      </c>
      <c r="E31" s="1024">
        <v>1593.875</v>
      </c>
      <c r="F31" s="1023"/>
    </row>
    <row r="32" spans="1:6">
      <c r="A32" s="1411"/>
      <c r="B32" s="13" t="s">
        <v>1283</v>
      </c>
      <c r="C32" s="1024">
        <v>66</v>
      </c>
      <c r="D32" s="1024">
        <v>66</v>
      </c>
      <c r="E32" s="1024">
        <v>66</v>
      </c>
      <c r="F32" s="1023"/>
    </row>
    <row r="33" spans="1:27">
      <c r="A33" s="1407" t="s">
        <v>91</v>
      </c>
      <c r="B33" s="1408"/>
      <c r="C33" s="1018">
        <f>SUM(C31:C32)</f>
        <v>1675</v>
      </c>
      <c r="D33" s="1018">
        <f>SUM(D31:D32)</f>
        <v>1708.2083333333333</v>
      </c>
      <c r="E33" s="1018">
        <f>SUM(E31:E32)</f>
        <v>1659.875</v>
      </c>
    </row>
    <row r="35" spans="1:27">
      <c r="A35" s="1402" t="s">
        <v>1363</v>
      </c>
      <c r="B35" s="13" t="s">
        <v>1361</v>
      </c>
      <c r="C35" s="10">
        <v>1293651.6356221868</v>
      </c>
      <c r="D35" s="10">
        <v>1425035.0862505252</v>
      </c>
      <c r="E35" s="10">
        <v>1332969.6090216632</v>
      </c>
    </row>
    <row r="36" spans="1:27" ht="15" hidden="1" customHeight="1">
      <c r="A36" s="1402"/>
      <c r="B36" s="1033" t="s">
        <v>48</v>
      </c>
      <c r="C36" s="10">
        <f t="shared" ref="C36:E37" si="26">C40</f>
        <v>188021.93239961014</v>
      </c>
      <c r="D36" s="10">
        <f t="shared" si="26"/>
        <v>180072.80959259256</v>
      </c>
      <c r="E36" s="10">
        <f t="shared" si="26"/>
        <v>180072.80959259256</v>
      </c>
    </row>
    <row r="37" spans="1:27" ht="15" hidden="1" customHeight="1">
      <c r="A37" s="1402"/>
      <c r="B37" s="1033" t="s">
        <v>33</v>
      </c>
      <c r="C37" s="10">
        <f t="shared" si="26"/>
        <v>185651.87883771933</v>
      </c>
      <c r="D37" s="10">
        <f t="shared" si="26"/>
        <v>186607.73157894739</v>
      </c>
      <c r="E37" s="10">
        <f t="shared" si="26"/>
        <v>186160.7140350877</v>
      </c>
    </row>
    <row r="38" spans="1:27" ht="15" hidden="1" customHeight="1">
      <c r="A38" s="1402"/>
      <c r="B38" s="1033" t="s">
        <v>280</v>
      </c>
      <c r="C38" s="10">
        <f>C42+C43</f>
        <v>919977.8243848572</v>
      </c>
      <c r="D38" s="10">
        <f>D42+D43</f>
        <v>1058354.5450789852</v>
      </c>
      <c r="E38" s="10">
        <f>E42+E43</f>
        <v>966736.08539398294</v>
      </c>
    </row>
    <row r="39" spans="1:27">
      <c r="A39" s="1402"/>
      <c r="B39" s="13" t="s">
        <v>1362</v>
      </c>
      <c r="C39" s="10">
        <f t="shared" ref="C39:D39" si="27">SUM(C40:C42)</f>
        <v>648616.84172168048</v>
      </c>
      <c r="D39" s="10">
        <f t="shared" si="27"/>
        <v>620856.67869097856</v>
      </c>
      <c r="E39" s="10">
        <f>SUM(E40:E42)</f>
        <v>619313.41649532935</v>
      </c>
    </row>
    <row r="40" spans="1:27" ht="15" hidden="1" customHeight="1">
      <c r="A40" s="1402"/>
      <c r="B40" s="1033" t="s">
        <v>48</v>
      </c>
      <c r="C40" s="10">
        <v>188021.93239961014</v>
      </c>
      <c r="D40" s="10">
        <v>180072.80959259256</v>
      </c>
      <c r="E40" s="10">
        <v>180072.80959259256</v>
      </c>
    </row>
    <row r="41" spans="1:27" ht="15" hidden="1" customHeight="1">
      <c r="A41" s="1402"/>
      <c r="B41" s="1033" t="s">
        <v>33</v>
      </c>
      <c r="C41" s="10">
        <v>185651.87883771933</v>
      </c>
      <c r="D41" s="10">
        <v>186607.73157894739</v>
      </c>
      <c r="E41" s="10">
        <v>186160.7140350877</v>
      </c>
    </row>
    <row r="42" spans="1:27" ht="15" hidden="1" customHeight="1">
      <c r="A42" s="1402"/>
      <c r="B42" s="1033" t="s">
        <v>280</v>
      </c>
      <c r="C42" s="10">
        <v>274943.03048435092</v>
      </c>
      <c r="D42" s="10">
        <v>254176.13751943861</v>
      </c>
      <c r="E42" s="10">
        <v>253079.89286764909</v>
      </c>
    </row>
    <row r="43" spans="1:27">
      <c r="A43" s="1402"/>
      <c r="B43" s="13" t="s">
        <v>242</v>
      </c>
      <c r="C43" s="10">
        <f>C35-C39</f>
        <v>645034.79390050634</v>
      </c>
      <c r="D43" s="10">
        <f>D35-D39</f>
        <v>804178.40755954664</v>
      </c>
      <c r="E43" s="10">
        <f>E35-E39</f>
        <v>713656.19252633385</v>
      </c>
    </row>
    <row r="46" spans="1:27">
      <c r="C46" s="41">
        <f>C35/30.5/C31</f>
        <v>26.36097434761815</v>
      </c>
      <c r="D46" s="41">
        <f>D35/30.5/D31</f>
        <v>28.450995465016835</v>
      </c>
      <c r="E46" s="41">
        <f>E35/30.5/E31</f>
        <v>27.419917877667725</v>
      </c>
    </row>
    <row r="48" spans="1:27" ht="15.5">
      <c r="T48" s="1403" t="s">
        <v>1269</v>
      </c>
      <c r="U48" s="1404"/>
      <c r="V48" s="1397" t="s">
        <v>1229</v>
      </c>
      <c r="W48" s="1398"/>
      <c r="X48" s="1398"/>
      <c r="Y48" s="1398"/>
      <c r="Z48" s="1398"/>
      <c r="AA48" s="1398"/>
    </row>
    <row r="49" spans="20:27" ht="15.5">
      <c r="T49" s="1405"/>
      <c r="U49" s="1406"/>
      <c r="V49" s="1037" t="s">
        <v>1329</v>
      </c>
      <c r="W49" s="1037" t="s">
        <v>1330</v>
      </c>
      <c r="X49" s="1037" t="s">
        <v>1354</v>
      </c>
      <c r="Y49" s="1038" t="s">
        <v>1352</v>
      </c>
      <c r="Z49" s="1038" t="s">
        <v>1353</v>
      </c>
      <c r="AA49" s="1038" t="s">
        <v>1373</v>
      </c>
    </row>
    <row r="50" spans="20:27" ht="15.75" customHeight="1">
      <c r="T50" s="1399" t="s">
        <v>1273</v>
      </c>
      <c r="U50" s="1039" t="s">
        <v>940</v>
      </c>
      <c r="V50" s="1040">
        <v>718</v>
      </c>
      <c r="W50" s="1040">
        <v>736</v>
      </c>
      <c r="X50" s="1041">
        <v>706.39967166528254</v>
      </c>
      <c r="Y50" s="1039" t="s">
        <v>1367</v>
      </c>
      <c r="Z50" s="1039" t="s">
        <v>1368</v>
      </c>
      <c r="AA50" s="9">
        <v>1593.875</v>
      </c>
    </row>
    <row r="51" spans="20:27" ht="15.5">
      <c r="T51" s="1400"/>
      <c r="U51" s="1039" t="s">
        <v>941</v>
      </c>
      <c r="V51" s="1040">
        <v>38</v>
      </c>
      <c r="W51" s="1040">
        <v>53</v>
      </c>
      <c r="X51" s="1041">
        <v>53.239857148986118</v>
      </c>
      <c r="Y51" s="1039" t="s">
        <v>1369</v>
      </c>
      <c r="Z51" s="1039" t="s">
        <v>1370</v>
      </c>
      <c r="AA51" s="9">
        <v>66</v>
      </c>
    </row>
    <row r="52" spans="20:27" ht="15.5">
      <c r="T52" s="1401"/>
      <c r="U52" s="1039" t="s">
        <v>91</v>
      </c>
      <c r="V52" s="1040">
        <v>756</v>
      </c>
      <c r="W52" s="1040">
        <v>789</v>
      </c>
      <c r="X52" s="1041">
        <v>759.63952881426871</v>
      </c>
      <c r="Y52" s="1039" t="s">
        <v>1371</v>
      </c>
      <c r="Z52" s="1039" t="s">
        <v>1372</v>
      </c>
      <c r="AA52" s="9">
        <f>SUM(AA50:AA51)</f>
        <v>1659.875</v>
      </c>
    </row>
  </sheetData>
  <mergeCells count="32">
    <mergeCell ref="V48:AA48"/>
    <mergeCell ref="T50:T52"/>
    <mergeCell ref="T2:T3"/>
    <mergeCell ref="A35:A43"/>
    <mergeCell ref="T48:U49"/>
    <mergeCell ref="B29:B30"/>
    <mergeCell ref="A33:B33"/>
    <mergeCell ref="A29:A32"/>
    <mergeCell ref="A12:A14"/>
    <mergeCell ref="E18:E19"/>
    <mergeCell ref="D29:D30"/>
    <mergeCell ref="E29:E30"/>
    <mergeCell ref="C29:C30"/>
    <mergeCell ref="A18:B19"/>
    <mergeCell ref="A20:A22"/>
    <mergeCell ref="A24:A26"/>
    <mergeCell ref="C18:C19"/>
    <mergeCell ref="D18:D19"/>
    <mergeCell ref="Q2:Q3"/>
    <mergeCell ref="R2:R3"/>
    <mergeCell ref="M1:O1"/>
    <mergeCell ref="P1:R1"/>
    <mergeCell ref="O2:O3"/>
    <mergeCell ref="M2:M3"/>
    <mergeCell ref="N2:N3"/>
    <mergeCell ref="P2:P3"/>
    <mergeCell ref="H2:L2"/>
    <mergeCell ref="A4:A6"/>
    <mergeCell ref="A8:A10"/>
    <mergeCell ref="A2:B3"/>
    <mergeCell ref="C2:D2"/>
    <mergeCell ref="E2: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63"/>
  <sheetViews>
    <sheetView workbookViewId="0">
      <pane xSplit="4" ySplit="3" topLeftCell="G38" activePane="bottomRight" state="frozen"/>
      <selection pane="topRight" activeCell="E1" sqref="E1"/>
      <selection pane="bottomLeft" activeCell="A4" sqref="A4"/>
      <selection pane="bottomRight" activeCell="Q44" sqref="Q44"/>
    </sheetView>
  </sheetViews>
  <sheetFormatPr defaultRowHeight="14.5"/>
  <cols>
    <col min="1" max="1" width="9.54296875" customWidth="1"/>
    <col min="2" max="2" width="22.453125" style="607" customWidth="1"/>
    <col min="3" max="3" width="8.453125" style="607" bestFit="1" customWidth="1"/>
    <col min="4" max="4" width="5.453125" style="607" bestFit="1" customWidth="1"/>
    <col min="5" max="5" width="10" style="607" bestFit="1" customWidth="1"/>
    <col min="6" max="6" width="9.26953125" style="607" bestFit="1" customWidth="1"/>
    <col min="7" max="7" width="9.1796875" style="607"/>
    <col min="8" max="12" width="9.1796875" style="607" hidden="1" customWidth="1"/>
    <col min="13" max="13" width="11" style="607" hidden="1" customWidth="1"/>
    <col min="14" max="14" width="12.54296875" style="607" bestFit="1" customWidth="1"/>
    <col min="15" max="15" width="22.453125" style="607" customWidth="1"/>
    <col min="16" max="16" width="10" style="607" customWidth="1"/>
    <col min="17" max="17" width="9.26953125" style="607" bestFit="1" customWidth="1"/>
    <col min="18" max="22" width="9.26953125" style="607" hidden="1" customWidth="1"/>
    <col min="23" max="23" width="10.81640625" style="607" bestFit="1" customWidth="1"/>
    <col min="24" max="24" width="52.54296875" style="607" customWidth="1"/>
  </cols>
  <sheetData>
    <row r="1" spans="1:24" ht="15" customHeight="1">
      <c r="A1" s="1413" t="s">
        <v>270</v>
      </c>
      <c r="B1" s="1389" t="s">
        <v>1092</v>
      </c>
      <c r="C1" s="1389"/>
      <c r="D1" s="1389"/>
      <c r="E1" s="1389"/>
      <c r="F1" s="1389"/>
      <c r="G1" s="1420"/>
      <c r="H1" s="902"/>
      <c r="I1" s="902"/>
      <c r="J1" s="902"/>
      <c r="K1" s="902"/>
      <c r="L1" s="902"/>
      <c r="O1" s="1415" t="s">
        <v>1365</v>
      </c>
      <c r="P1" s="1416"/>
      <c r="Q1" s="1416"/>
      <c r="R1" s="1416"/>
      <c r="S1" s="1416"/>
      <c r="T1" s="1416"/>
      <c r="U1" s="1416"/>
      <c r="V1" s="1416"/>
      <c r="W1" s="1416"/>
    </row>
    <row r="2" spans="1:24" ht="15" customHeight="1">
      <c r="A2" s="1413"/>
      <c r="B2" s="1389" t="s">
        <v>1091</v>
      </c>
      <c r="C2" s="1389"/>
      <c r="D2" s="1389"/>
      <c r="E2" s="1389"/>
      <c r="F2" s="1389"/>
      <c r="G2" s="1420"/>
      <c r="H2" s="902"/>
      <c r="I2" s="902"/>
      <c r="J2" s="902"/>
      <c r="K2" s="902"/>
      <c r="L2" s="902"/>
      <c r="M2" s="607" t="e">
        <f>ROUNDUP(G2*J2,0)*+M2:M39I2</f>
        <v>#NAME?</v>
      </c>
      <c r="O2" s="1417" t="s">
        <v>1091</v>
      </c>
      <c r="P2" s="1418"/>
      <c r="Q2" s="1418"/>
      <c r="R2" s="1418"/>
      <c r="S2" s="1418"/>
      <c r="T2" s="1418"/>
      <c r="U2" s="1418"/>
      <c r="V2" s="1418"/>
      <c r="W2" s="1419"/>
    </row>
    <row r="3" spans="1:24">
      <c r="A3" s="1414"/>
      <c r="B3" s="902" t="s">
        <v>0</v>
      </c>
      <c r="C3" s="902" t="s">
        <v>100</v>
      </c>
      <c r="D3" s="902" t="s">
        <v>101</v>
      </c>
      <c r="E3" s="902" t="s">
        <v>47</v>
      </c>
      <c r="F3" s="987" t="s">
        <v>1090</v>
      </c>
      <c r="G3" s="986" t="s">
        <v>537</v>
      </c>
      <c r="H3" s="1003" t="s">
        <v>428</v>
      </c>
      <c r="I3" s="902" t="s">
        <v>1094</v>
      </c>
      <c r="J3" s="902" t="s">
        <v>1095</v>
      </c>
      <c r="K3" s="902" t="s">
        <v>1096</v>
      </c>
      <c r="L3" s="902" t="s">
        <v>91</v>
      </c>
      <c r="O3" s="995" t="str">
        <f>'Workmen Category'!A2</f>
        <v>Section</v>
      </c>
      <c r="P3" s="995" t="str">
        <f>'Workmen Category'!BW2</f>
        <v>Avg Prodn</v>
      </c>
      <c r="Q3" s="995" t="str">
        <f>'Workmen Category'!BX2</f>
        <v>Avg</v>
      </c>
      <c r="R3" s="995" t="str">
        <f>'Workmen Category'!BY2</f>
        <v>Associate</v>
      </c>
      <c r="S3" s="995" t="str">
        <f>'Workmen Category'!BZ2</f>
        <v>NAPs</v>
      </c>
      <c r="T3" s="995" t="str">
        <f>'Workmen Category'!CA2</f>
        <v>CLM - MD</v>
      </c>
      <c r="U3" s="995" t="str">
        <f>'Workmen Category'!CB2</f>
        <v>CLM - PR</v>
      </c>
      <c r="V3" s="995" t="str">
        <f>'Workmen Category'!CC2</f>
        <v>Total</v>
      </c>
      <c r="W3" s="995" t="str">
        <f>'Workmen Category'!CD2</f>
        <v>Remarks</v>
      </c>
      <c r="X3" s="905" t="s">
        <v>1266</v>
      </c>
    </row>
    <row r="4" spans="1:24">
      <c r="A4" s="903" t="s">
        <v>1030</v>
      </c>
      <c r="B4" s="579" t="s">
        <v>15</v>
      </c>
      <c r="C4" s="937">
        <f>'Monthly HC &amp; Prodn Working'!C3</f>
        <v>32121.952127873319</v>
      </c>
      <c r="D4" s="579" t="s">
        <v>1250</v>
      </c>
      <c r="E4" s="937">
        <v>26855.666214076657</v>
      </c>
      <c r="F4" s="996">
        <v>41</v>
      </c>
      <c r="G4" s="579" t="s">
        <v>1086</v>
      </c>
      <c r="H4" s="1004">
        <v>35</v>
      </c>
      <c r="I4" s="137">
        <v>3.1666666666666665</v>
      </c>
      <c r="J4" s="137">
        <v>2.8333333333333335</v>
      </c>
      <c r="K4" s="137"/>
      <c r="L4" s="137">
        <f>SUM(H4:K4)</f>
        <v>41</v>
      </c>
      <c r="M4" s="938"/>
      <c r="O4" s="579" t="str">
        <f>'Workmen Category'!A3</f>
        <v>1. POY</v>
      </c>
      <c r="P4" s="937">
        <f>'Workmen Category'!BW3</f>
        <v>37828.859689030149</v>
      </c>
      <c r="Q4" s="937">
        <f>'Workmen Category'!BX3</f>
        <v>43</v>
      </c>
      <c r="R4" s="937">
        <f>'Workmen Category'!BY3</f>
        <v>35</v>
      </c>
      <c r="S4" s="937">
        <f>'Workmen Category'!BZ3</f>
        <v>5</v>
      </c>
      <c r="T4" s="937">
        <f>'Workmen Category'!CA3</f>
        <v>3</v>
      </c>
      <c r="U4" s="937" t="str">
        <f>'Workmen Category'!CB3</f>
        <v/>
      </c>
      <c r="V4" s="937">
        <f>'Workmen Category'!CC3</f>
        <v>43</v>
      </c>
      <c r="W4" s="937" t="str">
        <f>'Workmen Category'!CD3</f>
        <v>All</v>
      </c>
      <c r="X4" s="579"/>
    </row>
    <row r="5" spans="1:24">
      <c r="A5" s="903" t="s">
        <v>1030</v>
      </c>
      <c r="B5" s="579" t="s">
        <v>17</v>
      </c>
      <c r="C5" s="937">
        <f>'Monthly HC &amp; Prodn Working'!C4</f>
        <v>21686.572054917753</v>
      </c>
      <c r="D5" s="579" t="s">
        <v>1250</v>
      </c>
      <c r="E5" s="937">
        <v>11436.446763303131</v>
      </c>
      <c r="F5" s="996">
        <v>34.333333333333336</v>
      </c>
      <c r="G5" s="579" t="s">
        <v>1359</v>
      </c>
      <c r="H5" s="1004">
        <v>26</v>
      </c>
      <c r="I5" s="137">
        <v>5.333333333333333</v>
      </c>
      <c r="J5" s="137">
        <v>3</v>
      </c>
      <c r="K5" s="137"/>
      <c r="L5" s="137">
        <f t="shared" ref="L5:L29" si="0">SUM(H5:K5)</f>
        <v>34.333333333333329</v>
      </c>
      <c r="M5" s="938"/>
      <c r="O5" s="579" t="str">
        <f>'Workmen Category'!A4</f>
        <v>2. BCF</v>
      </c>
      <c r="P5" s="937">
        <f>'Workmen Category'!BW4</f>
        <v>11641.99534501814</v>
      </c>
      <c r="Q5" s="937">
        <f>'Workmen Category'!BX4</f>
        <v>28.166666666666668</v>
      </c>
      <c r="R5" s="937">
        <f>'Workmen Category'!BY4</f>
        <v>20.666666666666668</v>
      </c>
      <c r="S5" s="937">
        <f>'Workmen Category'!BZ4</f>
        <v>4.5</v>
      </c>
      <c r="T5" s="937">
        <f>'Workmen Category'!CA4</f>
        <v>3</v>
      </c>
      <c r="U5" s="937" t="str">
        <f>'Workmen Category'!CB4</f>
        <v/>
      </c>
      <c r="V5" s="937">
        <f>'Workmen Category'!CC4</f>
        <v>28.166666666666668</v>
      </c>
      <c r="W5" s="937" t="str">
        <f>'Workmen Category'!CD4</f>
        <v>11 Winder</v>
      </c>
      <c r="X5" s="579" t="s">
        <v>1366</v>
      </c>
    </row>
    <row r="6" spans="1:24">
      <c r="A6" s="903" t="s">
        <v>1030</v>
      </c>
      <c r="B6" s="579" t="s">
        <v>19</v>
      </c>
      <c r="C6" s="937">
        <f>'Monthly HC &amp; Prodn Working'!C5</f>
        <v>29388.132885879077</v>
      </c>
      <c r="D6" s="579" t="s">
        <v>1250</v>
      </c>
      <c r="E6" s="937">
        <v>26560.253885721813</v>
      </c>
      <c r="F6" s="996">
        <v>83.333333333333329</v>
      </c>
      <c r="G6" s="579" t="s">
        <v>1086</v>
      </c>
      <c r="H6" s="1004">
        <v>49</v>
      </c>
      <c r="I6" s="137">
        <v>24</v>
      </c>
      <c r="J6" s="137">
        <v>9</v>
      </c>
      <c r="K6" s="137"/>
      <c r="L6" s="137">
        <f t="shared" si="0"/>
        <v>82</v>
      </c>
      <c r="M6" s="938"/>
      <c r="O6" s="579" t="str">
        <f>'Workmen Category'!A5</f>
        <v>3. Texturizing</v>
      </c>
      <c r="P6" s="937">
        <f>'Workmen Category'!BW5</f>
        <v>37771.135725778287</v>
      </c>
      <c r="Q6" s="937">
        <f>'Workmen Category'!BX5</f>
        <v>84</v>
      </c>
      <c r="R6" s="937" t="str">
        <f>'Workmen Category'!BY5</f>
        <v/>
      </c>
      <c r="S6" s="937" t="str">
        <f>'Workmen Category'!BZ5</f>
        <v/>
      </c>
      <c r="T6" s="937" t="str">
        <f>'Workmen Category'!CA5</f>
        <v/>
      </c>
      <c r="U6" s="937">
        <f>'Workmen Category'!CB5</f>
        <v>84</v>
      </c>
      <c r="V6" s="937">
        <f>'Workmen Category'!CC5</f>
        <v>84</v>
      </c>
      <c r="W6" s="937" t="str">
        <f>'Workmen Category'!CD5</f>
        <v>All</v>
      </c>
      <c r="X6" s="939" t="s">
        <v>1319</v>
      </c>
    </row>
    <row r="7" spans="1:24">
      <c r="A7" s="903" t="s">
        <v>1030</v>
      </c>
      <c r="B7" s="579" t="s">
        <v>21</v>
      </c>
      <c r="C7" s="937">
        <f>'Monthly HC &amp; Prodn Working'!C6</f>
        <v>14098.760124344613</v>
      </c>
      <c r="D7" s="579" t="s">
        <v>1250</v>
      </c>
      <c r="E7" s="937">
        <v>14168.365295563735</v>
      </c>
      <c r="F7" s="996">
        <v>27</v>
      </c>
      <c r="G7" s="579" t="s">
        <v>1086</v>
      </c>
      <c r="H7" s="1004">
        <v>6</v>
      </c>
      <c r="I7" s="137">
        <v>21</v>
      </c>
      <c r="J7" s="137"/>
      <c r="K7" s="137"/>
      <c r="L7" s="137">
        <f t="shared" si="0"/>
        <v>27</v>
      </c>
      <c r="M7" s="938"/>
      <c r="O7" s="579" t="str">
        <f>'Workmen Category'!A6</f>
        <v>4. Parallel Winding</v>
      </c>
      <c r="P7" s="937">
        <f>'Workmen Category'!BW6</f>
        <v>21152.914411274302</v>
      </c>
      <c r="Q7" s="937">
        <f>'Workmen Category'!BX6</f>
        <v>27</v>
      </c>
      <c r="R7" s="937" t="str">
        <f>'Workmen Category'!BY6</f>
        <v/>
      </c>
      <c r="S7" s="937" t="str">
        <f>'Workmen Category'!BZ6</f>
        <v/>
      </c>
      <c r="T7" s="937" t="str">
        <f>'Workmen Category'!CA6</f>
        <v/>
      </c>
      <c r="U7" s="937">
        <f>'Workmen Category'!CB6</f>
        <v>27</v>
      </c>
      <c r="V7" s="937">
        <f>'Workmen Category'!CC6</f>
        <v>27</v>
      </c>
      <c r="W7" s="937" t="str">
        <f>'Workmen Category'!CD6</f>
        <v>All</v>
      </c>
      <c r="X7" s="579" t="s">
        <v>1281</v>
      </c>
    </row>
    <row r="8" spans="1:24">
      <c r="A8" s="903" t="s">
        <v>1030</v>
      </c>
      <c r="B8" s="579" t="s">
        <v>383</v>
      </c>
      <c r="C8" s="937">
        <f>'Monthly HC &amp; Prodn Working'!C7</f>
        <v>0</v>
      </c>
      <c r="D8" s="579" t="s">
        <v>1250</v>
      </c>
      <c r="E8" s="937"/>
      <c r="F8" s="996">
        <v>14</v>
      </c>
      <c r="G8" s="579"/>
      <c r="H8" s="1004">
        <v>2</v>
      </c>
      <c r="I8" s="137">
        <v>0</v>
      </c>
      <c r="J8" s="137">
        <v>12</v>
      </c>
      <c r="K8" s="137"/>
      <c r="L8" s="137">
        <f t="shared" si="0"/>
        <v>14</v>
      </c>
      <c r="M8" s="938"/>
      <c r="O8" s="579" t="str">
        <f>'Workmen Category'!A7</f>
        <v>Rewinding</v>
      </c>
      <c r="P8" s="937">
        <f>'Workmen Category'!BW7</f>
        <v>0</v>
      </c>
      <c r="Q8" s="937">
        <f>'Workmen Category'!BX7</f>
        <v>15</v>
      </c>
      <c r="R8" s="937">
        <f>'Workmen Category'!BY7</f>
        <v>2</v>
      </c>
      <c r="S8" s="937" t="str">
        <f>'Workmen Category'!BZ7</f>
        <v/>
      </c>
      <c r="T8" s="937">
        <f>'Workmen Category'!CA7</f>
        <v>13</v>
      </c>
      <c r="U8" s="937" t="str">
        <f>'Workmen Category'!CB7</f>
        <v/>
      </c>
      <c r="V8" s="937">
        <f>'Workmen Category'!CC7</f>
        <v>15</v>
      </c>
      <c r="W8" s="937">
        <f>'Workmen Category'!CD7</f>
        <v>0</v>
      </c>
      <c r="X8" s="579"/>
    </row>
    <row r="9" spans="1:24">
      <c r="A9" s="903" t="s">
        <v>1030</v>
      </c>
      <c r="B9" s="579" t="s">
        <v>366</v>
      </c>
      <c r="C9" s="937">
        <f>'Monthly HC &amp; Prodn Working'!C8</f>
        <v>11869.222152485861</v>
      </c>
      <c r="D9" s="579" t="s">
        <v>1250</v>
      </c>
      <c r="E9" s="937">
        <v>3925.8342606430288</v>
      </c>
      <c r="F9" s="996">
        <v>104</v>
      </c>
      <c r="G9" s="579"/>
      <c r="H9" s="1004"/>
      <c r="I9" s="137"/>
      <c r="J9" s="137"/>
      <c r="K9" s="137">
        <v>104</v>
      </c>
      <c r="L9" s="137">
        <f t="shared" si="0"/>
        <v>104</v>
      </c>
      <c r="M9" s="938"/>
      <c r="O9" s="579" t="str">
        <f>'Workmen Category'!A8</f>
        <v>5. Multiply</v>
      </c>
      <c r="P9" s="937">
        <f>'Workmen Category'!BW8</f>
        <v>4829.4533109717731</v>
      </c>
      <c r="Q9" s="937">
        <f>'Workmen Category'!BX8</f>
        <v>124.16666666666667</v>
      </c>
      <c r="R9" s="937" t="str">
        <f>'Workmen Category'!BY8</f>
        <v/>
      </c>
      <c r="S9" s="937" t="str">
        <f>'Workmen Category'!BZ8</f>
        <v/>
      </c>
      <c r="T9" s="937" t="str">
        <f>'Workmen Category'!CA8</f>
        <v/>
      </c>
      <c r="U9" s="937">
        <f>'Workmen Category'!CB8</f>
        <v>124.16666666666667</v>
      </c>
      <c r="V9" s="937">
        <f>'Workmen Category'!CC8</f>
        <v>124.16666666666667</v>
      </c>
      <c r="W9" s="937">
        <f>'Workmen Category'!CD8</f>
        <v>0</v>
      </c>
      <c r="X9" s="579"/>
    </row>
    <row r="10" spans="1:24">
      <c r="A10" s="903" t="s">
        <v>1030</v>
      </c>
      <c r="B10" s="579" t="s">
        <v>256</v>
      </c>
      <c r="C10" s="937">
        <f>'Monthly HC &amp; Prodn Working'!C9</f>
        <v>0</v>
      </c>
      <c r="D10" s="579" t="s">
        <v>1250</v>
      </c>
      <c r="E10" s="937">
        <v>5598.924077791934</v>
      </c>
      <c r="F10" s="997"/>
      <c r="G10" s="579"/>
      <c r="H10" s="1004"/>
      <c r="I10" s="137"/>
      <c r="J10" s="137"/>
      <c r="K10" s="137"/>
      <c r="L10" s="137">
        <f t="shared" si="0"/>
        <v>0</v>
      </c>
      <c r="M10" s="938"/>
      <c r="O10" s="579" t="str">
        <f>'Workmen Category'!A9</f>
        <v>TFO</v>
      </c>
      <c r="P10" s="937">
        <f>'Workmen Category'!BW9</f>
        <v>7407.3247816796656</v>
      </c>
      <c r="Q10" s="937">
        <f>'Workmen Category'!BX9</f>
        <v>0</v>
      </c>
      <c r="R10" s="937" t="str">
        <f>'Workmen Category'!BY9</f>
        <v/>
      </c>
      <c r="S10" s="937" t="str">
        <f>'Workmen Category'!BZ9</f>
        <v/>
      </c>
      <c r="T10" s="937" t="str">
        <f>'Workmen Category'!CA9</f>
        <v/>
      </c>
      <c r="U10" s="937" t="str">
        <f>'Workmen Category'!CB9</f>
        <v/>
      </c>
      <c r="V10" s="937">
        <f>'Workmen Category'!CC9</f>
        <v>0</v>
      </c>
      <c r="W10" s="937">
        <f>'Workmen Category'!CD9</f>
        <v>0</v>
      </c>
      <c r="X10" s="579"/>
    </row>
    <row r="11" spans="1:24">
      <c r="A11" s="903" t="s">
        <v>1030</v>
      </c>
      <c r="B11" s="579" t="s">
        <v>321</v>
      </c>
      <c r="C11" s="937">
        <f>'Monthly HC &amp; Prodn Working'!C10</f>
        <v>0</v>
      </c>
      <c r="D11" s="579" t="s">
        <v>1250</v>
      </c>
      <c r="E11" s="937">
        <v>1838.4290990695433</v>
      </c>
      <c r="F11" s="997"/>
      <c r="G11" s="579"/>
      <c r="H11" s="1004"/>
      <c r="I11" s="137"/>
      <c r="J11" s="137"/>
      <c r="K11" s="137"/>
      <c r="L11" s="137">
        <f t="shared" si="0"/>
        <v>0</v>
      </c>
      <c r="M11" s="938"/>
      <c r="O11" s="579" t="str">
        <f>'Workmen Category'!A10</f>
        <v>Auto Clave</v>
      </c>
      <c r="P11" s="937">
        <f>'Workmen Category'!BW10</f>
        <v>2577.871470707893</v>
      </c>
      <c r="Q11" s="937">
        <f>'Workmen Category'!BX10</f>
        <v>0</v>
      </c>
      <c r="R11" s="937" t="str">
        <f>'Workmen Category'!BY10</f>
        <v/>
      </c>
      <c r="S11" s="937" t="str">
        <f>'Workmen Category'!BZ10</f>
        <v/>
      </c>
      <c r="T11" s="937" t="str">
        <f>'Workmen Category'!CA10</f>
        <v/>
      </c>
      <c r="U11" s="937" t="str">
        <f>'Workmen Category'!CB10</f>
        <v/>
      </c>
      <c r="V11" s="937">
        <f>'Workmen Category'!CC10</f>
        <v>0</v>
      </c>
      <c r="W11" s="937">
        <f>'Workmen Category'!CD10</f>
        <v>0</v>
      </c>
      <c r="X11" s="579"/>
    </row>
    <row r="12" spans="1:24">
      <c r="A12" s="903" t="s">
        <v>1030</v>
      </c>
      <c r="B12" s="579" t="s">
        <v>22</v>
      </c>
      <c r="C12" s="937">
        <f>'Monthly HC &amp; Prodn Working'!C11</f>
        <v>39644.342969220605</v>
      </c>
      <c r="D12" s="579" t="s">
        <v>1250</v>
      </c>
      <c r="E12" s="937">
        <v>29084.55602275753</v>
      </c>
      <c r="F12" s="996">
        <v>63.75</v>
      </c>
      <c r="G12" s="579" t="s">
        <v>1118</v>
      </c>
      <c r="H12" s="1004">
        <v>34</v>
      </c>
      <c r="I12" s="137">
        <v>26.75</v>
      </c>
      <c r="J12" s="137">
        <v>3</v>
      </c>
      <c r="K12" s="137"/>
      <c r="L12" s="137">
        <f t="shared" si="0"/>
        <v>63.75</v>
      </c>
      <c r="M12" s="938"/>
      <c r="O12" s="579" t="str">
        <f>'Workmen Category'!A11</f>
        <v>6. Cabling</v>
      </c>
      <c r="P12" s="937">
        <f>'Workmen Category'!BW11</f>
        <v>36103.398448813641</v>
      </c>
      <c r="Q12" s="937">
        <f>'Workmen Category'!BX11</f>
        <v>64.166666666666671</v>
      </c>
      <c r="R12" s="937" t="str">
        <f>'Workmen Category'!BY11</f>
        <v/>
      </c>
      <c r="S12" s="937" t="str">
        <f>'Workmen Category'!BZ11</f>
        <v/>
      </c>
      <c r="T12" s="937" t="str">
        <f>'Workmen Category'!CA11</f>
        <v/>
      </c>
      <c r="U12" s="937">
        <f>'Workmen Category'!CB11</f>
        <v>64.166666666666671</v>
      </c>
      <c r="V12" s="937">
        <f>'Workmen Category'!CC11</f>
        <v>64.166666666666671</v>
      </c>
      <c r="W12" s="937" t="str">
        <f>'Workmen Category'!CD11</f>
        <v>18 M/C</v>
      </c>
      <c r="X12" s="579" t="s">
        <v>1282</v>
      </c>
    </row>
    <row r="13" spans="1:24">
      <c r="A13" s="903" t="s">
        <v>1030</v>
      </c>
      <c r="B13" s="579" t="s">
        <v>24</v>
      </c>
      <c r="C13" s="937">
        <f>'Monthly HC &amp; Prodn Working'!C12</f>
        <v>22591.213136436654</v>
      </c>
      <c r="D13" s="579" t="s">
        <v>1250</v>
      </c>
      <c r="E13" s="937">
        <v>31488.174738354759</v>
      </c>
      <c r="F13" s="996">
        <v>80.333333333333329</v>
      </c>
      <c r="G13" s="579" t="s">
        <v>1375</v>
      </c>
      <c r="H13" s="1004">
        <v>40</v>
      </c>
      <c r="I13" s="137">
        <v>39</v>
      </c>
      <c r="J13" s="137">
        <v>0.33333333333333331</v>
      </c>
      <c r="K13" s="137"/>
      <c r="L13" s="137">
        <f t="shared" si="0"/>
        <v>79.333333333333329</v>
      </c>
      <c r="M13" s="938"/>
      <c r="O13" s="579" t="str">
        <f>'Workmen Category'!A12</f>
        <v>7. Heat Set</v>
      </c>
      <c r="P13" s="937">
        <f>'Workmen Category'!BW12</f>
        <v>33603.811239104398</v>
      </c>
      <c r="Q13" s="937">
        <f>'Workmen Category'!BX12</f>
        <v>59.916666666666664</v>
      </c>
      <c r="R13" s="937">
        <f>'Workmen Category'!BY12</f>
        <v>42</v>
      </c>
      <c r="S13" s="937">
        <f>'Workmen Category'!BZ12</f>
        <v>30.166666666666668</v>
      </c>
      <c r="T13" s="937">
        <f>'Workmen Category'!CA12</f>
        <v>6.666666666666667</v>
      </c>
      <c r="U13" s="937" t="str">
        <f>'Workmen Category'!CB12</f>
        <v/>
      </c>
      <c r="V13" s="937">
        <f>'Workmen Category'!CC12</f>
        <v>78.833333333333329</v>
      </c>
      <c r="W13" s="937" t="str">
        <f>'Workmen Category'!CD12</f>
        <v>5 M/C</v>
      </c>
      <c r="X13" s="579"/>
    </row>
    <row r="14" spans="1:24">
      <c r="A14" s="903" t="s">
        <v>1030</v>
      </c>
      <c r="B14" s="579" t="s">
        <v>351</v>
      </c>
      <c r="C14" s="937">
        <f>'Monthly HC &amp; Prodn Working'!C13</f>
        <v>0</v>
      </c>
      <c r="D14" s="579"/>
      <c r="E14" s="937"/>
      <c r="F14" s="996">
        <v>24</v>
      </c>
      <c r="G14" s="579"/>
      <c r="H14" s="1004">
        <v>1</v>
      </c>
      <c r="I14" s="137">
        <v>0</v>
      </c>
      <c r="J14" s="137">
        <v>6</v>
      </c>
      <c r="K14" s="137">
        <v>17</v>
      </c>
      <c r="L14" s="137">
        <f t="shared" si="0"/>
        <v>24</v>
      </c>
      <c r="M14" s="938"/>
      <c r="O14" s="579" t="str">
        <f>'Workmen Category'!A13</f>
        <v>Yarn Common</v>
      </c>
      <c r="P14" s="937">
        <f>'Workmen Category'!BW13</f>
        <v>0</v>
      </c>
      <c r="Q14" s="937">
        <f>'Workmen Category'!BX13</f>
        <v>24</v>
      </c>
      <c r="R14" s="937" t="str">
        <f>'Workmen Category'!BY13</f>
        <v/>
      </c>
      <c r="S14" s="937" t="str">
        <f>'Workmen Category'!BZ13</f>
        <v/>
      </c>
      <c r="T14" s="1021">
        <f>'Workmen Category'!CA13</f>
        <v>6</v>
      </c>
      <c r="U14" s="1022">
        <f>'Workmen Category'!CB13</f>
        <v>18</v>
      </c>
      <c r="V14" s="937">
        <f>'Workmen Category'!CC13</f>
        <v>24</v>
      </c>
      <c r="W14" s="937">
        <f>'Workmen Category'!CD13</f>
        <v>0</v>
      </c>
      <c r="X14" s="579"/>
    </row>
    <row r="15" spans="1:24">
      <c r="A15" s="903" t="s">
        <v>1030</v>
      </c>
      <c r="B15" s="579" t="s">
        <v>344</v>
      </c>
      <c r="C15" s="937">
        <f>'Monthly HC &amp; Prodn Working'!C14</f>
        <v>0</v>
      </c>
      <c r="D15" s="579" t="s">
        <v>1250</v>
      </c>
      <c r="E15" s="937">
        <v>1124.3682733268042</v>
      </c>
      <c r="F15" s="996">
        <v>30</v>
      </c>
      <c r="G15" s="579"/>
      <c r="H15" s="1004">
        <v>20.5</v>
      </c>
      <c r="I15" s="139">
        <v>9.5</v>
      </c>
      <c r="J15" s="137"/>
      <c r="K15" s="137"/>
      <c r="L15" s="137">
        <f t="shared" si="0"/>
        <v>30</v>
      </c>
      <c r="M15" s="938"/>
      <c r="O15" s="579" t="str">
        <f>'Workmen Category'!A14</f>
        <v>Master Batch</v>
      </c>
      <c r="P15" s="937">
        <f>'Workmen Category'!BW14</f>
        <v>0</v>
      </c>
      <c r="Q15" s="937">
        <f>'Workmen Category'!BX14</f>
        <v>31</v>
      </c>
      <c r="R15" s="937">
        <f>'Workmen Category'!BY14</f>
        <v>20</v>
      </c>
      <c r="S15" s="937">
        <f>'Workmen Category'!BZ14</f>
        <v>11</v>
      </c>
      <c r="T15" s="937" t="str">
        <f>'Workmen Category'!CA14</f>
        <v/>
      </c>
      <c r="U15" s="937" t="str">
        <f>'Workmen Category'!CB14</f>
        <v/>
      </c>
      <c r="V15" s="937">
        <f>'Workmen Category'!CC14</f>
        <v>31</v>
      </c>
      <c r="W15" s="937">
        <f>'Workmen Category'!CD14</f>
        <v>0</v>
      </c>
      <c r="X15" s="579"/>
    </row>
    <row r="16" spans="1:24">
      <c r="A16" s="903" t="s">
        <v>1030</v>
      </c>
      <c r="B16" s="579" t="s">
        <v>357</v>
      </c>
      <c r="C16" s="937">
        <f>'Monthly HC &amp; Prodn Working'!C15</f>
        <v>63821.499910078041</v>
      </c>
      <c r="D16" s="579" t="s">
        <v>94</v>
      </c>
      <c r="E16" s="937">
        <v>39197.818838063817</v>
      </c>
      <c r="F16" s="996">
        <v>171.25</v>
      </c>
      <c r="G16" s="579" t="s">
        <v>1376</v>
      </c>
      <c r="H16" s="1004">
        <v>58</v>
      </c>
      <c r="I16" s="137">
        <v>64.666666666666671</v>
      </c>
      <c r="J16" s="137">
        <v>36.833333333333336</v>
      </c>
      <c r="K16" s="137">
        <v>12</v>
      </c>
      <c r="L16" s="137">
        <f t="shared" si="0"/>
        <v>171.5</v>
      </c>
      <c r="M16" s="940"/>
      <c r="O16" s="579" t="str">
        <f>'Workmen Category'!A15</f>
        <v>8. Tufting</v>
      </c>
      <c r="P16" s="937">
        <f>'Workmen Category'!BW15</f>
        <v>46120.959187046297</v>
      </c>
      <c r="Q16" s="937">
        <f>'Workmen Category'!BX15</f>
        <v>165</v>
      </c>
      <c r="R16" s="937">
        <f>'Workmen Category'!BY15</f>
        <v>60</v>
      </c>
      <c r="S16" s="937">
        <f>'Workmen Category'!BZ15</f>
        <v>66</v>
      </c>
      <c r="T16" s="937">
        <f>'Workmen Category'!CA15</f>
        <v>27</v>
      </c>
      <c r="U16" s="937">
        <f>'Workmen Category'!CB15</f>
        <v>12</v>
      </c>
      <c r="V16" s="937">
        <f>'Workmen Category'!CC15</f>
        <v>165</v>
      </c>
      <c r="W16" s="937" t="str">
        <f>'Workmen Category'!CD15</f>
        <v>13 M/C</v>
      </c>
      <c r="X16" s="579" t="s">
        <v>1173</v>
      </c>
    </row>
    <row r="17" spans="1:24">
      <c r="A17" s="903" t="s">
        <v>1030</v>
      </c>
      <c r="B17" s="579" t="s">
        <v>358</v>
      </c>
      <c r="C17" s="937">
        <f>'Monthly HC &amp; Prodn Working'!C16</f>
        <v>3314.4422400000003</v>
      </c>
      <c r="D17" s="579" t="s">
        <v>94</v>
      </c>
      <c r="E17" s="937">
        <v>3507.6153112844809</v>
      </c>
      <c r="F17" s="996">
        <v>38</v>
      </c>
      <c r="G17" s="579" t="s">
        <v>1174</v>
      </c>
      <c r="H17" s="1004">
        <v>19</v>
      </c>
      <c r="I17" s="137">
        <v>19</v>
      </c>
      <c r="J17" s="137"/>
      <c r="K17" s="137"/>
      <c r="L17" s="137">
        <f t="shared" si="0"/>
        <v>38</v>
      </c>
      <c r="M17" s="940"/>
      <c r="O17" s="579" t="str">
        <f>'Workmen Category'!A16</f>
        <v>9.1 Printing - Chromojet</v>
      </c>
      <c r="P17" s="937">
        <f>'Workmen Category'!BW16</f>
        <v>4691.4353584334676</v>
      </c>
      <c r="Q17" s="937">
        <f>'Workmen Category'!BX16</f>
        <v>48.5</v>
      </c>
      <c r="R17" s="937">
        <f>'Workmen Category'!BY16</f>
        <v>30.166666666666668</v>
      </c>
      <c r="S17" s="937">
        <f>'Workmen Category'!BZ16</f>
        <v>15.333333333333334</v>
      </c>
      <c r="T17" s="937">
        <f>'Workmen Category'!CA16</f>
        <v>3</v>
      </c>
      <c r="U17" s="937" t="str">
        <f>'Workmen Category'!CB16</f>
        <v/>
      </c>
      <c r="V17" s="937">
        <f>'Workmen Category'!CC16</f>
        <v>48.5</v>
      </c>
      <c r="W17" s="937" t="str">
        <f>'Workmen Category'!CD16</f>
        <v>3 Shift</v>
      </c>
      <c r="X17" s="579"/>
    </row>
    <row r="18" spans="1:24">
      <c r="A18" s="903" t="s">
        <v>1030</v>
      </c>
      <c r="B18" s="579" t="s">
        <v>359</v>
      </c>
      <c r="C18" s="937">
        <f>'Monthly HC &amp; Prodn Working'!C17</f>
        <v>2480.0255999999999</v>
      </c>
      <c r="D18" s="579" t="s">
        <v>94</v>
      </c>
      <c r="E18" s="937">
        <v>910.8</v>
      </c>
      <c r="F18" s="997"/>
      <c r="G18" s="579" t="s">
        <v>1034</v>
      </c>
      <c r="H18" s="1004"/>
      <c r="I18" s="137"/>
      <c r="J18" s="137"/>
      <c r="K18" s="137"/>
      <c r="L18" s="137">
        <f t="shared" si="0"/>
        <v>0</v>
      </c>
      <c r="M18" s="940"/>
      <c r="O18" s="579" t="str">
        <f>'Workmen Category'!A17</f>
        <v>9.2 Printing - Digital</v>
      </c>
      <c r="P18" s="937">
        <f>'Workmen Category'!BW17</f>
        <v>1415.1439455752688</v>
      </c>
      <c r="Q18" s="937">
        <f>'Workmen Category'!BX17</f>
        <v>0</v>
      </c>
      <c r="R18" s="937" t="str">
        <f>'Workmen Category'!BY17</f>
        <v/>
      </c>
      <c r="S18" s="937" t="str">
        <f>'Workmen Category'!BZ17</f>
        <v/>
      </c>
      <c r="T18" s="937" t="str">
        <f>'Workmen Category'!CA17</f>
        <v/>
      </c>
      <c r="U18" s="937" t="str">
        <f>'Workmen Category'!CB17</f>
        <v/>
      </c>
      <c r="V18" s="937">
        <f>'Workmen Category'!CC17</f>
        <v>0</v>
      </c>
      <c r="W18" s="937" t="str">
        <f>'Workmen Category'!CD17</f>
        <v>2.36 Shift</v>
      </c>
      <c r="X18" s="579"/>
    </row>
    <row r="19" spans="1:24">
      <c r="A19" s="903" t="s">
        <v>1030</v>
      </c>
      <c r="B19" s="579" t="s">
        <v>360</v>
      </c>
      <c r="C19" s="937">
        <f>'Monthly HC &amp; Prodn Working'!C18</f>
        <v>14758.224657534245</v>
      </c>
      <c r="D19" s="579" t="s">
        <v>94</v>
      </c>
      <c r="E19" s="937">
        <v>4744.461212885305</v>
      </c>
      <c r="F19" s="996">
        <v>91.5</v>
      </c>
      <c r="G19" s="579" t="s">
        <v>1034</v>
      </c>
      <c r="H19" s="1004">
        <v>52</v>
      </c>
      <c r="I19" s="137">
        <v>26</v>
      </c>
      <c r="J19" s="137">
        <v>13.5</v>
      </c>
      <c r="K19" s="137"/>
      <c r="L19" s="137">
        <f t="shared" si="0"/>
        <v>91.5</v>
      </c>
      <c r="M19" s="940"/>
      <c r="O19" s="579" t="str">
        <f>'Workmen Category'!A18</f>
        <v>10.1 Carpet Tiles</v>
      </c>
      <c r="P19" s="937">
        <f>'Workmen Category'!BW18</f>
        <v>5002.371438504415</v>
      </c>
      <c r="Q19" s="937">
        <f>'Workmen Category'!BX18</f>
        <v>108.5</v>
      </c>
      <c r="R19" s="937">
        <f>'Workmen Category'!BY18</f>
        <v>58.833333333333336</v>
      </c>
      <c r="S19" s="937">
        <f>'Workmen Category'!BZ18</f>
        <v>32.5</v>
      </c>
      <c r="T19" s="937">
        <f>'Workmen Category'!CA18</f>
        <v>16.333333333333332</v>
      </c>
      <c r="U19" s="937" t="str">
        <f>'Workmen Category'!CB18</f>
        <v/>
      </c>
      <c r="V19" s="937">
        <f>'Workmen Category'!CC18</f>
        <v>107.66666666666667</v>
      </c>
      <c r="W19" s="937" t="str">
        <f>'Workmen Category'!CD18</f>
        <v>1.75 Shift</v>
      </c>
      <c r="X19" s="579" t="s">
        <v>1170</v>
      </c>
    </row>
    <row r="20" spans="1:24">
      <c r="A20" s="903" t="s">
        <v>1030</v>
      </c>
      <c r="B20" s="579" t="s">
        <v>361</v>
      </c>
      <c r="C20" s="937">
        <f>'Monthly HC &amp; Prodn Working'!C19</f>
        <v>19608.370339724457</v>
      </c>
      <c r="D20" s="579" t="s">
        <v>94</v>
      </c>
      <c r="E20" s="937">
        <v>13754.528969018318</v>
      </c>
      <c r="F20" s="997"/>
      <c r="G20" s="579" t="s">
        <v>1377</v>
      </c>
      <c r="H20" s="1004"/>
      <c r="I20" s="137"/>
      <c r="J20" s="137"/>
      <c r="K20" s="137"/>
      <c r="L20" s="137">
        <f t="shared" si="0"/>
        <v>0</v>
      </c>
      <c r="O20" s="579" t="str">
        <f>'Workmen Category'!A19</f>
        <v>10.2 W2W</v>
      </c>
      <c r="P20" s="937">
        <f>'Workmen Category'!BW19</f>
        <v>18816.099340525809</v>
      </c>
      <c r="Q20" s="937">
        <f>'Workmen Category'!BX19</f>
        <v>0</v>
      </c>
      <c r="R20" s="937" t="str">
        <f>'Workmen Category'!BY19</f>
        <v/>
      </c>
      <c r="S20" s="937" t="str">
        <f>'Workmen Category'!BZ19</f>
        <v/>
      </c>
      <c r="T20" s="937" t="str">
        <f>'Workmen Category'!CA19</f>
        <v/>
      </c>
      <c r="U20" s="937" t="str">
        <f>'Workmen Category'!CB19</f>
        <v/>
      </c>
      <c r="V20" s="937">
        <f>'Workmen Category'!CC19</f>
        <v>0</v>
      </c>
      <c r="W20" s="937" t="str">
        <f>'Workmen Category'!CD19</f>
        <v>2.72 Shift</v>
      </c>
      <c r="X20" s="579"/>
    </row>
    <row r="21" spans="1:24">
      <c r="A21" s="903" t="s">
        <v>1030</v>
      </c>
      <c r="B21" s="579" t="s">
        <v>49</v>
      </c>
      <c r="C21" s="937">
        <f>'Monthly HC &amp; Prodn Working'!C20</f>
        <v>11666.666666666666</v>
      </c>
      <c r="D21" s="579" t="s">
        <v>94</v>
      </c>
      <c r="E21" s="937">
        <v>7360.7231612959013</v>
      </c>
      <c r="F21" s="996">
        <v>244.16666666666666</v>
      </c>
      <c r="G21" s="579"/>
      <c r="H21" s="1004">
        <v>33</v>
      </c>
      <c r="I21" s="137">
        <v>35.416666666666664</v>
      </c>
      <c r="J21" s="137">
        <v>45.75</v>
      </c>
      <c r="K21" s="137">
        <v>130</v>
      </c>
      <c r="L21" s="137">
        <f t="shared" si="0"/>
        <v>244.16666666666666</v>
      </c>
      <c r="O21" s="579" t="str">
        <f>'Workmen Category'!A20</f>
        <v>CSP</v>
      </c>
      <c r="P21" s="937">
        <f>'Workmen Category'!BW20</f>
        <v>9900.8121595360681</v>
      </c>
      <c r="Q21" s="937">
        <f>'Workmen Category'!BX20</f>
        <v>265.70833333333331</v>
      </c>
      <c r="R21" s="937">
        <f>'Workmen Category'!BY20</f>
        <v>42</v>
      </c>
      <c r="S21" s="937">
        <f>'Workmen Category'!BZ20</f>
        <v>34</v>
      </c>
      <c r="T21" s="937">
        <f>'Workmen Category'!CA20</f>
        <v>0</v>
      </c>
      <c r="U21" s="937">
        <f>'Workmen Category'!CB20</f>
        <v>189.70833333333334</v>
      </c>
      <c r="V21" s="937">
        <f>'Workmen Category'!CC20</f>
        <v>265.70833333333331</v>
      </c>
      <c r="W21" s="937">
        <f>'Workmen Category'!CD20</f>
        <v>0</v>
      </c>
      <c r="X21" s="579"/>
    </row>
    <row r="22" spans="1:24">
      <c r="A22" s="903" t="s">
        <v>1030</v>
      </c>
      <c r="B22" s="579" t="s">
        <v>159</v>
      </c>
      <c r="C22" s="579"/>
      <c r="D22" s="579"/>
      <c r="E22" s="937"/>
      <c r="F22" s="996">
        <v>12</v>
      </c>
      <c r="G22" s="579"/>
      <c r="H22" s="1004"/>
      <c r="I22" s="137">
        <v>12</v>
      </c>
      <c r="J22" s="137"/>
      <c r="K22" s="137"/>
      <c r="L22" s="137">
        <f t="shared" si="0"/>
        <v>12</v>
      </c>
      <c r="O22" s="579" t="str">
        <f>'Workmen Category'!A21</f>
        <v>Process Control</v>
      </c>
      <c r="P22" s="937">
        <f>'Workmen Category'!BW21</f>
        <v>0</v>
      </c>
      <c r="Q22" s="937">
        <f>'Workmen Category'!BX21</f>
        <v>12</v>
      </c>
      <c r="R22" s="937">
        <f>'Workmen Category'!BY21</f>
        <v>8</v>
      </c>
      <c r="S22" s="937">
        <f>'Workmen Category'!BZ21</f>
        <v>4</v>
      </c>
      <c r="T22" s="937" t="str">
        <f>'Workmen Category'!CA21</f>
        <v/>
      </c>
      <c r="U22" s="937" t="str">
        <f>'Workmen Category'!CB21</f>
        <v/>
      </c>
      <c r="V22" s="937">
        <f>'Workmen Category'!CC21</f>
        <v>12</v>
      </c>
      <c r="W22" s="937">
        <f>'Workmen Category'!CD21</f>
        <v>0</v>
      </c>
      <c r="X22" s="579"/>
    </row>
    <row r="23" spans="1:24">
      <c r="A23" s="903" t="s">
        <v>1030</v>
      </c>
      <c r="B23" s="579" t="s">
        <v>308</v>
      </c>
      <c r="C23" s="579"/>
      <c r="D23" s="579"/>
      <c r="E23" s="937"/>
      <c r="F23" s="996">
        <v>84</v>
      </c>
      <c r="G23" s="579"/>
      <c r="H23" s="1004">
        <v>45</v>
      </c>
      <c r="I23" s="137">
        <v>39</v>
      </c>
      <c r="J23" s="137">
        <v>0</v>
      </c>
      <c r="K23" s="137">
        <v>0</v>
      </c>
      <c r="L23" s="137">
        <f t="shared" si="0"/>
        <v>84</v>
      </c>
      <c r="O23" s="579" t="str">
        <f>'Workmen Category'!A22</f>
        <v>TQM</v>
      </c>
      <c r="P23" s="937">
        <f>'Workmen Category'!BW22</f>
        <v>0</v>
      </c>
      <c r="Q23" s="937">
        <f>'Workmen Category'!BX22</f>
        <v>93</v>
      </c>
      <c r="R23" s="937">
        <f>'Workmen Category'!BY22</f>
        <v>53</v>
      </c>
      <c r="S23" s="937">
        <f>'Workmen Category'!BZ22</f>
        <v>40</v>
      </c>
      <c r="T23" s="937" t="str">
        <f>'Workmen Category'!CA22</f>
        <v/>
      </c>
      <c r="U23" s="937" t="str">
        <f>'Workmen Category'!CB22</f>
        <v/>
      </c>
      <c r="V23" s="937">
        <f>'Workmen Category'!CC22</f>
        <v>93</v>
      </c>
      <c r="W23" s="937">
        <f>'Workmen Category'!CD22</f>
        <v>0</v>
      </c>
      <c r="X23" s="937" t="s">
        <v>1364</v>
      </c>
    </row>
    <row r="24" spans="1:24">
      <c r="A24" s="903" t="s">
        <v>1030</v>
      </c>
      <c r="B24" s="579" t="s">
        <v>316</v>
      </c>
      <c r="C24" s="579"/>
      <c r="D24" s="579"/>
      <c r="E24" s="937"/>
      <c r="F24" s="996">
        <v>50</v>
      </c>
      <c r="G24" s="579"/>
      <c r="H24" s="1004">
        <v>48</v>
      </c>
      <c r="I24" s="137">
        <v>2</v>
      </c>
      <c r="J24" s="137">
        <v>0</v>
      </c>
      <c r="K24" s="137">
        <v>0</v>
      </c>
      <c r="L24" s="137">
        <f t="shared" si="0"/>
        <v>50</v>
      </c>
      <c r="O24" s="579" t="str">
        <f>'Workmen Category'!A23</f>
        <v>Engg.</v>
      </c>
      <c r="P24" s="937">
        <f>'Workmen Category'!BW23</f>
        <v>0</v>
      </c>
      <c r="Q24" s="937">
        <f>'Workmen Category'!BX23</f>
        <v>50</v>
      </c>
      <c r="R24" s="937">
        <f>'Workmen Category'!BY23</f>
        <v>40</v>
      </c>
      <c r="S24" s="937">
        <f>'Workmen Category'!BZ23</f>
        <v>5</v>
      </c>
      <c r="T24" s="937">
        <f>'Workmen Category'!CA23</f>
        <v>5</v>
      </c>
      <c r="U24" s="937" t="str">
        <f>'Workmen Category'!CB23</f>
        <v/>
      </c>
      <c r="V24" s="937">
        <f>'Workmen Category'!CC23</f>
        <v>50</v>
      </c>
      <c r="W24" s="937">
        <f>'Workmen Category'!CD23</f>
        <v>0</v>
      </c>
      <c r="X24" s="579"/>
    </row>
    <row r="25" spans="1:24">
      <c r="A25" s="903" t="s">
        <v>1030</v>
      </c>
      <c r="B25" s="579" t="s">
        <v>316</v>
      </c>
      <c r="C25" s="579"/>
      <c r="D25" s="579"/>
      <c r="E25" s="937"/>
      <c r="F25" s="996">
        <v>63</v>
      </c>
      <c r="G25" s="579"/>
      <c r="H25" s="1004">
        <v>31</v>
      </c>
      <c r="I25" s="137">
        <v>2</v>
      </c>
      <c r="J25" s="137">
        <v>30</v>
      </c>
      <c r="K25" s="137"/>
      <c r="L25" s="137">
        <f t="shared" si="0"/>
        <v>63</v>
      </c>
      <c r="O25" s="579" t="str">
        <f>'Workmen Category'!A24</f>
        <v>Engg.</v>
      </c>
      <c r="P25" s="937">
        <f>'Workmen Category'!BW24</f>
        <v>0</v>
      </c>
      <c r="Q25" s="937">
        <f>'Workmen Category'!BX24</f>
        <v>63</v>
      </c>
      <c r="R25" s="937">
        <f>'Workmen Category'!BY24</f>
        <v>32</v>
      </c>
      <c r="S25" s="937">
        <f>'Workmen Category'!BZ24</f>
        <v>8</v>
      </c>
      <c r="T25" s="937">
        <f>'Workmen Category'!CA24</f>
        <v>11</v>
      </c>
      <c r="U25" s="937">
        <f>'Workmen Category'!CB24</f>
        <v>12</v>
      </c>
      <c r="V25" s="937">
        <f>'Workmen Category'!CC24</f>
        <v>63</v>
      </c>
      <c r="W25" s="937">
        <f>'Workmen Category'!CD24</f>
        <v>0</v>
      </c>
      <c r="X25" s="579"/>
    </row>
    <row r="26" spans="1:24">
      <c r="A26" s="903" t="s">
        <v>1030</v>
      </c>
      <c r="B26" s="579" t="s">
        <v>478</v>
      </c>
      <c r="C26" s="579"/>
      <c r="D26" s="579"/>
      <c r="E26" s="937"/>
      <c r="F26" s="996">
        <v>33</v>
      </c>
      <c r="G26" s="579"/>
      <c r="H26" s="1004">
        <v>21</v>
      </c>
      <c r="I26" s="137">
        <v>5</v>
      </c>
      <c r="J26" s="137">
        <v>7</v>
      </c>
      <c r="K26" s="137"/>
      <c r="L26" s="137">
        <f t="shared" si="0"/>
        <v>33</v>
      </c>
      <c r="O26" s="579" t="str">
        <f>'Workmen Category'!A25</f>
        <v>R&amp;D (PD)</v>
      </c>
      <c r="P26" s="937">
        <f>'Workmen Category'!BW25</f>
        <v>0</v>
      </c>
      <c r="Q26" s="937">
        <f>'Workmen Category'!BX25</f>
        <v>38</v>
      </c>
      <c r="R26" s="937">
        <f>'Workmen Category'!BY25</f>
        <v>22</v>
      </c>
      <c r="S26" s="937">
        <f>'Workmen Category'!BZ25</f>
        <v>9</v>
      </c>
      <c r="T26" s="937">
        <f>'Workmen Category'!CA25</f>
        <v>7</v>
      </c>
      <c r="U26" s="937" t="str">
        <f>'Workmen Category'!CB25</f>
        <v/>
      </c>
      <c r="V26" s="937">
        <f>'Workmen Category'!CC25</f>
        <v>38</v>
      </c>
      <c r="W26" s="937">
        <f>'Workmen Category'!CD25</f>
        <v>0</v>
      </c>
      <c r="X26" s="937" t="s">
        <v>1168</v>
      </c>
    </row>
    <row r="27" spans="1:24">
      <c r="A27" s="903" t="s">
        <v>1030</v>
      </c>
      <c r="B27" s="579" t="s">
        <v>610</v>
      </c>
      <c r="C27" s="579"/>
      <c r="D27" s="579"/>
      <c r="E27" s="937"/>
      <c r="F27" s="996">
        <v>72</v>
      </c>
      <c r="G27" s="579"/>
      <c r="H27" s="1004">
        <v>29</v>
      </c>
      <c r="I27" s="137">
        <v>5</v>
      </c>
      <c r="J27" s="137">
        <v>38</v>
      </c>
      <c r="K27" s="137"/>
      <c r="L27" s="137">
        <f t="shared" si="0"/>
        <v>72</v>
      </c>
      <c r="O27" s="579" t="str">
        <f>'Workmen Category'!A26</f>
        <v>SCM (Stores &amp; WH)</v>
      </c>
      <c r="P27" s="937">
        <f>'Workmen Category'!BW26</f>
        <v>0</v>
      </c>
      <c r="Q27" s="937">
        <f>'Workmen Category'!BX26</f>
        <v>70</v>
      </c>
      <c r="R27" s="937">
        <f>'Workmen Category'!BY26</f>
        <v>28</v>
      </c>
      <c r="S27" s="937">
        <f>'Workmen Category'!BZ26</f>
        <v>5</v>
      </c>
      <c r="T27" s="937">
        <f>'Workmen Category'!CA26</f>
        <v>37</v>
      </c>
      <c r="U27" s="937" t="str">
        <f>'Workmen Category'!CB26</f>
        <v/>
      </c>
      <c r="V27" s="937">
        <f>'Workmen Category'!CC26</f>
        <v>70</v>
      </c>
      <c r="W27" s="937">
        <f>'Workmen Category'!CD26</f>
        <v>0</v>
      </c>
      <c r="X27" s="579"/>
    </row>
    <row r="28" spans="1:24">
      <c r="A28" s="903" t="s">
        <v>1030</v>
      </c>
      <c r="B28" s="579" t="s">
        <v>610</v>
      </c>
      <c r="C28" s="579"/>
      <c r="D28" s="579"/>
      <c r="E28" s="937"/>
      <c r="F28" s="996">
        <v>30</v>
      </c>
      <c r="G28" s="579"/>
      <c r="H28" s="1004">
        <v>2</v>
      </c>
      <c r="I28" s="137">
        <v>0</v>
      </c>
      <c r="J28" s="137">
        <v>2</v>
      </c>
      <c r="K28" s="137">
        <v>26</v>
      </c>
      <c r="L28" s="137">
        <f t="shared" si="0"/>
        <v>30</v>
      </c>
      <c r="N28" s="1032"/>
      <c r="O28" s="579" t="str">
        <f>'Workmen Category'!A27</f>
        <v>SCM (Stores &amp; WH)</v>
      </c>
      <c r="P28" s="937">
        <f>'Workmen Category'!BW27</f>
        <v>0</v>
      </c>
      <c r="Q28" s="937">
        <f>'Workmen Category'!BX27</f>
        <v>30</v>
      </c>
      <c r="R28" s="937">
        <f>'Workmen Category'!BY27</f>
        <v>2</v>
      </c>
      <c r="S28" s="937" t="str">
        <f>'Workmen Category'!BZ27</f>
        <v/>
      </c>
      <c r="T28" s="937">
        <f>'Workmen Category'!CA27</f>
        <v>2</v>
      </c>
      <c r="U28" s="937">
        <f>'Workmen Category'!CB27</f>
        <v>26</v>
      </c>
      <c r="V28" s="937">
        <f>'Workmen Category'!CC27</f>
        <v>30</v>
      </c>
      <c r="W28" s="937">
        <f>'Workmen Category'!CD27</f>
        <v>0</v>
      </c>
      <c r="X28" s="579"/>
    </row>
    <row r="29" spans="1:24">
      <c r="A29" s="903" t="s">
        <v>1030</v>
      </c>
      <c r="B29" s="579" t="s">
        <v>307</v>
      </c>
      <c r="C29" s="579"/>
      <c r="D29" s="579"/>
      <c r="E29" s="937"/>
      <c r="F29" s="996">
        <v>199</v>
      </c>
      <c r="G29" s="579"/>
      <c r="H29" s="1004">
        <v>28</v>
      </c>
      <c r="I29" s="137">
        <v>7</v>
      </c>
      <c r="J29" s="137">
        <v>165</v>
      </c>
      <c r="K29" s="137"/>
      <c r="L29" s="137">
        <f t="shared" si="0"/>
        <v>200</v>
      </c>
      <c r="N29" s="1032"/>
      <c r="O29" s="579" t="str">
        <f>'Workmen Category'!A28</f>
        <v>Common</v>
      </c>
      <c r="P29" s="937">
        <f>'Workmen Category'!BW28</f>
        <v>0</v>
      </c>
      <c r="Q29" s="937">
        <f>'Workmen Category'!BX28</f>
        <v>175</v>
      </c>
      <c r="R29" s="937">
        <f>'Workmen Category'!BY28</f>
        <v>30</v>
      </c>
      <c r="S29" s="937">
        <f>'Workmen Category'!BZ28</f>
        <v>5</v>
      </c>
      <c r="T29" s="937">
        <f>'Workmen Category'!CA28</f>
        <v>140</v>
      </c>
      <c r="U29" s="937" t="str">
        <f>'Workmen Category'!CB28</f>
        <v/>
      </c>
      <c r="V29" s="937">
        <f>'Workmen Category'!CC28</f>
        <v>175</v>
      </c>
      <c r="W29" s="937">
        <f>'Workmen Category'!CD28</f>
        <v>0</v>
      </c>
      <c r="X29" s="937" t="s">
        <v>1169</v>
      </c>
    </row>
    <row r="30" spans="1:24" hidden="1">
      <c r="A30" s="40"/>
      <c r="E30" s="940"/>
      <c r="F30" s="941"/>
      <c r="G30" s="579"/>
      <c r="H30" s="1005"/>
      <c r="I30" s="949"/>
      <c r="J30" s="950"/>
      <c r="K30" s="949"/>
      <c r="L30" s="949"/>
      <c r="O30" s="607">
        <f>'Workmen Category'!A29</f>
        <v>0</v>
      </c>
      <c r="P30" s="940"/>
      <c r="Q30" s="940"/>
      <c r="R30" s="940"/>
      <c r="S30" s="940"/>
      <c r="T30" s="940"/>
      <c r="U30" s="940"/>
      <c r="V30" s="940"/>
      <c r="W30" s="940"/>
    </row>
    <row r="31" spans="1:24">
      <c r="A31" s="903" t="s">
        <v>1030</v>
      </c>
      <c r="B31" s="146" t="s">
        <v>91</v>
      </c>
      <c r="C31" s="579"/>
      <c r="D31" s="579"/>
      <c r="E31" s="937"/>
      <c r="F31" s="998">
        <f>SUM(F4:F29)</f>
        <v>1589.6666666666667</v>
      </c>
      <c r="G31" s="579"/>
      <c r="H31" s="1006">
        <f t="shared" ref="H31:K31" si="1">SUM(H4:H29)</f>
        <v>579.5</v>
      </c>
      <c r="I31" s="943">
        <f t="shared" si="1"/>
        <v>345.83333333333337</v>
      </c>
      <c r="J31" s="943">
        <f t="shared" si="1"/>
        <v>374.25</v>
      </c>
      <c r="K31" s="942">
        <f t="shared" si="1"/>
        <v>289</v>
      </c>
      <c r="L31" s="943">
        <f>SUM(L4:L29)</f>
        <v>1588.5833333333333</v>
      </c>
      <c r="M31" s="579"/>
      <c r="N31" s="951"/>
      <c r="O31" s="952"/>
      <c r="P31" s="937"/>
      <c r="Q31" s="962">
        <f t="shared" ref="Q31:V31" si="2">SUM(Q4:Q29)</f>
        <v>1619.125</v>
      </c>
      <c r="R31" s="937">
        <f t="shared" si="2"/>
        <v>525.66666666666674</v>
      </c>
      <c r="S31" s="937">
        <f t="shared" si="2"/>
        <v>274.5</v>
      </c>
      <c r="T31" s="937">
        <f t="shared" si="2"/>
        <v>280</v>
      </c>
      <c r="U31" s="937">
        <f t="shared" si="2"/>
        <v>557.04166666666674</v>
      </c>
      <c r="V31" s="962">
        <f t="shared" si="2"/>
        <v>1637.2083333333333</v>
      </c>
      <c r="W31" s="937"/>
      <c r="X31" s="954"/>
    </row>
    <row r="32" spans="1:24" hidden="1">
      <c r="F32" s="945"/>
      <c r="G32" s="579"/>
      <c r="H32" s="946"/>
      <c r="I32" s="946"/>
      <c r="J32" s="946"/>
      <c r="K32" s="946"/>
      <c r="P32" s="940"/>
      <c r="Q32" s="940"/>
      <c r="R32" s="937"/>
      <c r="S32" s="937"/>
      <c r="T32" s="937"/>
      <c r="U32" s="937"/>
      <c r="V32" s="940"/>
      <c r="W32" s="940"/>
    </row>
    <row r="33" spans="1:24" hidden="1">
      <c r="F33" s="945"/>
      <c r="G33" s="579"/>
      <c r="H33" s="946"/>
      <c r="I33" s="946"/>
      <c r="J33" s="946"/>
      <c r="K33" s="946"/>
      <c r="M33" s="947"/>
      <c r="R33" s="579"/>
      <c r="S33" s="579"/>
      <c r="T33" s="579"/>
      <c r="U33" s="579"/>
    </row>
    <row r="34" spans="1:24" hidden="1">
      <c r="F34" s="945"/>
      <c r="G34" s="579"/>
      <c r="H34" s="946"/>
      <c r="I34" s="946"/>
      <c r="J34" s="946"/>
      <c r="K34" s="946"/>
      <c r="M34" s="944"/>
      <c r="N34" s="948"/>
      <c r="R34" s="579"/>
      <c r="S34" s="579"/>
      <c r="T34" s="579"/>
      <c r="U34" s="579"/>
    </row>
    <row r="35" spans="1:24">
      <c r="F35" s="945"/>
      <c r="G35" s="579"/>
      <c r="M35" s="948"/>
      <c r="Q35" s="946"/>
      <c r="R35" s="943"/>
      <c r="S35" s="943"/>
      <c r="T35" s="943"/>
      <c r="U35" s="943"/>
      <c r="V35" s="984"/>
    </row>
    <row r="36" spans="1:24">
      <c r="A36" s="903" t="s">
        <v>1283</v>
      </c>
      <c r="B36" s="579" t="s">
        <v>308</v>
      </c>
      <c r="C36" s="579"/>
      <c r="D36" s="579"/>
      <c r="E36" s="937"/>
      <c r="F36" s="996">
        <v>34</v>
      </c>
      <c r="G36" s="579"/>
      <c r="H36" s="1004">
        <v>23</v>
      </c>
      <c r="I36" s="137">
        <v>11</v>
      </c>
      <c r="J36" s="137">
        <v>0</v>
      </c>
      <c r="K36" s="137">
        <v>0</v>
      </c>
      <c r="L36" s="137">
        <f t="shared" ref="L36:L41" si="3">SUM(H36:K36)</f>
        <v>34</v>
      </c>
      <c r="O36" s="579" t="str">
        <f>'Workmen Category'!A32</f>
        <v>TQM</v>
      </c>
      <c r="P36" s="937">
        <f>'Workmen Category'!BW32</f>
        <v>0</v>
      </c>
      <c r="Q36" s="937">
        <f>'Workmen Category'!BX32</f>
        <v>4</v>
      </c>
      <c r="R36" s="937">
        <f>'Workmen Category'!BY32</f>
        <v>4</v>
      </c>
      <c r="S36" s="937" t="str">
        <f>'Workmen Category'!BZ32</f>
        <v/>
      </c>
      <c r="T36" s="937" t="str">
        <f>'Workmen Category'!CA32</f>
        <v/>
      </c>
      <c r="U36" s="937" t="str">
        <f>'Workmen Category'!CB32</f>
        <v/>
      </c>
      <c r="V36" s="937">
        <f>'Workmen Category'!CC32</f>
        <v>4</v>
      </c>
      <c r="W36" s="937">
        <f>'Workmen Category'!CD32</f>
        <v>0</v>
      </c>
      <c r="X36" s="579"/>
    </row>
    <row r="37" spans="1:24">
      <c r="A37" s="903" t="s">
        <v>1283</v>
      </c>
      <c r="B37" s="579" t="s">
        <v>316</v>
      </c>
      <c r="C37" s="579"/>
      <c r="D37" s="579"/>
      <c r="E37" s="937"/>
      <c r="F37" s="996">
        <v>20</v>
      </c>
      <c r="G37" s="579"/>
      <c r="H37" s="1004">
        <v>20</v>
      </c>
      <c r="I37" s="137">
        <v>0</v>
      </c>
      <c r="J37" s="137">
        <v>0</v>
      </c>
      <c r="K37" s="137">
        <v>0</v>
      </c>
      <c r="L37" s="137">
        <f t="shared" si="3"/>
        <v>20</v>
      </c>
      <c r="O37" s="579" t="str">
        <f>'Workmen Category'!A33</f>
        <v>Engg.</v>
      </c>
      <c r="P37" s="937">
        <f>'Workmen Category'!BW33</f>
        <v>0</v>
      </c>
      <c r="Q37" s="937">
        <f>'Workmen Category'!BX33</f>
        <v>4</v>
      </c>
      <c r="R37" s="937">
        <f>'Workmen Category'!BY33</f>
        <v>4</v>
      </c>
      <c r="S37" s="937" t="str">
        <f>'Workmen Category'!BZ33</f>
        <v/>
      </c>
      <c r="T37" s="937" t="str">
        <f>'Workmen Category'!CA33</f>
        <v/>
      </c>
      <c r="U37" s="937" t="str">
        <f>'Workmen Category'!CB33</f>
        <v/>
      </c>
      <c r="V37" s="937">
        <f>'Workmen Category'!CC33</f>
        <v>4</v>
      </c>
      <c r="W37" s="937">
        <f>'Workmen Category'!CD33</f>
        <v>0</v>
      </c>
      <c r="X37" s="579"/>
    </row>
    <row r="38" spans="1:24">
      <c r="A38" s="903" t="s">
        <v>1283</v>
      </c>
      <c r="B38" s="579" t="s">
        <v>478</v>
      </c>
      <c r="C38" s="579"/>
      <c r="D38" s="579"/>
      <c r="E38" s="937"/>
      <c r="F38" s="997">
        <v>6</v>
      </c>
      <c r="G38" s="579"/>
      <c r="H38" s="1004">
        <v>5.97</v>
      </c>
      <c r="I38" s="137">
        <v>0</v>
      </c>
      <c r="J38" s="137">
        <v>0</v>
      </c>
      <c r="K38" s="137">
        <v>0</v>
      </c>
      <c r="L38" s="137">
        <f t="shared" si="3"/>
        <v>5.97</v>
      </c>
      <c r="O38" s="579" t="str">
        <f>'Workmen Category'!A34</f>
        <v>R&amp;D (PD)</v>
      </c>
      <c r="P38" s="937">
        <f>'Workmen Category'!BW34</f>
        <v>0</v>
      </c>
      <c r="Q38" s="937">
        <f>'Workmen Category'!BX34</f>
        <v>0</v>
      </c>
      <c r="R38" s="937" t="str">
        <f>'Workmen Category'!BY34</f>
        <v/>
      </c>
      <c r="S38" s="937" t="str">
        <f>'Workmen Category'!BZ34</f>
        <v/>
      </c>
      <c r="T38" s="937" t="str">
        <f>'Workmen Category'!CA34</f>
        <v/>
      </c>
      <c r="U38" s="937" t="str">
        <f>'Workmen Category'!CB34</f>
        <v/>
      </c>
      <c r="V38" s="937">
        <f>'Workmen Category'!CC34</f>
        <v>0</v>
      </c>
      <c r="W38" s="937">
        <f>'Workmen Category'!CD34</f>
        <v>0</v>
      </c>
      <c r="X38" s="579"/>
    </row>
    <row r="39" spans="1:24">
      <c r="A39" s="903" t="s">
        <v>1283</v>
      </c>
      <c r="B39" s="579"/>
      <c r="C39" s="579"/>
      <c r="D39" s="579"/>
      <c r="E39" s="579"/>
      <c r="F39" s="999"/>
      <c r="G39" s="579"/>
      <c r="H39" s="1004"/>
      <c r="I39" s="137"/>
      <c r="J39" s="137"/>
      <c r="K39" s="137"/>
      <c r="L39" s="137">
        <f t="shared" si="3"/>
        <v>0</v>
      </c>
      <c r="O39" s="579" t="str">
        <f>'Workmen Category'!A35</f>
        <v>Common</v>
      </c>
      <c r="P39" s="937">
        <f>'Workmen Category'!BW35</f>
        <v>0</v>
      </c>
      <c r="Q39" s="937">
        <f>'Workmen Category'!BX35</f>
        <v>8</v>
      </c>
      <c r="R39" s="937" t="str">
        <f>'Workmen Category'!BY35</f>
        <v/>
      </c>
      <c r="S39" s="937" t="str">
        <f>'Workmen Category'!BZ35</f>
        <v/>
      </c>
      <c r="T39" s="937">
        <f>'Workmen Category'!CA35</f>
        <v>8</v>
      </c>
      <c r="U39" s="937" t="str">
        <f>'Workmen Category'!CB35</f>
        <v/>
      </c>
      <c r="V39" s="937">
        <f>'Workmen Category'!CC35</f>
        <v>8</v>
      </c>
      <c r="W39" s="937">
        <f>'Workmen Category'!CD35</f>
        <v>0</v>
      </c>
      <c r="X39" s="579"/>
    </row>
    <row r="40" spans="1:24">
      <c r="A40" s="903" t="s">
        <v>1283</v>
      </c>
      <c r="B40" s="579" t="s">
        <v>610</v>
      </c>
      <c r="C40" s="579"/>
      <c r="D40" s="579"/>
      <c r="E40" s="937"/>
      <c r="F40" s="996">
        <v>20</v>
      </c>
      <c r="G40" s="579"/>
      <c r="H40" s="1004">
        <v>8.4098360655737707</v>
      </c>
      <c r="I40" s="137">
        <v>1</v>
      </c>
      <c r="J40" s="137">
        <v>10.557377049180328</v>
      </c>
      <c r="K40" s="137"/>
      <c r="L40" s="137">
        <f t="shared" si="3"/>
        <v>19.967213114754099</v>
      </c>
      <c r="O40" s="579" t="str">
        <f>'Workmen Category'!A36</f>
        <v>SCM (Stores &amp; WH)</v>
      </c>
      <c r="P40" s="937">
        <f>'Workmen Category'!BW36</f>
        <v>0</v>
      </c>
      <c r="Q40" s="937">
        <f>'Workmen Category'!BX36</f>
        <v>4</v>
      </c>
      <c r="R40" s="937">
        <f>'Workmen Category'!BY36</f>
        <v>4</v>
      </c>
      <c r="S40" s="937" t="str">
        <f>'Workmen Category'!BZ36</f>
        <v/>
      </c>
      <c r="T40" s="937" t="str">
        <f>'Workmen Category'!CA36</f>
        <v/>
      </c>
      <c r="U40" s="937" t="str">
        <f>'Workmen Category'!CB36</f>
        <v/>
      </c>
      <c r="V40" s="937">
        <f>'Workmen Category'!CC36</f>
        <v>4</v>
      </c>
      <c r="W40" s="937">
        <f>'Workmen Category'!CD36</f>
        <v>0</v>
      </c>
      <c r="X40" s="579"/>
    </row>
    <row r="41" spans="1:24">
      <c r="A41" s="955" t="s">
        <v>1283</v>
      </c>
      <c r="B41" s="949" t="s">
        <v>295</v>
      </c>
      <c r="C41" s="949"/>
      <c r="D41" s="949"/>
      <c r="E41" s="956">
        <v>8131.8647584021919</v>
      </c>
      <c r="F41" s="1000">
        <v>165</v>
      </c>
      <c r="G41" s="579"/>
      <c r="H41" s="1007">
        <v>65.557377049180332</v>
      </c>
      <c r="I41" s="957">
        <v>35</v>
      </c>
      <c r="J41" s="957">
        <v>50</v>
      </c>
      <c r="K41" s="957">
        <v>14</v>
      </c>
      <c r="L41" s="957">
        <f t="shared" si="3"/>
        <v>164.55737704918033</v>
      </c>
      <c r="O41" s="949" t="str">
        <f>'Workmen Category'!A37</f>
        <v>SPC</v>
      </c>
      <c r="P41" s="956">
        <f>'Workmen Category'!BW37</f>
        <v>0</v>
      </c>
      <c r="Q41" s="956">
        <f>'Workmen Category'!BX37</f>
        <v>46</v>
      </c>
      <c r="R41" s="956">
        <f>'Workmen Category'!BY37</f>
        <v>20</v>
      </c>
      <c r="S41" s="956" t="str">
        <f>'Workmen Category'!BZ37</f>
        <v/>
      </c>
      <c r="T41" s="956">
        <f>'Workmen Category'!CA37</f>
        <v>12</v>
      </c>
      <c r="U41" s="956">
        <f>'Workmen Category'!CB37</f>
        <v>14</v>
      </c>
      <c r="V41" s="956">
        <f>'Workmen Category'!CC37</f>
        <v>46</v>
      </c>
      <c r="W41" s="956">
        <f>'Workmen Category'!CD37</f>
        <v>0</v>
      </c>
      <c r="X41" s="579"/>
    </row>
    <row r="42" spans="1:24">
      <c r="A42" s="903" t="s">
        <v>1283</v>
      </c>
      <c r="B42" s="146" t="s">
        <v>91</v>
      </c>
      <c r="C42" s="579"/>
      <c r="D42" s="579"/>
      <c r="E42" s="579"/>
      <c r="F42" s="1001">
        <f>SUM(F36:F41)</f>
        <v>245</v>
      </c>
      <c r="G42" s="579"/>
      <c r="H42" s="1004">
        <f t="shared" ref="H42:K42" si="4">SUM(H36:H41)</f>
        <v>122.9372131147541</v>
      </c>
      <c r="I42" s="137">
        <f t="shared" si="4"/>
        <v>47</v>
      </c>
      <c r="J42" s="137">
        <f t="shared" si="4"/>
        <v>60.557377049180332</v>
      </c>
      <c r="K42" s="137">
        <f t="shared" si="4"/>
        <v>14</v>
      </c>
      <c r="L42" s="137">
        <f>SUM(L36:L41)</f>
        <v>244.49459016393445</v>
      </c>
      <c r="M42" s="579"/>
      <c r="O42" s="579"/>
      <c r="P42" s="937">
        <f>'Workmen Category'!BW38</f>
        <v>0</v>
      </c>
      <c r="Q42" s="937">
        <f>SUM(Q36:Q41)</f>
        <v>66</v>
      </c>
      <c r="R42" s="937">
        <f>'Workmen Category'!BY38</f>
        <v>32</v>
      </c>
      <c r="S42" s="937">
        <f>'Workmen Category'!BZ38</f>
        <v>0</v>
      </c>
      <c r="T42" s="937">
        <f>'Workmen Category'!CA38</f>
        <v>20</v>
      </c>
      <c r="U42" s="937">
        <f>'Workmen Category'!CB38</f>
        <v>14</v>
      </c>
      <c r="V42" s="937">
        <f>'Workmen Category'!CC38</f>
        <v>66</v>
      </c>
      <c r="W42" s="937">
        <f>'Workmen Category'!CD38</f>
        <v>0</v>
      </c>
      <c r="X42" s="579"/>
    </row>
    <row r="43" spans="1:24">
      <c r="A43" s="13"/>
      <c r="B43" s="579"/>
      <c r="C43" s="579"/>
      <c r="D43" s="579"/>
      <c r="E43" s="579"/>
      <c r="F43" s="999"/>
      <c r="G43" s="579"/>
      <c r="H43" s="1008"/>
      <c r="I43" s="579"/>
      <c r="J43" s="137"/>
      <c r="K43" s="137"/>
      <c r="L43" s="579"/>
      <c r="M43" s="579"/>
      <c r="O43" s="579"/>
      <c r="P43" s="937">
        <f>'Workmen Category'!BW39</f>
        <v>0</v>
      </c>
      <c r="Q43" s="937">
        <f>'Workmen Category'!BX39</f>
        <v>0</v>
      </c>
      <c r="R43" s="958">
        <f>'Workmen Category'!BY39</f>
        <v>0</v>
      </c>
      <c r="S43" s="958">
        <f>'Workmen Category'!BZ39</f>
        <v>0</v>
      </c>
      <c r="T43" s="958">
        <f>'Workmen Category'!CA39</f>
        <v>0</v>
      </c>
      <c r="U43" s="958">
        <f>'Workmen Category'!CB39</f>
        <v>0</v>
      </c>
      <c r="V43" s="958">
        <f>'Workmen Category'!CC39</f>
        <v>0</v>
      </c>
      <c r="W43" s="958">
        <f>'Workmen Category'!CD39</f>
        <v>0</v>
      </c>
      <c r="X43" s="579"/>
    </row>
    <row r="44" spans="1:24">
      <c r="A44" s="13"/>
      <c r="B44" s="146" t="s">
        <v>265</v>
      </c>
      <c r="C44" s="579"/>
      <c r="D44" s="579"/>
      <c r="E44" s="579"/>
      <c r="F44" s="1002">
        <f>F42+F31</f>
        <v>1834.6666666666667</v>
      </c>
      <c r="G44" s="146"/>
      <c r="H44" s="1006">
        <f>H42+H31</f>
        <v>702.43721311475406</v>
      </c>
      <c r="I44" s="942">
        <f>I42+I31</f>
        <v>392.83333333333337</v>
      </c>
      <c r="J44" s="942">
        <f>J42+J31</f>
        <v>434.80737704918033</v>
      </c>
      <c r="K44" s="942">
        <f>K42+K31</f>
        <v>303</v>
      </c>
      <c r="L44" s="942">
        <f>L42+L31</f>
        <v>1833.0779234972676</v>
      </c>
      <c r="M44" s="146"/>
      <c r="O44" s="146"/>
      <c r="P44" s="953">
        <f>'Workmen Category'!BW40</f>
        <v>0</v>
      </c>
      <c r="Q44" s="953">
        <f>Q42+Q31</f>
        <v>1685.125</v>
      </c>
      <c r="R44" s="953">
        <f>'Workmen Category'!BY40</f>
        <v>557.66666666666663</v>
      </c>
      <c r="S44" s="953">
        <f>'Workmen Category'!BZ40</f>
        <v>274.5</v>
      </c>
      <c r="T44" s="953">
        <f>'Workmen Category'!CA40</f>
        <v>300</v>
      </c>
      <c r="U44" s="953">
        <f>'Workmen Category'!CB40</f>
        <v>571.04166666666663</v>
      </c>
      <c r="V44" s="953">
        <f>'Workmen Category'!CC40</f>
        <v>1703.2083333333333</v>
      </c>
      <c r="W44" s="953">
        <f>'Workmen Category'!CD40</f>
        <v>0</v>
      </c>
      <c r="X44" s="579"/>
    </row>
    <row r="45" spans="1:24">
      <c r="W45" s="984"/>
    </row>
    <row r="54" spans="8:10">
      <c r="I54" s="607" t="s">
        <v>1098</v>
      </c>
      <c r="J54" s="610">
        <v>702.43721311475417</v>
      </c>
    </row>
    <row r="55" spans="8:10">
      <c r="I55" s="607" t="s">
        <v>535</v>
      </c>
      <c r="J55" s="610">
        <v>397.58333333333331</v>
      </c>
    </row>
    <row r="56" spans="8:10">
      <c r="I56" s="607" t="s">
        <v>1107</v>
      </c>
      <c r="J56" s="610">
        <v>431.80737704918033</v>
      </c>
    </row>
    <row r="57" spans="8:10">
      <c r="I57" s="607" t="s">
        <v>1108</v>
      </c>
      <c r="J57" s="610">
        <v>303</v>
      </c>
    </row>
    <row r="59" spans="8:10">
      <c r="H59" s="607">
        <f>SUM(H60:H63)</f>
        <v>29</v>
      </c>
      <c r="I59" s="607">
        <f>SUM(I60:I63)</f>
        <v>5</v>
      </c>
      <c r="J59" s="607">
        <f>SUM(J60:J63)</f>
        <v>38</v>
      </c>
    </row>
    <row r="60" spans="8:10">
      <c r="H60" s="607">
        <v>5</v>
      </c>
      <c r="I60" s="607">
        <v>0</v>
      </c>
      <c r="J60" s="607">
        <v>4</v>
      </c>
    </row>
    <row r="61" spans="8:10">
      <c r="H61" s="607">
        <v>9</v>
      </c>
      <c r="I61" s="607">
        <v>1</v>
      </c>
      <c r="J61" s="607">
        <v>12</v>
      </c>
    </row>
    <row r="62" spans="8:10">
      <c r="H62" s="607">
        <v>2</v>
      </c>
      <c r="I62" s="607">
        <v>0</v>
      </c>
      <c r="J62" s="607">
        <v>5</v>
      </c>
    </row>
    <row r="63" spans="8:10">
      <c r="H63" s="607">
        <v>13</v>
      </c>
      <c r="I63" s="607">
        <v>4</v>
      </c>
      <c r="J63" s="607">
        <v>17</v>
      </c>
    </row>
  </sheetData>
  <mergeCells count="5">
    <mergeCell ref="A1:A3"/>
    <mergeCell ref="O1:W1"/>
    <mergeCell ref="O2:W2"/>
    <mergeCell ref="B1:G1"/>
    <mergeCell ref="B2:G2"/>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2"/>
  <sheetViews>
    <sheetView workbookViewId="0">
      <selection activeCell="O16" sqref="O16"/>
    </sheetView>
  </sheetViews>
  <sheetFormatPr defaultRowHeight="14.5"/>
  <cols>
    <col min="1" max="1" width="16.36328125" bestFit="1" customWidth="1"/>
    <col min="2" max="13" width="9.6328125" bestFit="1" customWidth="1"/>
  </cols>
  <sheetData>
    <row r="1" spans="1:14">
      <c r="A1" s="840" t="s">
        <v>1</v>
      </c>
      <c r="B1" s="994">
        <v>46113</v>
      </c>
      <c r="C1" s="994">
        <v>46143</v>
      </c>
      <c r="D1" s="994">
        <v>46174</v>
      </c>
      <c r="E1" s="994">
        <v>46204</v>
      </c>
      <c r="F1" s="994">
        <v>46235</v>
      </c>
      <c r="G1" s="994">
        <v>46266</v>
      </c>
      <c r="H1" s="994">
        <v>46296</v>
      </c>
      <c r="I1" s="994">
        <v>46327</v>
      </c>
      <c r="J1" s="994">
        <v>46357</v>
      </c>
      <c r="K1" s="994">
        <v>46388</v>
      </c>
      <c r="L1" s="994">
        <v>46419</v>
      </c>
      <c r="M1" s="994">
        <v>46447</v>
      </c>
      <c r="N1" s="132" t="s">
        <v>1650</v>
      </c>
    </row>
    <row r="2" spans="1:14">
      <c r="A2" s="10" t="s">
        <v>18</v>
      </c>
      <c r="B2" s="1354">
        <v>190053.55776565865</v>
      </c>
      <c r="C2" s="1354">
        <v>227636.65632478247</v>
      </c>
      <c r="D2" s="1354">
        <v>172736.18071804062</v>
      </c>
      <c r="E2" s="1354">
        <v>205578.84821213907</v>
      </c>
      <c r="F2" s="1354">
        <v>250826.70786830582</v>
      </c>
      <c r="G2" s="1354">
        <v>393717.01019461418</v>
      </c>
      <c r="H2" s="1354">
        <v>288952.27130070742</v>
      </c>
      <c r="I2" s="1354">
        <v>367132.6221504276</v>
      </c>
      <c r="J2" s="1354">
        <v>677193.28139733523</v>
      </c>
      <c r="K2" s="1354">
        <v>528044.3611370225</v>
      </c>
      <c r="L2" s="1354">
        <v>487687.56708971126</v>
      </c>
      <c r="M2" s="1354">
        <v>451556.31916267134</v>
      </c>
      <c r="N2" s="13" t="s">
        <v>1648</v>
      </c>
    </row>
    <row r="3" spans="1:14">
      <c r="A3" s="397" t="s">
        <v>23</v>
      </c>
      <c r="B3" s="1354">
        <v>1238788.4569386472</v>
      </c>
      <c r="C3" s="1354">
        <v>1080241.1453683665</v>
      </c>
      <c r="D3" s="1354">
        <v>960682.68380392634</v>
      </c>
      <c r="E3" s="1354">
        <v>1073640.3078553223</v>
      </c>
      <c r="F3" s="1354">
        <v>1193689.1505791745</v>
      </c>
      <c r="G3" s="1354">
        <v>1170212.3547063207</v>
      </c>
      <c r="H3" s="1354">
        <v>1054869.4764985801</v>
      </c>
      <c r="I3" s="1354">
        <v>940619.31850691908</v>
      </c>
      <c r="J3" s="1354">
        <v>1170039.6826852199</v>
      </c>
      <c r="K3" s="1354">
        <v>1163897.3365404399</v>
      </c>
      <c r="L3" s="1354">
        <v>1089413.3619432696</v>
      </c>
      <c r="M3" s="1354">
        <v>1033971.3268590876</v>
      </c>
      <c r="N3" s="13" t="s">
        <v>1648</v>
      </c>
    </row>
    <row r="4" spans="1:14">
      <c r="A4" s="397" t="s">
        <v>505</v>
      </c>
      <c r="B4" s="1354">
        <v>100470.29317355703</v>
      </c>
      <c r="C4" s="1354">
        <v>77390.828574762971</v>
      </c>
      <c r="D4" s="1354">
        <v>46293.57817805557</v>
      </c>
      <c r="E4" s="1354">
        <v>73043.525763739235</v>
      </c>
      <c r="F4" s="1354">
        <v>77436.853905849799</v>
      </c>
      <c r="G4" s="1354">
        <v>86494.712764804775</v>
      </c>
      <c r="H4" s="1354">
        <v>79944.330482420512</v>
      </c>
      <c r="I4" s="1354">
        <v>125987.81049013692</v>
      </c>
      <c r="J4" s="1354">
        <v>124745.61772641132</v>
      </c>
      <c r="K4" s="1354">
        <v>137266.19026845609</v>
      </c>
      <c r="L4" s="1354">
        <v>131559.3760210046</v>
      </c>
      <c r="M4" s="1354">
        <v>129051.08324901889</v>
      </c>
      <c r="N4" s="13" t="s">
        <v>1648</v>
      </c>
    </row>
    <row r="5" spans="1:14">
      <c r="A5" s="10" t="s">
        <v>506</v>
      </c>
      <c r="B5" s="1354">
        <v>1108335.1661479664</v>
      </c>
      <c r="C5" s="1354">
        <v>1028009.0860135073</v>
      </c>
      <c r="D5" s="1354">
        <v>939711.64404554619</v>
      </c>
      <c r="E5" s="1354">
        <v>1001669.8666879255</v>
      </c>
      <c r="F5" s="1354">
        <v>1130540.247640067</v>
      </c>
      <c r="G5" s="1354">
        <v>1056371.1068160413</v>
      </c>
      <c r="H5" s="1354">
        <v>933369.0299695679</v>
      </c>
      <c r="I5" s="1354">
        <v>920141.57983170624</v>
      </c>
      <c r="J5" s="1354">
        <v>1212098.632002092</v>
      </c>
      <c r="K5" s="1354">
        <v>992702.53521868575</v>
      </c>
      <c r="L5" s="1354">
        <v>995401.92469487828</v>
      </c>
      <c r="M5" s="1354">
        <v>941464.77243350295</v>
      </c>
      <c r="N5" s="13" t="s">
        <v>1648</v>
      </c>
    </row>
    <row r="6" spans="1:14">
      <c r="A6" s="10" t="s">
        <v>16</v>
      </c>
      <c r="B6" s="1354">
        <v>1518410.0261645445</v>
      </c>
      <c r="C6" s="1354">
        <v>1270519.7081872937</v>
      </c>
      <c r="D6" s="1354">
        <v>1070367.6121311053</v>
      </c>
      <c r="E6" s="1354">
        <v>1503729.5860971897</v>
      </c>
      <c r="F6" s="1354">
        <v>1172241.6099783394</v>
      </c>
      <c r="G6" s="1354">
        <v>1069542.560646872</v>
      </c>
      <c r="H6" s="1354">
        <v>1159497.9288042556</v>
      </c>
      <c r="I6" s="1354">
        <v>1031857.8390389218</v>
      </c>
      <c r="J6" s="1354">
        <v>1045049.7092607755</v>
      </c>
      <c r="K6" s="1354">
        <v>1046607.0945533157</v>
      </c>
      <c r="L6" s="1354">
        <v>999863.75552768027</v>
      </c>
      <c r="M6" s="1354">
        <v>921180.84647538199</v>
      </c>
      <c r="N6" s="13" t="s">
        <v>1648</v>
      </c>
    </row>
    <row r="7" spans="1:14">
      <c r="A7" s="10" t="s">
        <v>20</v>
      </c>
      <c r="B7" s="1354">
        <v>1442558.3095265913</v>
      </c>
      <c r="C7" s="1354">
        <v>1246077.2401243302</v>
      </c>
      <c r="D7" s="1354">
        <v>1159707.0172842322</v>
      </c>
      <c r="E7" s="1354">
        <v>1249148.5202252499</v>
      </c>
      <c r="F7" s="1354">
        <v>1337464.3508931305</v>
      </c>
      <c r="G7" s="1354">
        <v>1140459.1733545342</v>
      </c>
      <c r="H7" s="1354">
        <v>1164411.0135394447</v>
      </c>
      <c r="I7" s="1354">
        <v>1032182.3004485194</v>
      </c>
      <c r="J7" s="1354">
        <v>1044370.11425747</v>
      </c>
      <c r="K7" s="1354">
        <v>1045506.4862854941</v>
      </c>
      <c r="L7" s="1354">
        <v>998580.62037813826</v>
      </c>
      <c r="M7" s="1354">
        <v>924243.00289712637</v>
      </c>
      <c r="N7" s="13" t="s">
        <v>1648</v>
      </c>
    </row>
    <row r="8" spans="1:14">
      <c r="A8" s="10" t="s">
        <v>501</v>
      </c>
      <c r="B8" s="1354">
        <v>772731.27404659346</v>
      </c>
      <c r="C8" s="1354">
        <v>674690.75761742878</v>
      </c>
      <c r="D8" s="1354">
        <v>607856.37953567854</v>
      </c>
      <c r="E8" s="1354">
        <v>697292.18303559953</v>
      </c>
      <c r="F8" s="1354">
        <v>657301.77643918747</v>
      </c>
      <c r="G8" s="1354">
        <v>634553.79035836656</v>
      </c>
      <c r="H8" s="1354">
        <v>615480.76562742144</v>
      </c>
      <c r="I8" s="1354">
        <v>549635.609338296</v>
      </c>
      <c r="J8" s="1354">
        <v>663525.88689586485</v>
      </c>
      <c r="K8" s="1354">
        <v>633577.83853506146</v>
      </c>
      <c r="L8" s="1354">
        <v>603487.23985240574</v>
      </c>
      <c r="M8" s="1354">
        <v>608598.74414246238</v>
      </c>
      <c r="N8" s="13" t="s">
        <v>1648</v>
      </c>
    </row>
    <row r="9" spans="1:14">
      <c r="A9" s="10" t="s">
        <v>252</v>
      </c>
      <c r="B9" s="1354">
        <v>96546.648183317797</v>
      </c>
      <c r="C9" s="1354">
        <v>133921.5313615741</v>
      </c>
      <c r="D9" s="1354">
        <v>145860.5129719892</v>
      </c>
      <c r="E9" s="1354">
        <v>105972.23413770075</v>
      </c>
      <c r="F9" s="1354">
        <v>150546.85195859807</v>
      </c>
      <c r="G9" s="1354">
        <v>135954.37787847407</v>
      </c>
      <c r="H9" s="1354">
        <v>147220.98853057422</v>
      </c>
      <c r="I9" s="1354">
        <v>212414.35108799746</v>
      </c>
      <c r="J9" s="1354">
        <v>222519.97078614187</v>
      </c>
      <c r="K9" s="1354">
        <v>119372.28563599853</v>
      </c>
      <c r="L9" s="1354">
        <v>156342.52910495715</v>
      </c>
      <c r="M9" s="1354">
        <v>110249.8254101051</v>
      </c>
      <c r="N9" s="13" t="s">
        <v>1648</v>
      </c>
    </row>
    <row r="10" spans="1:14">
      <c r="A10" s="10" t="s">
        <v>254</v>
      </c>
      <c r="B10" s="1354">
        <v>72130.300754674143</v>
      </c>
      <c r="C10" s="1354">
        <v>79680.975808986914</v>
      </c>
      <c r="D10" s="1354">
        <v>73191.572113956019</v>
      </c>
      <c r="E10" s="1354">
        <v>82743.928612041811</v>
      </c>
      <c r="F10" s="1354">
        <v>70744.121770947022</v>
      </c>
      <c r="G10" s="1354">
        <v>73504.264881859563</v>
      </c>
      <c r="H10" s="1354">
        <v>78371.571888395512</v>
      </c>
      <c r="I10" s="1354">
        <v>32784.195554211736</v>
      </c>
      <c r="J10" s="1354">
        <v>140570.74870494704</v>
      </c>
      <c r="K10" s="1354">
        <v>87002.910956388208</v>
      </c>
      <c r="L10" s="1354">
        <v>66645.338599770563</v>
      </c>
      <c r="M10" s="1354">
        <v>72988.028599770565</v>
      </c>
      <c r="N10" s="13" t="s">
        <v>1648</v>
      </c>
    </row>
    <row r="11" spans="1:14">
      <c r="A11" s="10" t="s">
        <v>255</v>
      </c>
      <c r="B11" s="1354">
        <v>168676.94893799193</v>
      </c>
      <c r="C11" s="1354">
        <v>213602.507170561</v>
      </c>
      <c r="D11" s="1354">
        <v>219052.0850859452</v>
      </c>
      <c r="E11" s="1354">
        <v>188716.16274974257</v>
      </c>
      <c r="F11" s="1354">
        <v>221290.97372954508</v>
      </c>
      <c r="G11" s="1354">
        <v>209458.64276033363</v>
      </c>
      <c r="H11" s="1354">
        <v>225592.56041896972</v>
      </c>
      <c r="I11" s="1354">
        <v>245198.5466422092</v>
      </c>
      <c r="J11" s="1354">
        <v>363090.71949108888</v>
      </c>
      <c r="K11" s="1354">
        <v>206375.19659238675</v>
      </c>
      <c r="L11" s="1354">
        <v>222987.86770472772</v>
      </c>
      <c r="M11" s="1354">
        <v>183237.85400987568</v>
      </c>
      <c r="N11" s="13" t="s">
        <v>1648</v>
      </c>
    </row>
    <row r="12" spans="1:14">
      <c r="A12" s="10" t="s">
        <v>256</v>
      </c>
      <c r="B12" s="1354">
        <v>168676.94893799193</v>
      </c>
      <c r="C12" s="1354">
        <v>213602.507170561</v>
      </c>
      <c r="D12" s="1354">
        <v>219052.0850859452</v>
      </c>
      <c r="E12" s="1354">
        <v>188716.16274974257</v>
      </c>
      <c r="F12" s="1354">
        <v>221290.97372954508</v>
      </c>
      <c r="G12" s="1354">
        <v>209458.64276033363</v>
      </c>
      <c r="H12" s="1354">
        <v>225592.56041896972</v>
      </c>
      <c r="I12" s="1354">
        <v>245198.5466422092</v>
      </c>
      <c r="J12" s="1354">
        <v>363090.71949108888</v>
      </c>
      <c r="K12" s="1354">
        <v>206375.19659238675</v>
      </c>
      <c r="L12" s="1354">
        <v>222987.86770472772</v>
      </c>
      <c r="M12" s="1354">
        <v>183237.85400987568</v>
      </c>
      <c r="N12" s="13" t="s">
        <v>1648</v>
      </c>
    </row>
    <row r="13" spans="1:14">
      <c r="A13" s="13" t="s">
        <v>1631</v>
      </c>
      <c r="B13" s="1356">
        <v>112252.91138398668</v>
      </c>
      <c r="C13" s="1356">
        <v>165692.45085088845</v>
      </c>
      <c r="D13" s="1356">
        <v>114103.80933467718</v>
      </c>
      <c r="E13" s="1356">
        <v>130436.13398491546</v>
      </c>
      <c r="F13" s="1356">
        <v>114915.63766101819</v>
      </c>
      <c r="G13" s="1356">
        <v>123084.28324758667</v>
      </c>
      <c r="H13" s="1356">
        <v>109571.11223635124</v>
      </c>
      <c r="I13" s="1356">
        <v>130904.65757053578</v>
      </c>
      <c r="J13" s="1356">
        <v>162421.35760465695</v>
      </c>
      <c r="K13" s="1356">
        <v>166076.48081126669</v>
      </c>
      <c r="L13" s="1356">
        <v>170798.47120006668</v>
      </c>
      <c r="M13" s="1356">
        <v>210645.28920006665</v>
      </c>
      <c r="N13" s="13" t="s">
        <v>1649</v>
      </c>
    </row>
    <row r="14" spans="1:14">
      <c r="A14" s="397" t="s">
        <v>1645</v>
      </c>
      <c r="B14" s="1356">
        <v>24776.394560000001</v>
      </c>
      <c r="C14" s="1356">
        <v>17312.448575000002</v>
      </c>
      <c r="D14" s="1356">
        <v>17958.083989999999</v>
      </c>
      <c r="E14" s="1356">
        <v>31250.290639999996</v>
      </c>
      <c r="F14" s="1356">
        <v>58501.695890000003</v>
      </c>
      <c r="G14" s="1356">
        <v>29612.5</v>
      </c>
      <c r="H14" s="1356">
        <v>44805</v>
      </c>
      <c r="I14" s="1356">
        <v>41509</v>
      </c>
      <c r="J14" s="1356">
        <v>64589.755000000005</v>
      </c>
      <c r="K14" s="1356">
        <v>99249.804814000003</v>
      </c>
      <c r="L14" s="1356">
        <v>51551.5</v>
      </c>
      <c r="M14" s="1356">
        <v>35998.5</v>
      </c>
      <c r="N14" s="13" t="s">
        <v>1649</v>
      </c>
    </row>
    <row r="15" spans="1:14">
      <c r="A15" s="397" t="s">
        <v>1646</v>
      </c>
      <c r="B15" s="1356">
        <v>96326.28842105261</v>
      </c>
      <c r="C15" s="1356">
        <v>83111.892105263192</v>
      </c>
      <c r="D15" s="1356">
        <v>86394.534736842063</v>
      </c>
      <c r="E15" s="1356">
        <v>77919.94315789477</v>
      </c>
      <c r="F15" s="1356">
        <v>130832.62736842115</v>
      </c>
      <c r="G15" s="1356">
        <v>165509.40631578953</v>
      </c>
      <c r="H15" s="1356">
        <v>192346.40105263161</v>
      </c>
      <c r="I15" s="1356">
        <v>151547.10473684216</v>
      </c>
      <c r="J15" s="1356">
        <v>193751.39684210523</v>
      </c>
      <c r="K15" s="1356">
        <v>236541.74610526284</v>
      </c>
      <c r="L15" s="1356">
        <v>216059.34502923986</v>
      </c>
      <c r="M15" s="1356">
        <v>190733.02923976618</v>
      </c>
      <c r="N15" s="13" t="s">
        <v>1649</v>
      </c>
    </row>
    <row r="16" spans="1:14">
      <c r="A16" s="397" t="s">
        <v>1647</v>
      </c>
      <c r="B16" s="1356">
        <v>129572.20436027308</v>
      </c>
      <c r="C16" s="1356">
        <v>143426.57123981504</v>
      </c>
      <c r="D16" s="1356">
        <v>82226.31578947368</v>
      </c>
      <c r="E16" s="1356">
        <v>87480.350877192977</v>
      </c>
      <c r="F16" s="1356">
        <v>114311.47719298245</v>
      </c>
      <c r="G16" s="1356">
        <v>155330.35087719298</v>
      </c>
      <c r="H16" s="1357">
        <v>100160.35087719299</v>
      </c>
      <c r="I16" s="1357">
        <v>182743.50877192983</v>
      </c>
      <c r="J16" s="1357">
        <v>218937.19298245618</v>
      </c>
      <c r="K16" s="1356">
        <v>233287.36842105267</v>
      </c>
      <c r="L16" s="1356">
        <v>234664.81052631582</v>
      </c>
      <c r="M16" s="1356">
        <v>235017.89473684214</v>
      </c>
      <c r="N16" s="13" t="s">
        <v>1649</v>
      </c>
    </row>
    <row r="17" spans="1:14">
      <c r="A17" s="13" t="s">
        <v>340</v>
      </c>
      <c r="B17" s="1354">
        <v>96546.648183317797</v>
      </c>
      <c r="C17" s="1354">
        <v>133921.5313615741</v>
      </c>
      <c r="D17" s="1354">
        <v>145860.5129719892</v>
      </c>
      <c r="E17" s="1354">
        <v>105972.23413770075</v>
      </c>
      <c r="F17" s="1354">
        <v>150546.85195859807</v>
      </c>
      <c r="G17" s="1354">
        <v>135954.37787847407</v>
      </c>
      <c r="H17" s="1354">
        <v>147220.98853057422</v>
      </c>
      <c r="I17" s="1354">
        <v>212414.35108799746</v>
      </c>
      <c r="J17" s="1354">
        <v>222519.97078614187</v>
      </c>
      <c r="K17" s="1354">
        <v>119372.28563599853</v>
      </c>
      <c r="L17" s="1354">
        <v>156342.52910495715</v>
      </c>
      <c r="M17" s="1354">
        <v>110249.8254101051</v>
      </c>
      <c r="N17" s="13" t="s">
        <v>1648</v>
      </c>
    </row>
    <row r="18" spans="1:14">
      <c r="A18" s="13" t="s">
        <v>341</v>
      </c>
      <c r="B18" s="1354">
        <v>96546.648183317797</v>
      </c>
      <c r="C18" s="1354">
        <v>133921.5313615741</v>
      </c>
      <c r="D18" s="1354">
        <v>145860.5129719892</v>
      </c>
      <c r="E18" s="1354">
        <v>105972.23413770075</v>
      </c>
      <c r="F18" s="1354">
        <v>150546.85195859807</v>
      </c>
      <c r="G18" s="1354">
        <v>135954.37787847407</v>
      </c>
      <c r="H18" s="1354">
        <v>147220.98853057422</v>
      </c>
      <c r="I18" s="1354">
        <v>212414.35108799746</v>
      </c>
      <c r="J18" s="1354">
        <v>222519.97078614187</v>
      </c>
      <c r="K18" s="1354">
        <v>119372.28563599853</v>
      </c>
      <c r="L18" s="1354">
        <v>156342.52910495715</v>
      </c>
      <c r="M18" s="1354">
        <v>110249.8254101051</v>
      </c>
      <c r="N18" s="13" t="s">
        <v>1648</v>
      </c>
    </row>
    <row r="19" spans="1:14">
      <c r="A19" s="13" t="s">
        <v>49</v>
      </c>
      <c r="B19" s="1358">
        <v>460411.64024567843</v>
      </c>
      <c r="C19" s="1359">
        <v>318864.58668767568</v>
      </c>
      <c r="D19" s="1359">
        <v>276183.06700537977</v>
      </c>
      <c r="E19" s="1359">
        <v>375130.63631719211</v>
      </c>
      <c r="F19" s="1358">
        <v>636810.07957177632</v>
      </c>
      <c r="G19" s="1359">
        <v>340280.31888946606</v>
      </c>
      <c r="H19" s="1360">
        <v>290110.77081198042</v>
      </c>
      <c r="I19" s="1360">
        <v>238101.81614365615</v>
      </c>
      <c r="J19" s="1360">
        <v>162912.3909009163</v>
      </c>
      <c r="K19" s="1359">
        <v>144536.62180597585</v>
      </c>
      <c r="L19" s="1359">
        <v>179386.83792063277</v>
      </c>
      <c r="M19" s="1359">
        <v>197320.77728897543</v>
      </c>
      <c r="N19" s="13" t="s">
        <v>1649</v>
      </c>
    </row>
    <row r="20" spans="1:14">
      <c r="A20" s="13" t="s">
        <v>26</v>
      </c>
      <c r="B20" s="13"/>
      <c r="C20" s="13"/>
      <c r="D20" s="13"/>
      <c r="E20" s="13"/>
      <c r="F20" s="13"/>
      <c r="G20" s="13"/>
      <c r="H20" s="13"/>
      <c r="I20" s="13"/>
      <c r="J20" s="13"/>
      <c r="K20" s="13"/>
      <c r="L20" s="13"/>
      <c r="M20" s="13"/>
      <c r="N20" s="13"/>
    </row>
    <row r="21" spans="1:14">
      <c r="A21" s="22"/>
      <c r="B21" s="22"/>
      <c r="C21" s="22"/>
      <c r="D21" s="22"/>
      <c r="E21" s="22"/>
      <c r="F21" s="22"/>
      <c r="G21" s="22"/>
      <c r="H21" s="22"/>
      <c r="I21" s="22"/>
      <c r="J21" s="22"/>
      <c r="K21" s="22"/>
      <c r="L21" s="22"/>
      <c r="M21" s="22"/>
      <c r="N21" s="22"/>
    </row>
    <row r="22" spans="1:14">
      <c r="A22" s="22"/>
      <c r="B22" s="22"/>
      <c r="C22" s="22"/>
      <c r="D22" s="22"/>
      <c r="E22" s="22"/>
      <c r="F22" s="22"/>
      <c r="G22" s="22"/>
      <c r="H22" s="22"/>
      <c r="I22" s="22"/>
      <c r="J22" s="22"/>
      <c r="K22" s="22"/>
      <c r="L22" s="22"/>
      <c r="M22" s="22"/>
      <c r="N22" s="22"/>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9"/>
  <sheetViews>
    <sheetView topLeftCell="A2" workbookViewId="0">
      <selection activeCell="N168" sqref="N168"/>
    </sheetView>
  </sheetViews>
  <sheetFormatPr defaultRowHeight="14.5"/>
  <cols>
    <col min="1" max="1" width="26.7265625" bestFit="1" customWidth="1"/>
    <col min="2" max="2" width="21.7265625" bestFit="1" customWidth="1"/>
    <col min="3" max="3" width="23.1796875" bestFit="1" customWidth="1"/>
    <col min="4" max="4" width="11.81640625" bestFit="1" customWidth="1"/>
    <col min="5" max="5" width="11.81640625" customWidth="1"/>
    <col min="6" max="7" width="11.81640625" bestFit="1" customWidth="1"/>
    <col min="8" max="8" width="12.6328125" bestFit="1" customWidth="1"/>
    <col min="9" max="18" width="11.81640625" bestFit="1" customWidth="1"/>
    <col min="19" max="19" width="12.1796875" bestFit="1" customWidth="1"/>
    <col min="20" max="20" width="11.1796875" bestFit="1" customWidth="1"/>
    <col min="21" max="22" width="9.7265625" bestFit="1" customWidth="1"/>
    <col min="23" max="33" width="6.26953125" bestFit="1" customWidth="1"/>
    <col min="34" max="34" width="4.36328125" bestFit="1" customWidth="1"/>
    <col min="35" max="40" width="12.54296875" bestFit="1" customWidth="1"/>
    <col min="41" max="41" width="14.26953125" bestFit="1" customWidth="1"/>
    <col min="42" max="42" width="12.54296875" bestFit="1" customWidth="1"/>
  </cols>
  <sheetData>
    <row r="1" spans="1:16">
      <c r="B1">
        <v>30</v>
      </c>
      <c r="C1">
        <f>31</f>
        <v>31</v>
      </c>
      <c r="D1">
        <v>30</v>
      </c>
      <c r="E1">
        <v>31</v>
      </c>
      <c r="F1">
        <f>31</f>
        <v>31</v>
      </c>
      <c r="G1">
        <v>30</v>
      </c>
      <c r="H1">
        <f>31</f>
        <v>31</v>
      </c>
      <c r="I1">
        <v>30</v>
      </c>
      <c r="J1">
        <f>31</f>
        <v>31</v>
      </c>
      <c r="K1">
        <f>31</f>
        <v>31</v>
      </c>
      <c r="L1">
        <v>28</v>
      </c>
      <c r="M1">
        <f>31</f>
        <v>31</v>
      </c>
    </row>
    <row r="2" spans="1:16" ht="15" thickBot="1">
      <c r="A2" s="19"/>
      <c r="B2" s="19"/>
      <c r="C2" s="19"/>
      <c r="D2" s="19"/>
      <c r="E2" s="19"/>
      <c r="F2" s="19"/>
      <c r="G2" s="19"/>
      <c r="H2" s="19"/>
      <c r="I2" s="19"/>
      <c r="J2" s="19"/>
      <c r="K2" s="19"/>
      <c r="L2" s="19"/>
      <c r="M2" s="19"/>
      <c r="N2" s="19"/>
      <c r="O2" s="19"/>
    </row>
    <row r="3" spans="1:16" ht="15" thickBot="1">
      <c r="A3" s="1349"/>
      <c r="B3" s="619">
        <v>46113</v>
      </c>
      <c r="C3" s="619">
        <v>46143</v>
      </c>
      <c r="D3" s="619">
        <v>46174</v>
      </c>
      <c r="E3" s="619">
        <v>46204</v>
      </c>
      <c r="F3" s="619">
        <v>46235</v>
      </c>
      <c r="G3" s="619">
        <v>46266</v>
      </c>
      <c r="H3" s="619">
        <v>46296</v>
      </c>
      <c r="I3" s="619">
        <v>46327</v>
      </c>
      <c r="J3" s="619">
        <v>46357</v>
      </c>
      <c r="K3" s="619">
        <v>46388</v>
      </c>
      <c r="L3" s="619">
        <v>46419</v>
      </c>
      <c r="M3" s="619">
        <v>46447</v>
      </c>
      <c r="N3" s="19" t="s">
        <v>91</v>
      </c>
      <c r="O3" s="19" t="s">
        <v>221</v>
      </c>
    </row>
    <row r="4" spans="1:16" ht="14.5" hidden="1" customHeight="1">
      <c r="A4" s="19"/>
      <c r="B4" s="19">
        <v>0</v>
      </c>
      <c r="C4" s="19">
        <v>0</v>
      </c>
      <c r="D4" s="19">
        <v>0</v>
      </c>
      <c r="E4" s="19">
        <v>0</v>
      </c>
      <c r="F4" s="19">
        <v>0</v>
      </c>
      <c r="G4" s="19">
        <v>0</v>
      </c>
      <c r="H4" s="752">
        <v>0</v>
      </c>
      <c r="I4" s="752">
        <v>0</v>
      </c>
      <c r="J4" s="752">
        <v>0</v>
      </c>
      <c r="K4" s="19">
        <v>0</v>
      </c>
      <c r="L4" s="19">
        <v>0</v>
      </c>
      <c r="M4" s="19">
        <v>0</v>
      </c>
      <c r="N4" s="19">
        <v>0</v>
      </c>
      <c r="O4" s="19">
        <v>0</v>
      </c>
    </row>
    <row r="5" spans="1:16" ht="14.5" hidden="1" customHeight="1">
      <c r="A5" s="19"/>
      <c r="B5" s="19">
        <v>93502.583378378389</v>
      </c>
      <c r="C5" s="19">
        <v>156349.18918918917</v>
      </c>
      <c r="D5" s="19">
        <v>155894.33587675678</v>
      </c>
      <c r="E5" s="19">
        <v>240040.35288108111</v>
      </c>
      <c r="F5" s="19">
        <v>252484.42</v>
      </c>
      <c r="G5" s="19">
        <v>425898.27963783778</v>
      </c>
      <c r="H5" s="752">
        <v>295139.60993081087</v>
      </c>
      <c r="I5" s="752">
        <v>373256.09368972975</v>
      </c>
      <c r="J5" s="752">
        <v>347552.23006358108</v>
      </c>
      <c r="K5" s="19">
        <v>430184.88162162161</v>
      </c>
      <c r="L5" s="19">
        <v>295307.41221837833</v>
      </c>
      <c r="M5" s="19">
        <v>322960.18504324323</v>
      </c>
      <c r="N5" s="19">
        <f>SUM(B5:M5)</f>
        <v>3388569.5735306083</v>
      </c>
      <c r="O5" s="212">
        <f>N5/12</f>
        <v>282380.79779421736</v>
      </c>
    </row>
    <row r="6" spans="1:16" ht="14.5" hidden="1" customHeight="1">
      <c r="A6" s="19"/>
      <c r="B6" s="19">
        <v>0</v>
      </c>
      <c r="C6" s="19">
        <v>0</v>
      </c>
      <c r="D6" s="19">
        <v>0</v>
      </c>
      <c r="E6" s="19">
        <v>0</v>
      </c>
      <c r="F6" s="19">
        <v>0</v>
      </c>
      <c r="G6" s="19">
        <v>0</v>
      </c>
      <c r="H6" s="752">
        <v>0</v>
      </c>
      <c r="I6" s="752">
        <v>0</v>
      </c>
      <c r="J6" s="752">
        <v>0</v>
      </c>
      <c r="K6" s="19">
        <v>0</v>
      </c>
      <c r="L6" s="19">
        <v>0</v>
      </c>
      <c r="M6" s="19">
        <v>0</v>
      </c>
      <c r="N6" s="19">
        <v>0</v>
      </c>
      <c r="O6" s="19">
        <v>0</v>
      </c>
    </row>
    <row r="7" spans="1:16" ht="14.5" hidden="1" customHeight="1">
      <c r="A7" s="19"/>
      <c r="B7" s="19">
        <v>3550.8555603254667</v>
      </c>
      <c r="C7" s="19">
        <v>3104.1259402772926</v>
      </c>
      <c r="D7" s="19">
        <v>4368.3215959639992</v>
      </c>
      <c r="E7" s="19">
        <v>3014.3515639264383</v>
      </c>
      <c r="F7" s="19">
        <v>4468.8351431925676</v>
      </c>
      <c r="G7" s="19">
        <v>4754.4685629486075</v>
      </c>
      <c r="H7" s="752">
        <v>8094.8685996027943</v>
      </c>
      <c r="I7" s="752">
        <v>5637.3562607637796</v>
      </c>
      <c r="J7" s="752">
        <v>4656.954182519321</v>
      </c>
      <c r="K7" s="19">
        <v>5187.7483639756338</v>
      </c>
      <c r="L7" s="19">
        <v>8777.0580964553756</v>
      </c>
      <c r="M7" s="19">
        <v>38294.035692570942</v>
      </c>
      <c r="N7" s="19">
        <f>SUM(B7:M7)</f>
        <v>93908.979562522218</v>
      </c>
      <c r="O7" s="212">
        <f>N7/12</f>
        <v>7825.7482968768518</v>
      </c>
    </row>
    <row r="8" spans="1:16" ht="14.5" hidden="1" customHeight="1">
      <c r="A8" s="19"/>
      <c r="B8" s="19">
        <v>0</v>
      </c>
      <c r="C8" s="19">
        <v>0</v>
      </c>
      <c r="D8" s="19">
        <v>0</v>
      </c>
      <c r="E8" s="19">
        <v>0</v>
      </c>
      <c r="F8" s="19">
        <v>0</v>
      </c>
      <c r="G8" s="19">
        <v>0</v>
      </c>
      <c r="H8" s="752">
        <v>0</v>
      </c>
      <c r="I8" s="752">
        <v>0</v>
      </c>
      <c r="J8" s="752">
        <v>0</v>
      </c>
      <c r="K8" s="19">
        <v>0</v>
      </c>
      <c r="L8" s="19">
        <v>0</v>
      </c>
      <c r="M8" s="19">
        <v>0</v>
      </c>
      <c r="N8" s="19">
        <v>0</v>
      </c>
      <c r="O8" s="19">
        <v>0</v>
      </c>
    </row>
    <row r="9" spans="1:16" ht="14.5" hidden="1" customHeight="1">
      <c r="A9" s="19"/>
      <c r="B9" s="19">
        <v>69765.141444499663</v>
      </c>
      <c r="C9" s="19">
        <v>67837.092138122563</v>
      </c>
      <c r="D9" s="19">
        <v>69765.997279995456</v>
      </c>
      <c r="E9" s="19">
        <v>76270.706399877556</v>
      </c>
      <c r="F9" s="19">
        <v>74616.141312400039</v>
      </c>
      <c r="G9" s="19">
        <v>76560.417133023628</v>
      </c>
      <c r="H9" s="752">
        <v>91231.484303631747</v>
      </c>
      <c r="I9" s="752">
        <v>128904.5510603885</v>
      </c>
      <c r="J9" s="752">
        <v>53179.570227528086</v>
      </c>
      <c r="K9" s="19">
        <v>88747.833538737512</v>
      </c>
      <c r="L9" s="19">
        <v>88747.833538737512</v>
      </c>
      <c r="M9" s="19">
        <v>88747.833538737512</v>
      </c>
      <c r="N9" s="19">
        <f>SUM(B9:M9)</f>
        <v>974374.60191567964</v>
      </c>
      <c r="O9" s="212">
        <f>N9/12</f>
        <v>81197.883492973298</v>
      </c>
    </row>
    <row r="10" spans="1:16" ht="14.5" hidden="1" customHeight="1">
      <c r="A10" s="19"/>
      <c r="B10" s="19">
        <v>0</v>
      </c>
      <c r="C10" s="19">
        <v>0</v>
      </c>
      <c r="D10" s="19">
        <v>0</v>
      </c>
      <c r="E10" s="19">
        <v>0</v>
      </c>
      <c r="F10" s="19">
        <v>0</v>
      </c>
      <c r="G10" s="19">
        <v>0</v>
      </c>
      <c r="H10" s="752">
        <v>0</v>
      </c>
      <c r="I10" s="752">
        <v>0</v>
      </c>
      <c r="J10" s="752">
        <v>0</v>
      </c>
      <c r="K10" s="19">
        <v>0</v>
      </c>
      <c r="L10" s="19">
        <v>0</v>
      </c>
      <c r="M10" s="19">
        <v>0</v>
      </c>
      <c r="N10" s="19">
        <v>0</v>
      </c>
      <c r="O10" s="19">
        <v>0</v>
      </c>
    </row>
    <row r="11" spans="1:16" ht="14.5" hidden="1" customHeight="1">
      <c r="A11" s="19"/>
      <c r="B11" s="19">
        <v>49343.753089103564</v>
      </c>
      <c r="C11" s="19">
        <v>52361.052786112348</v>
      </c>
      <c r="D11" s="19">
        <v>55394.757888966175</v>
      </c>
      <c r="E11" s="19">
        <v>50057.707086414419</v>
      </c>
      <c r="F11" s="19">
        <v>46007.516370353565</v>
      </c>
      <c r="G11" s="19">
        <v>45004.454433333565</v>
      </c>
      <c r="H11" s="752">
        <v>45505.985401843565</v>
      </c>
      <c r="I11" s="752">
        <v>51870.413392235467</v>
      </c>
      <c r="J11" s="752">
        <v>33624.716757841663</v>
      </c>
      <c r="K11" s="19">
        <v>44001.392496313565</v>
      </c>
      <c r="L11" s="19">
        <v>41995.268622273565</v>
      </c>
      <c r="M11" s="19">
        <v>41733.915262016686</v>
      </c>
      <c r="N11" s="19">
        <f>SUM(B11:M11)</f>
        <v>556900.93358680804</v>
      </c>
      <c r="O11" s="212">
        <f>N11/12</f>
        <v>46408.411132234003</v>
      </c>
    </row>
    <row r="12" spans="1:16" ht="14.5" hidden="1" customHeight="1">
      <c r="A12" s="19"/>
      <c r="B12" s="19"/>
      <c r="C12" s="19"/>
      <c r="D12" s="19"/>
      <c r="E12" s="19"/>
      <c r="F12" s="19"/>
      <c r="G12" s="19"/>
      <c r="H12" s="752">
        <v>0</v>
      </c>
      <c r="I12" s="752">
        <v>0</v>
      </c>
      <c r="J12" s="752">
        <v>0</v>
      </c>
      <c r="K12" s="19"/>
      <c r="L12" s="19"/>
      <c r="M12" s="19"/>
      <c r="N12" s="19">
        <v>0</v>
      </c>
      <c r="O12" s="19">
        <v>0</v>
      </c>
    </row>
    <row r="13" spans="1:16" ht="14.5" hidden="1" customHeight="1">
      <c r="A13" s="19"/>
      <c r="B13" s="19"/>
      <c r="C13" s="19"/>
      <c r="D13" s="19"/>
      <c r="E13" s="19"/>
      <c r="F13" s="19"/>
      <c r="G13" s="19"/>
      <c r="H13" s="752">
        <v>0</v>
      </c>
      <c r="I13" s="752">
        <v>0</v>
      </c>
      <c r="J13" s="752">
        <v>0</v>
      </c>
      <c r="K13" s="19"/>
      <c r="L13" s="19"/>
      <c r="M13" s="19"/>
      <c r="N13" s="19">
        <v>0</v>
      </c>
      <c r="O13" s="19">
        <v>0</v>
      </c>
    </row>
    <row r="14" spans="1:16">
      <c r="A14" s="19" t="s">
        <v>18</v>
      </c>
      <c r="B14" s="1010">
        <v>190053.55776565865</v>
      </c>
      <c r="C14" s="1010">
        <v>227636.65632478247</v>
      </c>
      <c r="D14" s="1010">
        <v>172736.18071804062</v>
      </c>
      <c r="E14" s="1010">
        <v>205578.84821213907</v>
      </c>
      <c r="F14" s="1010">
        <v>250826.70786830582</v>
      </c>
      <c r="G14" s="1010">
        <v>393717.01019461418</v>
      </c>
      <c r="H14" s="1010">
        <v>288952.27130070742</v>
      </c>
      <c r="I14" s="1010">
        <v>367132.6221504276</v>
      </c>
      <c r="J14" s="1010">
        <v>677193.28139733523</v>
      </c>
      <c r="K14" s="1010">
        <v>528044.3611370225</v>
      </c>
      <c r="L14" s="1010">
        <v>487687.56708971126</v>
      </c>
      <c r="M14" s="1010">
        <v>451556.31916267134</v>
      </c>
      <c r="N14" s="752">
        <f>SUM(B14:M14)</f>
        <v>4241115.3833214166</v>
      </c>
      <c r="O14" s="753">
        <f>N14/12</f>
        <v>353426.28194345138</v>
      </c>
      <c r="P14" s="922">
        <f>O14/30</f>
        <v>11780.876064781713</v>
      </c>
    </row>
    <row r="15" spans="1:16" ht="14.5" hidden="1" customHeight="1">
      <c r="A15" s="19"/>
      <c r="B15" s="1010">
        <v>646787.05882912397</v>
      </c>
      <c r="C15" s="1010">
        <v>668346.62745676143</v>
      </c>
      <c r="D15" s="1010">
        <v>646787.05882912397</v>
      </c>
      <c r="E15" s="1010">
        <v>668346.62745676143</v>
      </c>
      <c r="F15" s="1010">
        <v>646787.05882912397</v>
      </c>
      <c r="G15" s="1010">
        <v>668346.62745676143</v>
      </c>
      <c r="H15" s="1010">
        <v>668346.62745676143</v>
      </c>
      <c r="I15" s="1010">
        <v>646787.05882912397</v>
      </c>
      <c r="J15" s="1010">
        <v>668346.62745676143</v>
      </c>
      <c r="K15" s="1010">
        <v>668346.62745676143</v>
      </c>
      <c r="L15" s="1010">
        <v>603667.92157384905</v>
      </c>
      <c r="M15" s="1010">
        <v>668346.62745676143</v>
      </c>
      <c r="N15" s="19">
        <f>SUM(B15:M15)</f>
        <v>7869242.5490876772</v>
      </c>
      <c r="O15" s="212">
        <f t="shared" ref="O15:O17" si="0">N15/12</f>
        <v>655770.21242397313</v>
      </c>
      <c r="P15" s="40"/>
    </row>
    <row r="16" spans="1:16" ht="14.5" hidden="1" customHeight="1">
      <c r="A16" s="19"/>
      <c r="B16" s="1010"/>
      <c r="C16" s="1010"/>
      <c r="D16" s="1010"/>
      <c r="E16" s="1010"/>
      <c r="F16" s="1010"/>
      <c r="G16" s="1010"/>
      <c r="H16" s="1010"/>
      <c r="I16" s="1010"/>
      <c r="J16" s="1010"/>
      <c r="K16" s="1010"/>
      <c r="L16" s="1010"/>
      <c r="M16" s="1010"/>
      <c r="N16" s="19"/>
      <c r="O16" s="212"/>
      <c r="P16" s="40"/>
    </row>
    <row r="17" spans="1:16" ht="14.5" hidden="1" customHeight="1">
      <c r="A17" s="19"/>
      <c r="B17" s="1010">
        <v>421624.7253568169</v>
      </c>
      <c r="C17" s="1010">
        <v>379395.16740306007</v>
      </c>
      <c r="D17" s="1010">
        <v>352363.64618744154</v>
      </c>
      <c r="E17" s="1010">
        <v>289663.50952546194</v>
      </c>
      <c r="F17" s="1010">
        <v>260210.1460031778</v>
      </c>
      <c r="G17" s="1010">
        <v>106829.00768961781</v>
      </c>
      <c r="H17" s="1010">
        <v>219074.67922087247</v>
      </c>
      <c r="I17" s="1010">
        <v>78118.644426006475</v>
      </c>
      <c r="J17" s="1010">
        <v>220033.15622529126</v>
      </c>
      <c r="K17" s="1010">
        <v>90924.771436113166</v>
      </c>
      <c r="L17" s="1010">
        <v>160440.34909800428</v>
      </c>
      <c r="M17" s="1010">
        <v>167310.65792019304</v>
      </c>
      <c r="N17" s="19">
        <f>SUM(B17:M17)</f>
        <v>2745988.4604920568</v>
      </c>
      <c r="O17" s="212">
        <f t="shared" si="0"/>
        <v>228832.37170767141</v>
      </c>
      <c r="P17" s="40"/>
    </row>
    <row r="18" spans="1:16" ht="14.5" hidden="1" customHeight="1">
      <c r="A18" s="19"/>
      <c r="B18" s="1010"/>
      <c r="C18" s="1010"/>
      <c r="D18" s="1010"/>
      <c r="E18" s="1010"/>
      <c r="F18" s="1010"/>
      <c r="G18" s="1010"/>
      <c r="H18" s="1010"/>
      <c r="I18" s="1010"/>
      <c r="J18" s="1010"/>
      <c r="K18" s="1010"/>
      <c r="L18" s="1010"/>
      <c r="M18" s="1010"/>
      <c r="N18" s="19"/>
      <c r="O18" s="19"/>
      <c r="P18" s="40"/>
    </row>
    <row r="19" spans="1:16" ht="14.5" hidden="1" customHeight="1">
      <c r="A19" s="19"/>
      <c r="B19" s="1010">
        <v>0.6518756360402177</v>
      </c>
      <c r="C19" s="1010">
        <v>0.56766227555716209</v>
      </c>
      <c r="D19" s="1010">
        <v>0.54479081078913982</v>
      </c>
      <c r="E19" s="1010">
        <v>0.43340311393162773</v>
      </c>
      <c r="F19" s="1010">
        <v>0.4023119239185694</v>
      </c>
      <c r="G19" s="1010">
        <v>0.15984072231520177</v>
      </c>
      <c r="H19" s="1010">
        <v>0.3277860173462841</v>
      </c>
      <c r="I19" s="1010">
        <v>0.12077954151931293</v>
      </c>
      <c r="J19" s="1010">
        <v>0.32922011900108866</v>
      </c>
      <c r="K19" s="1010">
        <v>0.13604433343534084</v>
      </c>
      <c r="L19" s="1010">
        <v>0.26577584026614043</v>
      </c>
      <c r="M19" s="1010">
        <v>0.25033515700805592</v>
      </c>
      <c r="N19" s="19"/>
      <c r="O19" s="19">
        <v>0.3990393260828225</v>
      </c>
      <c r="P19" s="40"/>
    </row>
    <row r="20" spans="1:16" hidden="1">
      <c r="A20" s="19"/>
      <c r="B20" s="1010"/>
      <c r="C20" s="1010"/>
      <c r="D20" s="1010"/>
      <c r="E20" s="1010"/>
      <c r="F20" s="1010"/>
      <c r="G20" s="1010"/>
      <c r="H20" s="1010"/>
      <c r="I20" s="1010"/>
      <c r="J20" s="1010"/>
      <c r="K20" s="1010"/>
      <c r="L20" s="1010"/>
      <c r="M20" s="1010"/>
      <c r="N20" s="19"/>
      <c r="O20" s="19"/>
      <c r="P20" s="40"/>
    </row>
    <row r="21" spans="1:16" hidden="1">
      <c r="A21" s="19"/>
      <c r="B21" s="1010"/>
      <c r="C21" s="1010"/>
      <c r="D21" s="1010"/>
      <c r="E21" s="1010"/>
      <c r="F21" s="1010"/>
      <c r="G21" s="1010"/>
      <c r="H21" s="1010"/>
      <c r="I21" s="1010"/>
      <c r="J21" s="1010"/>
      <c r="K21" s="1010"/>
      <c r="L21" s="1010"/>
      <c r="M21" s="1010"/>
      <c r="N21" s="19"/>
      <c r="O21" s="19"/>
      <c r="P21" s="40"/>
    </row>
    <row r="22" spans="1:16" ht="14.5" hidden="1" customHeight="1">
      <c r="A22" s="19"/>
      <c r="B22" s="1010">
        <v>0</v>
      </c>
      <c r="C22" s="1010">
        <v>0</v>
      </c>
      <c r="D22" s="1010">
        <v>0</v>
      </c>
      <c r="E22" s="1010">
        <v>0</v>
      </c>
      <c r="F22" s="1010">
        <v>0</v>
      </c>
      <c r="G22" s="1010">
        <v>0</v>
      </c>
      <c r="H22" s="1010">
        <v>0</v>
      </c>
      <c r="I22" s="1010">
        <v>0</v>
      </c>
      <c r="J22" s="1010">
        <v>0</v>
      </c>
      <c r="K22" s="1010">
        <v>0</v>
      </c>
      <c r="L22" s="1010">
        <v>0</v>
      </c>
      <c r="M22" s="1010">
        <v>0</v>
      </c>
      <c r="N22" s="19">
        <v>0</v>
      </c>
      <c r="O22" s="19">
        <v>0</v>
      </c>
      <c r="P22" s="40"/>
    </row>
    <row r="23" spans="1:16" ht="14.5" hidden="1" customHeight="1">
      <c r="A23" s="19"/>
      <c r="B23" s="1010">
        <v>73225.990900818913</v>
      </c>
      <c r="C23" s="1010">
        <v>119752.50227479526</v>
      </c>
      <c r="D23" s="1010">
        <v>139402.93130118289</v>
      </c>
      <c r="E23" s="1010">
        <v>204824.8989990901</v>
      </c>
      <c r="F23" s="1010">
        <v>230734.54640582344</v>
      </c>
      <c r="G23" s="1010">
        <v>351640.94631483161</v>
      </c>
      <c r="H23" s="1010">
        <v>273657.31073703355</v>
      </c>
      <c r="I23" s="1010">
        <v>332524.1667406733</v>
      </c>
      <c r="J23" s="1010">
        <v>252165.30709736125</v>
      </c>
      <c r="K23" s="1010">
        <v>312268.51683348499</v>
      </c>
      <c r="L23" s="1010">
        <v>236283.50778161967</v>
      </c>
      <c r="M23" s="1010">
        <v>310873.84258416737</v>
      </c>
      <c r="N23" s="19">
        <v>2837354.4679708825</v>
      </c>
      <c r="O23" s="19">
        <v>236446.2056642402</v>
      </c>
      <c r="P23" s="40"/>
    </row>
    <row r="24" spans="1:16" ht="14.5" hidden="1" customHeight="1">
      <c r="A24" s="19"/>
      <c r="B24" s="1010">
        <v>0</v>
      </c>
      <c r="C24" s="1010">
        <v>0</v>
      </c>
      <c r="D24" s="1010">
        <v>0</v>
      </c>
      <c r="E24" s="1010">
        <v>0</v>
      </c>
      <c r="F24" s="1010">
        <v>0</v>
      </c>
      <c r="G24" s="1010">
        <v>0</v>
      </c>
      <c r="H24" s="1010">
        <v>0</v>
      </c>
      <c r="I24" s="1010">
        <v>0</v>
      </c>
      <c r="J24" s="1010">
        <v>0</v>
      </c>
      <c r="K24" s="1010">
        <v>0</v>
      </c>
      <c r="L24" s="1010">
        <v>0</v>
      </c>
      <c r="M24" s="1010">
        <v>0</v>
      </c>
      <c r="N24" s="19">
        <v>0</v>
      </c>
      <c r="O24" s="19">
        <v>0</v>
      </c>
      <c r="P24" s="40"/>
    </row>
    <row r="25" spans="1:16" ht="14.5" hidden="1" customHeight="1">
      <c r="A25" s="19"/>
      <c r="B25" s="1010">
        <v>74880.268214118812</v>
      </c>
      <c r="C25" s="1010">
        <v>47432.121031978459</v>
      </c>
      <c r="D25" s="1010">
        <v>54501.177764732798</v>
      </c>
      <c r="E25" s="1010">
        <v>52934.512181393846</v>
      </c>
      <c r="F25" s="1010">
        <v>63570.312490577191</v>
      </c>
      <c r="G25" s="1010">
        <v>51770.758282394745</v>
      </c>
      <c r="H25" s="1010">
        <v>59857.718618114195</v>
      </c>
      <c r="I25" s="1010">
        <v>58618.213453444841</v>
      </c>
      <c r="J25" s="1010">
        <v>46326.396476675451</v>
      </c>
      <c r="K25" s="1010">
        <v>53846.918450805591</v>
      </c>
      <c r="L25" s="1010">
        <v>69556.00023956607</v>
      </c>
      <c r="M25" s="1010">
        <v>400974.36842003249</v>
      </c>
      <c r="N25" s="19">
        <v>1034268.7656238344</v>
      </c>
      <c r="O25" s="19">
        <v>86189.063801986209</v>
      </c>
      <c r="P25" s="40"/>
    </row>
    <row r="26" spans="1:16" ht="14.5" hidden="1" customHeight="1">
      <c r="A26" s="19"/>
      <c r="B26" s="1010">
        <v>0</v>
      </c>
      <c r="C26" s="1010">
        <v>0</v>
      </c>
      <c r="D26" s="1010">
        <v>0</v>
      </c>
      <c r="E26" s="1010">
        <v>0</v>
      </c>
      <c r="F26" s="1010">
        <v>0</v>
      </c>
      <c r="G26" s="1010">
        <v>0</v>
      </c>
      <c r="H26" s="1010">
        <v>0</v>
      </c>
      <c r="I26" s="1010">
        <v>0</v>
      </c>
      <c r="J26" s="1010">
        <v>0</v>
      </c>
      <c r="K26" s="1010">
        <v>0</v>
      </c>
      <c r="L26" s="1010">
        <v>0</v>
      </c>
      <c r="M26" s="1010">
        <v>0</v>
      </c>
      <c r="N26" s="19">
        <v>0</v>
      </c>
      <c r="O26" s="19">
        <v>0</v>
      </c>
      <c r="P26" s="40"/>
    </row>
    <row r="27" spans="1:16" ht="14.5" hidden="1" customHeight="1">
      <c r="A27" s="19"/>
      <c r="B27" s="1010">
        <v>24226.279367606916</v>
      </c>
      <c r="C27" s="1010">
        <v>24226.279367606916</v>
      </c>
      <c r="D27" s="1010">
        <v>24226.279367606916</v>
      </c>
      <c r="E27" s="1010">
        <v>27980.323020928121</v>
      </c>
      <c r="F27" s="1010">
        <v>27980.323020928121</v>
      </c>
      <c r="G27" s="1010">
        <v>27980.323020928121</v>
      </c>
      <c r="H27" s="1010">
        <v>31708.450181983615</v>
      </c>
      <c r="I27" s="1010">
        <v>31708.450181983615</v>
      </c>
      <c r="J27" s="1010">
        <v>31708.450181983615</v>
      </c>
      <c r="K27" s="1010">
        <v>29481.892629663329</v>
      </c>
      <c r="L27" s="1010">
        <v>29481.892629663329</v>
      </c>
      <c r="M27" s="1010">
        <v>29481.892629663329</v>
      </c>
      <c r="N27" s="19">
        <v>340190.83560054598</v>
      </c>
      <c r="O27" s="19">
        <v>28349.236300045497</v>
      </c>
      <c r="P27" s="40"/>
    </row>
    <row r="28" spans="1:16" ht="14.5" hidden="1" customHeight="1">
      <c r="A28" s="19"/>
      <c r="B28" s="1010">
        <v>0</v>
      </c>
      <c r="C28" s="1010">
        <v>0</v>
      </c>
      <c r="D28" s="1010">
        <v>0</v>
      </c>
      <c r="E28" s="1010">
        <v>0</v>
      </c>
      <c r="F28" s="1010">
        <v>0</v>
      </c>
      <c r="G28" s="1010">
        <v>0</v>
      </c>
      <c r="H28" s="1010">
        <v>0</v>
      </c>
      <c r="I28" s="1010">
        <v>0</v>
      </c>
      <c r="J28" s="1010">
        <v>0</v>
      </c>
      <c r="K28" s="1010">
        <v>0</v>
      </c>
      <c r="L28" s="1010">
        <v>0</v>
      </c>
      <c r="M28" s="1010">
        <v>0</v>
      </c>
      <c r="N28" s="19">
        <v>0</v>
      </c>
      <c r="O28" s="19">
        <v>0</v>
      </c>
      <c r="P28" s="40"/>
    </row>
    <row r="29" spans="1:16" ht="14.5" hidden="1" customHeight="1">
      <c r="A29" s="19"/>
      <c r="B29" s="1010">
        <v>500285.86602512392</v>
      </c>
      <c r="C29" s="1010">
        <v>547076.72849646606</v>
      </c>
      <c r="D29" s="1010">
        <v>497638.63856936095</v>
      </c>
      <c r="E29" s="1010">
        <v>587007.99140674574</v>
      </c>
      <c r="F29" s="1010">
        <v>553891.08832263388</v>
      </c>
      <c r="G29" s="1010">
        <v>578657.39194062853</v>
      </c>
      <c r="H29" s="1010">
        <v>401379.11376948946</v>
      </c>
      <c r="I29" s="1010">
        <v>561813.19905885996</v>
      </c>
      <c r="J29" s="1010">
        <v>581515.60946681537</v>
      </c>
      <c r="K29" s="1010">
        <v>530280.4182168144</v>
      </c>
      <c r="L29" s="1010">
        <v>535627.22466969618</v>
      </c>
      <c r="M29" s="1010">
        <v>527711.4365409147</v>
      </c>
      <c r="N29" s="19">
        <v>6402884.7064835485</v>
      </c>
      <c r="O29" s="19">
        <v>533573.72554029571</v>
      </c>
      <c r="P29" s="40"/>
    </row>
    <row r="30" spans="1:16">
      <c r="A30" s="752" t="s">
        <v>23</v>
      </c>
      <c r="B30" s="1010">
        <v>1238788.4569386472</v>
      </c>
      <c r="C30" s="1010">
        <v>1080241.1453683665</v>
      </c>
      <c r="D30" s="1010">
        <v>960682.68380392634</v>
      </c>
      <c r="E30" s="1010">
        <v>1073640.3078553223</v>
      </c>
      <c r="F30" s="1010">
        <v>1193689.1505791745</v>
      </c>
      <c r="G30" s="1010">
        <v>1170212.3547063207</v>
      </c>
      <c r="H30" s="1010">
        <v>1054869.4764985801</v>
      </c>
      <c r="I30" s="1010">
        <v>940619.31850691908</v>
      </c>
      <c r="J30" s="1010">
        <v>1170039.6826852199</v>
      </c>
      <c r="K30" s="1010">
        <v>1163897.3365404399</v>
      </c>
      <c r="L30" s="1010">
        <v>1089413.3619432696</v>
      </c>
      <c r="M30" s="1010">
        <v>1033971.3268590876</v>
      </c>
      <c r="N30" s="752">
        <f>SUM(B30:M30)</f>
        <v>13170064.602285273</v>
      </c>
      <c r="P30" s="40">
        <f>O30/30</f>
        <v>0</v>
      </c>
    </row>
    <row r="31" spans="1:16" ht="14.5" hidden="1" customHeight="1">
      <c r="A31" s="19"/>
      <c r="B31" s="19">
        <v>0</v>
      </c>
      <c r="C31" s="19">
        <v>0</v>
      </c>
      <c r="D31" s="19">
        <v>0</v>
      </c>
      <c r="E31" s="19">
        <v>0</v>
      </c>
      <c r="F31" s="19">
        <v>0</v>
      </c>
      <c r="G31" s="19">
        <v>0</v>
      </c>
      <c r="H31" s="752">
        <v>0</v>
      </c>
      <c r="I31" s="752">
        <v>0</v>
      </c>
      <c r="J31" s="752">
        <v>0</v>
      </c>
      <c r="K31" s="19">
        <v>0</v>
      </c>
      <c r="L31" s="19">
        <v>0</v>
      </c>
      <c r="M31" s="19">
        <v>0</v>
      </c>
      <c r="N31" s="19">
        <v>0</v>
      </c>
      <c r="O31" s="19">
        <v>0</v>
      </c>
      <c r="P31" s="40"/>
    </row>
    <row r="32" spans="1:16" ht="14.5" hidden="1" customHeight="1">
      <c r="A32" s="19"/>
      <c r="B32" s="19">
        <v>0</v>
      </c>
      <c r="C32" s="19">
        <v>0</v>
      </c>
      <c r="D32" s="19">
        <v>0</v>
      </c>
      <c r="E32" s="19">
        <v>0</v>
      </c>
      <c r="F32" s="19">
        <v>0</v>
      </c>
      <c r="G32" s="19">
        <v>0</v>
      </c>
      <c r="H32" s="752">
        <v>0</v>
      </c>
      <c r="I32" s="752">
        <v>0</v>
      </c>
      <c r="J32" s="752">
        <v>0</v>
      </c>
      <c r="K32" s="19">
        <v>0</v>
      </c>
      <c r="L32" s="19">
        <v>0</v>
      </c>
      <c r="M32" s="19">
        <v>0</v>
      </c>
      <c r="N32" s="19">
        <v>0</v>
      </c>
      <c r="O32" s="19">
        <v>0</v>
      </c>
      <c r="P32" s="40"/>
    </row>
    <row r="33" spans="1:16" ht="14.5" hidden="1" customHeight="1">
      <c r="A33" s="19"/>
      <c r="B33" s="19">
        <v>1077934.467954739</v>
      </c>
      <c r="C33" s="19">
        <v>1113865.6168865636</v>
      </c>
      <c r="D33" s="19">
        <v>1077934.467954739</v>
      </c>
      <c r="E33" s="19">
        <v>1113865.6168865636</v>
      </c>
      <c r="F33" s="19">
        <v>1077934.467954739</v>
      </c>
      <c r="G33" s="19">
        <v>1113865.6168865636</v>
      </c>
      <c r="H33" s="752">
        <v>1113865.6168865636</v>
      </c>
      <c r="I33" s="752">
        <v>1077934.467954739</v>
      </c>
      <c r="J33" s="752">
        <v>1113865.6168865636</v>
      </c>
      <c r="K33" s="19">
        <v>1113865.6168865636</v>
      </c>
      <c r="L33" s="19">
        <v>1006072.1700910897</v>
      </c>
      <c r="M33" s="19">
        <v>1113865.6168865636</v>
      </c>
      <c r="N33" s="19">
        <v>13114869.36011599</v>
      </c>
      <c r="O33" s="19">
        <v>1092905.7800096658</v>
      </c>
      <c r="P33" s="40"/>
    </row>
    <row r="34" spans="1:16" ht="14.5" hidden="1" customHeight="1">
      <c r="A34" s="19"/>
      <c r="B34" s="19">
        <v>405316.06344707042</v>
      </c>
      <c r="C34" s="19">
        <v>375377.98571571684</v>
      </c>
      <c r="D34" s="19">
        <v>362165.44095185539</v>
      </c>
      <c r="E34" s="19">
        <v>241117.89127840579</v>
      </c>
      <c r="F34" s="19">
        <v>201758.19771477638</v>
      </c>
      <c r="G34" s="19">
        <v>103816.19732778054</v>
      </c>
      <c r="H34" s="752">
        <v>347263.02357994276</v>
      </c>
      <c r="I34" s="752">
        <v>93270.438519777264</v>
      </c>
      <c r="J34" s="752">
        <v>202149.85366372787</v>
      </c>
      <c r="K34" s="19">
        <v>187987.87075579527</v>
      </c>
      <c r="L34" s="19">
        <v>135123.54477054439</v>
      </c>
      <c r="M34" s="19">
        <v>-155175.92328821449</v>
      </c>
      <c r="N34" s="19">
        <v>2500170.584437178</v>
      </c>
      <c r="O34" s="19">
        <v>208347.54870309817</v>
      </c>
      <c r="P34" s="40"/>
    </row>
    <row r="35" spans="1:16" ht="14.5" hidden="1" customHeight="1">
      <c r="A35" s="19"/>
      <c r="B35" s="19">
        <v>0</v>
      </c>
      <c r="C35" s="19">
        <v>0</v>
      </c>
      <c r="D35" s="19">
        <v>0</v>
      </c>
      <c r="E35" s="19"/>
      <c r="F35" s="19"/>
      <c r="G35" s="19"/>
      <c r="H35" s="752"/>
      <c r="I35" s="752"/>
      <c r="J35" s="752"/>
      <c r="K35" s="19"/>
      <c r="L35" s="19"/>
      <c r="M35" s="19"/>
      <c r="N35" s="19">
        <v>0</v>
      </c>
      <c r="O35" s="19">
        <v>0</v>
      </c>
      <c r="P35" s="40"/>
    </row>
    <row r="36" spans="1:16" ht="14.5" hidden="1" customHeight="1">
      <c r="A36" s="19"/>
      <c r="B36" s="19">
        <v>22420.613483588953</v>
      </c>
      <c r="C36" s="19">
        <v>23822.181650672475</v>
      </c>
      <c r="D36" s="19">
        <v>23858.967566762785</v>
      </c>
      <c r="E36" s="19">
        <v>28153.152438972833</v>
      </c>
      <c r="F36" s="19">
        <v>29205.875674665422</v>
      </c>
      <c r="G36" s="19">
        <v>32582.239340605905</v>
      </c>
      <c r="H36" s="752">
        <v>24729.115913116802</v>
      </c>
      <c r="I36" s="752">
        <v>32822.134314498726</v>
      </c>
      <c r="J36" s="752">
        <v>29410.185910414057</v>
      </c>
      <c r="K36" s="19">
        <v>29867.024068734463</v>
      </c>
      <c r="L36" s="19">
        <v>31105.308047162333</v>
      </c>
      <c r="M36" s="19">
        <v>40936.823876605748</v>
      </c>
      <c r="N36" s="19">
        <v>348913.62228580052</v>
      </c>
      <c r="O36" s="19">
        <v>29076.135190483375</v>
      </c>
      <c r="P36" s="40"/>
    </row>
    <row r="37" spans="1:16" ht="14.5" hidden="1" customHeight="1">
      <c r="A37" s="19"/>
      <c r="B37" s="19">
        <v>672618.40450766857</v>
      </c>
      <c r="C37" s="19">
        <v>738487.63117084675</v>
      </c>
      <c r="D37" s="19">
        <v>715769.02700288361</v>
      </c>
      <c r="E37" s="19">
        <v>872747.72560815781</v>
      </c>
      <c r="F37" s="19">
        <v>876176.27023996261</v>
      </c>
      <c r="G37" s="19">
        <v>1010049.4195587831</v>
      </c>
      <c r="H37" s="752">
        <v>766602.59330662084</v>
      </c>
      <c r="I37" s="752">
        <v>984664.02943496173</v>
      </c>
      <c r="J37" s="752">
        <v>911715.76322283573</v>
      </c>
      <c r="K37" s="19">
        <v>925877.74613076833</v>
      </c>
      <c r="L37" s="19">
        <v>870948.62532054528</v>
      </c>
      <c r="M37" s="19">
        <v>1269041.5401747781</v>
      </c>
      <c r="N37" s="19">
        <v>10614698.775678812</v>
      </c>
      <c r="O37" s="19">
        <v>884558.23130656767</v>
      </c>
      <c r="P37" s="40"/>
    </row>
    <row r="38" spans="1:16" ht="14.5" hidden="1" customHeight="1">
      <c r="A38" s="19"/>
      <c r="B38" s="19">
        <v>22420.613483588953</v>
      </c>
      <c r="C38" s="19">
        <v>23822.181650672475</v>
      </c>
      <c r="D38" s="19">
        <v>23858.967566762785</v>
      </c>
      <c r="E38" s="19">
        <v>28153.152438972833</v>
      </c>
      <c r="F38" s="19">
        <v>29205.875674665422</v>
      </c>
      <c r="G38" s="19">
        <v>32582.239340605905</v>
      </c>
      <c r="H38" s="752">
        <v>24729.115913116802</v>
      </c>
      <c r="I38" s="752">
        <v>32822.134314498726</v>
      </c>
      <c r="J38" s="752">
        <v>29410.185910414057</v>
      </c>
      <c r="K38" s="19">
        <v>29867.024068734463</v>
      </c>
      <c r="L38" s="19">
        <v>31105.308047162333</v>
      </c>
      <c r="M38" s="19">
        <v>40936.823876605748</v>
      </c>
      <c r="N38" s="19">
        <v>348913.62228580052</v>
      </c>
      <c r="O38" s="19">
        <v>29076.135190483375</v>
      </c>
      <c r="P38" s="40"/>
    </row>
    <row r="39" spans="1:16" ht="14.5" hidden="1" customHeight="1">
      <c r="A39" s="19"/>
      <c r="B39" s="19">
        <v>0.37601178503560856</v>
      </c>
      <c r="C39" s="19">
        <v>0.33700473380708135</v>
      </c>
      <c r="D39" s="19">
        <v>0.33598094477767659</v>
      </c>
      <c r="E39" s="19">
        <v>0.21646946240460291</v>
      </c>
      <c r="F39" s="19">
        <v>0.18717111634586672</v>
      </c>
      <c r="G39" s="19">
        <v>9.3203520921997546E-2</v>
      </c>
      <c r="H39" s="752">
        <v>0.31176384145028163</v>
      </c>
      <c r="I39" s="752">
        <v>8.6527002607818607E-2</v>
      </c>
      <c r="J39" s="752">
        <v>0.18148495707118578</v>
      </c>
      <c r="K39" s="19">
        <v>0.16877069181940643</v>
      </c>
      <c r="L39" s="19">
        <v>0.13430800372731741</v>
      </c>
      <c r="M39" s="19">
        <v>-0.13931296642583918</v>
      </c>
      <c r="N39" s="19"/>
      <c r="O39" s="19">
        <v>0.19063633161612115</v>
      </c>
      <c r="P39" s="40"/>
    </row>
    <row r="40" spans="1:16" hidden="1">
      <c r="A40" s="19"/>
      <c r="B40" s="19"/>
      <c r="C40" s="19"/>
      <c r="D40" s="19"/>
      <c r="E40" s="19"/>
      <c r="F40" s="19"/>
      <c r="G40" s="19"/>
      <c r="H40" s="752"/>
      <c r="I40" s="752"/>
      <c r="J40" s="752"/>
      <c r="K40" s="19"/>
      <c r="L40" s="19"/>
      <c r="M40" s="19"/>
      <c r="N40" s="19"/>
      <c r="O40" s="19"/>
      <c r="P40" s="40"/>
    </row>
    <row r="41" spans="1:16" ht="14.5" hidden="1" customHeight="1">
      <c r="A41" s="19"/>
      <c r="B41" s="19">
        <v>0</v>
      </c>
      <c r="C41" s="19">
        <v>0</v>
      </c>
      <c r="D41" s="19">
        <v>0</v>
      </c>
      <c r="E41" s="19">
        <v>0</v>
      </c>
      <c r="F41" s="19">
        <v>0</v>
      </c>
      <c r="G41" s="19">
        <v>0</v>
      </c>
      <c r="H41" s="752">
        <v>0</v>
      </c>
      <c r="I41" s="752">
        <v>0</v>
      </c>
      <c r="J41" s="752">
        <v>0</v>
      </c>
      <c r="K41" s="19">
        <v>0</v>
      </c>
      <c r="L41" s="19">
        <v>0</v>
      </c>
      <c r="M41" s="19">
        <v>0</v>
      </c>
      <c r="N41" s="19">
        <v>0</v>
      </c>
      <c r="O41" s="19">
        <v>0</v>
      </c>
      <c r="P41" s="40"/>
    </row>
    <row r="42" spans="1:16" ht="14.5" hidden="1" customHeight="1">
      <c r="A42" s="19"/>
      <c r="B42" s="19">
        <v>12842.152466367712</v>
      </c>
      <c r="C42" s="19">
        <v>49703.587443946191</v>
      </c>
      <c r="D42" s="19">
        <v>72948.360089686088</v>
      </c>
      <c r="E42" s="19">
        <v>77053.363228699556</v>
      </c>
      <c r="F42" s="19">
        <v>87932.922421524636</v>
      </c>
      <c r="G42" s="19">
        <v>147412.55605381166</v>
      </c>
      <c r="H42" s="752">
        <v>116284.38071748879</v>
      </c>
      <c r="I42" s="752">
        <v>81541.796412556054</v>
      </c>
      <c r="J42" s="752">
        <v>147545.03004484306</v>
      </c>
      <c r="K42" s="19">
        <v>89597.309417040364</v>
      </c>
      <c r="L42" s="19">
        <v>110332.44399282511</v>
      </c>
      <c r="M42" s="19">
        <v>123683.3659192825</v>
      </c>
      <c r="N42" s="19">
        <v>1116877.2682080718</v>
      </c>
      <c r="O42" s="19">
        <v>93073.10568400599</v>
      </c>
      <c r="P42" s="40"/>
    </row>
    <row r="43" spans="1:16" ht="14.5" hidden="1" customHeight="1">
      <c r="A43" s="19"/>
      <c r="B43" s="19">
        <v>0</v>
      </c>
      <c r="C43" s="19">
        <v>0</v>
      </c>
      <c r="D43" s="19">
        <v>0</v>
      </c>
      <c r="E43" s="19">
        <v>0</v>
      </c>
      <c r="F43" s="19">
        <v>0</v>
      </c>
      <c r="G43" s="19">
        <v>0</v>
      </c>
      <c r="H43" s="752">
        <v>0</v>
      </c>
      <c r="I43" s="752">
        <v>0</v>
      </c>
      <c r="J43" s="752">
        <v>0</v>
      </c>
      <c r="K43" s="19">
        <v>0</v>
      </c>
      <c r="L43" s="19">
        <v>0</v>
      </c>
      <c r="M43" s="19">
        <v>0</v>
      </c>
      <c r="N43" s="19">
        <v>0</v>
      </c>
      <c r="O43" s="19">
        <v>0</v>
      </c>
      <c r="P43" s="40"/>
    </row>
    <row r="44" spans="1:16" ht="14.5" hidden="1" customHeight="1">
      <c r="A44" s="19"/>
      <c r="B44" s="19">
        <v>0</v>
      </c>
      <c r="C44" s="19">
        <v>0</v>
      </c>
      <c r="D44" s="19">
        <v>0</v>
      </c>
      <c r="E44" s="19">
        <v>0</v>
      </c>
      <c r="F44" s="19">
        <v>0</v>
      </c>
      <c r="G44" s="19">
        <v>0</v>
      </c>
      <c r="H44" s="752">
        <v>0</v>
      </c>
      <c r="I44" s="752">
        <v>0</v>
      </c>
      <c r="J44" s="752">
        <v>0</v>
      </c>
      <c r="K44" s="19">
        <v>0</v>
      </c>
      <c r="L44" s="19">
        <v>0</v>
      </c>
      <c r="M44" s="19">
        <v>0</v>
      </c>
      <c r="N44" s="19">
        <v>0</v>
      </c>
      <c r="O44" s="19">
        <v>0</v>
      </c>
      <c r="P44" s="40"/>
    </row>
    <row r="45" spans="1:16" ht="14.5" hidden="1" customHeight="1">
      <c r="A45" s="19"/>
      <c r="B45" s="19">
        <v>0</v>
      </c>
      <c r="C45" s="19">
        <v>0</v>
      </c>
      <c r="D45" s="19">
        <v>0</v>
      </c>
      <c r="E45" s="19">
        <v>0</v>
      </c>
      <c r="F45" s="19">
        <v>0</v>
      </c>
      <c r="G45" s="19">
        <v>0</v>
      </c>
      <c r="H45" s="752">
        <v>0</v>
      </c>
      <c r="I45" s="752">
        <v>0</v>
      </c>
      <c r="J45" s="752">
        <v>0</v>
      </c>
      <c r="K45" s="19">
        <v>0</v>
      </c>
      <c r="L45" s="19">
        <v>0</v>
      </c>
      <c r="M45" s="19">
        <v>0</v>
      </c>
      <c r="N45" s="19">
        <v>0</v>
      </c>
      <c r="O45" s="19">
        <v>0</v>
      </c>
      <c r="P45" s="40"/>
    </row>
    <row r="46" spans="1:16" ht="14.5" hidden="1" customHeight="1">
      <c r="A46" s="19"/>
      <c r="B46" s="19">
        <v>0</v>
      </c>
      <c r="C46" s="19">
        <v>0</v>
      </c>
      <c r="D46" s="19">
        <v>0</v>
      </c>
      <c r="E46" s="19">
        <v>0</v>
      </c>
      <c r="F46" s="19">
        <v>0</v>
      </c>
      <c r="G46" s="19">
        <v>0</v>
      </c>
      <c r="H46" s="752">
        <v>0</v>
      </c>
      <c r="I46" s="752">
        <v>0</v>
      </c>
      <c r="J46" s="752">
        <v>0</v>
      </c>
      <c r="K46" s="19">
        <v>0</v>
      </c>
      <c r="L46" s="19">
        <v>0</v>
      </c>
      <c r="M46" s="19">
        <v>0</v>
      </c>
      <c r="N46" s="19">
        <v>0</v>
      </c>
      <c r="O46" s="19">
        <v>0</v>
      </c>
      <c r="P46" s="40"/>
    </row>
    <row r="47" spans="1:16" ht="14.5" hidden="1" customHeight="1">
      <c r="A47" s="19"/>
      <c r="B47" s="19">
        <v>0</v>
      </c>
      <c r="C47" s="19">
        <v>0</v>
      </c>
      <c r="D47" s="19">
        <v>0</v>
      </c>
      <c r="E47" s="19">
        <v>0</v>
      </c>
      <c r="F47" s="19">
        <v>0</v>
      </c>
      <c r="G47" s="19">
        <v>0</v>
      </c>
      <c r="H47" s="752">
        <v>0</v>
      </c>
      <c r="I47" s="752">
        <v>0</v>
      </c>
      <c r="J47" s="752">
        <v>0</v>
      </c>
      <c r="K47" s="19">
        <v>0</v>
      </c>
      <c r="L47" s="19">
        <v>0</v>
      </c>
      <c r="M47" s="19">
        <v>0</v>
      </c>
      <c r="N47" s="19">
        <v>0</v>
      </c>
      <c r="O47" s="19">
        <v>0</v>
      </c>
      <c r="P47" s="40"/>
    </row>
    <row r="48" spans="1:16" ht="14.5" hidden="1" customHeight="1">
      <c r="A48" s="19"/>
      <c r="B48" s="19">
        <v>54265.917297237458</v>
      </c>
      <c r="C48" s="19">
        <v>53711.364927030911</v>
      </c>
      <c r="D48" s="19">
        <v>53723.208199935798</v>
      </c>
      <c r="E48" s="19">
        <v>34142.589526706557</v>
      </c>
      <c r="F48" s="19">
        <v>37969.541220879895</v>
      </c>
      <c r="G48" s="19">
        <v>40415.508904278802</v>
      </c>
      <c r="H48" s="752">
        <v>44239.33484535251</v>
      </c>
      <c r="I48" s="752">
        <v>37950.09466966035</v>
      </c>
      <c r="J48" s="752">
        <v>50962.639921333124</v>
      </c>
      <c r="K48" s="19">
        <v>39621.530827770308</v>
      </c>
      <c r="L48" s="19">
        <v>37988.701490399377</v>
      </c>
      <c r="M48" s="19">
        <v>45024.447771822684</v>
      </c>
      <c r="N48" s="19">
        <v>530014.8796024078</v>
      </c>
      <c r="O48" s="19">
        <v>44167.906633533981</v>
      </c>
      <c r="P48" s="40"/>
    </row>
    <row r="49" spans="1:17">
      <c r="A49" s="752" t="s">
        <v>241</v>
      </c>
      <c r="B49" s="1010">
        <v>100470.29317355703</v>
      </c>
      <c r="C49" s="1010">
        <v>77390.828574762971</v>
      </c>
      <c r="D49" s="1010">
        <v>46293.57817805557</v>
      </c>
      <c r="E49" s="1010">
        <v>73043.525763739235</v>
      </c>
      <c r="F49" s="1010">
        <v>77436.853905849799</v>
      </c>
      <c r="G49" s="1010">
        <v>86494.712764804775</v>
      </c>
      <c r="H49" s="1010">
        <v>79944.330482420512</v>
      </c>
      <c r="I49" s="1010">
        <v>125987.81049013692</v>
      </c>
      <c r="J49" s="1010">
        <v>124745.61772641132</v>
      </c>
      <c r="K49" s="1010">
        <v>137266.19026845609</v>
      </c>
      <c r="L49" s="1010">
        <v>131559.3760210046</v>
      </c>
      <c r="M49" s="1010">
        <v>129051.08324901889</v>
      </c>
      <c r="N49" s="752">
        <f>SUM(B49:M49)</f>
        <v>1189684.2005982178</v>
      </c>
      <c r="O49" s="753">
        <f>N49/12</f>
        <v>99140.350049851477</v>
      </c>
      <c r="P49" s="922">
        <f>O49/30</f>
        <v>3304.6783349950492</v>
      </c>
      <c r="Q49" s="41"/>
    </row>
    <row r="50" spans="1:17" ht="14.5" hidden="1" customHeight="1">
      <c r="A50" s="19"/>
      <c r="B50" s="19"/>
      <c r="C50" s="19"/>
      <c r="D50" s="19"/>
      <c r="E50" s="19"/>
      <c r="F50" s="19"/>
      <c r="G50" s="19"/>
      <c r="H50" s="752"/>
      <c r="I50" s="752"/>
      <c r="J50" s="752"/>
      <c r="K50" s="19"/>
      <c r="L50" s="19"/>
      <c r="M50" s="19"/>
      <c r="N50" s="19">
        <v>0</v>
      </c>
      <c r="O50" s="19">
        <v>0</v>
      </c>
      <c r="P50" s="40"/>
    </row>
    <row r="51" spans="1:17" ht="14.5" hidden="1" customHeight="1">
      <c r="A51" s="19"/>
      <c r="B51" s="19">
        <v>259015.52212125334</v>
      </c>
      <c r="C51" s="19">
        <v>267649.37285862846</v>
      </c>
      <c r="D51" s="19">
        <v>259015.52212125334</v>
      </c>
      <c r="E51" s="19">
        <v>267649.37285862846</v>
      </c>
      <c r="F51" s="19">
        <v>259015.52212125334</v>
      </c>
      <c r="G51" s="19">
        <v>267649.37285862846</v>
      </c>
      <c r="H51" s="752">
        <v>267649.37285862846</v>
      </c>
      <c r="I51" s="752">
        <v>259015.52212125334</v>
      </c>
      <c r="J51" s="752">
        <v>267649.37285862846</v>
      </c>
      <c r="K51" s="19">
        <v>267649.37285862846</v>
      </c>
      <c r="L51" s="19">
        <v>241747.8206465031</v>
      </c>
      <c r="M51" s="19">
        <v>267649.37285862846</v>
      </c>
      <c r="N51" s="19">
        <v>3151355.5191419162</v>
      </c>
      <c r="O51" s="19">
        <v>262612.95992849302</v>
      </c>
      <c r="P51" s="40"/>
    </row>
    <row r="52" spans="1:17" ht="14.5" hidden="1" customHeight="1">
      <c r="A52" s="19"/>
      <c r="B52" s="19">
        <v>191907.45235764817</v>
      </c>
      <c r="C52" s="19">
        <v>164234.42048765137</v>
      </c>
      <c r="D52" s="19">
        <v>132343.95383163146</v>
      </c>
      <c r="E52" s="19">
        <v>156453.42010322234</v>
      </c>
      <c r="F52" s="19">
        <v>133113.0584788488</v>
      </c>
      <c r="G52" s="19">
        <v>79821.307900537999</v>
      </c>
      <c r="H52" s="752">
        <v>107125.65729578715</v>
      </c>
      <c r="I52" s="752">
        <v>139523.63103903693</v>
      </c>
      <c r="J52" s="752">
        <v>69141.702892452275</v>
      </c>
      <c r="K52" s="19">
        <v>138430.53261381778</v>
      </c>
      <c r="L52" s="19">
        <v>93426.675163278618</v>
      </c>
      <c r="M52" s="19">
        <v>98941.559167523286</v>
      </c>
      <c r="N52" s="19">
        <v>1504463.3713314361</v>
      </c>
      <c r="O52" s="19">
        <v>125371.94761095301</v>
      </c>
      <c r="P52" s="40"/>
    </row>
    <row r="53" spans="1:17" ht="14.5" hidden="1" customHeight="1">
      <c r="A53" s="19"/>
      <c r="B53" s="19">
        <v>0.74091101099265488</v>
      </c>
      <c r="C53" s="19">
        <v>0.6136178042696161</v>
      </c>
      <c r="D53" s="19">
        <v>0.51094989500157095</v>
      </c>
      <c r="E53" s="19">
        <v>0.58454618605013708</v>
      </c>
      <c r="F53" s="19">
        <v>0.51391923305868281</v>
      </c>
      <c r="G53" s="19">
        <v>0.29823087963183592</v>
      </c>
      <c r="H53" s="752">
        <v>0.40024624811047321</v>
      </c>
      <c r="I53" s="752">
        <v>0.53866899518756073</v>
      </c>
      <c r="J53" s="752">
        <v>0.25832940370449775</v>
      </c>
      <c r="K53" s="19">
        <v>0.51720850729187529</v>
      </c>
      <c r="L53" s="19">
        <v>0.38646336051108487</v>
      </c>
      <c r="M53" s="19">
        <v>0.36966856342975218</v>
      </c>
      <c r="N53" s="19"/>
      <c r="O53" s="19">
        <v>0.47740198216070745</v>
      </c>
      <c r="P53" s="40"/>
    </row>
    <row r="54" spans="1:17" hidden="1">
      <c r="A54" s="19"/>
      <c r="B54" s="19"/>
      <c r="C54" s="19"/>
      <c r="D54" s="19">
        <v>8.5337717509259292</v>
      </c>
      <c r="E54" s="19">
        <v>7.4874180750000034</v>
      </c>
      <c r="F54" s="19"/>
      <c r="G54" s="19"/>
      <c r="H54" s="752"/>
      <c r="I54" s="752"/>
      <c r="J54" s="752"/>
      <c r="K54" s="19"/>
      <c r="L54" s="19"/>
      <c r="M54" s="19"/>
      <c r="N54" s="19"/>
      <c r="O54" s="19"/>
      <c r="P54" s="40"/>
    </row>
    <row r="55" spans="1:17" ht="14.5" hidden="1" customHeight="1">
      <c r="A55" s="19"/>
      <c r="B55" s="19">
        <v>0</v>
      </c>
      <c r="C55" s="19">
        <v>0</v>
      </c>
      <c r="D55" s="19">
        <v>0</v>
      </c>
      <c r="E55" s="19">
        <v>0</v>
      </c>
      <c r="F55" s="19">
        <v>0</v>
      </c>
      <c r="G55" s="19">
        <v>0</v>
      </c>
      <c r="H55" s="752">
        <v>0</v>
      </c>
      <c r="I55" s="752">
        <v>0</v>
      </c>
      <c r="J55" s="752">
        <v>0</v>
      </c>
      <c r="K55" s="19">
        <v>0</v>
      </c>
      <c r="L55" s="19">
        <v>0</v>
      </c>
      <c r="M55" s="19">
        <v>0</v>
      </c>
      <c r="N55" s="19">
        <v>0</v>
      </c>
      <c r="O55" s="19">
        <v>0</v>
      </c>
      <c r="P55" s="40"/>
    </row>
    <row r="56" spans="1:17" ht="14.5" hidden="1" customHeight="1">
      <c r="A56" s="19"/>
      <c r="B56" s="19">
        <v>51793.088544200487</v>
      </c>
      <c r="C56" s="19">
        <v>47373.025851629551</v>
      </c>
      <c r="D56" s="19">
        <v>60620.999526141211</v>
      </c>
      <c r="E56" s="19">
        <v>110850.17715579424</v>
      </c>
      <c r="F56" s="19">
        <v>127762.62054441111</v>
      </c>
      <c r="G56" s="19">
        <v>198558.767545938</v>
      </c>
      <c r="H56" s="752">
        <v>152931.99473490234</v>
      </c>
      <c r="I56" s="752">
        <v>181493.09587742851</v>
      </c>
      <c r="J56" s="752">
        <v>165288.63469278155</v>
      </c>
      <c r="K56" s="19">
        <v>198101.93323856159</v>
      </c>
      <c r="L56" s="19">
        <v>140194.62138682674</v>
      </c>
      <c r="M56" s="19">
        <v>174530.67782867371</v>
      </c>
      <c r="N56" s="19">
        <v>1609499.636927289</v>
      </c>
      <c r="O56" s="19">
        <v>134124.96974394075</v>
      </c>
      <c r="P56" s="40"/>
    </row>
    <row r="57" spans="1:17" ht="14.5" hidden="1" customHeight="1">
      <c r="A57" s="19"/>
      <c r="B57" s="19">
        <v>0</v>
      </c>
      <c r="C57" s="19">
        <v>0</v>
      </c>
      <c r="D57" s="19">
        <v>0</v>
      </c>
      <c r="E57" s="19">
        <v>0</v>
      </c>
      <c r="F57" s="19">
        <v>0</v>
      </c>
      <c r="G57" s="19">
        <v>0</v>
      </c>
      <c r="H57" s="752">
        <v>0</v>
      </c>
      <c r="I57" s="752">
        <v>0</v>
      </c>
      <c r="J57" s="752">
        <v>0</v>
      </c>
      <c r="K57" s="19">
        <v>0</v>
      </c>
      <c r="L57" s="19">
        <v>0</v>
      </c>
      <c r="M57" s="19">
        <v>0</v>
      </c>
      <c r="N57" s="19">
        <v>0</v>
      </c>
      <c r="O57" s="19">
        <v>0</v>
      </c>
      <c r="P57" s="40"/>
    </row>
    <row r="58" spans="1:17" ht="14.5" hidden="1" customHeight="1">
      <c r="A58" s="19"/>
      <c r="B58" s="19">
        <v>87967.841413822083</v>
      </c>
      <c r="C58" s="19">
        <v>53477.579598945515</v>
      </c>
      <c r="D58" s="19">
        <v>59980.000741311611</v>
      </c>
      <c r="E58" s="19">
        <v>59709.039758179046</v>
      </c>
      <c r="F58" s="19">
        <v>71679.967428856529</v>
      </c>
      <c r="G58" s="19">
        <v>58393.216037202896</v>
      </c>
      <c r="H58" s="752">
        <v>65030.146434419708</v>
      </c>
      <c r="I58" s="752">
        <v>59438.383985599678</v>
      </c>
      <c r="J58" s="752">
        <v>58917.065834750683</v>
      </c>
      <c r="K58" s="19">
        <v>54071.334270596053</v>
      </c>
      <c r="L58" s="19">
        <v>81675.085359373828</v>
      </c>
      <c r="M58" s="19">
        <v>447696.00690603611</v>
      </c>
      <c r="N58" s="19">
        <v>1158035.6677690938</v>
      </c>
      <c r="O58" s="19">
        <v>96502.972314091152</v>
      </c>
      <c r="P58" s="40"/>
    </row>
    <row r="59" spans="1:17" ht="14.5" hidden="1" customHeight="1">
      <c r="A59" s="19"/>
      <c r="B59" s="19">
        <v>0</v>
      </c>
      <c r="C59" s="19">
        <v>0</v>
      </c>
      <c r="D59" s="19">
        <v>0</v>
      </c>
      <c r="E59" s="19">
        <v>0</v>
      </c>
      <c r="F59" s="19">
        <v>0</v>
      </c>
      <c r="G59" s="19">
        <v>0</v>
      </c>
      <c r="H59" s="752">
        <v>0</v>
      </c>
      <c r="I59" s="752">
        <v>0</v>
      </c>
      <c r="J59" s="752">
        <v>0</v>
      </c>
      <c r="K59" s="19">
        <v>0</v>
      </c>
      <c r="L59" s="19">
        <v>0</v>
      </c>
      <c r="M59" s="19">
        <v>0</v>
      </c>
      <c r="N59" s="19">
        <v>0</v>
      </c>
      <c r="O59" s="19">
        <v>0</v>
      </c>
      <c r="P59" s="40"/>
    </row>
    <row r="60" spans="1:17" ht="14.5" hidden="1" customHeight="1">
      <c r="A60" s="19"/>
      <c r="B60" s="19">
        <v>27335.401463039016</v>
      </c>
      <c r="C60" s="19">
        <v>27335.401463039016</v>
      </c>
      <c r="D60" s="19">
        <v>27335.401463039016</v>
      </c>
      <c r="E60" s="19">
        <v>31571.226899383986</v>
      </c>
      <c r="F60" s="19">
        <v>31571.226899383986</v>
      </c>
      <c r="G60" s="19">
        <v>31571.226899383986</v>
      </c>
      <c r="H60" s="752">
        <v>35777.809804928133</v>
      </c>
      <c r="I60" s="752">
        <v>35777.809804928133</v>
      </c>
      <c r="J60" s="752">
        <v>35777.809804928133</v>
      </c>
      <c r="K60" s="19">
        <v>33265.503080082133</v>
      </c>
      <c r="L60" s="19">
        <v>33265.503080082133</v>
      </c>
      <c r="M60" s="19">
        <v>33265.503080082133</v>
      </c>
      <c r="N60" s="19">
        <v>383849.82374229981</v>
      </c>
      <c r="O60" s="19">
        <v>31987.485311858316</v>
      </c>
      <c r="P60" s="40"/>
    </row>
    <row r="61" spans="1:17" ht="14.5" hidden="1" customHeight="1">
      <c r="A61" s="19"/>
      <c r="B61" s="19">
        <v>0</v>
      </c>
      <c r="C61" s="19">
        <v>0</v>
      </c>
      <c r="D61" s="19">
        <v>0</v>
      </c>
      <c r="E61" s="19">
        <v>0</v>
      </c>
      <c r="F61" s="19">
        <v>0</v>
      </c>
      <c r="G61" s="19">
        <v>0</v>
      </c>
      <c r="H61" s="752">
        <v>0</v>
      </c>
      <c r="I61" s="752">
        <v>0</v>
      </c>
      <c r="J61" s="752">
        <v>0</v>
      </c>
      <c r="K61" s="19">
        <v>0</v>
      </c>
      <c r="L61" s="19">
        <v>0</v>
      </c>
      <c r="M61" s="19">
        <v>0</v>
      </c>
      <c r="N61" s="19">
        <v>0</v>
      </c>
      <c r="O61" s="19">
        <v>0</v>
      </c>
      <c r="P61" s="40"/>
    </row>
    <row r="62" spans="1:17" ht="14.5" hidden="1" customHeight="1">
      <c r="A62" s="19"/>
      <c r="B62" s="19">
        <v>739601.16209768213</v>
      </c>
      <c r="C62" s="19">
        <v>753807.42525088601</v>
      </c>
      <c r="D62" s="19">
        <v>689171.55046369298</v>
      </c>
      <c r="E62" s="19">
        <v>761037.5031382317</v>
      </c>
      <c r="F62" s="19">
        <v>728011.7642298555</v>
      </c>
      <c r="G62" s="19">
        <v>746329.32335258054</v>
      </c>
      <c r="H62" s="752">
        <v>714655.44036019372</v>
      </c>
      <c r="I62" s="752">
        <v>720840.84483133839</v>
      </c>
      <c r="J62" s="752">
        <v>764314.48431755102</v>
      </c>
      <c r="K62" s="19">
        <v>749835.20036186837</v>
      </c>
      <c r="L62" s="19">
        <v>737717.51140873448</v>
      </c>
      <c r="M62" s="19">
        <v>767557.82169021992</v>
      </c>
      <c r="N62" s="19">
        <v>8872880.0315028355</v>
      </c>
      <c r="O62" s="19">
        <v>739406.66929190292</v>
      </c>
      <c r="P62" s="40"/>
    </row>
    <row r="63" spans="1:17" ht="14.5" hidden="1" customHeight="1">
      <c r="A63" s="19"/>
      <c r="B63" s="19"/>
      <c r="C63" s="19"/>
      <c r="D63" s="19"/>
      <c r="E63" s="19"/>
      <c r="F63" s="19"/>
      <c r="G63" s="19"/>
      <c r="H63" s="752"/>
      <c r="I63" s="752"/>
      <c r="J63" s="752"/>
      <c r="K63" s="19"/>
      <c r="L63" s="19"/>
      <c r="M63" s="19"/>
      <c r="N63" s="19">
        <v>0</v>
      </c>
      <c r="O63" s="19">
        <v>0</v>
      </c>
      <c r="P63" s="40"/>
    </row>
    <row r="64" spans="1:17">
      <c r="A64" s="19" t="s">
        <v>25</v>
      </c>
      <c r="B64" s="1010">
        <v>1108335.1661479664</v>
      </c>
      <c r="C64" s="1010">
        <v>1028009.0860135073</v>
      </c>
      <c r="D64" s="1010">
        <v>939711.64404554619</v>
      </c>
      <c r="E64" s="1010">
        <v>1001669.8666879255</v>
      </c>
      <c r="F64" s="1010">
        <v>1130540.247640067</v>
      </c>
      <c r="G64" s="1010">
        <v>1056371.1068160413</v>
      </c>
      <c r="H64" s="1010">
        <v>933369.0299695679</v>
      </c>
      <c r="I64" s="1010">
        <v>920141.57983170624</v>
      </c>
      <c r="J64" s="1010">
        <v>1212098.632002092</v>
      </c>
      <c r="K64" s="1010">
        <v>992702.53521868575</v>
      </c>
      <c r="L64" s="1010">
        <v>995401.92469487828</v>
      </c>
      <c r="M64" s="1010">
        <v>941464.77243350295</v>
      </c>
      <c r="N64" s="752">
        <f>SUM(B64:M64)</f>
        <v>12259815.591501489</v>
      </c>
      <c r="O64" s="753">
        <f t="shared" ref="O64" si="1">N64/12</f>
        <v>1021651.2992917908</v>
      </c>
      <c r="P64" s="922">
        <f t="shared" ref="P64" si="2">O64/30</f>
        <v>34055.043309726359</v>
      </c>
      <c r="Q64" s="41"/>
    </row>
    <row r="65" spans="1:16" ht="14.5" hidden="1" customHeight="1">
      <c r="A65" s="19"/>
      <c r="B65" s="752"/>
      <c r="C65" s="752"/>
      <c r="D65" s="752"/>
      <c r="E65" s="752"/>
      <c r="F65" s="752"/>
      <c r="G65" s="752"/>
      <c r="H65" s="752"/>
      <c r="I65" s="752"/>
      <c r="J65" s="752"/>
      <c r="K65" s="752"/>
      <c r="L65" s="752"/>
      <c r="M65" s="752"/>
      <c r="N65" s="752"/>
      <c r="O65" s="753"/>
      <c r="P65" s="922"/>
    </row>
    <row r="66" spans="1:16" ht="14.5" hidden="1" customHeight="1">
      <c r="A66" s="19"/>
      <c r="B66" s="19">
        <v>1065170.0949526476</v>
      </c>
      <c r="C66" s="19">
        <v>1100675.7647844024</v>
      </c>
      <c r="D66" s="19">
        <v>1065170.0949526476</v>
      </c>
      <c r="E66" s="19">
        <v>1100675.7647844024</v>
      </c>
      <c r="F66" s="19">
        <v>1065170.0949526476</v>
      </c>
      <c r="G66" s="19">
        <v>1100675.7647844024</v>
      </c>
      <c r="H66" s="752">
        <v>1100675.7647844024</v>
      </c>
      <c r="I66" s="752">
        <v>1065170.0949526476</v>
      </c>
      <c r="J66" s="752">
        <v>1100675.7647844024</v>
      </c>
      <c r="K66" s="19">
        <v>1100675.7647844024</v>
      </c>
      <c r="L66" s="19">
        <v>994158.7552891376</v>
      </c>
      <c r="M66" s="19">
        <v>1100675.7647844024</v>
      </c>
      <c r="N66" s="19">
        <v>12959569.488590546</v>
      </c>
      <c r="O66" s="19">
        <v>1079964.1240492121</v>
      </c>
      <c r="P66" s="40"/>
    </row>
    <row r="67" spans="1:16" ht="14.5" hidden="1" customHeight="1">
      <c r="A67" s="19"/>
      <c r="B67" s="19">
        <v>53472.60143390391</v>
      </c>
      <c r="C67" s="19">
        <v>110182.33261990233</v>
      </c>
      <c r="D67" s="19">
        <v>123062.14275846281</v>
      </c>
      <c r="E67" s="19">
        <v>29007.817832813482</v>
      </c>
      <c r="F67" s="19">
        <v>1144.5158501404803</v>
      </c>
      <c r="G67" s="19">
        <v>-42676.769050702918</v>
      </c>
      <c r="H67" s="752">
        <v>23780.373449958512</v>
      </c>
      <c r="I67" s="752">
        <v>-37380.039546647109</v>
      </c>
      <c r="J67" s="752">
        <v>-32122.22986560897</v>
      </c>
      <c r="K67" s="19">
        <v>-43098.206166705699</v>
      </c>
      <c r="L67" s="19">
        <v>-96693.96594587958</v>
      </c>
      <c r="M67" s="19">
        <v>-430874.24472060939</v>
      </c>
      <c r="N67" s="19">
        <v>935304.32864902914</v>
      </c>
      <c r="O67" s="19">
        <v>77942.027387419017</v>
      </c>
      <c r="P67" s="40"/>
    </row>
    <row r="68" spans="1:16" ht="14.5" hidden="1" customHeight="1">
      <c r="A68" s="19"/>
      <c r="B68" s="19">
        <v>5.0200997650315229E-2</v>
      </c>
      <c r="C68" s="19">
        <v>0.10010425971492573</v>
      </c>
      <c r="D68" s="19">
        <v>0.11553285558954185</v>
      </c>
      <c r="E68" s="19">
        <v>2.6354553049049333E-2</v>
      </c>
      <c r="F68" s="19">
        <v>1.0744911592653755E-3</v>
      </c>
      <c r="G68" s="19">
        <v>-3.8773243144008297E-2</v>
      </c>
      <c r="H68" s="752">
        <v>2.1605248530766508E-2</v>
      </c>
      <c r="I68" s="752">
        <v>-3.5093023850156863E-2</v>
      </c>
      <c r="J68" s="752">
        <v>-2.9184098436019431E-2</v>
      </c>
      <c r="K68" s="19">
        <v>-3.9156132573835371E-2</v>
      </c>
      <c r="L68" s="19">
        <v>-9.7262097659399929E-2</v>
      </c>
      <c r="M68" s="19">
        <v>-0.39146337050948693</v>
      </c>
      <c r="N68" s="19">
        <v>7.2170941285700896E-2</v>
      </c>
      <c r="O68" s="19">
        <v>7.217094128570084E-2</v>
      </c>
      <c r="P68" s="40"/>
    </row>
    <row r="69" spans="1:16" ht="14.5" hidden="1" customHeight="1">
      <c r="A69" s="19"/>
      <c r="B69" s="19">
        <v>30223.249783958123</v>
      </c>
      <c r="C69" s="19">
        <v>28451.401037564519</v>
      </c>
      <c r="D69" s="19">
        <v>27903.598406472825</v>
      </c>
      <c r="E69" s="19">
        <v>31069.933772631903</v>
      </c>
      <c r="F69" s="19">
        <v>31967.519303416902</v>
      </c>
      <c r="G69" s="19">
        <v>33382.339801132432</v>
      </c>
      <c r="H69" s="752">
        <v>31238.561010788515</v>
      </c>
      <c r="I69" s="752">
        <v>33251.671149976486</v>
      </c>
      <c r="J69" s="752">
        <v>33041.87079516166</v>
      </c>
      <c r="K69" s="19">
        <v>33395.934546809942</v>
      </c>
      <c r="L69" s="19">
        <v>35459.025758393473</v>
      </c>
      <c r="M69" s="19">
        <v>45904.839016290702</v>
      </c>
      <c r="N69" s="19">
        <v>395289.94438259746</v>
      </c>
      <c r="O69" s="19">
        <v>32940.828698549791</v>
      </c>
      <c r="P69" s="40"/>
    </row>
    <row r="70" spans="1:16" hidden="1">
      <c r="A70" s="19"/>
      <c r="B70" s="19"/>
      <c r="C70" s="19"/>
      <c r="D70" s="19">
        <v>-14.566380230909507</v>
      </c>
      <c r="E70" s="19"/>
      <c r="F70" s="19"/>
      <c r="G70" s="19"/>
      <c r="H70" s="752"/>
      <c r="I70" s="752"/>
      <c r="J70" s="752"/>
      <c r="K70" s="19"/>
      <c r="L70" s="19"/>
      <c r="M70" s="19"/>
      <c r="N70" s="19"/>
      <c r="O70" s="19">
        <v>0</v>
      </c>
      <c r="P70" s="40"/>
    </row>
    <row r="71" spans="1:16" ht="14.5" hidden="1" customHeight="1">
      <c r="A71" s="19"/>
      <c r="B71" s="19">
        <v>62374.759643140598</v>
      </c>
      <c r="C71" s="19">
        <v>89781.904133920587</v>
      </c>
      <c r="D71" s="19">
        <v>114152.18253290353</v>
      </c>
      <c r="E71" s="19">
        <v>90207.092365345132</v>
      </c>
      <c r="F71" s="19">
        <v>111535.55452191936</v>
      </c>
      <c r="G71" s="19">
        <v>124103.26704836762</v>
      </c>
      <c r="H71" s="752">
        <v>139722.03364811666</v>
      </c>
      <c r="I71" s="752">
        <v>87630.674953905691</v>
      </c>
      <c r="J71" s="752">
        <v>138026.10150436632</v>
      </c>
      <c r="K71" s="19">
        <v>95085.363531879717</v>
      </c>
      <c r="L71" s="19">
        <v>133232.6765421115</v>
      </c>
      <c r="M71" s="19">
        <v>120116.19318048548</v>
      </c>
      <c r="N71" s="19">
        <f t="shared" ref="N71:N80" si="3">SUM(B71:M71)</f>
        <v>1305967.803606462</v>
      </c>
      <c r="O71" s="212">
        <f>N71/12</f>
        <v>108830.6503005385</v>
      </c>
      <c r="P71" s="40"/>
    </row>
    <row r="72" spans="1:16" ht="14.5" hidden="1" customHeight="1">
      <c r="A72" s="19"/>
      <c r="B72" s="19">
        <v>653821.24016947206</v>
      </c>
      <c r="C72" s="19">
        <v>599940.20355327369</v>
      </c>
      <c r="D72" s="19">
        <v>628023.89011382731</v>
      </c>
      <c r="E72" s="19">
        <v>638850.96152843372</v>
      </c>
      <c r="F72" s="19">
        <v>670236.79927077156</v>
      </c>
      <c r="G72" s="19">
        <v>671198.78141358716</v>
      </c>
      <c r="H72" s="752">
        <v>657134.58157079201</v>
      </c>
      <c r="I72" s="752">
        <v>678418.2967091864</v>
      </c>
      <c r="J72" s="752">
        <v>655729.28999178053</v>
      </c>
      <c r="K72" s="19">
        <v>686605.05075172754</v>
      </c>
      <c r="L72" s="19">
        <v>677298.78807051096</v>
      </c>
      <c r="M72" s="19">
        <v>963664.54917685618</v>
      </c>
      <c r="N72" s="19">
        <f t="shared" si="3"/>
        <v>8180922.4323202176</v>
      </c>
      <c r="O72" s="212">
        <f t="shared" ref="O72:O80" si="4">N72/12</f>
        <v>681743.5360266848</v>
      </c>
      <c r="P72" s="40"/>
    </row>
    <row r="73" spans="1:16" ht="14.5" hidden="1" customHeight="1">
      <c r="A73" s="19"/>
      <c r="B73" s="19">
        <v>716195.99981261266</v>
      </c>
      <c r="C73" s="19">
        <v>689722.10768719425</v>
      </c>
      <c r="D73" s="19">
        <v>742176.07264673081</v>
      </c>
      <c r="E73" s="19">
        <v>729058.05389377882</v>
      </c>
      <c r="F73" s="19">
        <v>781772.3537926909</v>
      </c>
      <c r="G73" s="19">
        <v>795302.04846195481</v>
      </c>
      <c r="H73" s="752">
        <v>796856.61521890864</v>
      </c>
      <c r="I73" s="752">
        <v>766048.97166309203</v>
      </c>
      <c r="J73" s="752">
        <v>793755.3914961468</v>
      </c>
      <c r="K73" s="19">
        <v>781690.41428360727</v>
      </c>
      <c r="L73" s="19">
        <v>810531.46461262251</v>
      </c>
      <c r="M73" s="19">
        <v>1083780.7423573416</v>
      </c>
      <c r="N73" s="19">
        <f t="shared" si="3"/>
        <v>9486890.2359266821</v>
      </c>
      <c r="O73" s="212">
        <f t="shared" si="4"/>
        <v>790574.18632722355</v>
      </c>
      <c r="P73" s="40"/>
    </row>
    <row r="74" spans="1:16" ht="14.5" hidden="1" customHeight="1">
      <c r="A74" s="19"/>
      <c r="B74" s="19"/>
      <c r="C74" s="19"/>
      <c r="D74" s="19"/>
      <c r="E74" s="19"/>
      <c r="F74" s="19"/>
      <c r="G74" s="19"/>
      <c r="H74" s="752"/>
      <c r="I74" s="752"/>
      <c r="J74" s="752"/>
      <c r="K74" s="19"/>
      <c r="L74" s="19"/>
      <c r="M74" s="19"/>
      <c r="N74" s="19">
        <f t="shared" si="3"/>
        <v>0</v>
      </c>
      <c r="O74" s="212">
        <f t="shared" si="4"/>
        <v>0</v>
      </c>
      <c r="P74" s="40"/>
    </row>
    <row r="75" spans="1:16" ht="14.5" hidden="1" customHeight="1">
      <c r="A75" s="19"/>
      <c r="B75" s="19">
        <v>716195.99981261266</v>
      </c>
      <c r="C75" s="19">
        <v>689722.10768719425</v>
      </c>
      <c r="D75" s="19">
        <v>742176.07264673081</v>
      </c>
      <c r="E75" s="19">
        <v>729058.05389377882</v>
      </c>
      <c r="F75" s="19">
        <v>781772.3537926909</v>
      </c>
      <c r="G75" s="19">
        <v>795302.04846195481</v>
      </c>
      <c r="H75" s="752">
        <v>796856.61521890864</v>
      </c>
      <c r="I75" s="752">
        <v>766048.97166309203</v>
      </c>
      <c r="J75" s="752">
        <v>793755.3914961468</v>
      </c>
      <c r="K75" s="19">
        <v>781690.41428360727</v>
      </c>
      <c r="L75" s="19">
        <v>810531.46461262251</v>
      </c>
      <c r="M75" s="19">
        <v>1083780.7423573416</v>
      </c>
      <c r="N75" s="19">
        <f t="shared" si="3"/>
        <v>9486890.2359266821</v>
      </c>
      <c r="O75" s="212">
        <f t="shared" si="4"/>
        <v>790574.18632722355</v>
      </c>
      <c r="P75" s="40"/>
    </row>
    <row r="76" spans="1:16" ht="14.5" hidden="1" customHeight="1">
      <c r="A76" s="19"/>
      <c r="B76" s="19">
        <v>918000</v>
      </c>
      <c r="C76" s="19">
        <v>948600</v>
      </c>
      <c r="D76" s="19">
        <v>918000</v>
      </c>
      <c r="E76" s="19">
        <v>948600</v>
      </c>
      <c r="F76" s="19">
        <v>918000</v>
      </c>
      <c r="G76" s="19">
        <v>948600</v>
      </c>
      <c r="H76" s="752">
        <v>948600</v>
      </c>
      <c r="I76" s="752">
        <v>918000</v>
      </c>
      <c r="J76" s="752">
        <v>948600</v>
      </c>
      <c r="K76" s="19">
        <v>948600</v>
      </c>
      <c r="L76" s="19">
        <v>856800</v>
      </c>
      <c r="M76" s="19">
        <v>948600</v>
      </c>
      <c r="N76" s="19">
        <f t="shared" si="3"/>
        <v>11169000</v>
      </c>
      <c r="O76" s="212">
        <f t="shared" si="4"/>
        <v>930750</v>
      </c>
      <c r="P76" s="40"/>
    </row>
    <row r="77" spans="1:16" ht="14.5" hidden="1" customHeight="1">
      <c r="A77" s="19"/>
      <c r="B77" s="19">
        <v>201804.00018738734</v>
      </c>
      <c r="C77" s="19">
        <v>258877.89231280575</v>
      </c>
      <c r="D77" s="19">
        <v>175823.92735326919</v>
      </c>
      <c r="E77" s="19">
        <v>219541.94610622118</v>
      </c>
      <c r="F77" s="19">
        <v>136227.6462073091</v>
      </c>
      <c r="G77" s="19">
        <v>153297.95153804519</v>
      </c>
      <c r="H77" s="752">
        <v>151743.38478109136</v>
      </c>
      <c r="I77" s="752">
        <v>151951.02833690797</v>
      </c>
      <c r="J77" s="752">
        <v>154844.6085038532</v>
      </c>
      <c r="K77" s="19">
        <v>166909.58571639273</v>
      </c>
      <c r="L77" s="19">
        <v>46268.535387377487</v>
      </c>
      <c r="M77" s="19">
        <v>-135180.74235734157</v>
      </c>
      <c r="N77" s="19">
        <f t="shared" si="3"/>
        <v>1682109.764073319</v>
      </c>
      <c r="O77" s="212">
        <f t="shared" si="4"/>
        <v>140175.8136727766</v>
      </c>
      <c r="P77" s="40"/>
    </row>
    <row r="78" spans="1:16" ht="14.5" hidden="1" customHeight="1">
      <c r="A78" s="19"/>
      <c r="B78" s="19">
        <v>0.21983006556360277</v>
      </c>
      <c r="C78" s="19">
        <v>0.27290522065444417</v>
      </c>
      <c r="D78" s="19">
        <v>0.19152933262883354</v>
      </c>
      <c r="E78" s="19">
        <v>0.23143785168271261</v>
      </c>
      <c r="F78" s="19">
        <v>0.14839612876613192</v>
      </c>
      <c r="G78" s="19">
        <v>0.1616044186570158</v>
      </c>
      <c r="H78" s="752">
        <v>0.1599656175217071</v>
      </c>
      <c r="I78" s="752">
        <v>0.16552399600970366</v>
      </c>
      <c r="J78" s="752">
        <v>0.16323488140823655</v>
      </c>
      <c r="K78" s="19">
        <v>0.17595360079737796</v>
      </c>
      <c r="L78" s="19">
        <v>5.4001558575370548E-2</v>
      </c>
      <c r="M78" s="19">
        <v>-0.14250552641507649</v>
      </c>
      <c r="N78" s="19">
        <f t="shared" si="3"/>
        <v>1.80187714585006</v>
      </c>
      <c r="O78" s="212">
        <f t="shared" si="4"/>
        <v>0.15015642882083832</v>
      </c>
      <c r="P78" s="40"/>
    </row>
    <row r="79" spans="1:16" ht="14.5" hidden="1" customHeight="1">
      <c r="A79" s="19"/>
      <c r="B79" s="19">
        <v>23873.199993753755</v>
      </c>
      <c r="C79" s="19">
        <v>22249.100247974009</v>
      </c>
      <c r="D79" s="19">
        <v>24739.202421557693</v>
      </c>
      <c r="E79" s="19">
        <v>23518.001738508996</v>
      </c>
      <c r="F79" s="19">
        <v>26059.078459756365</v>
      </c>
      <c r="G79" s="19">
        <v>25654.904789095315</v>
      </c>
      <c r="H79" s="752">
        <v>25705.052103835762</v>
      </c>
      <c r="I79" s="752">
        <v>25534.965722103068</v>
      </c>
      <c r="J79" s="752">
        <v>25605.01262890796</v>
      </c>
      <c r="K79" s="19">
        <v>25215.819815600236</v>
      </c>
      <c r="L79" s="19">
        <v>28947.552307593662</v>
      </c>
      <c r="M79" s="19">
        <v>34960.669108301343</v>
      </c>
      <c r="N79" s="19">
        <f t="shared" si="3"/>
        <v>312062.55933698814</v>
      </c>
      <c r="O79" s="212">
        <f t="shared" si="4"/>
        <v>26005.213278082345</v>
      </c>
      <c r="P79" s="40"/>
    </row>
    <row r="80" spans="1:16" ht="14.5" hidden="1" customHeight="1">
      <c r="A80" s="19"/>
      <c r="B80" s="19">
        <v>23873.199993753755</v>
      </c>
      <c r="C80" s="19">
        <v>23047.837827865686</v>
      </c>
      <c r="D80" s="19">
        <v>23605.430551060854</v>
      </c>
      <c r="E80" s="19">
        <v>23583.215033117351</v>
      </c>
      <c r="F80" s="19">
        <v>24071.872288375052</v>
      </c>
      <c r="G80" s="19">
        <v>24340.036263906899</v>
      </c>
      <c r="H80" s="752">
        <v>24537.772203335848</v>
      </c>
      <c r="I80" s="752">
        <v>24660.377963840016</v>
      </c>
      <c r="J80" s="752">
        <v>24766.864053356767</v>
      </c>
      <c r="K80" s="19">
        <v>24812.346499858555</v>
      </c>
      <c r="L80" s="19">
        <v>25159.010459788446</v>
      </c>
      <c r="M80" s="19">
        <v>25991.480098429267</v>
      </c>
      <c r="N80" s="19">
        <f t="shared" si="3"/>
        <v>292449.44323668844</v>
      </c>
      <c r="O80" s="212">
        <f t="shared" si="4"/>
        <v>24370.786936390705</v>
      </c>
      <c r="P80" s="40"/>
    </row>
    <row r="81" spans="1:18" hidden="1">
      <c r="A81" s="19"/>
      <c r="B81" s="19"/>
      <c r="C81" s="19"/>
      <c r="D81" s="19"/>
      <c r="E81" s="19"/>
      <c r="F81" s="19"/>
      <c r="G81" s="19"/>
      <c r="H81" s="752"/>
      <c r="I81" s="752"/>
      <c r="J81" s="752"/>
      <c r="K81" s="19"/>
      <c r="L81" s="19"/>
      <c r="M81" s="19"/>
      <c r="N81" s="19">
        <v>0</v>
      </c>
      <c r="O81" s="19">
        <v>0</v>
      </c>
      <c r="P81" s="40"/>
    </row>
    <row r="82" spans="1:18" ht="14.5" hidden="1" customHeight="1">
      <c r="A82" s="19"/>
      <c r="B82" s="19">
        <v>0</v>
      </c>
      <c r="C82" s="19">
        <v>0</v>
      </c>
      <c r="D82" s="19">
        <v>0</v>
      </c>
      <c r="E82" s="19">
        <v>0</v>
      </c>
      <c r="F82" s="19">
        <v>0</v>
      </c>
      <c r="G82" s="19">
        <v>0</v>
      </c>
      <c r="H82" s="752">
        <v>0</v>
      </c>
      <c r="I82" s="752">
        <v>0</v>
      </c>
      <c r="J82" s="752">
        <v>0</v>
      </c>
      <c r="K82" s="19">
        <v>0</v>
      </c>
      <c r="L82" s="19">
        <v>0</v>
      </c>
      <c r="M82" s="19">
        <v>0</v>
      </c>
      <c r="N82" s="19">
        <v>0</v>
      </c>
      <c r="O82" s="19">
        <v>0</v>
      </c>
      <c r="P82" s="40"/>
    </row>
    <row r="83" spans="1:18" ht="14.5" hidden="1" customHeight="1">
      <c r="A83" s="19"/>
      <c r="B83" s="19">
        <v>16893.498452012383</v>
      </c>
      <c r="C83" s="19">
        <v>16893.498452012383</v>
      </c>
      <c r="D83" s="19">
        <v>13643.962848297213</v>
      </c>
      <c r="E83" s="19">
        <v>5572.7554179566559</v>
      </c>
      <c r="F83" s="19">
        <v>24323.839009287927</v>
      </c>
      <c r="G83" s="19">
        <v>16120.743034055728</v>
      </c>
      <c r="H83" s="752">
        <v>12642.724458204335</v>
      </c>
      <c r="I83" s="752">
        <v>19453.86996904025</v>
      </c>
      <c r="J83" s="752">
        <v>15743.034055727554</v>
      </c>
      <c r="K83" s="19">
        <v>13003.095975232198</v>
      </c>
      <c r="L83" s="19">
        <v>9823.5294117647063</v>
      </c>
      <c r="M83" s="19">
        <v>7346.7492260061917</v>
      </c>
      <c r="N83" s="19">
        <v>171461.30030959751</v>
      </c>
      <c r="O83" s="19">
        <v>14288.44169246646</v>
      </c>
      <c r="P83" s="40"/>
    </row>
    <row r="84" spans="1:18" ht="14.5" hidden="1" customHeight="1">
      <c r="A84" s="19"/>
      <c r="B84" s="19">
        <v>0</v>
      </c>
      <c r="C84" s="19">
        <v>0</v>
      </c>
      <c r="D84" s="19">
        <v>0</v>
      </c>
      <c r="E84" s="19">
        <v>0</v>
      </c>
      <c r="F84" s="19">
        <v>0</v>
      </c>
      <c r="G84" s="19">
        <v>0</v>
      </c>
      <c r="H84" s="752">
        <v>0</v>
      </c>
      <c r="I84" s="752">
        <v>0</v>
      </c>
      <c r="J84" s="752">
        <v>0</v>
      </c>
      <c r="K84" s="19">
        <v>0</v>
      </c>
      <c r="L84" s="19">
        <v>0</v>
      </c>
      <c r="M84" s="19">
        <v>0</v>
      </c>
      <c r="N84" s="19">
        <v>0</v>
      </c>
      <c r="O84" s="19">
        <v>0</v>
      </c>
      <c r="P84" s="40"/>
    </row>
    <row r="85" spans="1:18" ht="14.5" hidden="1" customHeight="1">
      <c r="A85" s="19"/>
      <c r="B85" s="19">
        <v>65263.429111895843</v>
      </c>
      <c r="C85" s="19">
        <v>78177.464785505581</v>
      </c>
      <c r="D85" s="19">
        <v>67978.785425914961</v>
      </c>
      <c r="E85" s="19">
        <v>74641.56265039237</v>
      </c>
      <c r="F85" s="19">
        <v>69480.358215664528</v>
      </c>
      <c r="G85" s="19">
        <v>95659.6961947292</v>
      </c>
      <c r="H85" s="752">
        <v>96263.337810186495</v>
      </c>
      <c r="I85" s="752">
        <v>115085.33090861472</v>
      </c>
      <c r="J85" s="752">
        <v>68555.34298532395</v>
      </c>
      <c r="K85" s="19">
        <v>123024.67849580807</v>
      </c>
      <c r="L85" s="19">
        <v>484257.09593024204</v>
      </c>
      <c r="M85" s="19">
        <v>80258.827097842193</v>
      </c>
      <c r="N85" s="19">
        <v>1418645.9096121199</v>
      </c>
      <c r="O85" s="19">
        <v>118220.49246767665</v>
      </c>
      <c r="P85" s="40"/>
    </row>
    <row r="86" spans="1:18" ht="14.5" hidden="1" customHeight="1">
      <c r="A86" s="19"/>
      <c r="B86" s="19">
        <v>0</v>
      </c>
      <c r="C86" s="19">
        <v>0</v>
      </c>
      <c r="D86" s="19">
        <v>0</v>
      </c>
      <c r="E86" s="19">
        <v>0</v>
      </c>
      <c r="F86" s="19">
        <v>0</v>
      </c>
      <c r="G86" s="19">
        <v>0</v>
      </c>
      <c r="H86" s="752">
        <v>0</v>
      </c>
      <c r="I86" s="752">
        <v>0</v>
      </c>
      <c r="J86" s="752">
        <v>0</v>
      </c>
      <c r="K86" s="19">
        <v>0</v>
      </c>
      <c r="L86" s="19">
        <v>0</v>
      </c>
      <c r="M86" s="19">
        <v>0</v>
      </c>
      <c r="N86" s="19">
        <v>0</v>
      </c>
      <c r="O86" s="19">
        <v>0</v>
      </c>
      <c r="P86" s="40"/>
    </row>
    <row r="87" spans="1:18" ht="14.5" hidden="1" customHeight="1">
      <c r="A87" s="19"/>
      <c r="B87" s="19">
        <v>0</v>
      </c>
      <c r="C87" s="19">
        <v>0</v>
      </c>
      <c r="D87" s="19">
        <v>0</v>
      </c>
      <c r="E87" s="19">
        <v>0</v>
      </c>
      <c r="F87" s="19">
        <v>0</v>
      </c>
      <c r="G87" s="19">
        <v>0</v>
      </c>
      <c r="H87" s="752">
        <v>0</v>
      </c>
      <c r="I87" s="752">
        <v>0</v>
      </c>
      <c r="J87" s="752">
        <v>0</v>
      </c>
      <c r="K87" s="19">
        <v>0</v>
      </c>
      <c r="L87" s="19">
        <v>0</v>
      </c>
      <c r="M87" s="19">
        <v>0</v>
      </c>
      <c r="N87" s="19">
        <v>0</v>
      </c>
      <c r="O87" s="19">
        <v>0</v>
      </c>
      <c r="P87" s="40"/>
    </row>
    <row r="88" spans="1:18" ht="14.5" hidden="1" customHeight="1">
      <c r="A88" s="19"/>
      <c r="B88" s="19">
        <v>0</v>
      </c>
      <c r="C88" s="19">
        <v>0</v>
      </c>
      <c r="D88" s="19">
        <v>0</v>
      </c>
      <c r="E88" s="19">
        <v>0</v>
      </c>
      <c r="F88" s="19">
        <v>0</v>
      </c>
      <c r="G88" s="19">
        <v>0</v>
      </c>
      <c r="H88" s="752">
        <v>0</v>
      </c>
      <c r="I88" s="752">
        <v>0</v>
      </c>
      <c r="J88" s="752">
        <v>0</v>
      </c>
      <c r="K88" s="19">
        <v>0</v>
      </c>
      <c r="L88" s="19">
        <v>0</v>
      </c>
      <c r="M88" s="19">
        <v>0</v>
      </c>
      <c r="N88" s="19">
        <v>0</v>
      </c>
      <c r="O88" s="19">
        <v>0</v>
      </c>
      <c r="P88" s="40"/>
    </row>
    <row r="89" spans="1:18" ht="14.5" hidden="1" customHeight="1">
      <c r="A89" s="19"/>
      <c r="B89" s="19">
        <v>881861.30726629519</v>
      </c>
      <c r="C89" s="19">
        <v>884885.74550400837</v>
      </c>
      <c r="D89" s="19">
        <v>822448.93274140917</v>
      </c>
      <c r="E89" s="19">
        <v>840464.12569861871</v>
      </c>
      <c r="F89" s="19">
        <v>805227.85191445297</v>
      </c>
      <c r="G89" s="19">
        <v>836670.86109099083</v>
      </c>
      <c r="H89" s="752">
        <v>806210.69980532571</v>
      </c>
      <c r="I89" s="752">
        <v>1331136.7708076742</v>
      </c>
      <c r="J89" s="752">
        <v>499518.21547716996</v>
      </c>
      <c r="K89" s="19">
        <v>1209297.3151954652</v>
      </c>
      <c r="L89" s="19">
        <v>292957.24896172085</v>
      </c>
      <c r="M89" s="19">
        <v>862796.20674967056</v>
      </c>
      <c r="N89" s="19">
        <v>10073475.281212801</v>
      </c>
      <c r="O89" s="19">
        <v>839456.27343440009</v>
      </c>
      <c r="P89" s="40"/>
    </row>
    <row r="90" spans="1:18">
      <c r="A90" s="19" t="s">
        <v>16</v>
      </c>
      <c r="B90" s="1010">
        <v>1518410.0261645445</v>
      </c>
      <c r="C90" s="1010">
        <v>1270519.7081872937</v>
      </c>
      <c r="D90" s="1010">
        <v>1070367.6121311053</v>
      </c>
      <c r="E90" s="1010">
        <v>1503729.5860971897</v>
      </c>
      <c r="F90" s="1010">
        <v>1172241.6099783394</v>
      </c>
      <c r="G90" s="1010">
        <v>1069542.560646872</v>
      </c>
      <c r="H90" s="1010">
        <v>1159497.9288042556</v>
      </c>
      <c r="I90" s="1010">
        <v>1031857.8390389218</v>
      </c>
      <c r="J90" s="1010">
        <v>1045049.7092607755</v>
      </c>
      <c r="K90" s="1010">
        <v>1046607.0945533157</v>
      </c>
      <c r="L90" s="1010">
        <v>999863.75552768027</v>
      </c>
      <c r="M90" s="1010">
        <v>921180.84647538199</v>
      </c>
      <c r="N90" s="752">
        <f>SUM(B90:M90)</f>
        <v>13808868.276865674</v>
      </c>
      <c r="O90" s="753">
        <f t="shared" ref="O90" si="5">N90/12</f>
        <v>1150739.0230721396</v>
      </c>
      <c r="P90" s="922">
        <f t="shared" ref="P90" si="6">O90/30</f>
        <v>38357.967435737984</v>
      </c>
    </row>
    <row r="91" spans="1:18" ht="14.5" hidden="1" customHeight="1">
      <c r="A91" s="19"/>
      <c r="B91" s="19"/>
      <c r="C91" s="19"/>
      <c r="D91" s="19"/>
      <c r="E91" s="19"/>
      <c r="F91" s="19"/>
      <c r="G91" s="19"/>
      <c r="H91" s="752"/>
      <c r="I91" s="752"/>
      <c r="J91" s="752"/>
      <c r="K91" s="19"/>
      <c r="L91" s="19"/>
      <c r="M91" s="19"/>
      <c r="N91" s="19">
        <v>0</v>
      </c>
      <c r="O91" s="19">
        <v>0</v>
      </c>
      <c r="P91" s="40"/>
    </row>
    <row r="92" spans="1:18" ht="14.5" hidden="1" customHeight="1">
      <c r="A92" s="19"/>
      <c r="B92" s="19">
        <v>854696.38840452628</v>
      </c>
      <c r="C92" s="19">
        <v>883186.26801801042</v>
      </c>
      <c r="D92" s="19">
        <v>854696.38840452628</v>
      </c>
      <c r="E92" s="19">
        <v>883186.26801801042</v>
      </c>
      <c r="F92" s="19">
        <v>854696.38840452628</v>
      </c>
      <c r="G92" s="19">
        <v>883186.26801801042</v>
      </c>
      <c r="H92" s="752">
        <v>883186.26801801042</v>
      </c>
      <c r="I92" s="752">
        <v>854696.38840452628</v>
      </c>
      <c r="J92" s="752">
        <v>883186.26801801042</v>
      </c>
      <c r="K92" s="19">
        <v>883186.26801801042</v>
      </c>
      <c r="L92" s="19">
        <v>797716.62917755789</v>
      </c>
      <c r="M92" s="19">
        <v>883186.26801801042</v>
      </c>
      <c r="N92" s="19">
        <v>10398806.058921734</v>
      </c>
      <c r="O92" s="19">
        <v>866567.17157681112</v>
      </c>
      <c r="P92" s="40">
        <f>N92/12/30</f>
        <v>28885.572385893705</v>
      </c>
      <c r="Q92" s="41">
        <f>N14/12/30</f>
        <v>11780.876064781713</v>
      </c>
      <c r="R92" s="41">
        <f>SUM(P92:Q92)</f>
        <v>40666.448450675416</v>
      </c>
    </row>
    <row r="93" spans="1:18" ht="14.5" hidden="1" customHeight="1">
      <c r="A93" s="19"/>
      <c r="B93" s="19">
        <v>-109321.84642567718</v>
      </c>
      <c r="C93" s="19">
        <v>-96770.440723515931</v>
      </c>
      <c r="D93" s="19">
        <v>-49375.292611095123</v>
      </c>
      <c r="E93" s="19">
        <v>-37492.175748957321</v>
      </c>
      <c r="F93" s="19">
        <v>-44335.660734879086</v>
      </c>
      <c r="G93" s="19">
        <v>-65265.032301765285</v>
      </c>
      <c r="H93" s="752">
        <v>-31930.494055706076</v>
      </c>
      <c r="I93" s="752">
        <v>-610979.58328080294</v>
      </c>
      <c r="J93" s="752">
        <v>299369.67549978895</v>
      </c>
      <c r="K93" s="19">
        <v>-462138.82164849516</v>
      </c>
      <c r="L93" s="19">
        <v>10678.754873830243</v>
      </c>
      <c r="M93" s="19">
        <v>-67215.515055508469</v>
      </c>
      <c r="N93" s="19">
        <v>-1264776.4322127867</v>
      </c>
      <c r="O93" s="19">
        <v>-105398.03601773223</v>
      </c>
      <c r="P93" s="40"/>
      <c r="R93" s="41">
        <f>R92/519</f>
        <v>78.35539200515494</v>
      </c>
    </row>
    <row r="94" spans="1:18" ht="14.5" hidden="1" customHeight="1">
      <c r="A94" s="19"/>
      <c r="B94" s="19">
        <v>-0.12790722870579788</v>
      </c>
      <c r="C94" s="19">
        <v>-0.10956968447967597</v>
      </c>
      <c r="D94" s="19">
        <v>-5.7769394232804319E-2</v>
      </c>
      <c r="E94" s="19">
        <v>-4.245104017875509E-2</v>
      </c>
      <c r="F94" s="19">
        <v>-5.1872994125599481E-2</v>
      </c>
      <c r="G94" s="19">
        <v>-7.3897245309564027E-2</v>
      </c>
      <c r="H94" s="752">
        <v>-3.6153748322380996E-2</v>
      </c>
      <c r="I94" s="752">
        <v>-0.71484984793410333</v>
      </c>
      <c r="J94" s="752">
        <v>0.3389655006430467</v>
      </c>
      <c r="K94" s="19">
        <v>-0.52326314208394253</v>
      </c>
      <c r="L94" s="19">
        <v>1.3386651955394221E-2</v>
      </c>
      <c r="M94" s="19">
        <v>-7.6105706677651569E-2</v>
      </c>
      <c r="N94" s="19">
        <v>-0.12162708151746539</v>
      </c>
      <c r="O94" s="19">
        <v>-0.1216270815174654</v>
      </c>
      <c r="P94" s="40"/>
    </row>
    <row r="95" spans="1:18" hidden="1">
      <c r="A95" s="19"/>
      <c r="B95" s="19"/>
      <c r="C95" s="19"/>
      <c r="D95" s="19"/>
      <c r="E95" s="19"/>
      <c r="F95" s="19"/>
      <c r="G95" s="19"/>
      <c r="H95" s="752"/>
      <c r="I95" s="752"/>
      <c r="J95" s="752"/>
      <c r="K95" s="19"/>
      <c r="L95" s="19"/>
      <c r="M95" s="19"/>
      <c r="N95" s="19"/>
      <c r="O95" s="19"/>
      <c r="P95" s="40"/>
    </row>
    <row r="96" spans="1:18" hidden="1">
      <c r="A96" s="19"/>
      <c r="B96" s="19"/>
      <c r="C96" s="19"/>
      <c r="D96" s="19"/>
      <c r="E96" s="19"/>
      <c r="F96" s="19"/>
      <c r="G96" s="19"/>
      <c r="H96" s="752"/>
      <c r="I96" s="752"/>
      <c r="J96" s="752"/>
      <c r="K96" s="19"/>
      <c r="L96" s="19"/>
      <c r="M96" s="19"/>
      <c r="N96" s="19"/>
      <c r="O96" s="19"/>
      <c r="P96" s="40"/>
    </row>
    <row r="97" spans="1:16" ht="14.5" hidden="1" customHeight="1">
      <c r="A97" s="19"/>
      <c r="B97" s="19">
        <v>0</v>
      </c>
      <c r="C97" s="19">
        <v>0</v>
      </c>
      <c r="D97" s="19">
        <v>0</v>
      </c>
      <c r="E97" s="19">
        <v>0</v>
      </c>
      <c r="F97" s="19">
        <v>0</v>
      </c>
      <c r="G97" s="19">
        <v>0</v>
      </c>
      <c r="H97" s="752">
        <v>0</v>
      </c>
      <c r="I97" s="752">
        <v>0</v>
      </c>
      <c r="J97" s="752">
        <v>0</v>
      </c>
      <c r="K97" s="19">
        <v>0</v>
      </c>
      <c r="L97" s="19">
        <v>0</v>
      </c>
      <c r="M97" s="19">
        <v>0</v>
      </c>
      <c r="N97" s="19">
        <v>0</v>
      </c>
      <c r="O97" s="19">
        <v>0</v>
      </c>
      <c r="P97" s="40"/>
    </row>
    <row r="98" spans="1:16" ht="14.5" hidden="1" customHeight="1">
      <c r="A98" s="19"/>
      <c r="B98" s="19">
        <v>16893.498452012383</v>
      </c>
      <c r="C98" s="19">
        <v>16893.498452012383</v>
      </c>
      <c r="D98" s="19">
        <v>7346.7492260061917</v>
      </c>
      <c r="E98" s="19">
        <v>13643.962848297213</v>
      </c>
      <c r="F98" s="19">
        <v>22549.845201238393</v>
      </c>
      <c r="G98" s="19">
        <v>7346.7492260061917</v>
      </c>
      <c r="H98" s="752">
        <v>25667.492260061917</v>
      </c>
      <c r="I98" s="752">
        <v>20073.065015479879</v>
      </c>
      <c r="J98" s="752">
        <v>2476.7801857585141</v>
      </c>
      <c r="K98" s="19">
        <v>23173.374613003096</v>
      </c>
      <c r="L98" s="19">
        <v>5572.7554179566559</v>
      </c>
      <c r="M98" s="19">
        <v>9823.5294117647063</v>
      </c>
      <c r="N98" s="19">
        <v>171461.30030959751</v>
      </c>
      <c r="O98" s="19">
        <v>14288.44169246646</v>
      </c>
      <c r="P98" s="40"/>
    </row>
    <row r="99" spans="1:16" ht="14.5" hidden="1" customHeight="1">
      <c r="A99" s="19"/>
      <c r="B99" s="19">
        <v>0</v>
      </c>
      <c r="C99" s="19">
        <v>0</v>
      </c>
      <c r="D99" s="19">
        <v>0</v>
      </c>
      <c r="E99" s="19">
        <v>0</v>
      </c>
      <c r="F99" s="19">
        <v>0</v>
      </c>
      <c r="G99" s="19">
        <v>0</v>
      </c>
      <c r="H99" s="752">
        <v>0</v>
      </c>
      <c r="I99" s="752">
        <v>0</v>
      </c>
      <c r="J99" s="752">
        <v>0</v>
      </c>
      <c r="K99" s="19">
        <v>0</v>
      </c>
      <c r="L99" s="19">
        <v>0</v>
      </c>
      <c r="M99" s="19">
        <v>0</v>
      </c>
      <c r="N99" s="19">
        <v>0</v>
      </c>
      <c r="O99" s="19">
        <v>0</v>
      </c>
      <c r="P99" s="40"/>
    </row>
    <row r="100" spans="1:16" ht="14.5" hidden="1" customHeight="1">
      <c r="A100" s="19"/>
      <c r="B100" s="19">
        <v>77926.259454891522</v>
      </c>
      <c r="C100" s="19">
        <v>65036.467850521032</v>
      </c>
      <c r="D100" s="19">
        <v>72971.191300011968</v>
      </c>
      <c r="E100" s="19">
        <v>71477.941623560575</v>
      </c>
      <c r="F100" s="19">
        <v>81053.306358079426</v>
      </c>
      <c r="G100" s="19">
        <v>69966.705323250964</v>
      </c>
      <c r="H100" s="752">
        <v>93790.167529772894</v>
      </c>
      <c r="I100" s="752">
        <v>153485.98566803033</v>
      </c>
      <c r="J100" s="752">
        <v>34708.996871192488</v>
      </c>
      <c r="K100" s="19">
        <v>85975.336726690512</v>
      </c>
      <c r="L100" s="19">
        <v>109827.29134766701</v>
      </c>
      <c r="M100" s="19">
        <v>502521.35251791478</v>
      </c>
      <c r="N100" s="19">
        <v>1418741.0025715835</v>
      </c>
      <c r="O100" s="19">
        <v>118228.41688096529</v>
      </c>
      <c r="P100" s="40"/>
    </row>
    <row r="101" spans="1:16" ht="14.5" hidden="1" customHeight="1">
      <c r="A101" s="19"/>
      <c r="B101" s="19">
        <v>0</v>
      </c>
      <c r="C101" s="19">
        <v>0</v>
      </c>
      <c r="D101" s="19">
        <v>0</v>
      </c>
      <c r="E101" s="19">
        <v>0</v>
      </c>
      <c r="F101" s="19">
        <v>0</v>
      </c>
      <c r="G101" s="19">
        <v>0</v>
      </c>
      <c r="H101" s="752">
        <v>0</v>
      </c>
      <c r="I101" s="752">
        <v>0</v>
      </c>
      <c r="J101" s="752">
        <v>0</v>
      </c>
      <c r="K101" s="19">
        <v>0</v>
      </c>
      <c r="L101" s="19">
        <v>0</v>
      </c>
      <c r="M101" s="19">
        <v>0</v>
      </c>
      <c r="N101" s="19">
        <v>0</v>
      </c>
      <c r="O101" s="19">
        <v>0</v>
      </c>
      <c r="P101" s="40"/>
    </row>
    <row r="102" spans="1:16" ht="14.5" hidden="1" customHeight="1">
      <c r="A102" s="19"/>
      <c r="B102" s="19">
        <v>0</v>
      </c>
      <c r="C102" s="19">
        <v>0</v>
      </c>
      <c r="D102" s="19">
        <v>0</v>
      </c>
      <c r="E102" s="19">
        <v>0</v>
      </c>
      <c r="F102" s="19">
        <v>0</v>
      </c>
      <c r="G102" s="19">
        <v>0</v>
      </c>
      <c r="H102" s="752">
        <v>0</v>
      </c>
      <c r="I102" s="752">
        <v>0</v>
      </c>
      <c r="J102" s="752">
        <v>0</v>
      </c>
      <c r="K102" s="19">
        <v>0</v>
      </c>
      <c r="L102" s="19">
        <v>0</v>
      </c>
      <c r="M102" s="19">
        <v>0</v>
      </c>
      <c r="N102" s="19">
        <v>0</v>
      </c>
      <c r="O102" s="19">
        <v>0</v>
      </c>
      <c r="P102" s="40"/>
    </row>
    <row r="103" spans="1:16" ht="14.5" hidden="1" customHeight="1">
      <c r="A103" s="19"/>
      <c r="B103" s="19">
        <v>0</v>
      </c>
      <c r="C103" s="19">
        <v>0</v>
      </c>
      <c r="D103" s="19">
        <v>0</v>
      </c>
      <c r="E103" s="19">
        <v>0</v>
      </c>
      <c r="F103" s="19">
        <v>0</v>
      </c>
      <c r="G103" s="19">
        <v>0</v>
      </c>
      <c r="H103" s="752">
        <v>0</v>
      </c>
      <c r="I103" s="752">
        <v>0</v>
      </c>
      <c r="J103" s="752">
        <v>0</v>
      </c>
      <c r="K103" s="19">
        <v>0</v>
      </c>
      <c r="L103" s="19">
        <v>0</v>
      </c>
      <c r="M103" s="19">
        <v>0</v>
      </c>
      <c r="N103" s="19">
        <v>0</v>
      </c>
      <c r="O103" s="19">
        <v>0</v>
      </c>
      <c r="P103" s="40"/>
    </row>
    <row r="104" spans="1:16" ht="14.5" hidden="1" customHeight="1">
      <c r="A104" s="19"/>
      <c r="B104" s="19">
        <v>882421.0097834575</v>
      </c>
      <c r="C104" s="19">
        <v>882766.72408811422</v>
      </c>
      <c r="D104" s="19">
        <v>827637.59808661044</v>
      </c>
      <c r="E104" s="19">
        <v>840464.12569861871</v>
      </c>
      <c r="F104" s="19">
        <v>805227.85191445297</v>
      </c>
      <c r="G104" s="19">
        <v>828470.07400092564</v>
      </c>
      <c r="H104" s="752">
        <v>813601.72029477137</v>
      </c>
      <c r="I104" s="752">
        <v>816438.0910485998</v>
      </c>
      <c r="J104" s="752">
        <v>850590.73447541345</v>
      </c>
      <c r="K104" s="19">
        <v>817054.81637901522</v>
      </c>
      <c r="L104" s="19">
        <v>831124.69948218844</v>
      </c>
      <c r="M104" s="19">
        <v>865059.01848239673</v>
      </c>
      <c r="N104" s="19">
        <v>10060856.463734565</v>
      </c>
      <c r="O104" s="19">
        <v>838404.70531121374</v>
      </c>
      <c r="P104" s="40"/>
    </row>
    <row r="105" spans="1:16">
      <c r="A105" s="19" t="s">
        <v>251</v>
      </c>
      <c r="B105" s="1010">
        <v>1442558.3095265913</v>
      </c>
      <c r="C105" s="1010">
        <v>1246077.2401243302</v>
      </c>
      <c r="D105" s="1010">
        <v>1159707.0172842322</v>
      </c>
      <c r="E105" s="1010">
        <v>1249148.5202252499</v>
      </c>
      <c r="F105" s="1010">
        <v>1337464.3508931305</v>
      </c>
      <c r="G105" s="1010">
        <v>1140459.1733545342</v>
      </c>
      <c r="H105" s="1010">
        <v>1164411.0135394447</v>
      </c>
      <c r="I105" s="1010">
        <v>1032182.3004485194</v>
      </c>
      <c r="J105" s="1010">
        <v>1044370.11425747</v>
      </c>
      <c r="K105" s="1010">
        <v>1045506.4862854941</v>
      </c>
      <c r="L105" s="1010">
        <v>998580.62037813826</v>
      </c>
      <c r="M105" s="1010">
        <v>924243.00289712637</v>
      </c>
      <c r="N105" s="752">
        <f>SUM(B105:M105)</f>
        <v>13784708.149214264</v>
      </c>
      <c r="O105" s="753">
        <f t="shared" ref="O105" si="7">N105/12</f>
        <v>1148725.6791011887</v>
      </c>
      <c r="P105" s="922">
        <f t="shared" ref="P105" si="8">O105/30</f>
        <v>38290.855970039622</v>
      </c>
    </row>
    <row r="106" spans="1:16" ht="14.5" hidden="1" customHeight="1">
      <c r="A106" s="19"/>
      <c r="B106" s="19"/>
      <c r="C106" s="19"/>
      <c r="D106" s="19"/>
      <c r="E106" s="19"/>
      <c r="F106" s="19"/>
      <c r="G106" s="19"/>
      <c r="H106" s="752"/>
      <c r="I106" s="752"/>
      <c r="J106" s="752"/>
      <c r="K106" s="19"/>
      <c r="L106" s="19"/>
      <c r="M106" s="19"/>
      <c r="N106" s="19">
        <v>0</v>
      </c>
      <c r="O106" s="19">
        <v>0</v>
      </c>
      <c r="P106" s="40"/>
    </row>
    <row r="107" spans="1:16" ht="14.5" hidden="1" customHeight="1">
      <c r="A107" s="19"/>
      <c r="B107" s="19">
        <v>840000</v>
      </c>
      <c r="C107" s="19">
        <v>868000</v>
      </c>
      <c r="D107" s="19">
        <v>840000</v>
      </c>
      <c r="E107" s="19">
        <v>868000</v>
      </c>
      <c r="F107" s="19">
        <v>840000</v>
      </c>
      <c r="G107" s="19">
        <v>868000</v>
      </c>
      <c r="H107" s="752">
        <v>868000</v>
      </c>
      <c r="I107" s="752">
        <v>840000</v>
      </c>
      <c r="J107" s="752">
        <v>868000</v>
      </c>
      <c r="K107" s="19">
        <v>868000</v>
      </c>
      <c r="L107" s="19">
        <v>784000</v>
      </c>
      <c r="M107" s="19">
        <v>868000</v>
      </c>
      <c r="N107" s="19">
        <v>10220000</v>
      </c>
      <c r="O107" s="19">
        <v>851666.66666666663</v>
      </c>
      <c r="P107" s="40"/>
    </row>
    <row r="108" spans="1:16" ht="14.5" hidden="1" customHeight="1">
      <c r="A108" s="19"/>
      <c r="B108" s="19">
        <v>-137240.76769036136</v>
      </c>
      <c r="C108" s="19">
        <v>-96696.690390647622</v>
      </c>
      <c r="D108" s="19">
        <v>-67955.538612628588</v>
      </c>
      <c r="E108" s="19">
        <v>-57586.03017047653</v>
      </c>
      <c r="F108" s="19">
        <v>-68831.003473770805</v>
      </c>
      <c r="G108" s="19">
        <v>-37783.528550182818</v>
      </c>
      <c r="H108" s="752">
        <v>-65059.38008460612</v>
      </c>
      <c r="I108" s="752">
        <v>-149997.14173210994</v>
      </c>
      <c r="J108" s="752">
        <v>-19776.511532364413</v>
      </c>
      <c r="K108" s="19">
        <v>-58203.52771870885</v>
      </c>
      <c r="L108" s="19">
        <v>-162524.74624781206</v>
      </c>
      <c r="M108" s="19">
        <v>-509403.90041207615</v>
      </c>
      <c r="N108" s="19">
        <v>-1431058.7666157447</v>
      </c>
      <c r="O108" s="19">
        <v>-119254.89721797872</v>
      </c>
      <c r="P108" s="40"/>
    </row>
    <row r="109" spans="1:16" ht="14.5" hidden="1" customHeight="1">
      <c r="A109" s="19"/>
      <c r="B109" s="19">
        <v>-0.16338186629804924</v>
      </c>
      <c r="C109" s="19">
        <v>-0.11140171703991661</v>
      </c>
      <c r="D109" s="19">
        <v>-8.0899450729319741E-2</v>
      </c>
      <c r="E109" s="19">
        <v>-6.6343352730963742E-2</v>
      </c>
      <c r="F109" s="19">
        <v>-8.1941670802108096E-2</v>
      </c>
      <c r="G109" s="19">
        <v>-4.352941077210002E-2</v>
      </c>
      <c r="H109" s="752">
        <v>-7.4953202862449442E-2</v>
      </c>
      <c r="I109" s="752">
        <v>-0.17856802587155945</v>
      </c>
      <c r="J109" s="752">
        <v>-2.2783999461249323E-2</v>
      </c>
      <c r="K109" s="19">
        <v>-6.7054755436300517E-2</v>
      </c>
      <c r="L109" s="19">
        <v>-0.20730197225486233</v>
      </c>
      <c r="M109" s="19">
        <v>-0.58687085300930431</v>
      </c>
      <c r="N109" s="19">
        <v>-0.14002531962972062</v>
      </c>
      <c r="O109" s="19">
        <v>-0.14002531962972062</v>
      </c>
      <c r="P109" s="40"/>
    </row>
    <row r="110" spans="1:16" hidden="1">
      <c r="A110" s="19"/>
      <c r="B110" s="19"/>
      <c r="C110" s="19"/>
      <c r="D110" s="19"/>
      <c r="E110" s="19"/>
      <c r="F110" s="19"/>
      <c r="G110" s="19"/>
      <c r="H110" s="752"/>
      <c r="I110" s="752"/>
      <c r="J110" s="752"/>
      <c r="K110" s="19"/>
      <c r="L110" s="19"/>
      <c r="M110" s="19"/>
      <c r="N110" s="19">
        <v>0</v>
      </c>
      <c r="O110" s="19">
        <v>0</v>
      </c>
      <c r="P110" s="40"/>
    </row>
    <row r="111" spans="1:16" hidden="1">
      <c r="A111" s="19"/>
      <c r="B111" s="19"/>
      <c r="C111" s="19"/>
      <c r="D111" s="19"/>
      <c r="E111" s="19"/>
      <c r="F111" s="19"/>
      <c r="G111" s="19"/>
      <c r="H111" s="752"/>
      <c r="I111" s="752"/>
      <c r="J111" s="752"/>
      <c r="K111" s="19"/>
      <c r="L111" s="19"/>
      <c r="M111" s="19"/>
      <c r="N111" s="19">
        <v>0</v>
      </c>
      <c r="O111" s="19">
        <v>0</v>
      </c>
      <c r="P111" s="40"/>
    </row>
    <row r="112" spans="1:16" hidden="1">
      <c r="A112" s="19"/>
      <c r="B112" s="19"/>
      <c r="C112" s="19"/>
      <c r="D112" s="19"/>
      <c r="E112" s="19"/>
      <c r="F112" s="19"/>
      <c r="G112" s="19"/>
      <c r="H112" s="752"/>
      <c r="I112" s="752"/>
      <c r="J112" s="752"/>
      <c r="K112" s="19"/>
      <c r="L112" s="19"/>
      <c r="M112" s="19"/>
      <c r="N112" s="19">
        <v>0</v>
      </c>
      <c r="O112" s="19">
        <v>0</v>
      </c>
      <c r="P112" s="40"/>
    </row>
    <row r="113" spans="1:16" ht="14.5" hidden="1" customHeight="1">
      <c r="A113" s="19"/>
      <c r="B113" s="19">
        <v>0</v>
      </c>
      <c r="C113" s="19">
        <v>0</v>
      </c>
      <c r="D113" s="19">
        <v>0</v>
      </c>
      <c r="E113" s="19">
        <v>0</v>
      </c>
      <c r="F113" s="19">
        <v>0</v>
      </c>
      <c r="G113" s="19">
        <v>0</v>
      </c>
      <c r="H113" s="752">
        <v>0</v>
      </c>
      <c r="I113" s="752">
        <v>0</v>
      </c>
      <c r="J113" s="752">
        <v>0</v>
      </c>
      <c r="K113" s="19">
        <v>0</v>
      </c>
      <c r="L113" s="19">
        <v>0</v>
      </c>
      <c r="M113" s="19">
        <v>0</v>
      </c>
      <c r="N113" s="19">
        <v>0</v>
      </c>
      <c r="O113" s="19">
        <v>0</v>
      </c>
      <c r="P113" s="40"/>
    </row>
    <row r="114" spans="1:16" ht="14.5" hidden="1" customHeight="1">
      <c r="A114" s="19"/>
      <c r="B114" s="19">
        <v>322819.48981634609</v>
      </c>
      <c r="C114" s="19">
        <v>355362.50782332558</v>
      </c>
      <c r="D114" s="19">
        <v>326404.54158238071</v>
      </c>
      <c r="E114" s="19">
        <v>374069.60746440524</v>
      </c>
      <c r="F114" s="19">
        <v>355092.37181560526</v>
      </c>
      <c r="G114" s="19">
        <v>362565.90534939902</v>
      </c>
      <c r="H114" s="752">
        <v>354772.94384089642</v>
      </c>
      <c r="I114" s="752">
        <v>372536.01632227068</v>
      </c>
      <c r="J114" s="752">
        <v>365987.08910211292</v>
      </c>
      <c r="K114" s="19">
        <v>344747.51604311267</v>
      </c>
      <c r="L114" s="19">
        <v>347208.63197263982</v>
      </c>
      <c r="M114" s="19">
        <v>462469.11538318777</v>
      </c>
      <c r="N114" s="19">
        <v>4344035.7365156822</v>
      </c>
      <c r="O114" s="19">
        <v>362002.9780429735</v>
      </c>
      <c r="P114" s="40"/>
    </row>
    <row r="115" spans="1:16">
      <c r="A115" s="19" t="s">
        <v>147</v>
      </c>
      <c r="B115" s="1010">
        <v>772731.27404659346</v>
      </c>
      <c r="C115" s="1010">
        <v>674690.75761742878</v>
      </c>
      <c r="D115" s="1010">
        <v>607856.37953567854</v>
      </c>
      <c r="E115" s="1010">
        <v>697292.18303559953</v>
      </c>
      <c r="F115" s="1010">
        <v>657301.77643918747</v>
      </c>
      <c r="G115" s="1010">
        <v>634553.79035836656</v>
      </c>
      <c r="H115" s="1010">
        <v>615480.76562742144</v>
      </c>
      <c r="I115" s="1010">
        <v>549635.609338296</v>
      </c>
      <c r="J115" s="1010">
        <v>663525.88689586485</v>
      </c>
      <c r="K115" s="1010">
        <v>633577.83853506146</v>
      </c>
      <c r="L115" s="1010">
        <v>603487.23985240574</v>
      </c>
      <c r="M115" s="1010">
        <v>608598.74414246238</v>
      </c>
      <c r="N115" s="752">
        <f>SUM(B115:M115)</f>
        <v>7718732.2454243656</v>
      </c>
      <c r="O115" s="753">
        <f t="shared" ref="O115" si="9">N115/12</f>
        <v>643227.6871186971</v>
      </c>
      <c r="P115" s="922">
        <f t="shared" ref="P115" si="10">O115/30</f>
        <v>21440.922903956569</v>
      </c>
    </row>
    <row r="116" spans="1:16" ht="14.5" hidden="1" customHeight="1">
      <c r="A116" s="19"/>
      <c r="B116" s="19">
        <v>716519.37902193982</v>
      </c>
      <c r="C116" s="19">
        <v>740403.35832267115</v>
      </c>
      <c r="D116" s="19">
        <v>716519.37902193982</v>
      </c>
      <c r="E116" s="19">
        <v>740403.35832267115</v>
      </c>
      <c r="F116" s="19">
        <v>716519.37902193982</v>
      </c>
      <c r="G116" s="19">
        <v>740403.35832267115</v>
      </c>
      <c r="H116" s="752">
        <v>740403.35832267115</v>
      </c>
      <c r="I116" s="752">
        <v>716519.37902193982</v>
      </c>
      <c r="J116" s="752">
        <v>740403.35832267115</v>
      </c>
      <c r="K116" s="19">
        <v>740403.35832267115</v>
      </c>
      <c r="L116" s="19">
        <v>668751.42042047717</v>
      </c>
      <c r="M116" s="19">
        <v>740403.35832267115</v>
      </c>
      <c r="N116" s="19">
        <v>8717652.4447669331</v>
      </c>
      <c r="O116" s="19">
        <v>726471.03706391109</v>
      </c>
      <c r="P116" s="40"/>
    </row>
    <row r="117" spans="1:16" ht="14.5" hidden="1" customHeight="1">
      <c r="A117" s="19"/>
      <c r="B117" s="19">
        <v>393699.88920559373</v>
      </c>
      <c r="C117" s="19">
        <v>385040.85049934557</v>
      </c>
      <c r="D117" s="19">
        <v>390114.83743955911</v>
      </c>
      <c r="E117" s="19">
        <v>366333.75085826591</v>
      </c>
      <c r="F117" s="19">
        <v>361427.00720633456</v>
      </c>
      <c r="G117" s="19">
        <v>377837.45297327213</v>
      </c>
      <c r="H117" s="752">
        <v>385630.41448177473</v>
      </c>
      <c r="I117" s="752">
        <v>343983.36269966915</v>
      </c>
      <c r="J117" s="752">
        <v>374416.26922055823</v>
      </c>
      <c r="K117" s="19">
        <v>395655.84227955848</v>
      </c>
      <c r="L117" s="19">
        <v>321542.78844783735</v>
      </c>
      <c r="M117" s="19">
        <v>277934.24293948337</v>
      </c>
      <c r="N117" s="19">
        <v>4373616.7082512509</v>
      </c>
      <c r="O117" s="19">
        <v>364468.0590209376</v>
      </c>
      <c r="P117" s="40"/>
    </row>
    <row r="118" spans="1:16" ht="14.5" hidden="1" customHeight="1">
      <c r="A118" s="19"/>
      <c r="B118" s="19"/>
      <c r="C118" s="19"/>
      <c r="D118" s="19"/>
      <c r="E118" s="19"/>
      <c r="F118" s="19"/>
      <c r="G118" s="19"/>
      <c r="H118" s="752"/>
      <c r="I118" s="752"/>
      <c r="J118" s="752"/>
      <c r="K118" s="19"/>
      <c r="L118" s="19"/>
      <c r="M118" s="19"/>
      <c r="N118" s="19">
        <v>0</v>
      </c>
      <c r="O118" s="19">
        <v>0</v>
      </c>
      <c r="P118" s="40"/>
    </row>
    <row r="119" spans="1:16" ht="14.5" hidden="1" customHeight="1">
      <c r="A119" s="19"/>
      <c r="B119" s="19">
        <v>0.54946160666721988</v>
      </c>
      <c r="C119" s="19">
        <v>0.52004200976563242</v>
      </c>
      <c r="D119" s="19">
        <v>0.54445818056180417</v>
      </c>
      <c r="E119" s="19">
        <v>0.49477591739746807</v>
      </c>
      <c r="F119" s="19">
        <v>0.50442042153791855</v>
      </c>
      <c r="G119" s="19">
        <v>0.51031299186599433</v>
      </c>
      <c r="H119" s="752">
        <v>0.52083828381787978</v>
      </c>
      <c r="I119" s="752">
        <v>0.48007544913748434</v>
      </c>
      <c r="J119" s="752">
        <v>0.50569228922566001</v>
      </c>
      <c r="K119" s="19">
        <v>0.53437877858345673</v>
      </c>
      <c r="L119" s="19">
        <v>0.48081062503862415</v>
      </c>
      <c r="M119" s="19">
        <v>0.37538220189752081</v>
      </c>
      <c r="N119" s="19">
        <v>0.50169661339007188</v>
      </c>
      <c r="O119" s="19">
        <v>0.50169661339007188</v>
      </c>
      <c r="P119" s="40"/>
    </row>
    <row r="120" spans="1:16" hidden="1">
      <c r="A120" s="19"/>
      <c r="B120" s="19"/>
      <c r="C120" s="19"/>
      <c r="D120" s="19"/>
      <c r="E120" s="19"/>
      <c r="F120" s="19"/>
      <c r="G120" s="19"/>
      <c r="H120" s="752"/>
      <c r="I120" s="752"/>
      <c r="J120" s="752"/>
      <c r="K120" s="19"/>
      <c r="L120" s="19"/>
      <c r="M120" s="19"/>
      <c r="N120" s="19">
        <v>0</v>
      </c>
      <c r="O120" s="19">
        <v>0</v>
      </c>
      <c r="P120" s="40"/>
    </row>
    <row r="121" spans="1:16" hidden="1">
      <c r="A121" s="19"/>
      <c r="B121" s="19"/>
      <c r="C121" s="19"/>
      <c r="D121" s="19"/>
      <c r="E121" s="19"/>
      <c r="F121" s="19"/>
      <c r="G121" s="19"/>
      <c r="H121" s="752"/>
      <c r="I121" s="752"/>
      <c r="J121" s="752"/>
      <c r="K121" s="19"/>
      <c r="L121" s="19"/>
      <c r="M121" s="19"/>
      <c r="N121" s="19">
        <v>0</v>
      </c>
      <c r="O121" s="19">
        <v>0</v>
      </c>
      <c r="P121" s="40"/>
    </row>
    <row r="122" spans="1:16" ht="14.5" hidden="1" customHeight="1">
      <c r="A122" s="19"/>
      <c r="B122" s="19">
        <v>0</v>
      </c>
      <c r="C122" s="19">
        <v>0</v>
      </c>
      <c r="D122" s="19">
        <v>0</v>
      </c>
      <c r="E122" s="19">
        <v>0</v>
      </c>
      <c r="F122" s="19">
        <v>0</v>
      </c>
      <c r="G122" s="19">
        <v>0</v>
      </c>
      <c r="H122" s="752">
        <v>0</v>
      </c>
      <c r="I122" s="752">
        <v>0</v>
      </c>
      <c r="J122" s="752">
        <v>0</v>
      </c>
      <c r="K122" s="19">
        <v>0</v>
      </c>
      <c r="L122" s="19">
        <v>0</v>
      </c>
      <c r="M122" s="19">
        <v>0</v>
      </c>
      <c r="N122" s="19">
        <v>0</v>
      </c>
      <c r="O122" s="19">
        <v>0</v>
      </c>
      <c r="P122" s="40"/>
    </row>
    <row r="123" spans="1:16" ht="14.5" hidden="1" customHeight="1">
      <c r="A123" s="19"/>
      <c r="B123" s="19">
        <v>318213.49948613712</v>
      </c>
      <c r="C123" s="19">
        <v>263201.54280652991</v>
      </c>
      <c r="D123" s="19">
        <v>267063.88313040661</v>
      </c>
      <c r="E123" s="19">
        <v>202662.65401686094</v>
      </c>
      <c r="F123" s="19">
        <v>209387.56745251236</v>
      </c>
      <c r="G123" s="19">
        <v>206296.92888194285</v>
      </c>
      <c r="H123" s="752">
        <v>220312.2142632211</v>
      </c>
      <c r="I123" s="752">
        <v>194933.2512063958</v>
      </c>
      <c r="J123" s="752">
        <v>241234.92591584366</v>
      </c>
      <c r="K123" s="19">
        <v>280836.49272198469</v>
      </c>
      <c r="L123" s="19">
        <v>248477.94718810436</v>
      </c>
      <c r="M123" s="19">
        <v>310834.90794575016</v>
      </c>
      <c r="N123" s="19">
        <v>2963455.8150156899</v>
      </c>
      <c r="O123" s="19">
        <v>246954.65125130748</v>
      </c>
      <c r="P123" s="40"/>
    </row>
    <row r="124" spans="1:16">
      <c r="A124" s="19" t="s">
        <v>252</v>
      </c>
      <c r="B124" s="1010">
        <v>96546.648183317797</v>
      </c>
      <c r="C124" s="1010">
        <v>133921.5313615741</v>
      </c>
      <c r="D124" s="1010">
        <v>145860.5129719892</v>
      </c>
      <c r="E124" s="1010">
        <v>105972.23413770075</v>
      </c>
      <c r="F124" s="1010">
        <v>150546.85195859807</v>
      </c>
      <c r="G124" s="1010">
        <v>135954.37787847407</v>
      </c>
      <c r="H124" s="1010">
        <v>147220.98853057422</v>
      </c>
      <c r="I124" s="1010">
        <v>212414.35108799746</v>
      </c>
      <c r="J124" s="1010">
        <v>222519.97078614187</v>
      </c>
      <c r="K124" s="1010">
        <v>119372.28563599853</v>
      </c>
      <c r="L124" s="1010">
        <v>156342.52910495715</v>
      </c>
      <c r="M124" s="1010">
        <v>110249.8254101051</v>
      </c>
      <c r="N124" s="752">
        <f>SUM(B124:M124)</f>
        <v>1736922.1070474284</v>
      </c>
      <c r="O124" s="753">
        <f t="shared" ref="O124" si="11">N124/12</f>
        <v>144743.50892061903</v>
      </c>
      <c r="P124" s="922">
        <f t="shared" ref="P124" si="12">O124/30</f>
        <v>4824.7836306873014</v>
      </c>
    </row>
    <row r="125" spans="1:16" ht="14.5" hidden="1" customHeight="1">
      <c r="A125" s="19"/>
      <c r="B125" s="19"/>
      <c r="C125" s="19"/>
      <c r="D125" s="19"/>
      <c r="E125" s="19"/>
      <c r="F125" s="19"/>
      <c r="G125" s="19"/>
      <c r="H125" s="752"/>
      <c r="I125" s="752"/>
      <c r="J125" s="752"/>
      <c r="K125" s="19"/>
      <c r="L125" s="19"/>
      <c r="M125" s="19"/>
      <c r="N125" s="19"/>
      <c r="O125" s="19"/>
      <c r="P125" s="40"/>
    </row>
    <row r="126" spans="1:16" ht="14.5" hidden="1" customHeight="1">
      <c r="A126" s="19"/>
      <c r="B126" s="19">
        <v>195475.81258232368</v>
      </c>
      <c r="C126" s="19">
        <v>201991.67300173448</v>
      </c>
      <c r="D126" s="19">
        <v>195475.81258232368</v>
      </c>
      <c r="E126" s="19">
        <v>201991.67300173448</v>
      </c>
      <c r="F126" s="19">
        <v>195475.81258232368</v>
      </c>
      <c r="G126" s="19">
        <v>201991.67300173448</v>
      </c>
      <c r="H126" s="752">
        <v>201991.67300173448</v>
      </c>
      <c r="I126" s="752">
        <v>195475.81258232368</v>
      </c>
      <c r="J126" s="752">
        <v>201991.67300173448</v>
      </c>
      <c r="K126" s="19">
        <v>201991.67300173448</v>
      </c>
      <c r="L126" s="19">
        <v>182444.0917435021</v>
      </c>
      <c r="M126" s="19">
        <v>201991.67300173448</v>
      </c>
      <c r="N126" s="19">
        <v>2378289.0530849388</v>
      </c>
      <c r="O126" s="19">
        <v>198190.75442374489</v>
      </c>
      <c r="P126" s="40"/>
    </row>
    <row r="127" spans="1:16" ht="14.5" hidden="1" customHeight="1">
      <c r="A127" s="19"/>
      <c r="B127" s="19">
        <v>0</v>
      </c>
      <c r="C127" s="19">
        <v>0</v>
      </c>
      <c r="D127" s="19">
        <v>0</v>
      </c>
      <c r="E127" s="19">
        <v>0</v>
      </c>
      <c r="F127" s="19">
        <v>0</v>
      </c>
      <c r="G127" s="19">
        <v>0</v>
      </c>
      <c r="H127" s="752">
        <v>0</v>
      </c>
      <c r="I127" s="752">
        <v>0</v>
      </c>
      <c r="J127" s="752">
        <v>0</v>
      </c>
      <c r="K127" s="19">
        <v>0</v>
      </c>
      <c r="L127" s="19">
        <v>0</v>
      </c>
      <c r="M127" s="19">
        <v>0</v>
      </c>
      <c r="N127" s="19">
        <v>0</v>
      </c>
      <c r="O127" s="19">
        <v>0</v>
      </c>
      <c r="P127" s="40"/>
    </row>
    <row r="128" spans="1:16" ht="14.5" hidden="1" customHeight="1">
      <c r="A128" s="19"/>
      <c r="B128" s="19">
        <v>-125737.68690381345</v>
      </c>
      <c r="C128" s="19">
        <v>-64309.869804795424</v>
      </c>
      <c r="D128" s="19">
        <v>-74588.070548082935</v>
      </c>
      <c r="E128" s="19">
        <v>-3770.9810151264537</v>
      </c>
      <c r="F128" s="19">
        <v>-16911.754870188684</v>
      </c>
      <c r="G128" s="19">
        <v>-7405.2558802083659</v>
      </c>
      <c r="H128" s="752">
        <v>-21420.541261486622</v>
      </c>
      <c r="I128" s="752">
        <v>-2457.4386240721215</v>
      </c>
      <c r="J128" s="752">
        <v>-42343.25291410918</v>
      </c>
      <c r="K128" s="19">
        <v>-81944.819720250205</v>
      </c>
      <c r="L128" s="19">
        <v>-68833.855444602261</v>
      </c>
      <c r="M128" s="19">
        <v>-111943.23494401568</v>
      </c>
      <c r="N128" s="19">
        <v>-585166.76193075115</v>
      </c>
      <c r="O128" s="19">
        <v>-48763.896827562596</v>
      </c>
      <c r="P128" s="40"/>
    </row>
    <row r="129" spans="1:16" ht="14.5" hidden="1" customHeight="1">
      <c r="A129" s="19"/>
      <c r="B129" s="19">
        <v>0</v>
      </c>
      <c r="C129" s="19">
        <v>0</v>
      </c>
      <c r="D129" s="19">
        <v>0</v>
      </c>
      <c r="E129" s="19"/>
      <c r="F129" s="19"/>
      <c r="G129" s="19"/>
      <c r="H129" s="752"/>
      <c r="I129" s="752"/>
      <c r="J129" s="752"/>
      <c r="K129" s="19"/>
      <c r="L129" s="19"/>
      <c r="M129" s="19"/>
      <c r="N129" s="19"/>
      <c r="O129" s="19">
        <v>0</v>
      </c>
      <c r="P129" s="40"/>
    </row>
    <row r="130" spans="1:16" ht="14.5" hidden="1" customHeight="1">
      <c r="A130" s="19"/>
      <c r="B130" s="19">
        <v>-0.6432391058656407</v>
      </c>
      <c r="C130" s="19">
        <v>-0.3183788165576667</v>
      </c>
      <c r="D130" s="19">
        <v>-0.38157186591395054</v>
      </c>
      <c r="E130" s="19">
        <v>-1.8668992434624138E-2</v>
      </c>
      <c r="F130" s="19">
        <v>-8.6515843810938922E-2</v>
      </c>
      <c r="G130" s="19">
        <v>-3.666119385101968E-2</v>
      </c>
      <c r="H130" s="752">
        <v>-0.10604665500890567</v>
      </c>
      <c r="I130" s="752">
        <v>-1.2571573902715884E-2</v>
      </c>
      <c r="J130" s="752">
        <v>-0.20962870540581929</v>
      </c>
      <c r="K130" s="19">
        <v>-0.40568414777943124</v>
      </c>
      <c r="L130" s="19">
        <v>-0.37728739136905398</v>
      </c>
      <c r="M130" s="19">
        <v>-0.55419727595926416</v>
      </c>
      <c r="N130" s="19">
        <v>-0.24604526568026563</v>
      </c>
      <c r="O130" s="19">
        <v>-0.24604526568026566</v>
      </c>
      <c r="P130" s="40"/>
    </row>
    <row r="131" spans="1:16" hidden="1">
      <c r="A131" s="19"/>
      <c r="B131" s="19"/>
      <c r="C131" s="19"/>
      <c r="D131" s="19"/>
      <c r="E131" s="19"/>
      <c r="F131" s="19"/>
      <c r="G131" s="19"/>
      <c r="H131" s="752"/>
      <c r="I131" s="752"/>
      <c r="J131" s="752"/>
      <c r="K131" s="19"/>
      <c r="L131" s="19"/>
      <c r="M131" s="19"/>
      <c r="N131" s="19"/>
      <c r="O131" s="19"/>
      <c r="P131" s="40"/>
    </row>
    <row r="132" spans="1:16" hidden="1">
      <c r="A132" s="19"/>
      <c r="B132" s="19"/>
      <c r="C132" s="19"/>
      <c r="D132" s="19"/>
      <c r="E132" s="19"/>
      <c r="F132" s="19"/>
      <c r="G132" s="19"/>
      <c r="H132" s="752"/>
      <c r="I132" s="752"/>
      <c r="J132" s="752"/>
      <c r="K132" s="19"/>
      <c r="L132" s="19"/>
      <c r="M132" s="19"/>
      <c r="N132" s="19"/>
      <c r="O132" s="19"/>
      <c r="P132" s="40"/>
    </row>
    <row r="133" spans="1:16" ht="14.5" hidden="1" customHeight="1">
      <c r="A133" s="19"/>
      <c r="B133" s="19">
        <v>0</v>
      </c>
      <c r="C133" s="19">
        <v>0</v>
      </c>
      <c r="D133" s="19">
        <v>0</v>
      </c>
      <c r="E133" s="19">
        <v>0</v>
      </c>
      <c r="F133" s="19">
        <v>0</v>
      </c>
      <c r="G133" s="19">
        <v>0</v>
      </c>
      <c r="H133" s="752">
        <v>0</v>
      </c>
      <c r="I133" s="752">
        <v>0</v>
      </c>
      <c r="J133" s="752">
        <v>0</v>
      </c>
      <c r="K133" s="19">
        <v>0</v>
      </c>
      <c r="L133" s="19">
        <v>0</v>
      </c>
      <c r="M133" s="19">
        <v>0</v>
      </c>
      <c r="N133" s="19">
        <v>0</v>
      </c>
      <c r="O133" s="19">
        <v>0</v>
      </c>
      <c r="P133" s="40"/>
    </row>
    <row r="134" spans="1:16" ht="14.5" hidden="1" customHeight="1">
      <c r="A134" s="19"/>
      <c r="B134" s="19">
        <v>59542.494307737521</v>
      </c>
      <c r="C134" s="19">
        <v>48389.647667891542</v>
      </c>
      <c r="D134" s="19">
        <v>56146.82101177505</v>
      </c>
      <c r="E134" s="19">
        <v>46356.922394435685</v>
      </c>
      <c r="F134" s="19">
        <v>49163.539216138983</v>
      </c>
      <c r="G134" s="19">
        <v>58864.793852945477</v>
      </c>
      <c r="H134" s="752">
        <v>49163.539216138983</v>
      </c>
      <c r="I134" s="752">
        <v>49163.539216138983</v>
      </c>
      <c r="J134" s="752">
        <v>62059.739425083433</v>
      </c>
      <c r="K134" s="19">
        <v>45968.593644001041</v>
      </c>
      <c r="L134" s="19">
        <v>51908.224216138988</v>
      </c>
      <c r="M134" s="19">
        <v>96483.994159963957</v>
      </c>
      <c r="N134" s="19">
        <v>673211.84832838958</v>
      </c>
      <c r="O134" s="19">
        <v>56100.987360699131</v>
      </c>
      <c r="P134" s="40"/>
    </row>
    <row r="135" spans="1:16">
      <c r="A135" s="19" t="s">
        <v>254</v>
      </c>
      <c r="B135" s="1010">
        <v>72130.300754674143</v>
      </c>
      <c r="C135" s="1010">
        <v>79680.975808986914</v>
      </c>
      <c r="D135" s="1010">
        <v>73191.572113956019</v>
      </c>
      <c r="E135" s="1010">
        <v>82743.928612041811</v>
      </c>
      <c r="F135" s="1010">
        <v>70744.121770947022</v>
      </c>
      <c r="G135" s="1010">
        <v>73504.264881859563</v>
      </c>
      <c r="H135" s="1010">
        <v>78371.571888395512</v>
      </c>
      <c r="I135" s="1010">
        <v>32784.195554211736</v>
      </c>
      <c r="J135" s="1010">
        <v>140570.74870494704</v>
      </c>
      <c r="K135" s="1010">
        <v>87002.910956388208</v>
      </c>
      <c r="L135" s="1010">
        <v>66645.338599770563</v>
      </c>
      <c r="M135" s="1010">
        <v>72988.028599770565</v>
      </c>
      <c r="N135" s="752">
        <f>SUM(B135:M135)</f>
        <v>930357.95824594912</v>
      </c>
      <c r="O135" s="753">
        <f t="shared" ref="O135" si="13">N135/12</f>
        <v>77529.829853829098</v>
      </c>
      <c r="P135" s="922">
        <f t="shared" ref="P135" si="14">O135/30</f>
        <v>2584.3276617943034</v>
      </c>
    </row>
    <row r="136" spans="1:16" ht="14.5" hidden="1" customHeight="1">
      <c r="A136" s="19"/>
      <c r="B136" s="752"/>
      <c r="C136" s="752"/>
      <c r="D136" s="752"/>
      <c r="E136" s="752"/>
      <c r="F136" s="752"/>
      <c r="G136" s="752"/>
      <c r="H136" s="752"/>
      <c r="I136" s="752"/>
      <c r="J136" s="752"/>
      <c r="K136" s="752"/>
      <c r="L136" s="752"/>
      <c r="M136" s="752"/>
      <c r="N136" s="752"/>
      <c r="O136" s="753"/>
      <c r="P136" s="922"/>
    </row>
    <row r="137" spans="1:16" ht="14.5" hidden="1" customHeight="1">
      <c r="A137" s="19"/>
      <c r="B137" s="19">
        <v>105821.8074099533</v>
      </c>
      <c r="C137" s="19">
        <v>109349.20099028508</v>
      </c>
      <c r="D137" s="19">
        <v>105821.8074099533</v>
      </c>
      <c r="E137" s="19">
        <v>109349.20099028508</v>
      </c>
      <c r="F137" s="19">
        <v>105821.8074099533</v>
      </c>
      <c r="G137" s="19">
        <v>109349.20099028508</v>
      </c>
      <c r="H137" s="752">
        <v>109349.20099028508</v>
      </c>
      <c r="I137" s="752">
        <v>105821.8074099533</v>
      </c>
      <c r="J137" s="752">
        <v>109349.20099028508</v>
      </c>
      <c r="K137" s="19">
        <v>109349.20099028508</v>
      </c>
      <c r="L137" s="19">
        <v>98767.020249289752</v>
      </c>
      <c r="M137" s="19">
        <v>109349.20099028508</v>
      </c>
      <c r="N137" s="19">
        <v>1287498.6568210982</v>
      </c>
      <c r="O137" s="19">
        <v>107291.55473509151</v>
      </c>
      <c r="P137" s="40"/>
    </row>
    <row r="138" spans="1:16" ht="14.5" hidden="1" customHeight="1">
      <c r="A138" s="19"/>
      <c r="B138" s="19">
        <v>43279.313102215776</v>
      </c>
      <c r="C138" s="19">
        <v>57859.553322393542</v>
      </c>
      <c r="D138" s="19">
        <v>46674.986398178247</v>
      </c>
      <c r="E138" s="19">
        <v>59892.278595849399</v>
      </c>
      <c r="F138" s="19">
        <v>53658.268193814314</v>
      </c>
      <c r="G138" s="19">
        <v>47384.407137339607</v>
      </c>
      <c r="H138" s="752">
        <v>57085.661774146101</v>
      </c>
      <c r="I138" s="752">
        <v>53658.268193814314</v>
      </c>
      <c r="J138" s="752">
        <v>44189.461565201651</v>
      </c>
      <c r="K138" s="19">
        <v>60280.607346284043</v>
      </c>
      <c r="L138" s="19">
        <v>44058.796033150764</v>
      </c>
      <c r="M138" s="19">
        <v>9765.2068303211272</v>
      </c>
      <c r="N138" s="19">
        <v>577786.80849270883</v>
      </c>
      <c r="O138" s="19">
        <v>48148.900707725734</v>
      </c>
      <c r="P138" s="40"/>
    </row>
    <row r="139" spans="1:16" ht="14.5" hidden="1" customHeight="1">
      <c r="A139" s="19"/>
      <c r="B139" s="19">
        <v>0</v>
      </c>
      <c r="C139" s="19">
        <v>0</v>
      </c>
      <c r="D139" s="19">
        <v>0</v>
      </c>
      <c r="E139" s="19"/>
      <c r="F139" s="19"/>
      <c r="G139" s="19"/>
      <c r="H139" s="752"/>
      <c r="I139" s="752"/>
      <c r="J139" s="752"/>
      <c r="K139" s="19"/>
      <c r="L139" s="19"/>
      <c r="M139" s="19"/>
      <c r="N139" s="19"/>
      <c r="O139" s="19"/>
      <c r="P139" s="40"/>
    </row>
    <row r="140" spans="1:16" ht="14.5" hidden="1" customHeight="1">
      <c r="A140" s="19"/>
      <c r="B140" s="19">
        <v>0.40898293236054717</v>
      </c>
      <c r="C140" s="19">
        <v>0.52912643895344014</v>
      </c>
      <c r="D140" s="19">
        <v>0.44107152902198615</v>
      </c>
      <c r="E140" s="19">
        <v>0.54771574052169258</v>
      </c>
      <c r="F140" s="19">
        <v>0.50706248085465389</v>
      </c>
      <c r="G140" s="19">
        <v>0.43333107794312448</v>
      </c>
      <c r="H140" s="752">
        <v>0.52204918972583769</v>
      </c>
      <c r="I140" s="752">
        <v>0.50706248085465389</v>
      </c>
      <c r="J140" s="752">
        <v>0.40411325519541363</v>
      </c>
      <c r="K140" s="19">
        <v>0.55126701247354848</v>
      </c>
      <c r="L140" s="19">
        <v>0.44608813672768061</v>
      </c>
      <c r="M140" s="19">
        <v>8.930295550297343E-2</v>
      </c>
      <c r="N140" s="19"/>
      <c r="O140" s="19">
        <v>0.44876692137240343</v>
      </c>
      <c r="P140" s="40"/>
    </row>
    <row r="141" spans="1:16" hidden="1">
      <c r="A141" s="19"/>
      <c r="B141" s="19"/>
      <c r="C141" s="19"/>
      <c r="D141" s="19"/>
      <c r="E141" s="19"/>
      <c r="F141" s="19"/>
      <c r="G141" s="19"/>
      <c r="H141" s="752"/>
      <c r="I141" s="752"/>
      <c r="J141" s="752"/>
      <c r="K141" s="19"/>
      <c r="L141" s="19"/>
      <c r="M141" s="19"/>
      <c r="N141" s="19"/>
      <c r="O141" s="19"/>
      <c r="P141" s="40"/>
    </row>
    <row r="142" spans="1:16" hidden="1">
      <c r="A142" s="19"/>
      <c r="B142" s="19"/>
      <c r="C142" s="19"/>
      <c r="D142" s="19"/>
      <c r="E142" s="19"/>
      <c r="F142" s="19"/>
      <c r="G142" s="19"/>
      <c r="H142" s="752"/>
      <c r="I142" s="752"/>
      <c r="J142" s="752"/>
      <c r="K142" s="19"/>
      <c r="L142" s="19"/>
      <c r="M142" s="19"/>
      <c r="N142" s="19"/>
      <c r="O142" s="19"/>
      <c r="P142" s="40"/>
    </row>
    <row r="143" spans="1:16" ht="14.5" hidden="1" customHeight="1">
      <c r="A143" s="19"/>
      <c r="B143" s="19">
        <v>0</v>
      </c>
      <c r="C143" s="19">
        <v>0</v>
      </c>
      <c r="D143" s="19">
        <v>0</v>
      </c>
      <c r="E143" s="19">
        <v>0</v>
      </c>
      <c r="F143" s="19">
        <v>0</v>
      </c>
      <c r="G143" s="19">
        <v>0</v>
      </c>
      <c r="H143" s="752">
        <v>0</v>
      </c>
      <c r="I143" s="752">
        <v>0</v>
      </c>
      <c r="J143" s="752">
        <v>0</v>
      </c>
      <c r="K143" s="19">
        <v>0</v>
      </c>
      <c r="L143" s="19">
        <v>0</v>
      </c>
      <c r="M143" s="19">
        <v>0</v>
      </c>
      <c r="N143" s="19"/>
      <c r="O143" s="19"/>
      <c r="P143" s="40"/>
    </row>
    <row r="144" spans="1:16" ht="14.5" hidden="1" customHeight="1">
      <c r="A144" s="19"/>
      <c r="B144" s="19">
        <v>377755.99379387463</v>
      </c>
      <c r="C144" s="19">
        <v>311591.19047442143</v>
      </c>
      <c r="D144" s="19">
        <v>323210.70414218167</v>
      </c>
      <c r="E144" s="19">
        <v>249019.57641129661</v>
      </c>
      <c r="F144" s="19">
        <v>258551.10666865134</v>
      </c>
      <c r="G144" s="19">
        <v>265161.72273488832</v>
      </c>
      <c r="H144" s="752">
        <v>269475.75347936008</v>
      </c>
      <c r="I144" s="752">
        <v>244096.79042253477</v>
      </c>
      <c r="J144" s="752">
        <v>303294.66534092708</v>
      </c>
      <c r="K144" s="19">
        <v>326805.08636598574</v>
      </c>
      <c r="L144" s="19">
        <v>300386.17140424333</v>
      </c>
      <c r="M144" s="19">
        <v>407318.90210571414</v>
      </c>
      <c r="N144" s="19"/>
      <c r="O144" s="19"/>
      <c r="P144" s="40"/>
    </row>
    <row r="145" spans="1:19">
      <c r="A145" s="19" t="s">
        <v>255</v>
      </c>
      <c r="B145" s="1010">
        <v>168676.94893799193</v>
      </c>
      <c r="C145" s="1010">
        <v>213602.507170561</v>
      </c>
      <c r="D145" s="1010">
        <v>219052.0850859452</v>
      </c>
      <c r="E145" s="1010">
        <v>188716.16274974257</v>
      </c>
      <c r="F145" s="1010">
        <v>221290.97372954508</v>
      </c>
      <c r="G145" s="1010">
        <v>209458.64276033363</v>
      </c>
      <c r="H145" s="1010">
        <v>225592.56041896972</v>
      </c>
      <c r="I145" s="1010">
        <v>245198.5466422092</v>
      </c>
      <c r="J145" s="1010">
        <v>363090.71949108888</v>
      </c>
      <c r="K145" s="1010">
        <v>206375.19659238675</v>
      </c>
      <c r="L145" s="1010">
        <v>222987.86770472772</v>
      </c>
      <c r="M145" s="1010">
        <v>183237.85400987568</v>
      </c>
      <c r="N145" s="752">
        <f>SUM(B145:M145)</f>
        <v>2667280.0652933773</v>
      </c>
      <c r="O145" s="753">
        <f t="shared" ref="O145" si="15">N145/12</f>
        <v>222273.33877444812</v>
      </c>
      <c r="P145" s="922">
        <f t="shared" ref="P145" si="16">O145/30</f>
        <v>7409.1112924816034</v>
      </c>
    </row>
    <row r="146" spans="1:19" ht="14.5" hidden="1" customHeight="1">
      <c r="A146" s="19"/>
      <c r="B146" s="19">
        <v>240000</v>
      </c>
      <c r="C146" s="19">
        <v>248000</v>
      </c>
      <c r="D146" s="19">
        <v>240000</v>
      </c>
      <c r="E146" s="19">
        <v>248000</v>
      </c>
      <c r="F146" s="19">
        <v>240000</v>
      </c>
      <c r="G146" s="19">
        <v>248000</v>
      </c>
      <c r="H146" s="752">
        <v>248000</v>
      </c>
      <c r="I146" s="752">
        <v>240000</v>
      </c>
      <c r="J146" s="752">
        <v>248000</v>
      </c>
      <c r="K146" s="19">
        <v>248000</v>
      </c>
      <c r="L146" s="19">
        <v>224000</v>
      </c>
      <c r="M146" s="19">
        <v>248000</v>
      </c>
      <c r="N146" s="19"/>
      <c r="O146" s="19"/>
      <c r="P146" s="40"/>
    </row>
    <row r="147" spans="1:19" ht="14.5" hidden="1" customHeight="1">
      <c r="A147" s="19"/>
      <c r="B147" s="19">
        <v>-137755.99379387463</v>
      </c>
      <c r="C147" s="19">
        <v>-63591.190474421426</v>
      </c>
      <c r="D147" s="19">
        <v>-83210.704142181668</v>
      </c>
      <c r="E147" s="19">
        <v>-1019.5764112966135</v>
      </c>
      <c r="F147" s="19">
        <v>-18551.106668651337</v>
      </c>
      <c r="G147" s="19">
        <v>-17161.722734888317</v>
      </c>
      <c r="H147" s="752">
        <v>-21475.753479360079</v>
      </c>
      <c r="I147" s="752">
        <v>-4096.7904225347738</v>
      </c>
      <c r="J147" s="752">
        <v>-55294.66534092708</v>
      </c>
      <c r="K147" s="19">
        <v>-78805.086365985742</v>
      </c>
      <c r="L147" s="19">
        <v>-76386.17140424333</v>
      </c>
      <c r="M147" s="19">
        <v>-159318.90210571414</v>
      </c>
      <c r="N147" s="19"/>
      <c r="O147" s="19"/>
      <c r="P147" s="40"/>
    </row>
    <row r="148" spans="1:19" ht="14.5" hidden="1" customHeight="1">
      <c r="A148" s="19"/>
      <c r="B148" s="19">
        <v>-0.57398330747447768</v>
      </c>
      <c r="C148" s="19">
        <v>-0.25641609062266701</v>
      </c>
      <c r="D148" s="19">
        <v>-0.34671126725909029</v>
      </c>
      <c r="E148" s="19">
        <v>-4.1111952068411837E-3</v>
      </c>
      <c r="F148" s="19">
        <v>-7.7296277786047238E-2</v>
      </c>
      <c r="G148" s="19">
        <v>-6.920049489874322E-2</v>
      </c>
      <c r="H148" s="752">
        <v>-8.6595780158710001E-2</v>
      </c>
      <c r="I148" s="752">
        <v>-1.706996009389489E-2</v>
      </c>
      <c r="J148" s="752">
        <v>-0.2229623602456737</v>
      </c>
      <c r="K148" s="19">
        <v>-0.31776244502413603</v>
      </c>
      <c r="L148" s="19">
        <v>-0.34100969376894347</v>
      </c>
      <c r="M148" s="19">
        <v>-0.64241492784562149</v>
      </c>
      <c r="N148" s="19"/>
      <c r="O148" s="19"/>
      <c r="P148" s="40"/>
    </row>
    <row r="149" spans="1:19" ht="14.5" hidden="1" customHeight="1">
      <c r="A149" s="19"/>
      <c r="B149" s="19">
        <v>12591.866459795821</v>
      </c>
      <c r="C149" s="19">
        <v>10051.328724981337</v>
      </c>
      <c r="D149" s="19">
        <v>10773.690138072723</v>
      </c>
      <c r="E149" s="19">
        <v>8032.8895616547297</v>
      </c>
      <c r="F149" s="19">
        <v>8618.3702222883785</v>
      </c>
      <c r="G149" s="19">
        <v>8553.6039591899462</v>
      </c>
      <c r="H149" s="752">
        <v>8692.7662412696791</v>
      </c>
      <c r="I149" s="752">
        <v>8136.5596807511592</v>
      </c>
      <c r="J149" s="752">
        <v>9783.6988819653889</v>
      </c>
      <c r="K149" s="19">
        <v>10542.099560193088</v>
      </c>
      <c r="L149" s="19">
        <v>10728.077550151547</v>
      </c>
      <c r="M149" s="19">
        <v>13139.319422764973</v>
      </c>
      <c r="N149" s="19"/>
      <c r="O149" s="19"/>
      <c r="P149" s="40"/>
    </row>
    <row r="150" spans="1:19" hidden="1">
      <c r="A150" s="19"/>
      <c r="B150" s="19"/>
      <c r="C150" s="19"/>
      <c r="D150" s="19"/>
      <c r="E150" s="19"/>
      <c r="F150" s="19"/>
      <c r="G150" s="19"/>
      <c r="H150" s="752"/>
      <c r="I150" s="752"/>
      <c r="J150" s="752"/>
      <c r="K150" s="19"/>
      <c r="L150" s="19"/>
      <c r="M150" s="19"/>
      <c r="N150" s="19"/>
      <c r="O150" s="19"/>
      <c r="P150" s="40"/>
    </row>
    <row r="151" spans="1:19" ht="14.5" hidden="1" customHeight="1">
      <c r="A151" s="19"/>
      <c r="B151" s="19">
        <v>0</v>
      </c>
      <c r="C151" s="19">
        <v>0</v>
      </c>
      <c r="D151" s="19">
        <v>0</v>
      </c>
      <c r="E151" s="19">
        <v>0</v>
      </c>
      <c r="F151" s="19">
        <v>0</v>
      </c>
      <c r="G151" s="19">
        <v>0</v>
      </c>
      <c r="H151" s="752">
        <v>0</v>
      </c>
      <c r="I151" s="752">
        <v>0</v>
      </c>
      <c r="J151" s="752">
        <v>0</v>
      </c>
      <c r="K151" s="19">
        <v>0</v>
      </c>
      <c r="L151" s="19">
        <v>0</v>
      </c>
      <c r="M151" s="19">
        <v>0</v>
      </c>
      <c r="N151" s="19">
        <v>0</v>
      </c>
      <c r="O151" s="19">
        <v>0</v>
      </c>
      <c r="P151" s="40"/>
    </row>
    <row r="152" spans="1:19" ht="14.5" hidden="1" customHeight="1">
      <c r="A152" s="19"/>
      <c r="B152" s="19">
        <v>377755.99379387463</v>
      </c>
      <c r="C152" s="19">
        <v>311591.19047442143</v>
      </c>
      <c r="D152" s="19">
        <v>323210.70414218167</v>
      </c>
      <c r="E152" s="19">
        <v>249019.57641129661</v>
      </c>
      <c r="F152" s="19">
        <v>258551.10666865134</v>
      </c>
      <c r="G152" s="19">
        <v>265161.72273488832</v>
      </c>
      <c r="H152" s="752">
        <v>269475.75347936008</v>
      </c>
      <c r="I152" s="752">
        <v>244096.79042253477</v>
      </c>
      <c r="J152" s="752">
        <v>303294.66534092708</v>
      </c>
      <c r="K152" s="19">
        <v>326805.08636598574</v>
      </c>
      <c r="L152" s="19">
        <v>300386.17140424333</v>
      </c>
      <c r="M152" s="19">
        <v>407318.90210571414</v>
      </c>
      <c r="N152" s="19">
        <v>3636667.6633440792</v>
      </c>
      <c r="O152" s="19">
        <v>303055.63861200662</v>
      </c>
      <c r="P152" s="40"/>
    </row>
    <row r="153" spans="1:19">
      <c r="A153" s="19" t="s">
        <v>256</v>
      </c>
      <c r="B153" s="1010">
        <v>168676.94893799193</v>
      </c>
      <c r="C153" s="1010">
        <v>213602.507170561</v>
      </c>
      <c r="D153" s="1010">
        <v>219052.0850859452</v>
      </c>
      <c r="E153" s="1010">
        <v>188716.16274974257</v>
      </c>
      <c r="F153" s="1010">
        <v>221290.97372954508</v>
      </c>
      <c r="G153" s="1010">
        <v>209458.64276033363</v>
      </c>
      <c r="H153" s="1010">
        <v>225592.56041896972</v>
      </c>
      <c r="I153" s="1010">
        <v>245198.5466422092</v>
      </c>
      <c r="J153" s="1010">
        <v>363090.71949108888</v>
      </c>
      <c r="K153" s="1010">
        <v>206375.19659238675</v>
      </c>
      <c r="L153" s="1010">
        <v>222987.86770472772</v>
      </c>
      <c r="M153" s="1010">
        <v>183237.85400987568</v>
      </c>
      <c r="N153" s="752">
        <f>SUM(B153:M153)</f>
        <v>2667280.0652933773</v>
      </c>
      <c r="O153" s="753">
        <f t="shared" ref="O153" si="17">N153/12</f>
        <v>222273.33877444812</v>
      </c>
      <c r="P153" s="922">
        <f t="shared" ref="P153" si="18">O153/30</f>
        <v>7409.1112924816034</v>
      </c>
    </row>
    <row r="154" spans="1:19" ht="14.5" hidden="1" customHeight="1">
      <c r="A154" s="19"/>
      <c r="B154" s="19"/>
      <c r="C154" s="19"/>
      <c r="D154" s="19"/>
      <c r="E154" s="19"/>
      <c r="F154" s="19"/>
      <c r="G154" s="19"/>
      <c r="H154" s="752"/>
      <c r="I154" s="752"/>
      <c r="J154" s="752"/>
      <c r="K154" s="19"/>
      <c r="L154" s="19"/>
      <c r="M154" s="19"/>
      <c r="N154" s="19"/>
      <c r="O154" s="19"/>
    </row>
    <row r="155" spans="1:19" ht="14.5" hidden="1" customHeight="1">
      <c r="A155" s="19"/>
      <c r="B155" s="19">
        <v>356213.89198775083</v>
      </c>
      <c r="C155" s="19">
        <v>368087.6883873425</v>
      </c>
      <c r="D155" s="19">
        <v>356213.89198775083</v>
      </c>
      <c r="E155" s="19">
        <v>368087.6883873425</v>
      </c>
      <c r="F155" s="19">
        <v>356213.89198775083</v>
      </c>
      <c r="G155" s="19">
        <v>368087.6883873425</v>
      </c>
      <c r="H155" s="752">
        <v>368087.6883873425</v>
      </c>
      <c r="I155" s="752">
        <v>356213.89198775083</v>
      </c>
      <c r="J155" s="752">
        <v>368087.6883873425</v>
      </c>
      <c r="K155" s="19">
        <v>368087.6883873425</v>
      </c>
      <c r="L155" s="19">
        <v>332466.29918856744</v>
      </c>
      <c r="M155" s="19">
        <v>368087.6883873425</v>
      </c>
      <c r="N155" s="19">
        <v>4333935.6858509686</v>
      </c>
      <c r="O155" s="19">
        <v>361161.30715424736</v>
      </c>
    </row>
    <row r="156" spans="1:19" ht="14.5" hidden="1" customHeight="1">
      <c r="A156" s="19"/>
      <c r="B156" s="19">
        <v>-30542.101806123799</v>
      </c>
      <c r="C156" s="19">
        <v>47196.49791292107</v>
      </c>
      <c r="D156" s="19">
        <v>24003.187845569162</v>
      </c>
      <c r="E156" s="19">
        <v>109768.11197604588</v>
      </c>
      <c r="F156" s="19">
        <v>88662.785319099494</v>
      </c>
      <c r="G156" s="19">
        <v>93625.965652454179</v>
      </c>
      <c r="H156" s="752">
        <v>89311.934907982417</v>
      </c>
      <c r="I156" s="752">
        <v>103117.10156521606</v>
      </c>
      <c r="J156" s="752">
        <v>55493.023046415416</v>
      </c>
      <c r="K156" s="19">
        <v>31982.602021356754</v>
      </c>
      <c r="L156" s="19">
        <v>23680.127784324111</v>
      </c>
      <c r="M156" s="19">
        <v>-48531.21371837164</v>
      </c>
      <c r="N156" s="19">
        <v>587768.02250688896</v>
      </c>
      <c r="O156" s="19">
        <v>48980.668542240746</v>
      </c>
    </row>
    <row r="157" spans="1:19" ht="14.5" hidden="1" customHeight="1">
      <c r="A157" s="19"/>
      <c r="B157" s="19"/>
      <c r="C157" s="19">
        <v>0</v>
      </c>
      <c r="D157" s="19">
        <v>0</v>
      </c>
      <c r="E157" s="19"/>
      <c r="F157" s="19"/>
      <c r="G157" s="19"/>
      <c r="H157" s="752"/>
      <c r="I157" s="752"/>
      <c r="J157" s="752"/>
      <c r="K157" s="19"/>
      <c r="L157" s="19"/>
      <c r="M157" s="19"/>
      <c r="N157" s="19"/>
      <c r="O157" s="19"/>
    </row>
    <row r="158" spans="1:19" ht="14.5" hidden="1" customHeight="1">
      <c r="A158" s="19"/>
      <c r="B158" s="19">
        <v>-8.5740905936296422E-2</v>
      </c>
      <c r="C158" s="19">
        <v>0.12822080010254433</v>
      </c>
      <c r="D158" s="19">
        <v>6.7384199172093387E-2</v>
      </c>
      <c r="E158" s="19">
        <v>0.29821185396599237</v>
      </c>
      <c r="F158" s="19">
        <v>0.24890322166926704</v>
      </c>
      <c r="G158" s="19">
        <v>0.25435777562310263</v>
      </c>
      <c r="H158" s="752">
        <v>0.24263765870375578</v>
      </c>
      <c r="I158" s="752">
        <v>0.28948085373594007</v>
      </c>
      <c r="J158" s="752">
        <v>0.15076033455381299</v>
      </c>
      <c r="K158" s="19">
        <v>8.6888540503699568E-2</v>
      </c>
      <c r="L158" s="19">
        <v>7.1225648560828331E-2</v>
      </c>
      <c r="M158" s="19">
        <v>-0.13184688119017374</v>
      </c>
      <c r="N158" s="19"/>
      <c r="O158" s="19">
        <v>0.13561992265500836</v>
      </c>
    </row>
    <row r="159" spans="1:19" hidden="1">
      <c r="A159" s="19"/>
      <c r="B159" s="19"/>
      <c r="C159" s="19"/>
      <c r="D159" s="19"/>
      <c r="E159" s="19"/>
      <c r="F159" s="19"/>
      <c r="G159" s="19"/>
      <c r="H159" s="19"/>
      <c r="I159" s="19"/>
      <c r="J159" s="19"/>
      <c r="K159" s="19"/>
      <c r="L159" s="752"/>
      <c r="M159" s="752"/>
      <c r="N159" s="752"/>
      <c r="O159" s="19"/>
      <c r="P159" s="19"/>
      <c r="Q159" s="19"/>
      <c r="R159" s="19"/>
      <c r="S159" s="19"/>
    </row>
    <row r="160" spans="1:19" hidden="1">
      <c r="A160" s="19"/>
      <c r="B160" s="19"/>
      <c r="C160" s="19"/>
      <c r="D160" s="19"/>
      <c r="E160" s="19"/>
      <c r="F160" s="19"/>
      <c r="G160" s="19"/>
      <c r="H160" s="19"/>
      <c r="I160" s="212">
        <f>E153/30</f>
        <v>6290.5387583247521</v>
      </c>
      <c r="J160" s="212">
        <f>F153/30</f>
        <v>7376.3657909848362</v>
      </c>
      <c r="K160" s="212">
        <f>G153/30</f>
        <v>6981.954758677788</v>
      </c>
      <c r="L160" s="752"/>
      <c r="M160" s="752"/>
      <c r="N160" s="752"/>
      <c r="O160" s="19"/>
      <c r="P160" s="19"/>
      <c r="Q160" s="19"/>
      <c r="R160" s="19"/>
      <c r="S160" s="19"/>
    </row>
    <row r="161" spans="1:19" hidden="1">
      <c r="A161" s="19"/>
      <c r="B161" s="19"/>
      <c r="C161" s="19"/>
      <c r="D161" s="19"/>
      <c r="E161" s="19"/>
      <c r="F161" s="19"/>
      <c r="G161" s="19"/>
      <c r="H161" s="19"/>
      <c r="I161" s="19"/>
      <c r="J161" s="19"/>
      <c r="K161" s="19"/>
      <c r="L161" s="752"/>
      <c r="M161" s="752"/>
      <c r="N161" s="752"/>
      <c r="O161" s="19"/>
      <c r="P161" s="19"/>
      <c r="Q161" s="19"/>
      <c r="R161" s="19"/>
      <c r="S161" s="19"/>
    </row>
    <row r="162" spans="1:19">
      <c r="A162" s="19"/>
      <c r="B162" s="19"/>
      <c r="C162" s="19"/>
      <c r="D162" s="19"/>
      <c r="E162" s="19"/>
      <c r="F162" s="19"/>
      <c r="G162" s="19"/>
      <c r="H162" s="19"/>
      <c r="I162" s="19"/>
      <c r="J162" s="19"/>
      <c r="K162" s="19"/>
      <c r="L162" s="752"/>
      <c r="M162" s="752"/>
      <c r="N162" s="752"/>
      <c r="O162" s="19"/>
      <c r="P162" s="19"/>
      <c r="Q162" s="19"/>
      <c r="R162" s="19"/>
      <c r="S162" s="19"/>
    </row>
    <row r="163" spans="1:19" ht="15" thickBot="1">
      <c r="A163" s="19"/>
      <c r="B163" s="19">
        <f>DAY(EOMONTH(B164,0))</f>
        <v>30</v>
      </c>
      <c r="C163" s="19">
        <f t="shared" ref="C163:N163" si="19">DAY(EOMONTH(C164,0))</f>
        <v>31</v>
      </c>
      <c r="D163" s="19">
        <f t="shared" si="19"/>
        <v>30</v>
      </c>
      <c r="E163" s="19"/>
      <c r="F163" s="19">
        <f t="shared" si="19"/>
        <v>31</v>
      </c>
      <c r="G163" s="19">
        <f t="shared" si="19"/>
        <v>31</v>
      </c>
      <c r="H163" s="19">
        <f t="shared" si="19"/>
        <v>30</v>
      </c>
      <c r="I163" s="19">
        <f t="shared" si="19"/>
        <v>31</v>
      </c>
      <c r="J163" s="19">
        <f t="shared" si="19"/>
        <v>30</v>
      </c>
      <c r="K163" s="19">
        <f t="shared" si="19"/>
        <v>31</v>
      </c>
      <c r="L163" s="19">
        <f t="shared" si="19"/>
        <v>31</v>
      </c>
      <c r="M163" s="19">
        <f t="shared" si="19"/>
        <v>28</v>
      </c>
      <c r="N163" s="19">
        <f t="shared" si="19"/>
        <v>31</v>
      </c>
      <c r="O163" s="19"/>
      <c r="P163" s="19"/>
      <c r="Q163" s="19"/>
      <c r="R163" s="19"/>
      <c r="S163" s="19"/>
    </row>
    <row r="164" spans="1:19" ht="15" thickBot="1">
      <c r="A164" s="19" t="s">
        <v>257</v>
      </c>
      <c r="B164" s="619">
        <v>46113</v>
      </c>
      <c r="C164" s="619">
        <v>46143</v>
      </c>
      <c r="D164" s="619">
        <v>46174</v>
      </c>
      <c r="E164" s="619"/>
      <c r="F164" s="619">
        <v>46204</v>
      </c>
      <c r="G164" s="619">
        <v>46235</v>
      </c>
      <c r="H164" s="619">
        <v>46266</v>
      </c>
      <c r="I164" s="619">
        <v>46296</v>
      </c>
      <c r="J164" s="619">
        <v>46327</v>
      </c>
      <c r="K164" s="619">
        <v>46357</v>
      </c>
      <c r="L164" s="619">
        <v>46388</v>
      </c>
      <c r="M164" s="619">
        <v>46419</v>
      </c>
      <c r="N164" s="619">
        <v>46447</v>
      </c>
      <c r="O164" s="19"/>
      <c r="P164" s="19"/>
      <c r="Q164" s="19"/>
      <c r="R164" s="19"/>
      <c r="S164" s="19"/>
    </row>
    <row r="165" spans="1:19">
      <c r="A165" t="s">
        <v>258</v>
      </c>
      <c r="B165" s="988">
        <v>26826.053359999998</v>
      </c>
      <c r="C165" s="988">
        <v>27120.91661</v>
      </c>
      <c r="D165" s="988">
        <v>49234.105575000001</v>
      </c>
      <c r="E165" s="988"/>
      <c r="F165" s="988">
        <v>54830.435475000006</v>
      </c>
      <c r="G165" s="988">
        <v>61014.95048</v>
      </c>
      <c r="H165" s="988">
        <v>55105</v>
      </c>
      <c r="I165" s="988">
        <v>69559.333333333343</v>
      </c>
      <c r="J165" s="988">
        <v>83773.333333333343</v>
      </c>
      <c r="K165" s="988">
        <v>64203.333333333336</v>
      </c>
      <c r="L165" s="988">
        <v>65851.333333333328</v>
      </c>
      <c r="M165" s="988">
        <v>91704.333333333328</v>
      </c>
      <c r="N165" s="988">
        <v>62967.333333333328</v>
      </c>
      <c r="O165" s="39">
        <f t="shared" ref="O165" si="20">SUM(B165:N165)</f>
        <v>712190.46150000009</v>
      </c>
    </row>
    <row r="166" spans="1:19">
      <c r="A166" t="s">
        <v>259</v>
      </c>
      <c r="B166" s="988">
        <v>46908.96490376287</v>
      </c>
      <c r="C166" s="988">
        <v>58138.941270000003</v>
      </c>
      <c r="D166" s="988">
        <v>83133.500594999976</v>
      </c>
      <c r="E166" s="988"/>
      <c r="F166" s="988">
        <v>65898.457549999992</v>
      </c>
      <c r="G166" s="988">
        <v>89477.78919999997</v>
      </c>
      <c r="H166" s="988">
        <v>127085.45407999998</v>
      </c>
      <c r="I166" s="988">
        <v>161945.95342999999</v>
      </c>
      <c r="J166" s="988">
        <v>109045.84198499999</v>
      </c>
      <c r="K166" s="988">
        <v>112379.77430999998</v>
      </c>
      <c r="L166" s="988">
        <v>127109.95675000004</v>
      </c>
      <c r="M166" s="988">
        <v>104528.8118333334</v>
      </c>
      <c r="N166" s="988">
        <v>110544.01183333341</v>
      </c>
      <c r="O166" s="39"/>
    </row>
    <row r="167" spans="1:19">
      <c r="A167" t="s">
        <v>78</v>
      </c>
      <c r="B167" s="988">
        <v>51126.935426198565</v>
      </c>
      <c r="C167" s="988">
        <v>93157.181346198558</v>
      </c>
      <c r="D167" s="988">
        <v>49963.608106198568</v>
      </c>
      <c r="E167" s="988"/>
      <c r="F167" s="988">
        <v>34926.111267974484</v>
      </c>
      <c r="G167" s="988">
        <v>30215.514826146631</v>
      </c>
      <c r="H167" s="988">
        <v>24896.496586435253</v>
      </c>
      <c r="I167" s="988">
        <v>38368.479093101923</v>
      </c>
      <c r="J167" s="988">
        <v>27009.617852813295</v>
      </c>
      <c r="K167" s="988">
        <v>24662.761414641147</v>
      </c>
      <c r="L167" s="988">
        <v>46587.780502462811</v>
      </c>
      <c r="M167" s="988">
        <v>84131.280502462803</v>
      </c>
      <c r="N167" s="988">
        <v>114616.34010056836</v>
      </c>
      <c r="O167" s="39"/>
    </row>
    <row r="168" spans="1:19">
      <c r="A168" t="s">
        <v>260</v>
      </c>
      <c r="B168" s="988">
        <v>65858.196909999984</v>
      </c>
      <c r="C168" s="988">
        <v>60260.38175</v>
      </c>
      <c r="D168" s="988">
        <v>58215.574250000005</v>
      </c>
      <c r="E168" s="988"/>
      <c r="F168" s="988">
        <v>47303.054364999996</v>
      </c>
      <c r="G168" s="988">
        <v>50829.098685000004</v>
      </c>
      <c r="H168" s="988">
        <v>22969</v>
      </c>
      <c r="I168" s="988">
        <v>45114</v>
      </c>
      <c r="J168" s="988">
        <v>31724</v>
      </c>
      <c r="K168" s="988">
        <v>46297.212500000001</v>
      </c>
      <c r="L168" s="988">
        <v>43276.6345</v>
      </c>
      <c r="M168" s="988">
        <v>74182.757277777797</v>
      </c>
      <c r="N168" s="988">
        <v>67611.357277777803</v>
      </c>
      <c r="O168" s="39"/>
    </row>
    <row r="169" spans="1:19">
      <c r="A169" t="s">
        <v>89</v>
      </c>
      <c r="B169" s="988">
        <v>17639.672364999999</v>
      </c>
      <c r="C169" s="988">
        <v>17892.053780000002</v>
      </c>
      <c r="D169" s="988">
        <v>23447.804769999999</v>
      </c>
      <c r="E169" s="988"/>
      <c r="F169" s="988">
        <v>11883.306214999999</v>
      </c>
      <c r="G169" s="988">
        <v>27718.037995000002</v>
      </c>
      <c r="H169" s="988">
        <v>16789</v>
      </c>
      <c r="I169" s="988">
        <v>18540</v>
      </c>
      <c r="J169" s="988">
        <v>16789</v>
      </c>
      <c r="K169" s="988">
        <v>40693.755000000005</v>
      </c>
      <c r="L169" s="988">
        <v>54024.307313999991</v>
      </c>
      <c r="M169" s="988">
        <v>39500.5</v>
      </c>
      <c r="N169" s="988">
        <v>14986.5</v>
      </c>
      <c r="O169" s="39"/>
    </row>
    <row r="170" spans="1:19">
      <c r="A170" t="s">
        <v>261</v>
      </c>
      <c r="B170" s="988">
        <v>257661.92589419539</v>
      </c>
      <c r="C170" s="988">
        <v>282095.50521086203</v>
      </c>
      <c r="D170" s="988">
        <v>318378.62327975099</v>
      </c>
      <c r="E170" s="988"/>
      <c r="F170" s="988">
        <v>331202.17849011836</v>
      </c>
      <c r="G170" s="988">
        <v>285578.0660148944</v>
      </c>
      <c r="H170" s="988">
        <v>351165.73959261994</v>
      </c>
      <c r="I170" s="988">
        <v>317835.39630564605</v>
      </c>
      <c r="J170" s="988">
        <v>330636.2454711707</v>
      </c>
      <c r="K170" s="988">
        <v>421130.63357140275</v>
      </c>
      <c r="L170" s="988">
        <v>365273.73220003507</v>
      </c>
      <c r="M170" s="988">
        <v>334417.35826203506</v>
      </c>
      <c r="N170" s="988">
        <v>348227.1274387493</v>
      </c>
      <c r="O170" s="39"/>
    </row>
    <row r="171" spans="1:19">
      <c r="A171" t="s">
        <v>82</v>
      </c>
      <c r="B171" s="752"/>
      <c r="C171" s="752"/>
      <c r="D171" s="752"/>
      <c r="E171" s="752"/>
      <c r="F171" s="752"/>
      <c r="G171" s="752"/>
      <c r="H171" s="752"/>
      <c r="I171" s="752"/>
      <c r="J171" s="752"/>
      <c r="K171" s="752"/>
      <c r="L171" s="752"/>
      <c r="M171" s="752"/>
      <c r="N171" s="752"/>
      <c r="O171" s="39"/>
    </row>
    <row r="172" spans="1:19">
      <c r="A172" t="s">
        <v>262</v>
      </c>
      <c r="B172" s="752"/>
      <c r="C172" s="752"/>
      <c r="D172" s="752"/>
      <c r="E172" s="752"/>
      <c r="F172" s="752"/>
      <c r="G172" s="752"/>
      <c r="H172" s="752"/>
      <c r="I172" s="752"/>
      <c r="J172" s="752"/>
      <c r="K172" s="752"/>
      <c r="L172" s="752"/>
      <c r="M172" s="752"/>
      <c r="N172" s="752"/>
      <c r="O172" s="39"/>
    </row>
    <row r="173" spans="1:19">
      <c r="A173" t="s">
        <v>88</v>
      </c>
      <c r="B173" s="988">
        <v>184725.31870831322</v>
      </c>
      <c r="C173" s="988">
        <v>184751.06870831322</v>
      </c>
      <c r="D173" s="988">
        <v>182295.54870831323</v>
      </c>
      <c r="E173" s="988"/>
      <c r="F173" s="988">
        <v>171787.03346083825</v>
      </c>
      <c r="G173" s="988">
        <v>187780.97661339998</v>
      </c>
      <c r="H173" s="988">
        <v>173150.58914300002</v>
      </c>
      <c r="I173" s="988">
        <v>177495.12914300003</v>
      </c>
      <c r="J173" s="988">
        <v>163482.01589339998</v>
      </c>
      <c r="K173" s="988">
        <v>176140.36341745665</v>
      </c>
      <c r="L173" s="988">
        <v>166551.41538986642</v>
      </c>
      <c r="M173" s="988">
        <v>181323.67538986646</v>
      </c>
      <c r="N173" s="988">
        <v>172545.13218462077</v>
      </c>
      <c r="O173" s="39"/>
    </row>
    <row r="174" spans="1:19">
      <c r="A174" t="s">
        <v>263</v>
      </c>
      <c r="B174" s="988">
        <v>547444.13132974401</v>
      </c>
      <c r="C174" s="988">
        <v>564077.1911291352</v>
      </c>
      <c r="D174" s="988">
        <v>539436.42217205476</v>
      </c>
      <c r="E174" s="988"/>
      <c r="F174" s="988">
        <v>599445.20215415687</v>
      </c>
      <c r="G174" s="988">
        <v>464570.51067500928</v>
      </c>
      <c r="H174" s="988">
        <v>597717.43266134372</v>
      </c>
      <c r="I174" s="988">
        <v>432149.06324071158</v>
      </c>
      <c r="J174" s="988">
        <v>421846.03238114197</v>
      </c>
      <c r="K174" s="988">
        <v>369777.12543010461</v>
      </c>
      <c r="L174" s="988">
        <v>302754.94032278639</v>
      </c>
      <c r="M174" s="988">
        <v>290004.87726278673</v>
      </c>
      <c r="N174" s="988">
        <v>331189.49886194017</v>
      </c>
      <c r="O174" s="39"/>
    </row>
    <row r="175" spans="1:19">
      <c r="A175" t="s">
        <v>264</v>
      </c>
      <c r="B175" s="988">
        <v>150711.77389372999</v>
      </c>
      <c r="C175" s="988">
        <v>65687.950186649512</v>
      </c>
      <c r="D175" s="988">
        <v>89470.523143729981</v>
      </c>
      <c r="E175" s="988"/>
      <c r="F175" s="988">
        <v>155369.95349361582</v>
      </c>
      <c r="G175" s="988">
        <v>46856.762504255188</v>
      </c>
      <c r="H175" s="988">
        <v>55781.325334635483</v>
      </c>
      <c r="I175" s="988">
        <v>65122.989978295496</v>
      </c>
      <c r="J175" s="988">
        <v>66755.435504255191</v>
      </c>
      <c r="K175" s="988">
        <v>65563.028902973805</v>
      </c>
      <c r="L175" s="988">
        <v>67033.229890821647</v>
      </c>
      <c r="M175" s="988">
        <v>58268.815690821648</v>
      </c>
      <c r="N175" s="988">
        <v>55553.299403202254</v>
      </c>
      <c r="O175" s="39"/>
    </row>
    <row r="176" spans="1:19">
      <c r="A176" t="s">
        <v>83</v>
      </c>
      <c r="B176" s="988">
        <v>2420.5</v>
      </c>
      <c r="C176" s="988">
        <v>2136.1041249999998</v>
      </c>
      <c r="D176" s="988">
        <v>5168.372625</v>
      </c>
      <c r="E176" s="988"/>
      <c r="F176" s="988">
        <v>11260.346249999999</v>
      </c>
      <c r="G176" s="988">
        <v>5253</v>
      </c>
      <c r="H176" s="988">
        <v>9373</v>
      </c>
      <c r="I176" s="988">
        <v>8351.24</v>
      </c>
      <c r="J176" s="988">
        <v>2678</v>
      </c>
      <c r="K176" s="988">
        <v>13925.6</v>
      </c>
      <c r="L176" s="988">
        <v>7725</v>
      </c>
      <c r="M176" s="988">
        <v>7436.6</v>
      </c>
      <c r="N176" s="988">
        <v>10094</v>
      </c>
      <c r="O176" s="39"/>
    </row>
    <row r="177" spans="1:35">
      <c r="A177" t="s">
        <v>265</v>
      </c>
      <c r="B177" s="778">
        <f>SUM(B165:B176)</f>
        <v>1351323.4727909442</v>
      </c>
      <c r="C177" s="778">
        <f t="shared" ref="C177:N177" si="21">SUM(C165:C176)</f>
        <v>1355317.2941161587</v>
      </c>
      <c r="D177" s="778">
        <f t="shared" si="21"/>
        <v>1398744.0832250477</v>
      </c>
      <c r="E177" s="778"/>
      <c r="F177" s="778">
        <f t="shared" si="21"/>
        <v>1483906.0787217037</v>
      </c>
      <c r="G177" s="778">
        <f t="shared" si="21"/>
        <v>1249294.7069937056</v>
      </c>
      <c r="H177" s="778">
        <f t="shared" si="21"/>
        <v>1434033.0373980347</v>
      </c>
      <c r="I177" s="778">
        <f t="shared" si="21"/>
        <v>1334481.5845240885</v>
      </c>
      <c r="J177" s="778">
        <f t="shared" si="21"/>
        <v>1253739.5224211144</v>
      </c>
      <c r="K177" s="778">
        <f t="shared" si="21"/>
        <v>1334773.5878799122</v>
      </c>
      <c r="L177" s="778">
        <f t="shared" si="21"/>
        <v>1246188.3302033059</v>
      </c>
      <c r="M177" s="778">
        <f t="shared" si="21"/>
        <v>1265499.0095524176</v>
      </c>
      <c r="N177" s="778">
        <f t="shared" si="21"/>
        <v>1288334.6004335254</v>
      </c>
      <c r="O177" s="755">
        <f>SUM(B177:N177)</f>
        <v>15995635.308259958</v>
      </c>
      <c r="P177" s="39">
        <f>O177/12</f>
        <v>1332969.6090216632</v>
      </c>
    </row>
    <row r="178" spans="1:35">
      <c r="B178" s="779">
        <f>(B177*1)/B163</f>
        <v>45044.115759698136</v>
      </c>
      <c r="C178" s="779">
        <f t="shared" ref="C178:N178" si="22">(C177*1)/C163</f>
        <v>43719.912713424477</v>
      </c>
      <c r="D178" s="779">
        <f t="shared" si="22"/>
        <v>46624.802774168253</v>
      </c>
      <c r="E178" s="779"/>
      <c r="F178" s="779">
        <f t="shared" si="22"/>
        <v>47867.938023280767</v>
      </c>
      <c r="G178" s="779">
        <f t="shared" si="22"/>
        <v>40299.829257861471</v>
      </c>
      <c r="H178" s="779">
        <f t="shared" si="22"/>
        <v>47801.10124660116</v>
      </c>
      <c r="I178" s="779">
        <f t="shared" si="22"/>
        <v>43047.793049164145</v>
      </c>
      <c r="J178" s="779">
        <f t="shared" si="22"/>
        <v>41791.317414037148</v>
      </c>
      <c r="K178" s="779">
        <f t="shared" si="22"/>
        <v>43057.212512255232</v>
      </c>
      <c r="L178" s="779">
        <f t="shared" si="22"/>
        <v>40199.623554945356</v>
      </c>
      <c r="M178" s="779">
        <f t="shared" si="22"/>
        <v>45196.393198300626</v>
      </c>
      <c r="N178" s="779">
        <f t="shared" si="22"/>
        <v>41559.180659145983</v>
      </c>
      <c r="O178" s="620"/>
    </row>
    <row r="179" spans="1:35" ht="15" thickBot="1">
      <c r="H179" t="s">
        <v>1032</v>
      </c>
    </row>
    <row r="180" spans="1:35" ht="15" thickBot="1">
      <c r="C180" t="s">
        <v>220</v>
      </c>
      <c r="D180" s="619">
        <v>46113</v>
      </c>
      <c r="E180" s="619"/>
      <c r="F180" s="619">
        <v>46143</v>
      </c>
      <c r="G180" s="619">
        <v>46174</v>
      </c>
      <c r="H180" s="619">
        <v>46204</v>
      </c>
      <c r="I180" s="619">
        <v>46235</v>
      </c>
      <c r="J180" s="619">
        <v>46266</v>
      </c>
      <c r="K180" s="619">
        <v>46296</v>
      </c>
      <c r="L180" s="619">
        <v>46327</v>
      </c>
      <c r="M180" s="619">
        <v>46357</v>
      </c>
      <c r="N180" s="619">
        <v>46388</v>
      </c>
      <c r="O180" s="619">
        <v>46419</v>
      </c>
      <c r="P180" s="619">
        <v>46447</v>
      </c>
      <c r="Q180" t="s">
        <v>91</v>
      </c>
      <c r="R180" t="s">
        <v>266</v>
      </c>
    </row>
    <row r="181" spans="1:35">
      <c r="A181" s="1421" t="s">
        <v>267</v>
      </c>
      <c r="B181" t="s">
        <v>268</v>
      </c>
      <c r="C181" t="s">
        <v>94</v>
      </c>
      <c r="D181">
        <v>0</v>
      </c>
      <c r="F181">
        <v>0</v>
      </c>
      <c r="G181">
        <v>0</v>
      </c>
      <c r="H181">
        <v>0</v>
      </c>
      <c r="I181">
        <v>0</v>
      </c>
      <c r="J181">
        <v>0</v>
      </c>
      <c r="K181">
        <v>0</v>
      </c>
      <c r="L181">
        <v>0</v>
      </c>
      <c r="M181">
        <v>0</v>
      </c>
      <c r="N181">
        <v>0</v>
      </c>
      <c r="O181">
        <v>0</v>
      </c>
      <c r="P181">
        <v>0</v>
      </c>
      <c r="Q181">
        <v>0</v>
      </c>
      <c r="R181">
        <v>0</v>
      </c>
    </row>
    <row r="182" spans="1:35">
      <c r="A182" s="1421"/>
      <c r="B182" t="s">
        <v>269</v>
      </c>
      <c r="C182" t="s">
        <v>94</v>
      </c>
      <c r="D182" s="1011">
        <v>96326.28842105261</v>
      </c>
      <c r="E182" s="1011"/>
      <c r="F182" s="1011">
        <v>83111.892105263192</v>
      </c>
      <c r="G182" s="1011">
        <v>86394.534736842063</v>
      </c>
      <c r="H182" s="1011">
        <v>77919.94315789477</v>
      </c>
      <c r="I182" s="1011">
        <v>130832.62736842115</v>
      </c>
      <c r="J182" s="1011">
        <v>165509.40631578953</v>
      </c>
      <c r="K182" s="1011">
        <v>192346.40105263161</v>
      </c>
      <c r="L182" s="1011">
        <v>151547.10473684216</v>
      </c>
      <c r="M182" s="1011">
        <v>193751.39684210523</v>
      </c>
      <c r="N182" s="1011">
        <v>236541.74610526284</v>
      </c>
      <c r="O182" s="1011">
        <v>216059.34502923986</v>
      </c>
      <c r="P182" s="1011">
        <v>190733.02923976618</v>
      </c>
      <c r="Q182" s="752">
        <f>SUM(D182:P182)</f>
        <v>1821073.7151111113</v>
      </c>
      <c r="R182" s="753">
        <f>Q182/12</f>
        <v>151756.14292592593</v>
      </c>
      <c r="S182" s="752">
        <f>R182/30</f>
        <v>5058.5380975308644</v>
      </c>
    </row>
    <row r="183" spans="1:35">
      <c r="A183" s="1421"/>
      <c r="B183" t="s">
        <v>231</v>
      </c>
      <c r="C183" t="s">
        <v>94</v>
      </c>
      <c r="D183" s="46">
        <v>445132.79999999999</v>
      </c>
      <c r="E183" s="46"/>
      <c r="F183" s="46">
        <v>459970.56</v>
      </c>
      <c r="G183" s="46">
        <v>445132.79999999999</v>
      </c>
      <c r="H183" s="46">
        <v>459970.56</v>
      </c>
      <c r="I183" s="46">
        <v>430295.03999999998</v>
      </c>
      <c r="J183" s="46">
        <v>445132.79999999999</v>
      </c>
      <c r="K183" s="46">
        <v>415457.28000000003</v>
      </c>
      <c r="L183" s="46">
        <v>430295.03999999998</v>
      </c>
      <c r="M183" s="46">
        <v>445132.79999999999</v>
      </c>
      <c r="N183" s="46">
        <v>430295.03999999998</v>
      </c>
      <c r="O183" s="46">
        <v>415457.28000000003</v>
      </c>
      <c r="P183" s="46">
        <v>445132.79999999999</v>
      </c>
      <c r="Q183" s="19">
        <f>SUM(D183:P183)</f>
        <v>5267404.7999999998</v>
      </c>
      <c r="R183" s="212">
        <f t="shared" ref="R183:R185" si="23">Q183/12</f>
        <v>438950.39999999997</v>
      </c>
      <c r="S183" s="19"/>
    </row>
    <row r="184" spans="1:35">
      <c r="A184" s="1421"/>
      <c r="B184" t="s">
        <v>233</v>
      </c>
      <c r="C184" t="s">
        <v>94</v>
      </c>
      <c r="D184" s="46">
        <v>344486.74263157893</v>
      </c>
      <c r="E184" s="46"/>
      <c r="F184" s="46">
        <v>342876.08789473679</v>
      </c>
      <c r="G184" s="46">
        <v>325525.14768421056</v>
      </c>
      <c r="H184" s="46">
        <v>347900.12140350882</v>
      </c>
      <c r="I184" s="46">
        <v>309264.05277192983</v>
      </c>
      <c r="J184" s="46">
        <v>309036.0456140351</v>
      </c>
      <c r="K184" s="46">
        <v>269965.9418947369</v>
      </c>
      <c r="L184" s="46">
        <v>295957.45810526318</v>
      </c>
      <c r="M184" s="46">
        <v>305161.20989473688</v>
      </c>
      <c r="N184" s="46">
        <v>270270.30315789476</v>
      </c>
      <c r="O184" s="46">
        <v>244969.38526315789</v>
      </c>
      <c r="P184" s="46">
        <v>277644.90526315785</v>
      </c>
      <c r="Q184" s="19">
        <f>SUM(D184:P184)</f>
        <v>3643057.4015789479</v>
      </c>
      <c r="R184" s="212">
        <f t="shared" si="23"/>
        <v>303588.11679824564</v>
      </c>
      <c r="S184" s="19"/>
    </row>
    <row r="185" spans="1:35" ht="15" thickBot="1">
      <c r="A185" s="1421"/>
      <c r="B185" t="s">
        <v>235</v>
      </c>
      <c r="C185" t="s">
        <v>236</v>
      </c>
      <c r="D185" s="155">
        <v>0.7738965599290345</v>
      </c>
      <c r="E185" s="155"/>
      <c r="F185" s="155">
        <v>0.74543050732363569</v>
      </c>
      <c r="G185" s="155">
        <v>0.73129894648116378</v>
      </c>
      <c r="H185" s="155">
        <v>0.75635301833993207</v>
      </c>
      <c r="I185" s="155">
        <v>0.71872558134049103</v>
      </c>
      <c r="J185" s="155">
        <v>0.69425583918784484</v>
      </c>
      <c r="K185" s="155">
        <v>0.64980433582662667</v>
      </c>
      <c r="L185" s="155">
        <v>0.68780123076776156</v>
      </c>
      <c r="M185" s="155">
        <v>0.68555094096579017</v>
      </c>
      <c r="N185" s="155">
        <v>0.62810462132655487</v>
      </c>
      <c r="O185" s="155">
        <v>0.58963796533582913</v>
      </c>
      <c r="P185" s="155">
        <v>0.62373499608017624</v>
      </c>
      <c r="Q185" s="156">
        <f>SUM(D185:P185)</f>
        <v>8.2845945429048395</v>
      </c>
      <c r="R185" s="156">
        <f t="shared" si="23"/>
        <v>0.69038287857540326</v>
      </c>
      <c r="S185" s="19"/>
    </row>
    <row r="186" spans="1:35" ht="15" thickBot="1">
      <c r="D186" s="619">
        <v>46113</v>
      </c>
      <c r="E186" s="619"/>
      <c r="F186" s="619">
        <v>46143</v>
      </c>
      <c r="G186" s="619">
        <v>46174</v>
      </c>
      <c r="H186" s="619">
        <v>46204</v>
      </c>
      <c r="I186" s="619">
        <v>46235</v>
      </c>
      <c r="J186" s="619">
        <v>46266</v>
      </c>
      <c r="K186" s="619">
        <v>46296</v>
      </c>
      <c r="L186" s="619">
        <v>46327</v>
      </c>
      <c r="M186" s="619">
        <v>46357</v>
      </c>
      <c r="N186" s="619">
        <v>46388</v>
      </c>
      <c r="O186" s="619">
        <v>46419</v>
      </c>
      <c r="P186" s="619">
        <v>46447</v>
      </c>
      <c r="Q186" s="19" t="s">
        <v>91</v>
      </c>
      <c r="R186" s="19" t="s">
        <v>266</v>
      </c>
      <c r="S186" s="19"/>
      <c r="T186" s="41">
        <f>R182+R188+R191</f>
        <v>613190.13794609462</v>
      </c>
    </row>
    <row r="187" spans="1:35">
      <c r="A187" t="s">
        <v>34</v>
      </c>
      <c r="B187" t="s">
        <v>268</v>
      </c>
      <c r="C187" t="s">
        <v>94</v>
      </c>
      <c r="D187">
        <v>0</v>
      </c>
      <c r="F187">
        <v>0</v>
      </c>
      <c r="G187">
        <v>0</v>
      </c>
      <c r="H187">
        <v>0</v>
      </c>
      <c r="I187">
        <v>0</v>
      </c>
      <c r="J187">
        <v>0</v>
      </c>
      <c r="K187">
        <v>0</v>
      </c>
      <c r="L187">
        <v>0</v>
      </c>
      <c r="M187">
        <v>0</v>
      </c>
      <c r="N187">
        <v>0</v>
      </c>
      <c r="O187">
        <v>0</v>
      </c>
      <c r="P187">
        <v>0</v>
      </c>
      <c r="Q187" s="19">
        <v>0</v>
      </c>
      <c r="R187" s="19">
        <v>0</v>
      </c>
      <c r="S187" s="19"/>
    </row>
    <row r="188" spans="1:35">
      <c r="A188" t="s">
        <v>271</v>
      </c>
      <c r="B188" t="s">
        <v>269</v>
      </c>
      <c r="C188" t="s">
        <v>94</v>
      </c>
      <c r="D188" s="1011">
        <v>129572.20436027308</v>
      </c>
      <c r="E188" s="1011"/>
      <c r="F188" s="1011">
        <v>143426.57123981504</v>
      </c>
      <c r="G188" s="1011">
        <v>82226.31578947368</v>
      </c>
      <c r="H188" s="1011">
        <v>87480.350877192977</v>
      </c>
      <c r="I188" s="1011">
        <v>114311.47719298245</v>
      </c>
      <c r="J188" s="1011">
        <v>155330.35087719298</v>
      </c>
      <c r="K188" s="1012">
        <v>100160.35087719299</v>
      </c>
      <c r="L188" s="1012">
        <v>182743.50877192983</v>
      </c>
      <c r="M188" s="1012">
        <v>218937.19298245618</v>
      </c>
      <c r="N188" s="1011">
        <v>233287.36842105267</v>
      </c>
      <c r="O188" s="1011">
        <v>234664.81052631582</v>
      </c>
      <c r="P188" s="1011">
        <v>235017.89473684214</v>
      </c>
      <c r="Q188" s="752">
        <f t="shared" ref="Q188:Q197" si="24">SUM(D188:P188)</f>
        <v>1917158.3966527199</v>
      </c>
      <c r="R188" s="753">
        <f t="shared" ref="R188:R197" si="25">Q188/12</f>
        <v>159763.19972105999</v>
      </c>
      <c r="S188" s="752">
        <f>R188/30</f>
        <v>5325.4399907019997</v>
      </c>
    </row>
    <row r="189" spans="1:35">
      <c r="A189" t="s">
        <v>272</v>
      </c>
      <c r="B189" t="s">
        <v>272</v>
      </c>
      <c r="C189" t="s">
        <v>94</v>
      </c>
      <c r="D189" s="1010">
        <v>1331.578947368421</v>
      </c>
      <c r="E189" s="1010"/>
      <c r="F189" s="1010">
        <v>5777.5515789473675</v>
      </c>
      <c r="G189" s="1010">
        <v>0</v>
      </c>
      <c r="H189" s="1010">
        <v>1016.8421052631578</v>
      </c>
      <c r="I189" s="1010">
        <v>1573.6842105263156</v>
      </c>
      <c r="J189" s="1010">
        <v>0</v>
      </c>
      <c r="K189" s="1013">
        <v>7030.7368421052633</v>
      </c>
      <c r="L189" s="1013">
        <v>501.15789473684208</v>
      </c>
      <c r="M189" s="1013">
        <v>0</v>
      </c>
      <c r="N189" s="1010">
        <v>0</v>
      </c>
      <c r="O189" s="1010">
        <v>0</v>
      </c>
      <c r="P189" s="1010">
        <v>0</v>
      </c>
      <c r="Q189" s="752">
        <f t="shared" si="24"/>
        <v>17231.551578947368</v>
      </c>
      <c r="R189" s="753">
        <f t="shared" si="25"/>
        <v>1435.9626315789474</v>
      </c>
      <c r="S189" s="752"/>
      <c r="W189" s="838"/>
    </row>
    <row r="190" spans="1:35">
      <c r="B190" t="s">
        <v>33</v>
      </c>
      <c r="C190" t="s">
        <v>94</v>
      </c>
      <c r="D190" s="1011">
        <v>129572.20436027308</v>
      </c>
      <c r="E190" s="1011"/>
      <c r="F190" s="1011">
        <v>143426.57123981504</v>
      </c>
      <c r="G190" s="1011">
        <v>82226.31578947368</v>
      </c>
      <c r="H190" s="1011">
        <v>87480.350877192977</v>
      </c>
      <c r="I190" s="1011">
        <v>114311.47719298245</v>
      </c>
      <c r="J190" s="1011">
        <v>155330.35087719298</v>
      </c>
      <c r="K190" s="1012">
        <v>100160.35087719299</v>
      </c>
      <c r="L190" s="1012">
        <v>182743.50877192983</v>
      </c>
      <c r="M190" s="1012">
        <v>218937.19298245618</v>
      </c>
      <c r="N190" s="1011">
        <v>233287.36842105267</v>
      </c>
      <c r="O190" s="1011">
        <v>234664.81052631582</v>
      </c>
      <c r="P190" s="1011">
        <v>235017.89473684214</v>
      </c>
      <c r="Q190" s="752">
        <f t="shared" si="24"/>
        <v>1917158.3966527199</v>
      </c>
      <c r="R190" s="753">
        <f t="shared" si="25"/>
        <v>159763.19972105999</v>
      </c>
      <c r="S190" s="752"/>
      <c r="W190" s="838">
        <f>(D190/SUM(D$190:D$194))*6.5</f>
        <v>1.2275138734001485</v>
      </c>
      <c r="X190" s="838">
        <f t="shared" ref="X190:AH190" si="26">(F190/SUM(F$190:F$194))*6.5</f>
        <v>1.6475993770703374</v>
      </c>
      <c r="Y190" s="838">
        <f t="shared" si="26"/>
        <v>1.1011720773123943</v>
      </c>
      <c r="Z190" s="838">
        <f t="shared" si="26"/>
        <v>0.96001675901763683</v>
      </c>
      <c r="AA190" s="838">
        <f t="shared" si="26"/>
        <v>0.85416776743529343</v>
      </c>
      <c r="AB190" s="838">
        <f t="shared" si="26"/>
        <v>1.6738157528765691</v>
      </c>
      <c r="AC190" s="838">
        <f t="shared" si="26"/>
        <v>1.280336257369953</v>
      </c>
      <c r="AD190" s="838">
        <f t="shared" si="26"/>
        <v>2.3371965059807214</v>
      </c>
      <c r="AE190" s="838">
        <f t="shared" si="26"/>
        <v>2.8777787016398682</v>
      </c>
      <c r="AF190" s="838">
        <f t="shared" si="26"/>
        <v>3.0870220447008068</v>
      </c>
      <c r="AG190" s="838">
        <f t="shared" si="26"/>
        <v>2.9849098382030874</v>
      </c>
      <c r="AH190" s="838">
        <f t="shared" si="26"/>
        <v>2.7645081386826815</v>
      </c>
      <c r="AI190" s="838"/>
    </row>
    <row r="191" spans="1:35">
      <c r="A191" t="s">
        <v>92</v>
      </c>
      <c r="B191" t="s">
        <v>273</v>
      </c>
      <c r="C191" t="s">
        <v>94</v>
      </c>
      <c r="D191" s="1065">
        <v>460411.64024567843</v>
      </c>
      <c r="E191" s="1065"/>
      <c r="F191" s="1014">
        <v>318864.58668767568</v>
      </c>
      <c r="G191" s="1014">
        <v>276183.06700537977</v>
      </c>
      <c r="H191" s="1014">
        <v>375130.63631719211</v>
      </c>
      <c r="I191" s="1065">
        <v>636810.07957177632</v>
      </c>
      <c r="J191" s="1014">
        <v>340280.31888946606</v>
      </c>
      <c r="K191" s="1015">
        <v>290110.77081198042</v>
      </c>
      <c r="L191" s="1015">
        <v>238101.81614365615</v>
      </c>
      <c r="M191" s="1015">
        <v>162912.3909009163</v>
      </c>
      <c r="N191" s="1014">
        <v>144536.62180597585</v>
      </c>
      <c r="O191" s="1014">
        <v>179386.83792063277</v>
      </c>
      <c r="P191" s="1014">
        <v>197320.77728897543</v>
      </c>
      <c r="Q191" s="752">
        <f t="shared" si="24"/>
        <v>3620049.5435893051</v>
      </c>
      <c r="R191" s="753">
        <f t="shared" si="25"/>
        <v>301670.79529910878</v>
      </c>
      <c r="S191" s="752">
        <f>R191/30</f>
        <v>10055.69317663696</v>
      </c>
      <c r="W191" s="838">
        <f>(D191/SUM(D$190:D$194))*3.5</f>
        <v>2.3486350870886268</v>
      </c>
      <c r="X191" s="838">
        <f t="shared" ref="X191:AH191" si="27">(F191/SUM(F$190:F$194))*3.5</f>
        <v>1.9723454356552084</v>
      </c>
      <c r="Y191" s="838">
        <f t="shared" si="27"/>
        <v>1.9915723787170476</v>
      </c>
      <c r="Z191" s="838">
        <f t="shared" si="27"/>
        <v>2.2166928463364415</v>
      </c>
      <c r="AA191" s="838">
        <f t="shared" si="27"/>
        <v>2.5622290962146699</v>
      </c>
      <c r="AB191" s="838">
        <f t="shared" si="27"/>
        <v>1.9744350246188045</v>
      </c>
      <c r="AC191" s="838">
        <f t="shared" si="27"/>
        <v>1.9968560005551845</v>
      </c>
      <c r="AD191" s="838">
        <f t="shared" si="27"/>
        <v>1.6397236657788263</v>
      </c>
      <c r="AE191" s="838">
        <f t="shared" si="27"/>
        <v>1.153046053165848</v>
      </c>
      <c r="AF191" s="838">
        <f t="shared" si="27"/>
        <v>1.0298668862985425</v>
      </c>
      <c r="AG191" s="838">
        <f t="shared" si="27"/>
        <v>1.2286509206529406</v>
      </c>
      <c r="AH191" s="838">
        <f t="shared" si="27"/>
        <v>1.2498112987398184</v>
      </c>
      <c r="AI191" s="838"/>
    </row>
    <row r="192" spans="1:35">
      <c r="B192" t="s">
        <v>274</v>
      </c>
      <c r="C192" t="s">
        <v>94</v>
      </c>
      <c r="D192" s="100"/>
      <c r="E192" s="100"/>
      <c r="F192" s="100"/>
      <c r="G192" s="100"/>
      <c r="H192" s="100"/>
      <c r="I192" s="100"/>
      <c r="J192" s="100"/>
      <c r="K192" s="100"/>
      <c r="L192" s="100"/>
      <c r="M192" s="100"/>
      <c r="N192" s="100"/>
      <c r="O192" s="100"/>
      <c r="P192" s="100"/>
      <c r="Q192" s="752">
        <f t="shared" si="24"/>
        <v>0</v>
      </c>
      <c r="R192" s="753">
        <f t="shared" si="25"/>
        <v>0</v>
      </c>
      <c r="S192" s="752"/>
    </row>
    <row r="193" spans="1:35">
      <c r="B193" t="s">
        <v>275</v>
      </c>
      <c r="C193" t="s">
        <v>94</v>
      </c>
      <c r="D193" s="100"/>
      <c r="E193" s="100"/>
      <c r="F193" s="100"/>
      <c r="G193" s="100"/>
      <c r="H193" s="100"/>
      <c r="I193" s="100"/>
      <c r="J193" s="100"/>
      <c r="K193" s="100"/>
      <c r="L193" s="100"/>
      <c r="M193" s="100"/>
      <c r="N193" s="100"/>
      <c r="O193" s="100"/>
      <c r="P193" s="100"/>
      <c r="Q193" s="752">
        <f t="shared" si="24"/>
        <v>0</v>
      </c>
      <c r="R193" s="753">
        <f t="shared" si="25"/>
        <v>0</v>
      </c>
      <c r="S193" s="752"/>
    </row>
    <row r="194" spans="1:35">
      <c r="A194" t="s">
        <v>271</v>
      </c>
      <c r="B194" t="s">
        <v>45</v>
      </c>
      <c r="C194" t="s">
        <v>94</v>
      </c>
      <c r="D194" s="1066">
        <v>96134.126516339704</v>
      </c>
      <c r="E194" s="1066"/>
      <c r="F194" s="1066">
        <v>103545.85684275601</v>
      </c>
      <c r="G194" s="1066">
        <v>126956.22322019395</v>
      </c>
      <c r="H194" s="1066">
        <v>129693.54849269241</v>
      </c>
      <c r="I194" s="1066">
        <v>118759.78280554168</v>
      </c>
      <c r="J194" s="1066">
        <v>107590.29722543964</v>
      </c>
      <c r="K194" s="1066">
        <v>118222.07840118057</v>
      </c>
      <c r="L194" s="1066">
        <v>87384.429826030057</v>
      </c>
      <c r="M194" s="1066">
        <v>112660.9056045903</v>
      </c>
      <c r="N194" s="1066">
        <v>113383.35224720002</v>
      </c>
      <c r="O194" s="1066">
        <v>96959.186419438731</v>
      </c>
      <c r="P194" s="1066">
        <v>120242.92265792961</v>
      </c>
      <c r="Q194" s="752">
        <f t="shared" si="24"/>
        <v>1331532.7102593328</v>
      </c>
      <c r="R194" s="753">
        <f t="shared" si="25"/>
        <v>110961.05918827774</v>
      </c>
      <c r="S194" s="752">
        <f>R194/30</f>
        <v>3698.7019729425911</v>
      </c>
      <c r="W194" s="838">
        <f>(D194/SUM(D$190:D$194))*7</f>
        <v>0.98079180831489343</v>
      </c>
      <c r="X194" s="838">
        <f t="shared" ref="X194:AH194" si="28">(F194/SUM(F$190:F$194))*7</f>
        <v>1.2809713379984509</v>
      </c>
      <c r="Y194" s="838">
        <f t="shared" si="28"/>
        <v>1.8309776208448652</v>
      </c>
      <c r="Z194" s="838">
        <f t="shared" si="28"/>
        <v>1.5327501053081227</v>
      </c>
      <c r="AA194" s="838">
        <f t="shared" si="28"/>
        <v>0.95566882725572921</v>
      </c>
      <c r="AB194" s="838">
        <f t="shared" si="28"/>
        <v>1.2485591399722387</v>
      </c>
      <c r="AC194" s="838">
        <f t="shared" si="28"/>
        <v>1.6274643371066047</v>
      </c>
      <c r="AD194" s="838">
        <f t="shared" si="28"/>
        <v>1.2035718158477242</v>
      </c>
      <c r="AE194" s="838">
        <f t="shared" si="28"/>
        <v>1.5947615995945998</v>
      </c>
      <c r="AF194" s="838">
        <f t="shared" si="28"/>
        <v>1.6157809484943544</v>
      </c>
      <c r="AG194" s="838">
        <f t="shared" si="28"/>
        <v>1.3281798713984856</v>
      </c>
      <c r="AH194" s="838">
        <f t="shared" si="28"/>
        <v>1.5232147916313215</v>
      </c>
      <c r="AI194" s="838"/>
    </row>
    <row r="195" spans="1:35">
      <c r="B195" t="s">
        <v>231</v>
      </c>
      <c r="C195" t="s">
        <v>94</v>
      </c>
      <c r="D195" s="756">
        <v>703479.56526245584</v>
      </c>
      <c r="E195" s="756"/>
      <c r="F195" s="756">
        <v>726928.88410453778</v>
      </c>
      <c r="G195" s="756">
        <v>703479.56526245584</v>
      </c>
      <c r="H195" s="756">
        <v>726928.88410453778</v>
      </c>
      <c r="I195" s="756">
        <v>680030.24642037402</v>
      </c>
      <c r="J195" s="756">
        <v>703479.56526245584</v>
      </c>
      <c r="K195" s="756">
        <v>656580.92757829209</v>
      </c>
      <c r="L195" s="756">
        <v>680030.24642037402</v>
      </c>
      <c r="M195" s="756">
        <v>703479.56526245584</v>
      </c>
      <c r="N195" s="756">
        <v>680030.24642037402</v>
      </c>
      <c r="O195" s="756">
        <v>656580.92757829209</v>
      </c>
      <c r="P195" s="756">
        <v>703479.56526245584</v>
      </c>
      <c r="Q195" s="752">
        <f t="shared" si="24"/>
        <v>8324508.1889390601</v>
      </c>
      <c r="R195" s="753">
        <f t="shared" si="25"/>
        <v>693709.01574492163</v>
      </c>
      <c r="S195" s="752"/>
      <c r="W195" s="44">
        <f>SUM(W190:W194)</f>
        <v>4.5569407688036687</v>
      </c>
      <c r="X195" s="44">
        <f t="shared" ref="X195:AH195" si="29">SUM(X190:X194)</f>
        <v>4.9009161507239964</v>
      </c>
      <c r="Y195" s="44">
        <f t="shared" si="29"/>
        <v>4.9237220768743075</v>
      </c>
      <c r="Z195" s="44">
        <f t="shared" si="29"/>
        <v>4.7094597106622009</v>
      </c>
      <c r="AA195" s="44">
        <f t="shared" si="29"/>
        <v>4.3720656909056927</v>
      </c>
      <c r="AB195" s="44">
        <f t="shared" si="29"/>
        <v>4.8968099174676123</v>
      </c>
      <c r="AC195" s="44">
        <f t="shared" si="29"/>
        <v>4.9046565950317422</v>
      </c>
      <c r="AD195" s="44">
        <f t="shared" si="29"/>
        <v>5.1804919876072724</v>
      </c>
      <c r="AE195" s="44">
        <f t="shared" si="29"/>
        <v>5.6255863544003155</v>
      </c>
      <c r="AF195" s="44">
        <f t="shared" si="29"/>
        <v>5.7326698794937032</v>
      </c>
      <c r="AG195" s="44">
        <f t="shared" si="29"/>
        <v>5.5417406302545134</v>
      </c>
      <c r="AH195" s="44">
        <f t="shared" si="29"/>
        <v>5.5375342290538221</v>
      </c>
    </row>
    <row r="196" spans="1:35">
      <c r="B196" t="s">
        <v>233</v>
      </c>
      <c r="C196" t="s">
        <v>94</v>
      </c>
      <c r="D196" s="46">
        <v>330848.58762801881</v>
      </c>
      <c r="E196" s="46"/>
      <c r="F196" s="46">
        <v>459263.69519589725</v>
      </c>
      <c r="G196" s="46">
        <v>408621.75401351042</v>
      </c>
      <c r="H196" s="46">
        <v>423611.83256602788</v>
      </c>
      <c r="I196" s="46">
        <v>338236.82313095342</v>
      </c>
      <c r="J196" s="46">
        <v>352131.29943676793</v>
      </c>
      <c r="K196" s="46">
        <v>175814.48658598273</v>
      </c>
      <c r="L196" s="46">
        <v>175889.57797057688</v>
      </c>
      <c r="M196" s="46">
        <v>224318.60637771239</v>
      </c>
      <c r="N196" s="46">
        <v>185862.32209513683</v>
      </c>
      <c r="O196" s="46">
        <v>188001.50151795341</v>
      </c>
      <c r="P196" s="46">
        <v>-123422.80844325018</v>
      </c>
      <c r="Q196" s="19">
        <f t="shared" si="24"/>
        <v>3139177.6780752875</v>
      </c>
      <c r="R196" s="212">
        <f t="shared" si="25"/>
        <v>261598.13983960729</v>
      </c>
      <c r="S196" s="19"/>
    </row>
    <row r="197" spans="1:35">
      <c r="B197" t="s">
        <v>235</v>
      </c>
      <c r="C197" t="s">
        <v>236</v>
      </c>
      <c r="D197" s="155">
        <v>0.47030305351454671</v>
      </c>
      <c r="E197" s="155"/>
      <c r="F197" s="155">
        <v>0.63178627956383659</v>
      </c>
      <c r="G197" s="155">
        <v>0.58085802941704612</v>
      </c>
      <c r="H197" s="155">
        <v>0.58274178097607321</v>
      </c>
      <c r="I197" s="155">
        <v>0.49738496914130742</v>
      </c>
      <c r="J197" s="155">
        <v>0.50055654325281496</v>
      </c>
      <c r="K197" s="155">
        <v>0.26777275915468657</v>
      </c>
      <c r="L197" s="155">
        <v>0.25864963933067076</v>
      </c>
      <c r="M197" s="155">
        <v>0.31887011002803339</v>
      </c>
      <c r="N197" s="155">
        <v>0.27331478720763014</v>
      </c>
      <c r="O197" s="155">
        <v>0.28633408864215859</v>
      </c>
      <c r="P197" s="155">
        <v>-0.17544618854309335</v>
      </c>
      <c r="Q197" s="19">
        <f t="shared" si="24"/>
        <v>4.4931258516857113</v>
      </c>
      <c r="R197" s="212">
        <f t="shared" si="25"/>
        <v>0.37442715430714263</v>
      </c>
      <c r="S197" s="19"/>
    </row>
    <row r="198" spans="1:35">
      <c r="D198" s="19">
        <f t="shared" ref="D198:P198" si="30">D194+D191+D190</f>
        <v>686117.97112229117</v>
      </c>
      <c r="E198" s="19"/>
      <c r="F198" s="19">
        <f t="shared" si="30"/>
        <v>565837.01477024681</v>
      </c>
      <c r="G198" s="19">
        <f t="shared" si="30"/>
        <v>485365.60601504741</v>
      </c>
      <c r="H198" s="19">
        <f t="shared" si="30"/>
        <v>592304.53568707756</v>
      </c>
      <c r="I198" s="19">
        <f t="shared" si="30"/>
        <v>869881.33957030042</v>
      </c>
      <c r="J198" s="19">
        <f t="shared" si="30"/>
        <v>603200.96699209861</v>
      </c>
      <c r="K198" s="19">
        <f t="shared" si="30"/>
        <v>508493.20009035396</v>
      </c>
      <c r="L198" s="19">
        <f t="shared" si="30"/>
        <v>508229.75474161602</v>
      </c>
      <c r="M198" s="19">
        <f t="shared" si="30"/>
        <v>494510.4894879628</v>
      </c>
      <c r="N198" s="19">
        <f t="shared" si="30"/>
        <v>491207.34247422859</v>
      </c>
      <c r="O198" s="19">
        <f t="shared" si="30"/>
        <v>511010.8348663873</v>
      </c>
      <c r="P198" s="19">
        <f t="shared" si="30"/>
        <v>552581.59468374716</v>
      </c>
      <c r="Q198" s="19">
        <v>0</v>
      </c>
      <c r="R198" s="19"/>
      <c r="S198" s="19"/>
    </row>
    <row r="199" spans="1:35">
      <c r="A199" s="157" t="s">
        <v>277</v>
      </c>
      <c r="B199" s="157" t="s">
        <v>278</v>
      </c>
      <c r="C199" s="157" t="s">
        <v>94</v>
      </c>
      <c r="D199" s="157">
        <v>33313.264844912286</v>
      </c>
      <c r="E199" s="157"/>
      <c r="F199" s="157">
        <v>25996.780978947369</v>
      </c>
      <c r="G199" s="157">
        <v>30022.478374736842</v>
      </c>
      <c r="H199" s="157">
        <v>28574.447867549774</v>
      </c>
      <c r="I199" s="157">
        <v>25293.798319419238</v>
      </c>
      <c r="J199" s="157">
        <v>26643.232238596491</v>
      </c>
      <c r="K199" s="157">
        <v>41429.004466165417</v>
      </c>
      <c r="L199" s="157">
        <v>23725.841362105271</v>
      </c>
      <c r="M199" s="157">
        <v>23822.273529824564</v>
      </c>
      <c r="N199" s="157">
        <v>37846.599867586207</v>
      </c>
      <c r="O199" s="157">
        <v>33689.695354135336</v>
      </c>
      <c r="P199" s="157">
        <v>35323.212947368418</v>
      </c>
      <c r="Q199" s="158">
        <v>365680.63015134726</v>
      </c>
      <c r="R199" s="158">
        <v>30473.385845945606</v>
      </c>
      <c r="S199" s="158">
        <f>R199/30</f>
        <v>1015.7795281981869</v>
      </c>
    </row>
    <row r="200" spans="1:35">
      <c r="A200" s="157"/>
      <c r="B200" s="157" t="s">
        <v>279</v>
      </c>
      <c r="C200" s="157" t="s">
        <v>94</v>
      </c>
      <c r="D200" s="157">
        <v>0</v>
      </c>
      <c r="E200" s="157"/>
      <c r="F200" s="157">
        <v>0</v>
      </c>
      <c r="G200" s="157">
        <v>0</v>
      </c>
      <c r="H200" s="157">
        <v>0</v>
      </c>
      <c r="I200" s="157">
        <v>0</v>
      </c>
      <c r="J200" s="157">
        <v>0</v>
      </c>
      <c r="K200" s="157">
        <v>0</v>
      </c>
      <c r="L200" s="157">
        <v>0</v>
      </c>
      <c r="M200" s="157">
        <v>0</v>
      </c>
      <c r="N200" s="157">
        <v>0</v>
      </c>
      <c r="O200" s="157">
        <v>0</v>
      </c>
      <c r="P200" s="157">
        <v>0</v>
      </c>
      <c r="Q200" s="158">
        <v>0</v>
      </c>
      <c r="R200" s="158">
        <v>0</v>
      </c>
      <c r="S200" s="158"/>
    </row>
    <row r="201" spans="1:35">
      <c r="A201" s="157"/>
      <c r="B201" s="157" t="s">
        <v>281</v>
      </c>
      <c r="C201" s="157" t="s">
        <v>94</v>
      </c>
      <c r="D201" s="157">
        <v>8985.2140350877198</v>
      </c>
      <c r="E201" s="157"/>
      <c r="F201" s="157">
        <v>8520.3859649122805</v>
      </c>
      <c r="G201" s="157">
        <v>10705.17894736842</v>
      </c>
      <c r="H201" s="157">
        <v>7380.9847198641764</v>
      </c>
      <c r="I201" s="157">
        <v>8321.4373865698744</v>
      </c>
      <c r="J201" s="157">
        <v>10153.333333333334</v>
      </c>
      <c r="K201" s="157">
        <v>12246.187969924813</v>
      </c>
      <c r="L201" s="157">
        <v>8599.3684210526335</v>
      </c>
      <c r="M201" s="157">
        <v>8926.5122807017542</v>
      </c>
      <c r="N201" s="157">
        <v>10303.920145190561</v>
      </c>
      <c r="O201" s="157">
        <v>11200.285714285712</v>
      </c>
      <c r="P201" s="157">
        <v>9145.3333333333339</v>
      </c>
      <c r="Q201" s="158">
        <v>114488.14225162459</v>
      </c>
      <c r="R201" s="158">
        <v>9540.6785209687168</v>
      </c>
      <c r="S201" s="158">
        <f>R201/30</f>
        <v>318.02261736562389</v>
      </c>
    </row>
    <row r="202" spans="1:35">
      <c r="A202" s="157"/>
      <c r="B202" s="157" t="s">
        <v>282</v>
      </c>
      <c r="C202" s="157" t="s">
        <v>94</v>
      </c>
      <c r="D202" s="157">
        <v>14430.801687017545</v>
      </c>
      <c r="E202" s="157"/>
      <c r="F202" s="157">
        <v>8043.9739614035079</v>
      </c>
      <c r="G202" s="157">
        <v>7700.0853922807019</v>
      </c>
      <c r="H202" s="157">
        <v>12736.043792846891</v>
      </c>
      <c r="I202" s="157">
        <v>0</v>
      </c>
      <c r="J202" s="157">
        <v>0</v>
      </c>
      <c r="K202" s="157">
        <v>0</v>
      </c>
      <c r="L202" s="157">
        <v>5137.1746954385981</v>
      </c>
      <c r="M202" s="157">
        <v>4579.3191438596496</v>
      </c>
      <c r="N202" s="157">
        <v>16021.953769582577</v>
      </c>
      <c r="O202" s="157">
        <v>10028.860767669174</v>
      </c>
      <c r="P202" s="157">
        <v>15856.300666666668</v>
      </c>
      <c r="Q202" s="158">
        <v>94534.513876765297</v>
      </c>
      <c r="R202" s="158">
        <v>7877.8761563971084</v>
      </c>
      <c r="S202" s="158">
        <f>R202/30</f>
        <v>262.5958718799036</v>
      </c>
    </row>
    <row r="203" spans="1:35">
      <c r="A203" s="157"/>
      <c r="B203" s="157" t="s">
        <v>283</v>
      </c>
      <c r="C203" s="157" t="s">
        <v>94</v>
      </c>
      <c r="D203" s="157">
        <v>0</v>
      </c>
      <c r="E203" s="157"/>
      <c r="F203" s="157">
        <v>0</v>
      </c>
      <c r="G203" s="157">
        <v>0</v>
      </c>
      <c r="H203" s="157">
        <v>0</v>
      </c>
      <c r="I203" s="157"/>
      <c r="J203" s="157"/>
      <c r="K203" s="157"/>
      <c r="L203" s="157">
        <v>0</v>
      </c>
      <c r="M203" s="157">
        <v>0</v>
      </c>
      <c r="N203" s="157">
        <v>0</v>
      </c>
      <c r="O203" s="157">
        <v>0</v>
      </c>
      <c r="P203" s="157">
        <v>0</v>
      </c>
      <c r="Q203" s="158">
        <v>0</v>
      </c>
      <c r="R203" s="158">
        <v>0</v>
      </c>
      <c r="S203" s="158"/>
    </row>
    <row r="204" spans="1:35">
      <c r="A204" s="157"/>
      <c r="B204" s="157" t="s">
        <v>284</v>
      </c>
      <c r="C204" s="157" t="s">
        <v>94</v>
      </c>
      <c r="D204" s="157">
        <v>0</v>
      </c>
      <c r="E204" s="157"/>
      <c r="F204" s="157">
        <v>0</v>
      </c>
      <c r="G204" s="157">
        <v>0</v>
      </c>
      <c r="H204" s="157">
        <v>0</v>
      </c>
      <c r="I204" s="157"/>
      <c r="J204" s="157"/>
      <c r="K204" s="157"/>
      <c r="L204" s="157">
        <v>0</v>
      </c>
      <c r="M204" s="157">
        <v>0</v>
      </c>
      <c r="N204" s="157">
        <v>0</v>
      </c>
      <c r="O204" s="157">
        <v>0</v>
      </c>
      <c r="P204" s="157">
        <v>0</v>
      </c>
      <c r="Q204" s="158">
        <v>0</v>
      </c>
      <c r="R204" s="158">
        <v>0</v>
      </c>
      <c r="S204" s="158"/>
    </row>
    <row r="205" spans="1:35">
      <c r="A205" s="157"/>
      <c r="B205" s="157" t="s">
        <v>285</v>
      </c>
      <c r="C205" s="157" t="s">
        <v>94</v>
      </c>
      <c r="D205" s="157">
        <v>912.0350877192983</v>
      </c>
      <c r="E205" s="157"/>
      <c r="F205" s="157">
        <v>912.0350877192983</v>
      </c>
      <c r="G205" s="157">
        <v>912.0350877192983</v>
      </c>
      <c r="H205" s="157">
        <v>1076.4346349745331</v>
      </c>
      <c r="I205" s="157">
        <v>1150.6715063520871</v>
      </c>
      <c r="J205" s="157">
        <v>1112.3157894736842</v>
      </c>
      <c r="K205" s="157">
        <v>1489.2105263157896</v>
      </c>
      <c r="L205" s="157">
        <v>1389.9298245614036</v>
      </c>
      <c r="M205" s="157">
        <v>1389.9298245614036</v>
      </c>
      <c r="N205" s="157">
        <v>1216.8058076225045</v>
      </c>
      <c r="O205" s="157">
        <v>1260.2631578947369</v>
      </c>
      <c r="P205" s="157">
        <v>1176.2456140350878</v>
      </c>
      <c r="Q205" s="158">
        <v>13997.911948949126</v>
      </c>
      <c r="R205" s="158">
        <v>1166.4926624124271</v>
      </c>
      <c r="S205" s="158">
        <f>R205/30</f>
        <v>38.883088747080905</v>
      </c>
    </row>
    <row r="206" spans="1:35" ht="15" thickBot="1">
      <c r="Q206" s="19">
        <v>0</v>
      </c>
      <c r="R206" s="19">
        <v>0</v>
      </c>
      <c r="S206" s="19"/>
    </row>
    <row r="207" spans="1:35" ht="15" hidden="1" thickBot="1">
      <c r="A207" t="s">
        <v>286</v>
      </c>
      <c r="B207" t="s">
        <v>287</v>
      </c>
      <c r="C207" t="s">
        <v>94</v>
      </c>
      <c r="D207" t="e">
        <v>#REF!</v>
      </c>
      <c r="F207" t="e">
        <v>#REF!</v>
      </c>
      <c r="G207" t="e">
        <v>#REF!</v>
      </c>
      <c r="H207" t="e">
        <v>#REF!</v>
      </c>
      <c r="I207" t="e">
        <v>#REF!</v>
      </c>
      <c r="J207" t="e">
        <v>#REF!</v>
      </c>
      <c r="K207" t="e">
        <v>#REF!</v>
      </c>
      <c r="L207" t="e">
        <v>#REF!</v>
      </c>
      <c r="M207" t="e">
        <v>#REF!</v>
      </c>
      <c r="N207" t="e">
        <v>#REF!</v>
      </c>
      <c r="O207" t="e">
        <v>#REF!</v>
      </c>
      <c r="P207" t="e">
        <v>#REF!</v>
      </c>
      <c r="Q207" t="e">
        <v>#REF!</v>
      </c>
      <c r="R207" t="e">
        <v>#REF!</v>
      </c>
    </row>
    <row r="208" spans="1:35" ht="15" hidden="1" thickBot="1">
      <c r="A208" t="s">
        <v>92</v>
      </c>
      <c r="B208" t="s">
        <v>231</v>
      </c>
      <c r="C208" t="s">
        <v>94</v>
      </c>
      <c r="D208">
        <v>184550.40000000002</v>
      </c>
      <c r="F208">
        <v>184550.40000000002</v>
      </c>
      <c r="G208">
        <v>184550.40000000002</v>
      </c>
      <c r="H208">
        <v>190702.08000000002</v>
      </c>
      <c r="I208">
        <v>0</v>
      </c>
      <c r="J208">
        <v>0</v>
      </c>
      <c r="K208">
        <v>0</v>
      </c>
      <c r="L208">
        <v>184550.40000000002</v>
      </c>
      <c r="M208">
        <v>184550.40000000002</v>
      </c>
      <c r="N208">
        <v>178398.72</v>
      </c>
      <c r="O208">
        <v>172247.04000000001</v>
      </c>
      <c r="P208">
        <v>184550.40000000002</v>
      </c>
      <c r="Q208">
        <v>1648650.2400000002</v>
      </c>
      <c r="R208">
        <v>137387.52000000002</v>
      </c>
    </row>
    <row r="209" spans="1:18" ht="15" hidden="1" thickBot="1">
      <c r="B209" t="s">
        <v>233</v>
      </c>
      <c r="C209" t="s">
        <v>94</v>
      </c>
      <c r="D209" t="e">
        <v>#REF!</v>
      </c>
      <c r="F209" t="e">
        <v>#REF!</v>
      </c>
      <c r="G209" t="e">
        <v>#REF!</v>
      </c>
      <c r="H209" t="e">
        <v>#REF!</v>
      </c>
      <c r="I209" t="e">
        <v>#REF!</v>
      </c>
      <c r="J209" t="e">
        <v>#REF!</v>
      </c>
      <c r="K209" t="e">
        <v>#REF!</v>
      </c>
      <c r="L209" t="e">
        <v>#REF!</v>
      </c>
      <c r="M209" t="e">
        <v>#REF!</v>
      </c>
      <c r="N209" t="e">
        <v>#REF!</v>
      </c>
      <c r="O209" t="e">
        <v>#REF!</v>
      </c>
      <c r="P209" t="e">
        <v>#REF!</v>
      </c>
      <c r="Q209" t="e">
        <v>#REF!</v>
      </c>
      <c r="R209" t="e">
        <v>#REF!</v>
      </c>
    </row>
    <row r="210" spans="1:18" ht="15" hidden="1" thickBot="1">
      <c r="B210" t="s">
        <v>235</v>
      </c>
      <c r="C210" t="s">
        <v>236</v>
      </c>
      <c r="D210" t="e">
        <v>#REF!</v>
      </c>
      <c r="F210" t="e">
        <v>#REF!</v>
      </c>
      <c r="G210" t="e">
        <v>#REF!</v>
      </c>
      <c r="H210" t="e">
        <v>#REF!</v>
      </c>
      <c r="L210" t="e">
        <v>#REF!</v>
      </c>
      <c r="M210" t="e">
        <v>#REF!</v>
      </c>
      <c r="N210" t="e">
        <v>#REF!</v>
      </c>
      <c r="O210" t="e">
        <v>#REF!</v>
      </c>
      <c r="P210" t="e">
        <v>#REF!</v>
      </c>
      <c r="Q210" t="e">
        <v>#REF!</v>
      </c>
      <c r="R210" t="e">
        <v>#REF!</v>
      </c>
    </row>
    <row r="211" spans="1:18" ht="15" hidden="1" thickBot="1">
      <c r="Q211">
        <v>0</v>
      </c>
      <c r="R211">
        <v>0</v>
      </c>
    </row>
    <row r="212" spans="1:18" ht="15" hidden="1" thickBot="1">
      <c r="A212" t="s">
        <v>206</v>
      </c>
      <c r="B212" t="s">
        <v>268</v>
      </c>
      <c r="C212" t="s">
        <v>288</v>
      </c>
      <c r="Q212">
        <v>0</v>
      </c>
      <c r="R212">
        <v>0</v>
      </c>
    </row>
    <row r="213" spans="1:18" ht="15" hidden="1" thickBot="1">
      <c r="B213" t="s">
        <v>269</v>
      </c>
      <c r="C213" t="s">
        <v>288</v>
      </c>
      <c r="D213" t="e">
        <v>#REF!</v>
      </c>
      <c r="F213" t="e">
        <v>#REF!</v>
      </c>
      <c r="G213" t="e">
        <v>#REF!</v>
      </c>
      <c r="H213" t="e">
        <v>#REF!</v>
      </c>
      <c r="L213" t="e">
        <v>#REF!</v>
      </c>
      <c r="M213" t="e">
        <v>#REF!</v>
      </c>
      <c r="N213" t="e">
        <v>#REF!</v>
      </c>
      <c r="O213" t="e">
        <v>#REF!</v>
      </c>
      <c r="P213" t="e">
        <v>#REF!</v>
      </c>
      <c r="Q213" t="e">
        <v>#REF!</v>
      </c>
      <c r="R213" t="e">
        <v>#REF!</v>
      </c>
    </row>
    <row r="214" spans="1:18" ht="15" hidden="1" thickBot="1">
      <c r="B214" t="s">
        <v>231</v>
      </c>
      <c r="C214" t="s">
        <v>288</v>
      </c>
      <c r="D214">
        <v>353807.99999999994</v>
      </c>
      <c r="F214">
        <v>353807.99999999994</v>
      </c>
      <c r="G214">
        <v>353807.99999999994</v>
      </c>
      <c r="H214">
        <v>365601.6</v>
      </c>
      <c r="L214">
        <v>353807.99999999994</v>
      </c>
      <c r="M214">
        <v>353807.99999999994</v>
      </c>
      <c r="N214">
        <v>342014.39999999997</v>
      </c>
      <c r="O214">
        <v>330220.79999999993</v>
      </c>
      <c r="P214">
        <v>353807.99999999994</v>
      </c>
      <c r="Q214">
        <v>3160684.7999999993</v>
      </c>
      <c r="R214">
        <v>263390.39999999997</v>
      </c>
    </row>
    <row r="215" spans="1:18" ht="15" hidden="1" thickBot="1">
      <c r="B215" t="s">
        <v>233</v>
      </c>
      <c r="C215" t="s">
        <v>288</v>
      </c>
      <c r="D215" t="e">
        <v>#REF!</v>
      </c>
      <c r="F215" t="e">
        <v>#REF!</v>
      </c>
      <c r="G215" t="e">
        <v>#REF!</v>
      </c>
      <c r="H215" t="e">
        <v>#REF!</v>
      </c>
      <c r="L215" t="e">
        <v>#REF!</v>
      </c>
      <c r="M215" t="e">
        <v>#REF!</v>
      </c>
      <c r="N215" t="e">
        <v>#REF!</v>
      </c>
      <c r="O215" t="e">
        <v>#REF!</v>
      </c>
      <c r="P215" t="e">
        <v>#REF!</v>
      </c>
      <c r="Q215" t="e">
        <v>#REF!</v>
      </c>
      <c r="R215" t="e">
        <v>#REF!</v>
      </c>
    </row>
    <row r="216" spans="1:18" ht="15" hidden="1" thickBot="1">
      <c r="B216" t="s">
        <v>235</v>
      </c>
      <c r="C216" t="s">
        <v>236</v>
      </c>
      <c r="D216" t="e">
        <v>#REF!</v>
      </c>
      <c r="F216" t="e">
        <v>#REF!</v>
      </c>
      <c r="G216" t="e">
        <v>#REF!</v>
      </c>
      <c r="H216" t="e">
        <v>#REF!</v>
      </c>
      <c r="L216" t="e">
        <v>#REF!</v>
      </c>
      <c r="M216" t="e">
        <v>#REF!</v>
      </c>
      <c r="N216" t="e">
        <v>#REF!</v>
      </c>
      <c r="O216" t="e">
        <v>#REF!</v>
      </c>
      <c r="P216" t="e">
        <v>#REF!</v>
      </c>
      <c r="Q216" t="e">
        <v>#REF!</v>
      </c>
      <c r="R216" t="e">
        <v>#REF!</v>
      </c>
    </row>
    <row r="217" spans="1:18" ht="15" hidden="1" thickBot="1">
      <c r="Q217">
        <v>0</v>
      </c>
      <c r="R217">
        <v>0</v>
      </c>
    </row>
    <row r="218" spans="1:18" ht="15" hidden="1" thickBot="1">
      <c r="A218" t="s">
        <v>289</v>
      </c>
      <c r="B218" t="s">
        <v>268</v>
      </c>
      <c r="C218" t="s">
        <v>94</v>
      </c>
      <c r="Q218">
        <v>0</v>
      </c>
      <c r="R218">
        <v>0</v>
      </c>
    </row>
    <row r="219" spans="1:18" ht="15" hidden="1" thickBot="1">
      <c r="B219" t="s">
        <v>269</v>
      </c>
      <c r="C219" t="s">
        <v>94</v>
      </c>
      <c r="D219" t="e">
        <v>#REF!</v>
      </c>
      <c r="F219" t="e">
        <v>#REF!</v>
      </c>
      <c r="G219" t="e">
        <v>#REF!</v>
      </c>
      <c r="H219" t="e">
        <v>#REF!</v>
      </c>
      <c r="L219" t="e">
        <v>#REF!</v>
      </c>
      <c r="M219" t="e">
        <v>#REF!</v>
      </c>
      <c r="N219" t="e">
        <v>#REF!</v>
      </c>
      <c r="O219" t="e">
        <v>#REF!</v>
      </c>
      <c r="P219" t="e">
        <v>#REF!</v>
      </c>
      <c r="Q219" t="e">
        <v>#REF!</v>
      </c>
      <c r="R219" t="e">
        <v>#REF!</v>
      </c>
    </row>
    <row r="220" spans="1:18" ht="15" hidden="1" thickBot="1">
      <c r="B220" t="s">
        <v>231</v>
      </c>
      <c r="C220" t="s">
        <v>94</v>
      </c>
      <c r="D220">
        <v>212543.99999999997</v>
      </c>
      <c r="F220">
        <v>212543.99999999997</v>
      </c>
      <c r="G220">
        <v>212543.99999999997</v>
      </c>
      <c r="H220">
        <v>219628.79999999999</v>
      </c>
      <c r="L220">
        <v>212543.99999999997</v>
      </c>
      <c r="M220">
        <v>212543.99999999997</v>
      </c>
      <c r="N220">
        <v>205459.19999999998</v>
      </c>
      <c r="O220">
        <v>198374.39999999997</v>
      </c>
      <c r="P220">
        <v>212543.99999999997</v>
      </c>
      <c r="Q220">
        <v>1898726.3999999997</v>
      </c>
      <c r="R220">
        <v>158227.19999999998</v>
      </c>
    </row>
    <row r="221" spans="1:18" ht="15" hidden="1" thickBot="1">
      <c r="B221" t="s">
        <v>233</v>
      </c>
      <c r="C221" t="s">
        <v>94</v>
      </c>
      <c r="D221" t="e">
        <v>#REF!</v>
      </c>
      <c r="F221" t="e">
        <v>#REF!</v>
      </c>
      <c r="G221" t="e">
        <v>#REF!</v>
      </c>
      <c r="H221" t="e">
        <v>#REF!</v>
      </c>
      <c r="L221" t="e">
        <v>#REF!</v>
      </c>
      <c r="M221" t="e">
        <v>#REF!</v>
      </c>
      <c r="N221" t="e">
        <v>#REF!</v>
      </c>
      <c r="O221" t="e">
        <v>#REF!</v>
      </c>
      <c r="P221" t="e">
        <v>#REF!</v>
      </c>
      <c r="Q221" t="e">
        <v>#REF!</v>
      </c>
      <c r="R221" t="e">
        <v>#REF!</v>
      </c>
    </row>
    <row r="222" spans="1:18" ht="15" hidden="1" thickBot="1">
      <c r="B222" t="s">
        <v>235</v>
      </c>
      <c r="C222" t="s">
        <v>236</v>
      </c>
      <c r="D222" t="e">
        <v>#REF!</v>
      </c>
      <c r="F222" t="e">
        <v>#REF!</v>
      </c>
      <c r="G222" t="e">
        <v>#REF!</v>
      </c>
      <c r="H222" t="e">
        <v>#REF!</v>
      </c>
      <c r="L222" t="e">
        <v>#REF!</v>
      </c>
      <c r="M222" t="e">
        <v>#REF!</v>
      </c>
      <c r="N222" t="e">
        <v>#REF!</v>
      </c>
      <c r="O222" t="e">
        <v>#REF!</v>
      </c>
      <c r="P222" t="e">
        <v>#REF!</v>
      </c>
      <c r="Q222" t="e">
        <v>#REF!</v>
      </c>
      <c r="R222" t="e">
        <v>#REF!</v>
      </c>
    </row>
    <row r="223" spans="1:18" ht="15" hidden="1" thickBot="1">
      <c r="Q223">
        <v>0</v>
      </c>
      <c r="R223">
        <v>0</v>
      </c>
    </row>
    <row r="224" spans="1:18" ht="15" hidden="1" thickBot="1">
      <c r="A224" t="s">
        <v>208</v>
      </c>
      <c r="B224" t="s">
        <v>268</v>
      </c>
      <c r="C224" t="s">
        <v>290</v>
      </c>
      <c r="Q224">
        <v>0</v>
      </c>
      <c r="R224">
        <v>0</v>
      </c>
    </row>
    <row r="225" spans="1:18" ht="15" hidden="1" thickBot="1">
      <c r="B225" t="s">
        <v>269</v>
      </c>
      <c r="C225" t="s">
        <v>290</v>
      </c>
      <c r="D225" t="e">
        <v>#REF!</v>
      </c>
      <c r="F225" t="e">
        <v>#REF!</v>
      </c>
      <c r="G225" t="e">
        <v>#REF!</v>
      </c>
      <c r="H225" t="e">
        <v>#REF!</v>
      </c>
      <c r="L225" t="e">
        <v>#REF!</v>
      </c>
      <c r="M225" t="e">
        <v>#REF!</v>
      </c>
      <c r="N225" t="e">
        <v>#REF!</v>
      </c>
      <c r="O225" t="e">
        <v>#REF!</v>
      </c>
      <c r="P225" t="e">
        <v>#REF!</v>
      </c>
      <c r="Q225" t="e">
        <v>#REF!</v>
      </c>
      <c r="R225" t="e">
        <v>#REF!</v>
      </c>
    </row>
    <row r="226" spans="1:18" ht="15" hidden="1" thickBot="1">
      <c r="B226" t="s">
        <v>231</v>
      </c>
      <c r="C226" t="s">
        <v>290</v>
      </c>
      <c r="D226">
        <v>135000</v>
      </c>
      <c r="F226">
        <v>135000</v>
      </c>
      <c r="G226">
        <v>135000</v>
      </c>
      <c r="H226">
        <v>139500</v>
      </c>
      <c r="L226">
        <v>135000</v>
      </c>
      <c r="M226">
        <v>135000</v>
      </c>
      <c r="N226">
        <v>130500</v>
      </c>
      <c r="O226">
        <v>126000</v>
      </c>
      <c r="P226">
        <v>135000</v>
      </c>
      <c r="Q226">
        <v>1206000</v>
      </c>
      <c r="R226">
        <v>100500</v>
      </c>
    </row>
    <row r="227" spans="1:18" ht="15" hidden="1" thickBot="1">
      <c r="B227" t="s">
        <v>233</v>
      </c>
      <c r="C227" t="s">
        <v>290</v>
      </c>
      <c r="D227" t="e">
        <v>#REF!</v>
      </c>
      <c r="F227" t="e">
        <v>#REF!</v>
      </c>
      <c r="G227" t="e">
        <v>#REF!</v>
      </c>
      <c r="H227" t="e">
        <v>#REF!</v>
      </c>
      <c r="L227" t="e">
        <v>#REF!</v>
      </c>
      <c r="M227" t="e">
        <v>#REF!</v>
      </c>
      <c r="N227" t="e">
        <v>#REF!</v>
      </c>
      <c r="O227" t="e">
        <v>#REF!</v>
      </c>
      <c r="P227" t="e">
        <v>#REF!</v>
      </c>
      <c r="Q227" t="e">
        <v>#REF!</v>
      </c>
      <c r="R227" t="e">
        <v>#REF!</v>
      </c>
    </row>
    <row r="228" spans="1:18" ht="15" hidden="1" thickBot="1">
      <c r="B228" t="s">
        <v>235</v>
      </c>
      <c r="C228" t="s">
        <v>236</v>
      </c>
      <c r="D228" t="e">
        <v>#REF!</v>
      </c>
      <c r="F228" t="e">
        <v>#REF!</v>
      </c>
      <c r="G228" t="e">
        <v>#REF!</v>
      </c>
      <c r="H228" t="e">
        <v>#REF!</v>
      </c>
      <c r="L228" t="e">
        <v>#REF!</v>
      </c>
      <c r="M228" t="e">
        <v>#REF!</v>
      </c>
      <c r="N228" t="e">
        <v>#REF!</v>
      </c>
      <c r="O228" t="e">
        <v>#REF!</v>
      </c>
      <c r="P228" t="e">
        <v>#REF!</v>
      </c>
      <c r="Q228" t="e">
        <v>#REF!</v>
      </c>
      <c r="R228" t="e">
        <v>#REF!</v>
      </c>
    </row>
    <row r="229" spans="1:18" ht="15" hidden="1" thickBot="1">
      <c r="Q229">
        <v>0</v>
      </c>
      <c r="R229">
        <v>0</v>
      </c>
    </row>
    <row r="230" spans="1:18" ht="15" hidden="1" thickBot="1">
      <c r="A230" t="s">
        <v>291</v>
      </c>
      <c r="B230" t="s">
        <v>268</v>
      </c>
      <c r="C230" t="s">
        <v>290</v>
      </c>
      <c r="Q230">
        <v>0</v>
      </c>
      <c r="R230">
        <v>0</v>
      </c>
    </row>
    <row r="231" spans="1:18" ht="15" hidden="1" thickBot="1">
      <c r="B231" t="s">
        <v>269</v>
      </c>
      <c r="C231" t="s">
        <v>290</v>
      </c>
      <c r="D231" t="e">
        <v>#REF!</v>
      </c>
      <c r="F231" t="e">
        <v>#REF!</v>
      </c>
      <c r="G231" t="e">
        <v>#REF!</v>
      </c>
      <c r="H231" t="e">
        <v>#REF!</v>
      </c>
      <c r="L231" t="e">
        <v>#REF!</v>
      </c>
      <c r="M231" t="e">
        <v>#REF!</v>
      </c>
      <c r="N231" t="e">
        <v>#REF!</v>
      </c>
      <c r="O231" t="e">
        <v>#REF!</v>
      </c>
      <c r="P231" t="e">
        <v>#REF!</v>
      </c>
      <c r="Q231" t="e">
        <v>#REF!</v>
      </c>
      <c r="R231" t="e">
        <v>#REF!</v>
      </c>
    </row>
    <row r="232" spans="1:18" ht="15" hidden="1" thickBot="1">
      <c r="B232" t="s">
        <v>231</v>
      </c>
      <c r="C232" t="s">
        <v>290</v>
      </c>
      <c r="D232">
        <v>144000</v>
      </c>
      <c r="F232">
        <v>144000</v>
      </c>
      <c r="G232">
        <v>144000</v>
      </c>
      <c r="H232">
        <v>148800</v>
      </c>
      <c r="L232">
        <v>144000</v>
      </c>
      <c r="M232">
        <v>144000</v>
      </c>
      <c r="N232">
        <v>139200</v>
      </c>
      <c r="O232">
        <v>134400</v>
      </c>
      <c r="P232">
        <v>144000</v>
      </c>
      <c r="Q232">
        <v>1286400</v>
      </c>
      <c r="R232">
        <v>107200</v>
      </c>
    </row>
    <row r="233" spans="1:18" ht="15" hidden="1" thickBot="1">
      <c r="B233" t="s">
        <v>233</v>
      </c>
      <c r="C233" t="s">
        <v>290</v>
      </c>
      <c r="D233" t="e">
        <v>#REF!</v>
      </c>
      <c r="F233" t="e">
        <v>#REF!</v>
      </c>
      <c r="G233" t="e">
        <v>#REF!</v>
      </c>
      <c r="H233" t="e">
        <v>#REF!</v>
      </c>
      <c r="L233" t="e">
        <v>#REF!</v>
      </c>
      <c r="M233" t="e">
        <v>#REF!</v>
      </c>
      <c r="N233" t="e">
        <v>#REF!</v>
      </c>
      <c r="O233" t="e">
        <v>#REF!</v>
      </c>
      <c r="P233" t="e">
        <v>#REF!</v>
      </c>
      <c r="Q233" t="e">
        <v>#REF!</v>
      </c>
      <c r="R233" t="e">
        <v>#REF!</v>
      </c>
    </row>
    <row r="234" spans="1:18" ht="15" hidden="1" thickBot="1">
      <c r="B234" t="s">
        <v>235</v>
      </c>
      <c r="C234" t="s">
        <v>236</v>
      </c>
      <c r="D234" t="e">
        <v>#REF!</v>
      </c>
      <c r="F234" t="e">
        <v>#REF!</v>
      </c>
      <c r="G234" t="e">
        <v>#REF!</v>
      </c>
      <c r="H234" t="e">
        <v>#REF!</v>
      </c>
      <c r="L234" t="e">
        <v>#REF!</v>
      </c>
      <c r="M234" t="e">
        <v>#REF!</v>
      </c>
      <c r="N234" t="e">
        <v>#REF!</v>
      </c>
      <c r="O234" t="e">
        <v>#REF!</v>
      </c>
      <c r="P234" t="e">
        <v>#REF!</v>
      </c>
      <c r="Q234" t="e">
        <v>#REF!</v>
      </c>
      <c r="R234" t="e">
        <v>#REF!</v>
      </c>
    </row>
    <row r="235" spans="1:18" ht="15" hidden="1" thickBot="1">
      <c r="Q235">
        <v>0</v>
      </c>
      <c r="R235">
        <v>0</v>
      </c>
    </row>
    <row r="236" spans="1:18" ht="15" hidden="1" thickBot="1">
      <c r="A236" t="s">
        <v>292</v>
      </c>
      <c r="B236" t="s">
        <v>268</v>
      </c>
      <c r="C236" t="s">
        <v>290</v>
      </c>
      <c r="Q236">
        <v>0</v>
      </c>
      <c r="R236">
        <v>0</v>
      </c>
    </row>
    <row r="237" spans="1:18" ht="15" hidden="1" thickBot="1">
      <c r="B237" t="s">
        <v>269</v>
      </c>
      <c r="C237" t="s">
        <v>290</v>
      </c>
      <c r="D237" t="e">
        <v>#REF!</v>
      </c>
      <c r="F237" t="e">
        <v>#REF!</v>
      </c>
      <c r="G237" t="e">
        <v>#REF!</v>
      </c>
      <c r="H237" t="e">
        <v>#REF!</v>
      </c>
      <c r="L237" t="e">
        <v>#REF!</v>
      </c>
      <c r="M237" t="e">
        <v>#REF!</v>
      </c>
      <c r="N237" t="e">
        <v>#REF!</v>
      </c>
      <c r="O237" t="e">
        <v>#REF!</v>
      </c>
      <c r="P237" t="e">
        <v>#REF!</v>
      </c>
      <c r="Q237" t="e">
        <v>#REF!</v>
      </c>
      <c r="R237" t="e">
        <v>#REF!</v>
      </c>
    </row>
    <row r="238" spans="1:18" ht="15" hidden="1" thickBot="1">
      <c r="B238" t="s">
        <v>231</v>
      </c>
      <c r="C238" t="s">
        <v>290</v>
      </c>
      <c r="D238">
        <v>162000</v>
      </c>
      <c r="F238">
        <v>162000</v>
      </c>
      <c r="G238">
        <v>162000</v>
      </c>
      <c r="H238">
        <v>167400</v>
      </c>
      <c r="L238">
        <v>162000</v>
      </c>
      <c r="M238">
        <v>162000</v>
      </c>
      <c r="N238">
        <v>156600</v>
      </c>
      <c r="O238">
        <v>151200</v>
      </c>
      <c r="P238">
        <v>162000</v>
      </c>
      <c r="Q238">
        <v>1447200</v>
      </c>
      <c r="R238">
        <v>120600</v>
      </c>
    </row>
    <row r="239" spans="1:18" ht="15" hidden="1" thickBot="1">
      <c r="B239" t="s">
        <v>233</v>
      </c>
      <c r="C239" t="s">
        <v>290</v>
      </c>
      <c r="D239" t="e">
        <v>#REF!</v>
      </c>
      <c r="F239" t="e">
        <v>#REF!</v>
      </c>
      <c r="G239" t="e">
        <v>#REF!</v>
      </c>
      <c r="H239" t="e">
        <v>#REF!</v>
      </c>
      <c r="L239" t="e">
        <v>#REF!</v>
      </c>
      <c r="M239" t="e">
        <v>#REF!</v>
      </c>
      <c r="N239" t="e">
        <v>#REF!</v>
      </c>
      <c r="O239" t="e">
        <v>#REF!</v>
      </c>
      <c r="P239" t="e">
        <v>#REF!</v>
      </c>
      <c r="Q239" t="e">
        <v>#REF!</v>
      </c>
      <c r="R239" t="e">
        <v>#REF!</v>
      </c>
    </row>
    <row r="240" spans="1:18" ht="15" hidden="1" thickBot="1">
      <c r="B240" t="s">
        <v>235</v>
      </c>
      <c r="C240" t="s">
        <v>236</v>
      </c>
      <c r="D240" t="e">
        <v>#REF!</v>
      </c>
      <c r="F240" t="e">
        <v>#REF!</v>
      </c>
      <c r="G240" t="e">
        <v>#REF!</v>
      </c>
      <c r="H240" t="e">
        <v>#REF!</v>
      </c>
      <c r="L240" t="e">
        <v>#REF!</v>
      </c>
      <c r="M240" t="e">
        <v>#REF!</v>
      </c>
      <c r="N240" t="e">
        <v>#REF!</v>
      </c>
      <c r="O240" t="e">
        <v>#REF!</v>
      </c>
      <c r="P240" t="e">
        <v>#REF!</v>
      </c>
      <c r="Q240" t="e">
        <v>#REF!</v>
      </c>
      <c r="R240" t="e">
        <v>#REF!</v>
      </c>
    </row>
    <row r="241" spans="1:33" ht="15" hidden="1" thickBot="1">
      <c r="Q241">
        <v>0</v>
      </c>
      <c r="R241">
        <v>0</v>
      </c>
    </row>
    <row r="242" spans="1:33" ht="15" hidden="1" thickBot="1">
      <c r="A242" t="s">
        <v>157</v>
      </c>
      <c r="B242" t="s">
        <v>268</v>
      </c>
      <c r="C242" t="s">
        <v>290</v>
      </c>
      <c r="Q242">
        <v>0</v>
      </c>
      <c r="R242">
        <v>0</v>
      </c>
    </row>
    <row r="243" spans="1:33" ht="15" hidden="1" thickBot="1">
      <c r="B243" t="s">
        <v>269</v>
      </c>
      <c r="C243" t="s">
        <v>290</v>
      </c>
      <c r="D243" t="e">
        <v>#REF!</v>
      </c>
      <c r="F243" t="e">
        <v>#REF!</v>
      </c>
      <c r="G243" t="e">
        <v>#REF!</v>
      </c>
      <c r="H243" t="e">
        <v>#REF!</v>
      </c>
      <c r="L243" t="e">
        <v>#REF!</v>
      </c>
      <c r="M243" t="e">
        <v>#REF!</v>
      </c>
      <c r="N243" t="e">
        <v>#REF!</v>
      </c>
      <c r="O243" t="e">
        <v>#REF!</v>
      </c>
      <c r="P243" t="e">
        <v>#REF!</v>
      </c>
      <c r="Q243" t="e">
        <v>#REF!</v>
      </c>
      <c r="R243" t="e">
        <v>#REF!</v>
      </c>
    </row>
    <row r="244" spans="1:33" ht="15" hidden="1" thickBot="1">
      <c r="B244" t="s">
        <v>231</v>
      </c>
      <c r="C244" t="s">
        <v>290</v>
      </c>
      <c r="D244">
        <v>120000</v>
      </c>
      <c r="F244">
        <v>120000</v>
      </c>
      <c r="G244">
        <v>120000</v>
      </c>
      <c r="H244">
        <v>124000</v>
      </c>
      <c r="L244">
        <v>120000</v>
      </c>
      <c r="M244">
        <v>120000</v>
      </c>
      <c r="N244">
        <v>116000</v>
      </c>
      <c r="O244">
        <v>112000</v>
      </c>
      <c r="P244">
        <v>120000</v>
      </c>
      <c r="Q244">
        <v>1072000</v>
      </c>
      <c r="R244">
        <v>89333.333333333328</v>
      </c>
    </row>
    <row r="245" spans="1:33" ht="15" hidden="1" thickBot="1">
      <c r="B245" t="s">
        <v>233</v>
      </c>
      <c r="C245" t="s">
        <v>290</v>
      </c>
      <c r="D245" t="e">
        <v>#REF!</v>
      </c>
      <c r="F245" t="e">
        <v>#REF!</v>
      </c>
      <c r="G245" t="e">
        <v>#REF!</v>
      </c>
      <c r="H245" t="e">
        <v>#REF!</v>
      </c>
      <c r="L245" t="e">
        <v>#REF!</v>
      </c>
      <c r="M245" t="e">
        <v>#REF!</v>
      </c>
      <c r="N245" t="e">
        <v>#REF!</v>
      </c>
      <c r="O245" t="e">
        <v>#REF!</v>
      </c>
      <c r="P245" t="e">
        <v>#REF!</v>
      </c>
      <c r="Q245" t="e">
        <v>#REF!</v>
      </c>
      <c r="R245" t="e">
        <v>#REF!</v>
      </c>
    </row>
    <row r="246" spans="1:33" ht="15" hidden="1" thickBot="1">
      <c r="B246" t="s">
        <v>235</v>
      </c>
      <c r="C246" t="s">
        <v>236</v>
      </c>
      <c r="D246" t="e">
        <v>#REF!</v>
      </c>
      <c r="F246" t="e">
        <v>#REF!</v>
      </c>
      <c r="G246" t="e">
        <v>#REF!</v>
      </c>
      <c r="H246" t="e">
        <v>#REF!</v>
      </c>
      <c r="L246" t="e">
        <v>#REF!</v>
      </c>
      <c r="M246" t="e">
        <v>#REF!</v>
      </c>
      <c r="N246" t="e">
        <v>#REF!</v>
      </c>
      <c r="O246" t="e">
        <v>#REF!</v>
      </c>
      <c r="P246" t="e">
        <v>#REF!</v>
      </c>
      <c r="Q246" t="e">
        <v>#REF!</v>
      </c>
      <c r="R246" t="e">
        <v>#REF!</v>
      </c>
    </row>
    <row r="247" spans="1:33" ht="15" thickBot="1">
      <c r="D247" s="619">
        <v>46113</v>
      </c>
      <c r="E247" s="619"/>
      <c r="F247" s="619">
        <v>46143</v>
      </c>
      <c r="G247" s="619">
        <v>46174</v>
      </c>
      <c r="H247" s="619">
        <v>46204</v>
      </c>
      <c r="I247" s="619">
        <v>46235</v>
      </c>
      <c r="J247" s="619">
        <v>46266</v>
      </c>
      <c r="K247" s="619">
        <v>46296</v>
      </c>
      <c r="L247" s="619">
        <v>46327</v>
      </c>
      <c r="M247" s="619">
        <v>46357</v>
      </c>
      <c r="N247" s="619">
        <v>46388</v>
      </c>
      <c r="O247" s="619">
        <v>46419</v>
      </c>
      <c r="P247" s="619">
        <v>46447</v>
      </c>
      <c r="Q247" t="s">
        <v>91</v>
      </c>
      <c r="R247" t="s">
        <v>266</v>
      </c>
    </row>
    <row r="248" spans="1:33" ht="15" thickBot="1">
      <c r="A248" t="s">
        <v>166</v>
      </c>
      <c r="B248" t="s">
        <v>223</v>
      </c>
      <c r="C248" t="s">
        <v>94</v>
      </c>
      <c r="D248" s="1011">
        <v>24776.394560000001</v>
      </c>
      <c r="E248" s="1011"/>
      <c r="F248" s="1011">
        <v>17312.448575000002</v>
      </c>
      <c r="G248" s="1011">
        <v>17958.083989999999</v>
      </c>
      <c r="H248" s="1011">
        <v>31250.290639999996</v>
      </c>
      <c r="I248" s="1011">
        <v>58501.695890000003</v>
      </c>
      <c r="J248" s="1011">
        <v>29612.5</v>
      </c>
      <c r="K248" s="1011">
        <v>44805</v>
      </c>
      <c r="L248" s="1011">
        <v>41509</v>
      </c>
      <c r="M248" s="1011">
        <v>64589.755000000005</v>
      </c>
      <c r="N248" s="1011">
        <v>99249.804814000003</v>
      </c>
      <c r="O248" s="1011">
        <v>51551.5</v>
      </c>
      <c r="P248" s="1011">
        <v>35998.5</v>
      </c>
      <c r="Q248" s="752">
        <f>SUM(D248:P248)</f>
        <v>517114.97346899996</v>
      </c>
      <c r="R248" s="753">
        <f t="shared" ref="R248:R252" si="31">Q248/12</f>
        <v>43092.914455749997</v>
      </c>
      <c r="S248" s="100">
        <f>R248/30</f>
        <v>1436.4304818583332</v>
      </c>
      <c r="V248" s="46">
        <f>SUM(V249:V250)</f>
        <v>43317</v>
      </c>
      <c r="W248" s="46">
        <f t="shared" ref="W248:AG248" si="32">SUM(W249:W250)</f>
        <v>29440</v>
      </c>
      <c r="X248" s="46">
        <f t="shared" si="32"/>
        <v>70900</v>
      </c>
      <c r="Y248" s="46">
        <f t="shared" si="32"/>
        <v>30721</v>
      </c>
      <c r="Z248" s="46">
        <f t="shared" si="32"/>
        <v>66449</v>
      </c>
      <c r="AA248" s="46">
        <f t="shared" si="32"/>
        <v>43699</v>
      </c>
      <c r="AB248" s="46">
        <f t="shared" si="32"/>
        <v>52719</v>
      </c>
      <c r="AC248" s="46">
        <f t="shared" si="32"/>
        <v>55519</v>
      </c>
      <c r="AD248" s="46">
        <f t="shared" si="32"/>
        <v>73616</v>
      </c>
      <c r="AE248" s="46">
        <f t="shared" si="32"/>
        <v>89630</v>
      </c>
      <c r="AF248" s="46">
        <f t="shared" si="32"/>
        <v>46019</v>
      </c>
      <c r="AG248" s="46">
        <f t="shared" si="32"/>
        <v>37380</v>
      </c>
    </row>
    <row r="249" spans="1:33" ht="15" hidden="1" thickBot="1">
      <c r="B249" t="s">
        <v>242</v>
      </c>
      <c r="C249" t="s">
        <v>94</v>
      </c>
      <c r="D249">
        <v>0</v>
      </c>
      <c r="F249">
        <v>0</v>
      </c>
      <c r="G249">
        <v>0</v>
      </c>
      <c r="H249">
        <v>0</v>
      </c>
      <c r="I249">
        <v>0</v>
      </c>
      <c r="J249">
        <v>0</v>
      </c>
      <c r="K249">
        <v>0</v>
      </c>
      <c r="L249">
        <v>0</v>
      </c>
      <c r="M249">
        <v>0</v>
      </c>
      <c r="N249">
        <v>0</v>
      </c>
      <c r="O249">
        <v>0</v>
      </c>
      <c r="P249">
        <v>0</v>
      </c>
      <c r="Q249" s="19">
        <f>SUM(D249:P249)</f>
        <v>0</v>
      </c>
      <c r="R249" s="212">
        <f t="shared" si="31"/>
        <v>0</v>
      </c>
      <c r="V249" s="46">
        <v>21115</v>
      </c>
      <c r="W249" s="46">
        <v>13184</v>
      </c>
      <c r="X249" s="46">
        <v>28325</v>
      </c>
      <c r="Y249" s="46">
        <v>11845</v>
      </c>
      <c r="Z249" s="46">
        <v>34814</v>
      </c>
      <c r="AA249" s="46">
        <v>11845</v>
      </c>
      <c r="AB249" s="46">
        <v>36256</v>
      </c>
      <c r="AC249" s="46">
        <v>15759</v>
      </c>
      <c r="AD249" s="46">
        <v>30900</v>
      </c>
      <c r="AE249" s="46">
        <v>16892</v>
      </c>
      <c r="AF249" s="46">
        <v>32497</v>
      </c>
      <c r="AG249" s="46">
        <v>11794</v>
      </c>
    </row>
    <row r="250" spans="1:33" ht="15" hidden="1" thickBot="1">
      <c r="B250" t="s">
        <v>231</v>
      </c>
      <c r="C250" t="s">
        <v>94</v>
      </c>
      <c r="D250" s="46">
        <v>77414.399999999994</v>
      </c>
      <c r="E250" s="46"/>
      <c r="F250" s="46">
        <v>79994.880000000005</v>
      </c>
      <c r="G250" s="46">
        <v>77414.399999999994</v>
      </c>
      <c r="H250" s="46">
        <v>79994.880000000005</v>
      </c>
      <c r="I250" s="46">
        <v>74833.919999999998</v>
      </c>
      <c r="J250" s="46">
        <v>77414.399999999994</v>
      </c>
      <c r="K250" s="46">
        <v>72253.440000000002</v>
      </c>
      <c r="L250" s="46">
        <v>74833.919999999998</v>
      </c>
      <c r="M250" s="46">
        <v>77414.399999999994</v>
      </c>
      <c r="N250" s="46">
        <v>74833.919999999998</v>
      </c>
      <c r="O250" s="46">
        <v>72253.440000000002</v>
      </c>
      <c r="P250" s="46">
        <v>77414.399999999994</v>
      </c>
      <c r="Q250" s="19">
        <f>SUM(D250:P250)</f>
        <v>916070.40000000026</v>
      </c>
      <c r="R250" s="212">
        <f t="shared" si="31"/>
        <v>76339.200000000026</v>
      </c>
      <c r="V250" s="46">
        <v>22202</v>
      </c>
      <c r="W250" s="46">
        <v>16256</v>
      </c>
      <c r="X250" s="46">
        <v>42575</v>
      </c>
      <c r="Y250" s="46">
        <v>18876</v>
      </c>
      <c r="Z250" s="46">
        <v>31635</v>
      </c>
      <c r="AA250" s="46">
        <v>31854</v>
      </c>
      <c r="AB250" s="46">
        <v>16463</v>
      </c>
      <c r="AC250" s="46">
        <v>39760</v>
      </c>
      <c r="AD250" s="46">
        <v>42716</v>
      </c>
      <c r="AE250" s="46">
        <v>72738</v>
      </c>
      <c r="AF250" s="46">
        <v>13522</v>
      </c>
      <c r="AG250" s="46">
        <v>25586</v>
      </c>
    </row>
    <row r="251" spans="1:33" ht="15" hidden="1" thickBot="1">
      <c r="B251" t="s">
        <v>233</v>
      </c>
      <c r="C251" t="s">
        <v>94</v>
      </c>
      <c r="D251" s="46">
        <v>52940.939631578942</v>
      </c>
      <c r="E251" s="46"/>
      <c r="F251" s="46">
        <v>61310.893315789479</v>
      </c>
      <c r="G251" s="46">
        <v>54519.886999999995</v>
      </c>
      <c r="H251" s="46">
        <v>58415.669473684211</v>
      </c>
      <c r="I251" s="46">
        <v>45886.288421052624</v>
      </c>
      <c r="J251" s="46">
        <v>50782.557894736834</v>
      </c>
      <c r="K251" s="46">
        <v>35693.730000000003</v>
      </c>
      <c r="L251" s="46">
        <v>47326.841578947366</v>
      </c>
      <c r="M251" s="46">
        <v>43749.426842105255</v>
      </c>
      <c r="N251" s="46">
        <v>38201.919999999998</v>
      </c>
      <c r="O251" s="46">
        <v>43200.387368421056</v>
      </c>
      <c r="P251" s="46">
        <v>52571.873684210528</v>
      </c>
      <c r="Q251" s="19">
        <f>SUM(D251:P251)</f>
        <v>584600.4152105262</v>
      </c>
      <c r="R251" s="212">
        <f t="shared" si="31"/>
        <v>48716.701267543853</v>
      </c>
    </row>
    <row r="252" spans="1:33" ht="15" hidden="1" thickBot="1">
      <c r="B252" t="s">
        <v>235</v>
      </c>
      <c r="C252" t="s">
        <v>236</v>
      </c>
      <c r="D252" s="155">
        <v>0.68386423755243142</v>
      </c>
      <c r="E252" s="155"/>
      <c r="F252" s="155">
        <v>0.76643521830133976</v>
      </c>
      <c r="G252" s="155">
        <v>0.70426027974123673</v>
      </c>
      <c r="H252" s="155">
        <v>0.73024260394770524</v>
      </c>
      <c r="I252" s="155">
        <v>0.61317499365331429</v>
      </c>
      <c r="J252" s="155">
        <v>0.65598335574178501</v>
      </c>
      <c r="K252" s="155">
        <v>0.49400734414859698</v>
      </c>
      <c r="L252" s="155">
        <v>0.63242499629776672</v>
      </c>
      <c r="M252" s="155">
        <v>0.5651329318848336</v>
      </c>
      <c r="N252" s="155">
        <v>0.51048936097427478</v>
      </c>
      <c r="O252" s="155">
        <v>0.59790076940864068</v>
      </c>
      <c r="P252" s="155">
        <v>0.67909683061821224</v>
      </c>
      <c r="Q252" s="19">
        <f>SUM(D252:P252)</f>
        <v>7.6330129222701366</v>
      </c>
      <c r="R252" s="212">
        <f t="shared" si="31"/>
        <v>0.63608441018917805</v>
      </c>
    </row>
    <row r="253" spans="1:33" ht="15" thickBot="1">
      <c r="A253" t="s">
        <v>1</v>
      </c>
      <c r="D253" s="619">
        <v>46113</v>
      </c>
      <c r="E253" s="619"/>
      <c r="F253" s="619">
        <v>46143</v>
      </c>
      <c r="G253" s="619">
        <v>46174</v>
      </c>
      <c r="H253" s="619">
        <v>46204</v>
      </c>
      <c r="I253" s="619">
        <v>46235</v>
      </c>
      <c r="J253" s="619">
        <v>46266</v>
      </c>
      <c r="K253" s="619">
        <v>46296</v>
      </c>
      <c r="L253" s="619">
        <v>46327</v>
      </c>
      <c r="M253" s="619">
        <v>46357</v>
      </c>
      <c r="N253" s="619">
        <v>46388</v>
      </c>
      <c r="O253" s="619">
        <v>46419</v>
      </c>
      <c r="P253" s="619">
        <v>46447</v>
      </c>
      <c r="Q253" t="s">
        <v>91</v>
      </c>
      <c r="R253" t="s">
        <v>266</v>
      </c>
    </row>
    <row r="254" spans="1:33" hidden="1">
      <c r="A254" t="s">
        <v>293</v>
      </c>
      <c r="B254" t="s">
        <v>242</v>
      </c>
      <c r="C254" t="s">
        <v>94</v>
      </c>
      <c r="D254" s="46">
        <v>15600.787382542221</v>
      </c>
      <c r="E254" s="46"/>
      <c r="F254" s="46">
        <v>18025.610148851025</v>
      </c>
      <c r="G254" s="46">
        <v>16191.622747050695</v>
      </c>
      <c r="H254" s="46">
        <v>17948.539918194012</v>
      </c>
      <c r="I254" s="46">
        <v>17915.094213841672</v>
      </c>
      <c r="J254" s="46">
        <v>18416.06264835464</v>
      </c>
      <c r="K254" s="46">
        <v>18637.937775502262</v>
      </c>
      <c r="L254" s="46">
        <v>19253.330913691843</v>
      </c>
      <c r="M254" s="46">
        <v>20277.890356532957</v>
      </c>
      <c r="N254" s="46">
        <v>19084.044810184569</v>
      </c>
      <c r="O254" s="46">
        <v>19329.330521601842</v>
      </c>
      <c r="P254" s="46">
        <v>20207.232407136551</v>
      </c>
      <c r="Q254" s="19">
        <f>SUM(D254:P254)</f>
        <v>220887.48384348428</v>
      </c>
      <c r="R254" s="212">
        <f>Q254/12</f>
        <v>18407.290320290358</v>
      </c>
    </row>
    <row r="255" spans="1:33" hidden="1">
      <c r="B255" t="s">
        <v>223</v>
      </c>
      <c r="C255" t="s">
        <v>94</v>
      </c>
      <c r="D255" s="46">
        <v>34971.442690421056</v>
      </c>
      <c r="E255" s="46"/>
      <c r="F255" s="46">
        <v>31959.484795684213</v>
      </c>
      <c r="G255" s="46">
        <v>35468.832761473685</v>
      </c>
      <c r="H255" s="46">
        <v>24144.200585157894</v>
      </c>
      <c r="I255" s="46">
        <v>30892.790058842107</v>
      </c>
      <c r="J255" s="46">
        <v>26801.021857087719</v>
      </c>
      <c r="K255" s="46">
        <v>96331.474541298259</v>
      </c>
      <c r="L255" s="46">
        <v>108092.30718384212</v>
      </c>
      <c r="M255" s="46">
        <v>102793.1058483158</v>
      </c>
      <c r="N255" s="46">
        <v>92841.06374305264</v>
      </c>
      <c r="O255" s="46">
        <v>91271.705922000008</v>
      </c>
      <c r="P255" s="46">
        <v>82704.914835157892</v>
      </c>
      <c r="Q255" s="19">
        <f t="shared" ref="Q255:Q259" si="33">SUM(D255:P255)</f>
        <v>758272.34482233343</v>
      </c>
      <c r="R255" s="212">
        <f t="shared" ref="R255:R259" si="34">Q255/12</f>
        <v>63189.362068527786</v>
      </c>
    </row>
    <row r="256" spans="1:33">
      <c r="A256" t="s">
        <v>293</v>
      </c>
      <c r="B256" t="s">
        <v>294</v>
      </c>
      <c r="C256" t="s">
        <v>94</v>
      </c>
      <c r="D256" s="1011">
        <v>112252.91138398668</v>
      </c>
      <c r="E256" s="1011"/>
      <c r="F256" s="1011">
        <v>165692.45085088845</v>
      </c>
      <c r="G256" s="1011">
        <v>114103.80933467718</v>
      </c>
      <c r="H256" s="1011">
        <v>130436.13398491546</v>
      </c>
      <c r="I256" s="1011">
        <v>114915.63766101819</v>
      </c>
      <c r="J256" s="1011">
        <v>123084.28324758667</v>
      </c>
      <c r="K256" s="1011">
        <v>109571.11223635124</v>
      </c>
      <c r="L256" s="1011">
        <v>130904.65757053578</v>
      </c>
      <c r="M256" s="1011">
        <v>162421.35760465695</v>
      </c>
      <c r="N256" s="1011">
        <v>166076.48081126669</v>
      </c>
      <c r="O256" s="1011">
        <v>170798.47120006668</v>
      </c>
      <c r="P256" s="1011">
        <v>210645.28920006665</v>
      </c>
      <c r="Q256" s="752">
        <f t="shared" si="33"/>
        <v>1710902.5950860165</v>
      </c>
      <c r="R256" s="753">
        <f t="shared" si="34"/>
        <v>142575.21625716804</v>
      </c>
      <c r="S256" s="100">
        <f>R256/30</f>
        <v>4752.5072085722677</v>
      </c>
    </row>
    <row r="257" spans="1:19" hidden="1">
      <c r="B257" t="s">
        <v>231</v>
      </c>
      <c r="C257" t="s">
        <v>94</v>
      </c>
      <c r="D257" s="46">
        <v>133442.31452054798</v>
      </c>
      <c r="E257" s="46"/>
      <c r="F257" s="46">
        <v>137890.39167123291</v>
      </c>
      <c r="G257" s="46">
        <v>133442.31452054798</v>
      </c>
      <c r="H257" s="46">
        <v>137890.39167123291</v>
      </c>
      <c r="I257" s="46">
        <v>128994.23736986304</v>
      </c>
      <c r="J257" s="46">
        <v>133442.31452054798</v>
      </c>
      <c r="K257" s="46">
        <v>124546.1602191781</v>
      </c>
      <c r="L257" s="46">
        <v>128994.23736986304</v>
      </c>
      <c r="M257" s="46">
        <v>133442.31452054798</v>
      </c>
      <c r="N257" s="46">
        <v>128994.23736986304</v>
      </c>
      <c r="O257" s="46">
        <v>124546.1602191781</v>
      </c>
      <c r="P257" s="46">
        <v>133442.31452054798</v>
      </c>
      <c r="Q257" s="19">
        <f t="shared" si="33"/>
        <v>1579067.3884931509</v>
      </c>
      <c r="R257" s="212">
        <f t="shared" si="34"/>
        <v>131588.94904109591</v>
      </c>
    </row>
    <row r="258" spans="1:19" hidden="1">
      <c r="B258" t="s">
        <v>233</v>
      </c>
      <c r="C258" t="s">
        <v>94</v>
      </c>
      <c r="D258" s="46">
        <v>82870.084447584712</v>
      </c>
      <c r="E258" s="46"/>
      <c r="F258" s="46">
        <v>87905.296726697678</v>
      </c>
      <c r="G258" s="46">
        <v>81781.859012023604</v>
      </c>
      <c r="H258" s="46">
        <v>95797.651167881006</v>
      </c>
      <c r="I258" s="46">
        <v>80186.353097179264</v>
      </c>
      <c r="J258" s="46">
        <v>88225.230015105626</v>
      </c>
      <c r="K258" s="46">
        <v>9576.7479023775813</v>
      </c>
      <c r="L258" s="46">
        <v>1648.5992723290838</v>
      </c>
      <c r="M258" s="46">
        <v>10371.318315699231</v>
      </c>
      <c r="N258" s="46">
        <v>17069.128816625831</v>
      </c>
      <c r="O258" s="46">
        <v>13945.123775576241</v>
      </c>
      <c r="P258" s="46">
        <v>30530.167278253532</v>
      </c>
      <c r="Q258" s="19">
        <f t="shared" si="33"/>
        <v>599907.55982733355</v>
      </c>
      <c r="R258" s="212">
        <f t="shared" si="34"/>
        <v>49992.296652277793</v>
      </c>
    </row>
    <row r="259" spans="1:19" hidden="1">
      <c r="B259" t="s">
        <v>235</v>
      </c>
      <c r="C259" t="s">
        <v>236</v>
      </c>
      <c r="D259" s="155">
        <v>0.62101803873331385</v>
      </c>
      <c r="E259" s="155"/>
      <c r="F259" s="155">
        <v>0.63750124763070593</v>
      </c>
      <c r="G259" s="155">
        <v>0.61286301354905315</v>
      </c>
      <c r="H259" s="155">
        <v>0.69473768263917834</v>
      </c>
      <c r="I259" s="155">
        <v>0.62162740547286821</v>
      </c>
      <c r="J259" s="155">
        <v>0.66114882923077856</v>
      </c>
      <c r="K259" s="155">
        <v>7.6893160620321685E-2</v>
      </c>
      <c r="L259" s="155">
        <v>1.2780410241134124E-2</v>
      </c>
      <c r="M259" s="155">
        <v>7.7721361121192281E-2</v>
      </c>
      <c r="N259" s="155">
        <v>0.13232473918725376</v>
      </c>
      <c r="O259" s="155">
        <v>0.11196751269597886</v>
      </c>
      <c r="P259" s="155">
        <v>0.22878925165489672</v>
      </c>
      <c r="Q259" s="19">
        <f t="shared" si="33"/>
        <v>4.4893726527766757</v>
      </c>
      <c r="R259" s="212">
        <f t="shared" si="34"/>
        <v>0.37411438773138966</v>
      </c>
    </row>
    <row r="261" spans="1:19">
      <c r="O261">
        <v>2053604</v>
      </c>
      <c r="P261">
        <v>50</v>
      </c>
    </row>
    <row r="262" spans="1:19">
      <c r="P262">
        <f>P261*365</f>
        <v>18250</v>
      </c>
      <c r="Q262">
        <f>O261/P262</f>
        <v>112.52624657534247</v>
      </c>
    </row>
    <row r="263" spans="1:19" ht="15" thickBot="1"/>
    <row r="264" spans="1:19" ht="15" thickBot="1">
      <c r="D264" s="619">
        <v>46113</v>
      </c>
      <c r="E264" s="619"/>
      <c r="F264" s="619">
        <v>46143</v>
      </c>
      <c r="G264" s="619">
        <v>46174</v>
      </c>
      <c r="H264" s="619">
        <v>46204</v>
      </c>
      <c r="I264" s="619">
        <v>46235</v>
      </c>
      <c r="J264" s="619">
        <v>46266</v>
      </c>
      <c r="K264" s="619">
        <v>46296</v>
      </c>
      <c r="L264" s="619">
        <v>46327</v>
      </c>
      <c r="M264" s="619">
        <v>46357</v>
      </c>
      <c r="N264" s="619">
        <v>46388</v>
      </c>
      <c r="O264" s="619">
        <v>46419</v>
      </c>
      <c r="P264" s="619">
        <v>46447</v>
      </c>
      <c r="Q264" t="s">
        <v>91</v>
      </c>
      <c r="R264" t="s">
        <v>266</v>
      </c>
    </row>
    <row r="265" spans="1:19">
      <c r="A265" t="s">
        <v>295</v>
      </c>
      <c r="B265" t="s">
        <v>269</v>
      </c>
      <c r="C265" t="s">
        <v>94</v>
      </c>
      <c r="D265" s="46">
        <v>256000</v>
      </c>
      <c r="E265" s="46"/>
      <c r="F265" s="46">
        <v>256000</v>
      </c>
      <c r="G265" s="46">
        <v>256000</v>
      </c>
      <c r="H265" s="46">
        <v>256000</v>
      </c>
      <c r="I265" s="46">
        <v>256000</v>
      </c>
      <c r="J265" s="46">
        <v>256000</v>
      </c>
      <c r="K265" s="46">
        <v>256000</v>
      </c>
      <c r="L265" s="46">
        <v>256000</v>
      </c>
      <c r="M265" s="46">
        <v>256000</v>
      </c>
      <c r="N265" s="46">
        <v>256000</v>
      </c>
      <c r="O265" s="46">
        <v>256000</v>
      </c>
      <c r="P265" s="46">
        <v>256000</v>
      </c>
      <c r="R265" s="46">
        <f>AVERAGE(D265:P265)</f>
        <v>256000</v>
      </c>
      <c r="S265">
        <f>R265/30</f>
        <v>8533.3333333333339</v>
      </c>
    </row>
    <row r="266" spans="1:19">
      <c r="B266" t="s">
        <v>231</v>
      </c>
      <c r="C266" t="s">
        <v>94</v>
      </c>
      <c r="D266" s="46">
        <v>448705</v>
      </c>
      <c r="E266" s="46"/>
      <c r="F266" s="46">
        <v>448705</v>
      </c>
      <c r="G266" s="46">
        <v>448705</v>
      </c>
      <c r="H266" s="46">
        <v>463662</v>
      </c>
      <c r="I266" s="46">
        <v>433748</v>
      </c>
      <c r="J266" s="46">
        <v>448705</v>
      </c>
      <c r="K266" s="46">
        <v>418791</v>
      </c>
      <c r="L266" s="46">
        <v>448705</v>
      </c>
      <c r="M266" s="46">
        <v>448705</v>
      </c>
      <c r="N266" s="46">
        <v>433748</v>
      </c>
      <c r="O266" s="46">
        <v>418791</v>
      </c>
      <c r="P266" s="46">
        <v>448705</v>
      </c>
    </row>
    <row r="267" spans="1:19">
      <c r="B267" t="s">
        <v>233</v>
      </c>
      <c r="C267" t="s">
        <v>94</v>
      </c>
      <c r="D267" s="46">
        <f>D266-D265</f>
        <v>192705</v>
      </c>
      <c r="E267" s="46"/>
      <c r="F267" s="46">
        <f t="shared" ref="F267:P267" si="35">F266-F265</f>
        <v>192705</v>
      </c>
      <c r="G267" s="46">
        <f t="shared" si="35"/>
        <v>192705</v>
      </c>
      <c r="H267" s="46">
        <f t="shared" si="35"/>
        <v>207662</v>
      </c>
      <c r="I267" s="46">
        <f t="shared" si="35"/>
        <v>177748</v>
      </c>
      <c r="J267" s="46">
        <f t="shared" si="35"/>
        <v>192705</v>
      </c>
      <c r="K267" s="46">
        <f t="shared" si="35"/>
        <v>162791</v>
      </c>
      <c r="L267" s="46">
        <f t="shared" si="35"/>
        <v>192705</v>
      </c>
      <c r="M267" s="46">
        <f t="shared" si="35"/>
        <v>192705</v>
      </c>
      <c r="N267" s="46">
        <f t="shared" si="35"/>
        <v>177748</v>
      </c>
      <c r="O267" s="46">
        <f t="shared" si="35"/>
        <v>162791</v>
      </c>
      <c r="P267" s="46">
        <f t="shared" si="35"/>
        <v>192705</v>
      </c>
    </row>
    <row r="268" spans="1:19">
      <c r="B268" t="s">
        <v>235</v>
      </c>
      <c r="C268" t="s">
        <v>236</v>
      </c>
      <c r="D268" t="e">
        <v>#VALUE!</v>
      </c>
      <c r="F268" t="e">
        <v>#VALUE!</v>
      </c>
      <c r="G268" t="e">
        <v>#VALUE!</v>
      </c>
      <c r="H268" t="e">
        <v>#VALUE!</v>
      </c>
      <c r="I268" t="e">
        <v>#VALUE!</v>
      </c>
      <c r="J268" t="e">
        <v>#VALUE!</v>
      </c>
      <c r="K268" t="e">
        <v>#VALUE!</v>
      </c>
      <c r="L268" t="e">
        <v>#VALUE!</v>
      </c>
      <c r="M268" t="e">
        <v>#VALUE!</v>
      </c>
      <c r="N268" t="e">
        <v>#VALUE!</v>
      </c>
      <c r="O268" t="e">
        <v>#VALUE!</v>
      </c>
      <c r="P268" t="e">
        <v>#VALUE!</v>
      </c>
    </row>
    <row r="269" spans="1:19">
      <c r="D269">
        <f>D266/30</f>
        <v>14956.833333333334</v>
      </c>
      <c r="J269" s="729">
        <v>30000</v>
      </c>
      <c r="K269" s="729">
        <v>38000</v>
      </c>
      <c r="L269" s="729">
        <v>107000</v>
      </c>
      <c r="M269" s="729">
        <v>109000</v>
      </c>
      <c r="N269" s="729">
        <v>114000</v>
      </c>
      <c r="O269" s="729">
        <v>126000</v>
      </c>
      <c r="P269" s="729">
        <v>118000</v>
      </c>
    </row>
  </sheetData>
  <mergeCells count="1">
    <mergeCell ref="A181:A18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CJ397"/>
  <sheetViews>
    <sheetView topLeftCell="A341" zoomScale="93" zoomScaleNormal="77" workbookViewId="0">
      <selection activeCell="X341" sqref="X341"/>
    </sheetView>
  </sheetViews>
  <sheetFormatPr defaultRowHeight="14.5"/>
  <cols>
    <col min="1" max="1" width="17.81640625" bestFit="1" customWidth="1"/>
    <col min="2" max="2" width="21.453125" customWidth="1"/>
    <col min="4" max="4" width="6.7265625" style="40" customWidth="1"/>
    <col min="5" max="8" width="6.54296875" customWidth="1"/>
    <col min="9" max="9" width="9.26953125" customWidth="1"/>
    <col min="10" max="10" width="12.36328125" customWidth="1"/>
    <col min="11" max="11" width="0.6328125" hidden="1" customWidth="1"/>
    <col min="12" max="12" width="12.54296875" bestFit="1" customWidth="1"/>
    <col min="13" max="13" width="17.81640625" bestFit="1" customWidth="1"/>
    <col min="15" max="15" width="8.81640625" bestFit="1" customWidth="1"/>
    <col min="16" max="16" width="8.54296875" customWidth="1"/>
    <col min="17" max="17" width="8.26953125" customWidth="1"/>
    <col min="18" max="18" width="5.1796875" customWidth="1"/>
    <col min="19" max="19" width="9" customWidth="1"/>
    <col min="20" max="31" width="14.453125" customWidth="1"/>
    <col min="32" max="32" width="14.453125" style="558" customWidth="1"/>
    <col min="33" max="35" width="14.453125" customWidth="1"/>
    <col min="36" max="36" width="29.7265625" style="100" customWidth="1"/>
    <col min="37" max="39" width="14.453125" style="100" customWidth="1"/>
    <col min="40" max="45" width="14.453125" customWidth="1"/>
    <col min="46" max="46" width="9.1796875" customWidth="1"/>
    <col min="47" max="47" width="18.26953125" customWidth="1"/>
    <col min="48" max="50" width="9.1796875" customWidth="1"/>
    <col min="51" max="51" width="10.26953125" customWidth="1"/>
    <col min="52" max="66" width="9.1796875" customWidth="1"/>
    <col min="67" max="68" width="13.54296875" customWidth="1"/>
    <col min="69" max="69" width="19" customWidth="1"/>
    <col min="70" max="70" width="13.54296875" customWidth="1"/>
    <col min="71" max="75" width="9.1796875" customWidth="1"/>
    <col min="76" max="76" width="12.81640625" bestFit="1" customWidth="1"/>
    <col min="77" max="78" width="9.1796875" customWidth="1"/>
    <col min="79" max="79" width="22.453125" customWidth="1"/>
    <col min="80" max="80" width="30.7265625" customWidth="1"/>
    <col min="81" max="81" width="9.1796875" customWidth="1"/>
    <col min="82" max="82" width="19.453125" customWidth="1"/>
    <col min="83" max="83" width="12" customWidth="1"/>
    <col min="84" max="86" width="9.1796875" customWidth="1"/>
    <col min="87" max="88" width="9.26953125" customWidth="1"/>
    <col min="89" max="89" width="9.54296875" customWidth="1"/>
    <col min="90" max="91" width="9.26953125" bestFit="1" customWidth="1"/>
  </cols>
  <sheetData>
    <row r="3" spans="1:88" ht="69" customHeight="1">
      <c r="A3" s="1" t="s">
        <v>0</v>
      </c>
      <c r="B3" s="1" t="s">
        <v>1</v>
      </c>
      <c r="C3" s="1" t="s">
        <v>2</v>
      </c>
      <c r="D3" s="799" t="s">
        <v>3</v>
      </c>
      <c r="E3" s="1" t="s">
        <v>4</v>
      </c>
      <c r="F3" s="1" t="s">
        <v>5</v>
      </c>
      <c r="G3" s="1" t="s">
        <v>6</v>
      </c>
      <c r="H3" s="1" t="s">
        <v>7</v>
      </c>
      <c r="I3" s="1" t="s">
        <v>8</v>
      </c>
      <c r="J3" s="1323" t="s">
        <v>9</v>
      </c>
      <c r="K3" s="1"/>
      <c r="L3" s="1" t="s">
        <v>10</v>
      </c>
      <c r="M3" s="1" t="s">
        <v>10</v>
      </c>
      <c r="N3" s="1" t="s">
        <v>11</v>
      </c>
      <c r="O3" s="1" t="s">
        <v>11</v>
      </c>
      <c r="P3" s="1" t="s">
        <v>12</v>
      </c>
      <c r="Q3" s="1" t="s">
        <v>13</v>
      </c>
      <c r="R3" s="1" t="s">
        <v>13</v>
      </c>
      <c r="S3" s="1" t="s">
        <v>1251</v>
      </c>
      <c r="T3" s="1" t="s">
        <v>14</v>
      </c>
      <c r="U3" s="851" t="s">
        <v>1561</v>
      </c>
      <c r="V3" s="851" t="s">
        <v>1517</v>
      </c>
      <c r="W3" s="851" t="s">
        <v>1518</v>
      </c>
      <c r="X3" s="851" t="s">
        <v>873</v>
      </c>
      <c r="Y3" s="851" t="s">
        <v>1519</v>
      </c>
      <c r="Z3" s="851" t="s">
        <v>1520</v>
      </c>
      <c r="AA3" s="851" t="s">
        <v>1521</v>
      </c>
      <c r="AB3" s="851" t="s">
        <v>1521</v>
      </c>
      <c r="AC3" s="851" t="s">
        <v>1562</v>
      </c>
      <c r="AD3" s="851" t="s">
        <v>537</v>
      </c>
      <c r="AE3" s="935"/>
      <c r="AF3" s="1335" t="s">
        <v>1522</v>
      </c>
      <c r="AG3" s="1324" t="s">
        <v>164</v>
      </c>
      <c r="AH3" s="1324" t="s">
        <v>1523</v>
      </c>
      <c r="AI3" s="935"/>
      <c r="AJ3" s="935"/>
      <c r="AK3" s="935"/>
      <c r="AL3" s="935"/>
      <c r="AM3" s="935"/>
      <c r="AN3" s="851" t="s">
        <v>428</v>
      </c>
      <c r="AO3" s="851" t="s">
        <v>1133</v>
      </c>
      <c r="AP3" s="851" t="s">
        <v>1126</v>
      </c>
      <c r="AQ3" s="851"/>
      <c r="AR3" s="851"/>
      <c r="AS3" s="851"/>
      <c r="AW3" s="395" t="s">
        <v>521</v>
      </c>
      <c r="AX3" s="395"/>
      <c r="AY3" s="5">
        <v>45748</v>
      </c>
      <c r="AZ3" s="5">
        <v>45778</v>
      </c>
      <c r="BA3" s="5">
        <v>45809</v>
      </c>
      <c r="BB3" s="5">
        <v>45839</v>
      </c>
      <c r="BC3" s="5">
        <v>45870</v>
      </c>
      <c r="BD3" s="5">
        <v>45901</v>
      </c>
      <c r="BE3" s="5">
        <v>45931</v>
      </c>
      <c r="BF3" s="5">
        <v>45962</v>
      </c>
      <c r="BG3" s="5">
        <v>45992</v>
      </c>
      <c r="BH3" s="5">
        <v>46023</v>
      </c>
      <c r="BI3" s="5">
        <v>46054</v>
      </c>
      <c r="BJ3" s="5">
        <v>46082</v>
      </c>
      <c r="BW3" s="13"/>
      <c r="CA3" s="187"/>
      <c r="CB3" s="40"/>
    </row>
    <row r="4" spans="1:88">
      <c r="A4" s="23" t="s">
        <v>17</v>
      </c>
      <c r="B4" s="24" t="s">
        <v>17</v>
      </c>
      <c r="C4" s="5">
        <v>46113</v>
      </c>
      <c r="D4" s="966">
        <f>'YN01'!$J$31</f>
        <v>2576.9310541611849</v>
      </c>
      <c r="E4" s="966">
        <f>'YN01'!$B$31</f>
        <v>1247.7785690345604</v>
      </c>
      <c r="F4" s="25">
        <v>48</v>
      </c>
      <c r="G4" s="26">
        <f>'YN01'!$H$10</f>
        <v>0.9342465753424658</v>
      </c>
      <c r="H4" s="26">
        <f>'YN01'!$I$10</f>
        <v>0.94</v>
      </c>
      <c r="I4" s="841">
        <f t="shared" ref="I4" si="0">D4*E4*F4*G4*H4*0.00016</f>
        <v>21686.572054917757</v>
      </c>
      <c r="J4" s="1346">
        <f>BP!E14/DAY(EOMONTH(C4,0))</f>
        <v>6335.1185921886217</v>
      </c>
      <c r="K4" s="27"/>
      <c r="L4" s="28">
        <f>J4/I4</f>
        <v>0.29212171366437961</v>
      </c>
      <c r="M4" s="29">
        <f>L4*F4</f>
        <v>14.02184225589022</v>
      </c>
      <c r="N4" s="29">
        <f t="shared" ref="N4:N15" si="1">M4/3</f>
        <v>4.6739474186300738</v>
      </c>
      <c r="O4" s="29">
        <f t="shared" ref="O4:O15" si="2">ROUNDUP(N4,0)</f>
        <v>5</v>
      </c>
      <c r="P4" s="29">
        <f>O4/2.5</f>
        <v>2</v>
      </c>
      <c r="Q4" s="30">
        <f t="shared" ref="Q4:Q15" si="3">P4*3</f>
        <v>6</v>
      </c>
      <c r="R4" s="30">
        <f t="shared" ref="R4:R15" si="4">ROUNDUP(Q4,0)</f>
        <v>6</v>
      </c>
      <c r="S4" s="30">
        <f>'Manpower Allocation'!$D$9</f>
        <v>17</v>
      </c>
      <c r="T4" s="30">
        <f>R4+S4</f>
        <v>23</v>
      </c>
      <c r="U4" s="1327">
        <f>I4/V4</f>
        <v>2710.8215068647196</v>
      </c>
      <c r="V4" s="22">
        <v>8</v>
      </c>
      <c r="W4" s="22">
        <f>8*2*3</f>
        <v>48</v>
      </c>
      <c r="X4" s="21">
        <f>IF(J4&gt;I4,V4,J4/U4)</f>
        <v>2.3369737093150369</v>
      </c>
      <c r="Y4" s="22">
        <f>ROUND(L4*W4,0)</f>
        <v>14</v>
      </c>
      <c r="Z4" s="22">
        <v>0.8</v>
      </c>
      <c r="AA4" s="1325">
        <f>X4*Z4</f>
        <v>1.8695789674520296</v>
      </c>
      <c r="AB4" s="1325">
        <f>ROUNDUP(AA4,0)</f>
        <v>2</v>
      </c>
      <c r="AC4" s="1325">
        <f>AB4*3</f>
        <v>6</v>
      </c>
      <c r="AD4" s="22" t="s">
        <v>1524</v>
      </c>
      <c r="AE4" s="130"/>
      <c r="AF4" s="1336" t="s">
        <v>1525</v>
      </c>
      <c r="AG4" s="130">
        <v>3</v>
      </c>
      <c r="AH4" s="130">
        <f>AG4*3</f>
        <v>9</v>
      </c>
      <c r="AI4" s="130" t="s">
        <v>1526</v>
      </c>
      <c r="AJ4" s="130"/>
      <c r="AK4" s="130"/>
      <c r="AL4" s="130"/>
      <c r="AM4" s="130"/>
      <c r="AN4" s="22">
        <v>24</v>
      </c>
      <c r="AO4" s="22">
        <f t="shared" ref="AO4:AO15" si="5">T4-AN4-AP4</f>
        <v>-4</v>
      </c>
      <c r="AP4" s="22">
        <v>3</v>
      </c>
      <c r="AQ4" s="22"/>
      <c r="AR4" s="22"/>
      <c r="AS4" s="22"/>
      <c r="AT4">
        <f>(5*3)+'Manpower Allocation'!G9</f>
        <v>15</v>
      </c>
      <c r="AU4" s="373" t="s">
        <v>142</v>
      </c>
      <c r="AV4" s="328">
        <f>R31</f>
        <v>11.166666666666666</v>
      </c>
      <c r="AW4" s="33">
        <f>AW13/2*3</f>
        <v>15</v>
      </c>
      <c r="AX4" t="s">
        <v>683</v>
      </c>
      <c r="AY4" s="33">
        <f>AY13/2*3</f>
        <v>9</v>
      </c>
      <c r="AZ4" s="328">
        <f t="shared" ref="AZ4:BJ4" si="6">AZ13/2*3</f>
        <v>10.5</v>
      </c>
      <c r="BA4" s="328">
        <f t="shared" si="6"/>
        <v>10.5</v>
      </c>
      <c r="BB4" s="328">
        <f t="shared" si="6"/>
        <v>13.5</v>
      </c>
      <c r="BC4" s="328">
        <f t="shared" si="6"/>
        <v>13.5</v>
      </c>
      <c r="BD4" s="328">
        <f t="shared" si="6"/>
        <v>19.5</v>
      </c>
      <c r="BE4" s="328">
        <f t="shared" si="6"/>
        <v>16.5</v>
      </c>
      <c r="BF4" s="328">
        <f t="shared" si="6"/>
        <v>21</v>
      </c>
      <c r="BG4" s="328">
        <f t="shared" si="6"/>
        <v>16.5</v>
      </c>
      <c r="BH4" s="328">
        <f t="shared" si="6"/>
        <v>21</v>
      </c>
      <c r="BI4" s="328">
        <f t="shared" si="6"/>
        <v>16.5</v>
      </c>
      <c r="BJ4" s="328">
        <f t="shared" si="6"/>
        <v>18</v>
      </c>
      <c r="BO4" s="41"/>
      <c r="BP4" s="41"/>
      <c r="BQ4" s="39"/>
      <c r="BR4" s="39"/>
      <c r="BW4" s="13"/>
      <c r="CA4" s="187"/>
      <c r="CB4" s="40"/>
    </row>
    <row r="5" spans="1:88">
      <c r="A5" s="23" t="s">
        <v>17</v>
      </c>
      <c r="B5" s="24" t="s">
        <v>17</v>
      </c>
      <c r="C5" s="5">
        <v>46143</v>
      </c>
      <c r="D5" s="966">
        <f>'YN01'!$J$31</f>
        <v>2576.9310541611849</v>
      </c>
      <c r="E5" s="966">
        <f>'YN01'!$B$31</f>
        <v>1247.7785690345604</v>
      </c>
      <c r="F5" s="25">
        <v>48</v>
      </c>
      <c r="G5" s="26">
        <f>'YN01'!$H$10</f>
        <v>0.9342465753424658</v>
      </c>
      <c r="H5" s="26">
        <f>'YN01'!$I$10</f>
        <v>0.94</v>
      </c>
      <c r="I5" s="841">
        <f>D5*E5*F5*G5*H5*0.00016</f>
        <v>21686.572054917757</v>
      </c>
      <c r="J5" s="27">
        <f>BP!F14/DAY(EOMONTH(C5,0))</f>
        <v>7343.1179459607247</v>
      </c>
      <c r="K5" s="31"/>
      <c r="L5" s="28">
        <f t="shared" ref="L5:L15" si="7">J5/I5</f>
        <v>0.33860205879313054</v>
      </c>
      <c r="M5" s="29">
        <f t="shared" ref="M5:M15" si="8">L5*F5</f>
        <v>16.252898822070264</v>
      </c>
      <c r="N5" s="29">
        <f t="shared" si="1"/>
        <v>5.4176329406900878</v>
      </c>
      <c r="O5" s="29">
        <f t="shared" si="2"/>
        <v>6</v>
      </c>
      <c r="P5" s="29">
        <f t="shared" ref="P5:P15" si="9">O5/2.5</f>
        <v>2.4</v>
      </c>
      <c r="Q5" s="30">
        <f t="shared" si="3"/>
        <v>7.1999999999999993</v>
      </c>
      <c r="R5" s="30">
        <f t="shared" si="4"/>
        <v>8</v>
      </c>
      <c r="S5" s="30">
        <f>'Manpower Allocation'!$D$9</f>
        <v>17</v>
      </c>
      <c r="T5" s="30">
        <f t="shared" ref="T5:T15" si="10">R5+S5</f>
        <v>25</v>
      </c>
      <c r="U5" s="1327">
        <f t="shared" ref="U5:U15" si="11">I5/V5</f>
        <v>2710.8215068647196</v>
      </c>
      <c r="V5" s="22">
        <v>8</v>
      </c>
      <c r="W5" s="22">
        <f t="shared" ref="W5:W15" si="12">8*2*3</f>
        <v>48</v>
      </c>
      <c r="X5" s="21">
        <f t="shared" ref="X5:X15" si="13">IF(J5&gt;I5,V5,J5/U5)</f>
        <v>2.7088164703450444</v>
      </c>
      <c r="Y5" s="22">
        <f t="shared" ref="Y5:Y15" si="14">ROUND(L5*W5,0)</f>
        <v>16</v>
      </c>
      <c r="Z5" s="22">
        <v>0.8</v>
      </c>
      <c r="AA5" s="1325">
        <f t="shared" ref="AA5:AA15" si="15">X5*Z5</f>
        <v>2.1670531762760357</v>
      </c>
      <c r="AB5" s="1325">
        <f t="shared" ref="AB5:AB15" si="16">ROUNDUP(AA5,0)</f>
        <v>3</v>
      </c>
      <c r="AC5" s="1328">
        <f>ROUNDUP(AA5*3,0)</f>
        <v>7</v>
      </c>
      <c r="AD5" s="1355">
        <f>IF(MOD(AA5,1)&lt;0.3,ROUNDUP(AA5*3,0),AB5*3)</f>
        <v>7</v>
      </c>
      <c r="AE5" s="1355">
        <f>IF(MOD(X5*Z5,1)&lt;0.3,ROUNDUP(X5*Z5*3,0),ROUNDUP(X5*Z5,0)*3)</f>
        <v>7</v>
      </c>
      <c r="AF5" s="1336" t="s">
        <v>1527</v>
      </c>
      <c r="AG5" s="130">
        <v>2</v>
      </c>
      <c r="AH5" s="130">
        <f t="shared" ref="AH5:AH11" si="17">AG5*3</f>
        <v>6</v>
      </c>
      <c r="AI5" s="130" t="s">
        <v>1528</v>
      </c>
      <c r="AJ5" s="130"/>
      <c r="AK5" s="130"/>
      <c r="AL5" s="130"/>
      <c r="AM5" s="130"/>
      <c r="AN5" s="22">
        <v>24</v>
      </c>
      <c r="AO5" s="22">
        <f t="shared" si="5"/>
        <v>-2</v>
      </c>
      <c r="AP5" s="22">
        <v>3</v>
      </c>
      <c r="AQ5" s="22"/>
      <c r="AR5" s="22"/>
      <c r="AS5" s="22"/>
      <c r="AU5" s="372" t="s">
        <v>128</v>
      </c>
      <c r="AV5" s="33">
        <v>3</v>
      </c>
      <c r="AW5" s="33">
        <v>3</v>
      </c>
      <c r="AY5" s="33">
        <v>3</v>
      </c>
      <c r="AZ5" s="33">
        <v>3</v>
      </c>
      <c r="BA5" s="33">
        <v>3</v>
      </c>
      <c r="BB5" s="33">
        <v>3</v>
      </c>
      <c r="BC5" s="33">
        <v>3</v>
      </c>
      <c r="BD5" s="33">
        <v>3</v>
      </c>
      <c r="BE5" s="33">
        <v>3</v>
      </c>
      <c r="BF5" s="33">
        <v>3</v>
      </c>
      <c r="BG5" s="33">
        <v>3</v>
      </c>
      <c r="BH5" s="33">
        <v>3</v>
      </c>
      <c r="BI5" s="33">
        <v>3</v>
      </c>
      <c r="BJ5" s="33">
        <v>3</v>
      </c>
      <c r="BO5" s="41"/>
      <c r="BP5" s="41"/>
      <c r="BQ5" s="39"/>
      <c r="BW5" s="13"/>
      <c r="CA5" s="187"/>
      <c r="CB5" s="40"/>
    </row>
    <row r="6" spans="1:88">
      <c r="A6" s="23" t="s">
        <v>17</v>
      </c>
      <c r="B6" s="24" t="s">
        <v>17</v>
      </c>
      <c r="C6" s="5">
        <v>46174</v>
      </c>
      <c r="D6" s="966">
        <f>'YN01'!$J$31</f>
        <v>2576.9310541611849</v>
      </c>
      <c r="E6" s="966">
        <f>'YN01'!$B$31</f>
        <v>1247.7785690345604</v>
      </c>
      <c r="F6" s="25">
        <v>48</v>
      </c>
      <c r="G6" s="26">
        <f>'YN01'!$H$10</f>
        <v>0.9342465753424658</v>
      </c>
      <c r="H6" s="26">
        <f>'YN01'!$I$10</f>
        <v>0.94</v>
      </c>
      <c r="I6" s="841">
        <f t="shared" ref="I6:I15" si="18">D6*E6*F6*G6*H6*0.00016</f>
        <v>21686.572054917757</v>
      </c>
      <c r="J6" s="27">
        <f>BP!G14/DAY(EOMONTH(C6,0))</f>
        <v>5757.8726906013535</v>
      </c>
      <c r="K6" s="31"/>
      <c r="L6" s="28">
        <f t="shared" si="7"/>
        <v>0.26550404905028174</v>
      </c>
      <c r="M6" s="29">
        <f t="shared" si="8"/>
        <v>12.744194354413523</v>
      </c>
      <c r="N6" s="29">
        <f t="shared" si="1"/>
        <v>4.2480647848045079</v>
      </c>
      <c r="O6" s="29">
        <f t="shared" si="2"/>
        <v>5</v>
      </c>
      <c r="P6" s="29">
        <f t="shared" si="9"/>
        <v>2</v>
      </c>
      <c r="Q6" s="30">
        <f t="shared" si="3"/>
        <v>6</v>
      </c>
      <c r="R6" s="30">
        <f t="shared" si="4"/>
        <v>6</v>
      </c>
      <c r="S6" s="30">
        <f>'Manpower Allocation'!$D$9</f>
        <v>17</v>
      </c>
      <c r="T6" s="30">
        <f t="shared" si="10"/>
        <v>23</v>
      </c>
      <c r="U6" s="1327">
        <f t="shared" si="11"/>
        <v>2710.8215068647196</v>
      </c>
      <c r="V6" s="22">
        <v>8</v>
      </c>
      <c r="W6" s="22">
        <f t="shared" si="12"/>
        <v>48</v>
      </c>
      <c r="X6" s="21">
        <f t="shared" si="13"/>
        <v>2.1240323924022539</v>
      </c>
      <c r="Y6" s="22">
        <f t="shared" si="14"/>
        <v>13</v>
      </c>
      <c r="Z6" s="22">
        <v>0.8</v>
      </c>
      <c r="AA6" s="1325">
        <f t="shared" si="15"/>
        <v>1.6992259139218033</v>
      </c>
      <c r="AB6" s="1325">
        <f t="shared" si="16"/>
        <v>2</v>
      </c>
      <c r="AC6" s="1325">
        <f t="shared" ref="AC6:AC12" si="19">AB6*3</f>
        <v>6</v>
      </c>
      <c r="AD6" s="1355">
        <f t="shared" ref="AD6:AD15" si="20">IF(MOD(AA6,1)&lt;0.3,ROUNDUP(AA6*3,0),AB6*3)</f>
        <v>6</v>
      </c>
      <c r="AE6" s="1355">
        <f t="shared" ref="AE6:AE15" si="21">IF(MOD(X6*Z6,1)&lt;0.3,ROUNDUP(X6*Z6*3,0),ROUNDUP(X6*Z6,0)*3)</f>
        <v>6</v>
      </c>
      <c r="AF6" s="1336" t="s">
        <v>1529</v>
      </c>
      <c r="AG6" s="130">
        <v>2</v>
      </c>
      <c r="AH6" s="130">
        <f t="shared" si="17"/>
        <v>6</v>
      </c>
      <c r="AI6" s="130" t="s">
        <v>1528</v>
      </c>
      <c r="AJ6" s="130"/>
      <c r="AK6" s="130"/>
      <c r="AL6" s="130"/>
      <c r="AM6" s="130"/>
      <c r="AN6" s="22">
        <v>24</v>
      </c>
      <c r="AO6" s="22">
        <f t="shared" si="5"/>
        <v>-4</v>
      </c>
      <c r="AP6" s="22">
        <v>3</v>
      </c>
      <c r="AQ6" s="22"/>
      <c r="AR6" s="22"/>
      <c r="AS6" s="22"/>
      <c r="AU6" s="164" t="s">
        <v>129</v>
      </c>
      <c r="AV6" s="368">
        <v>6</v>
      </c>
      <c r="AW6" s="33">
        <f>3*2-1</f>
        <v>5</v>
      </c>
      <c r="AY6" s="33">
        <f>3*2-1</f>
        <v>5</v>
      </c>
      <c r="AZ6" s="33">
        <f t="shared" ref="AZ6:BJ6" si="22">3*2-1</f>
        <v>5</v>
      </c>
      <c r="BA6" s="33">
        <f t="shared" si="22"/>
        <v>5</v>
      </c>
      <c r="BB6" s="33">
        <f t="shared" si="22"/>
        <v>5</v>
      </c>
      <c r="BC6" s="33">
        <f t="shared" si="22"/>
        <v>5</v>
      </c>
      <c r="BD6" s="33">
        <f t="shared" si="22"/>
        <v>5</v>
      </c>
      <c r="BE6" s="33">
        <f t="shared" si="22"/>
        <v>5</v>
      </c>
      <c r="BF6" s="33">
        <f t="shared" si="22"/>
        <v>5</v>
      </c>
      <c r="BG6" s="33">
        <f t="shared" si="22"/>
        <v>5</v>
      </c>
      <c r="BH6" s="33">
        <f t="shared" si="22"/>
        <v>5</v>
      </c>
      <c r="BI6" s="33">
        <f t="shared" si="22"/>
        <v>5</v>
      </c>
      <c r="BJ6" s="33">
        <f t="shared" si="22"/>
        <v>5</v>
      </c>
      <c r="BO6" s="39"/>
      <c r="BP6" s="39"/>
      <c r="BQ6" s="39"/>
      <c r="BW6" s="13"/>
      <c r="CA6" s="187"/>
      <c r="CB6" s="40"/>
    </row>
    <row r="7" spans="1:88">
      <c r="A7" s="23" t="s">
        <v>17</v>
      </c>
      <c r="B7" s="24" t="s">
        <v>17</v>
      </c>
      <c r="C7" s="5">
        <v>46204</v>
      </c>
      <c r="D7" s="966">
        <f>'YN01'!$J$31</f>
        <v>2576.9310541611849</v>
      </c>
      <c r="E7" s="966">
        <f>'YN01'!$B$31</f>
        <v>1247.7785690345604</v>
      </c>
      <c r="F7" s="25">
        <v>48</v>
      </c>
      <c r="G7" s="26">
        <f>'YN01'!$H$10</f>
        <v>0.9342465753424658</v>
      </c>
      <c r="H7" s="26">
        <f>'YN01'!$I$10</f>
        <v>0.94</v>
      </c>
      <c r="I7" s="841">
        <f t="shared" si="18"/>
        <v>21686.572054917757</v>
      </c>
      <c r="J7" s="27">
        <f>BP!H14/DAY(EOMONTH(C7,0))</f>
        <v>6631.5757487786796</v>
      </c>
      <c r="K7" s="31"/>
      <c r="L7" s="28">
        <f t="shared" si="7"/>
        <v>0.30579179281932067</v>
      </c>
      <c r="M7" s="29">
        <f t="shared" si="8"/>
        <v>14.678006055327392</v>
      </c>
      <c r="N7" s="29">
        <f t="shared" si="1"/>
        <v>4.8926686851091308</v>
      </c>
      <c r="O7" s="29">
        <f t="shared" si="2"/>
        <v>5</v>
      </c>
      <c r="P7" s="29">
        <f t="shared" si="9"/>
        <v>2</v>
      </c>
      <c r="Q7" s="30">
        <f t="shared" si="3"/>
        <v>6</v>
      </c>
      <c r="R7" s="30">
        <f t="shared" si="4"/>
        <v>6</v>
      </c>
      <c r="S7" s="30">
        <f>'Manpower Allocation'!$D$9</f>
        <v>17</v>
      </c>
      <c r="T7" s="30">
        <f t="shared" si="10"/>
        <v>23</v>
      </c>
      <c r="U7" s="1327">
        <f t="shared" si="11"/>
        <v>2710.8215068647196</v>
      </c>
      <c r="V7" s="22">
        <v>8</v>
      </c>
      <c r="W7" s="22">
        <f t="shared" si="12"/>
        <v>48</v>
      </c>
      <c r="X7" s="21">
        <f>IF(J7&gt;I7,V7,J7/U7)</f>
        <v>2.4463343425545654</v>
      </c>
      <c r="Y7" s="22">
        <f t="shared" si="14"/>
        <v>15</v>
      </c>
      <c r="Z7" s="22">
        <v>0.8</v>
      </c>
      <c r="AA7" s="1325">
        <f t="shared" si="15"/>
        <v>1.9570674740436524</v>
      </c>
      <c r="AB7" s="1325">
        <f t="shared" si="16"/>
        <v>2</v>
      </c>
      <c r="AC7" s="1325">
        <f t="shared" si="19"/>
        <v>6</v>
      </c>
      <c r="AD7" s="1355">
        <f t="shared" si="20"/>
        <v>6</v>
      </c>
      <c r="AE7" s="1355">
        <f t="shared" si="21"/>
        <v>6</v>
      </c>
      <c r="AF7" s="1336" t="s">
        <v>1530</v>
      </c>
      <c r="AG7" s="130">
        <v>2</v>
      </c>
      <c r="AH7" s="130">
        <f t="shared" si="17"/>
        <v>6</v>
      </c>
      <c r="AI7" s="130" t="s">
        <v>1528</v>
      </c>
      <c r="AJ7" s="130"/>
      <c r="AK7" s="130"/>
      <c r="AL7" s="130"/>
      <c r="AM7" s="130"/>
      <c r="AN7" s="22">
        <v>24</v>
      </c>
      <c r="AO7" s="22">
        <f t="shared" si="5"/>
        <v>-4</v>
      </c>
      <c r="AP7" s="22">
        <v>3</v>
      </c>
      <c r="AQ7" s="22"/>
      <c r="AR7" s="22"/>
      <c r="AS7" s="22"/>
      <c r="AU7" s="164" t="s">
        <v>130</v>
      </c>
      <c r="AV7" s="33">
        <v>2</v>
      </c>
      <c r="AW7" s="33">
        <v>1</v>
      </c>
      <c r="AX7" t="s">
        <v>685</v>
      </c>
      <c r="AY7" s="33">
        <v>1</v>
      </c>
      <c r="AZ7" s="33">
        <v>1</v>
      </c>
      <c r="BA7" s="33">
        <v>1</v>
      </c>
      <c r="BB7" s="33">
        <v>1</v>
      </c>
      <c r="BC7" s="33">
        <v>1</v>
      </c>
      <c r="BD7" s="33">
        <v>1</v>
      </c>
      <c r="BE7" s="33">
        <v>1</v>
      </c>
      <c r="BF7" s="33">
        <v>1</v>
      </c>
      <c r="BG7" s="33">
        <v>1</v>
      </c>
      <c r="BH7" s="33">
        <v>1</v>
      </c>
      <c r="BI7" s="33">
        <v>1</v>
      </c>
      <c r="BJ7" s="33">
        <v>1</v>
      </c>
      <c r="BO7" s="39"/>
      <c r="BW7" s="3"/>
      <c r="CA7" s="187"/>
      <c r="CB7" s="40"/>
    </row>
    <row r="8" spans="1:88">
      <c r="A8" s="23" t="s">
        <v>17</v>
      </c>
      <c r="B8" s="24" t="s">
        <v>17</v>
      </c>
      <c r="C8" s="5">
        <v>46235</v>
      </c>
      <c r="D8" s="966">
        <f>'YN01'!$J$31</f>
        <v>2576.9310541611849</v>
      </c>
      <c r="E8" s="966">
        <f>'YN01'!$B$31</f>
        <v>1247.7785690345604</v>
      </c>
      <c r="F8" s="25">
        <v>48</v>
      </c>
      <c r="G8" s="26">
        <f>'YN01'!$H$10</f>
        <v>0.9342465753424658</v>
      </c>
      <c r="H8" s="26">
        <f>'YN01'!$I$10</f>
        <v>0.94</v>
      </c>
      <c r="I8" s="841">
        <f t="shared" si="18"/>
        <v>21686.572054917757</v>
      </c>
      <c r="J8" s="27">
        <f>BP!I14/DAY(EOMONTH(C8,0))</f>
        <v>8091.1841247840584</v>
      </c>
      <c r="K8" s="31"/>
      <c r="L8" s="28">
        <f t="shared" si="7"/>
        <v>0.37309649972777786</v>
      </c>
      <c r="M8" s="29">
        <f t="shared" si="8"/>
        <v>17.908631986933337</v>
      </c>
      <c r="N8" s="29">
        <f t="shared" si="1"/>
        <v>5.9695439956444458</v>
      </c>
      <c r="O8" s="29">
        <f t="shared" si="2"/>
        <v>6</v>
      </c>
      <c r="P8" s="29">
        <f t="shared" si="9"/>
        <v>2.4</v>
      </c>
      <c r="Q8" s="30">
        <f t="shared" si="3"/>
        <v>7.1999999999999993</v>
      </c>
      <c r="R8" s="30">
        <f t="shared" si="4"/>
        <v>8</v>
      </c>
      <c r="S8" s="30">
        <f>'Manpower Allocation'!$D$9</f>
        <v>17</v>
      </c>
      <c r="T8" s="30">
        <f t="shared" si="10"/>
        <v>25</v>
      </c>
      <c r="U8" s="1327">
        <f t="shared" si="11"/>
        <v>2710.8215068647196</v>
      </c>
      <c r="V8" s="22">
        <v>8</v>
      </c>
      <c r="W8" s="22">
        <f t="shared" si="12"/>
        <v>48</v>
      </c>
      <c r="X8" s="21">
        <f t="shared" si="13"/>
        <v>2.9847719978222229</v>
      </c>
      <c r="Y8" s="22">
        <f t="shared" si="14"/>
        <v>18</v>
      </c>
      <c r="Z8" s="22">
        <v>0.8</v>
      </c>
      <c r="AA8" s="1325">
        <f t="shared" si="15"/>
        <v>2.3878175982577785</v>
      </c>
      <c r="AB8" s="1325">
        <f t="shared" si="16"/>
        <v>3</v>
      </c>
      <c r="AC8" s="1328">
        <f t="shared" si="19"/>
        <v>9</v>
      </c>
      <c r="AD8" s="1355">
        <f t="shared" si="20"/>
        <v>9</v>
      </c>
      <c r="AE8" s="1355">
        <f t="shared" si="21"/>
        <v>9</v>
      </c>
      <c r="AF8" s="1336" t="s">
        <v>1531</v>
      </c>
      <c r="AG8" s="130">
        <v>2</v>
      </c>
      <c r="AH8" s="130">
        <f t="shared" si="17"/>
        <v>6</v>
      </c>
      <c r="AI8" s="130" t="s">
        <v>1528</v>
      </c>
      <c r="AJ8" s="130"/>
      <c r="AK8" s="130"/>
      <c r="AL8" s="130"/>
      <c r="AM8" s="130"/>
      <c r="AN8" s="22">
        <v>24</v>
      </c>
      <c r="AO8" s="22">
        <f t="shared" si="5"/>
        <v>-2</v>
      </c>
      <c r="AP8" s="22">
        <v>3</v>
      </c>
      <c r="AQ8" s="22"/>
      <c r="AR8" s="22"/>
      <c r="AS8" s="22"/>
      <c r="AU8" s="164" t="s">
        <v>131</v>
      </c>
      <c r="AV8" s="33">
        <v>5</v>
      </c>
      <c r="AW8" s="33">
        <v>5</v>
      </c>
      <c r="AY8" s="33">
        <v>5</v>
      </c>
      <c r="AZ8" s="33">
        <v>5</v>
      </c>
      <c r="BA8" s="33">
        <v>5</v>
      </c>
      <c r="BB8" s="33">
        <v>5</v>
      </c>
      <c r="BC8" s="33">
        <v>5</v>
      </c>
      <c r="BD8" s="33">
        <v>5</v>
      </c>
      <c r="BE8" s="33">
        <v>5</v>
      </c>
      <c r="BF8" s="33">
        <v>5</v>
      </c>
      <c r="BG8" s="33">
        <v>5</v>
      </c>
      <c r="BH8" s="33">
        <v>5</v>
      </c>
      <c r="BI8" s="33">
        <v>5</v>
      </c>
      <c r="BJ8" s="33">
        <v>5</v>
      </c>
      <c r="BO8" s="39"/>
      <c r="BW8" s="3"/>
      <c r="CA8" s="187"/>
      <c r="CB8" s="40"/>
    </row>
    <row r="9" spans="1:88">
      <c r="A9" s="23" t="s">
        <v>17</v>
      </c>
      <c r="B9" s="24" t="s">
        <v>17</v>
      </c>
      <c r="C9" s="5">
        <v>46266</v>
      </c>
      <c r="D9" s="966">
        <f>'YN01'!$J$31</f>
        <v>2576.9310541611849</v>
      </c>
      <c r="E9" s="966">
        <f>'YN01'!$B$31</f>
        <v>1247.7785690345604</v>
      </c>
      <c r="F9" s="25">
        <v>48</v>
      </c>
      <c r="G9" s="26">
        <f>'YN01'!$H$10</f>
        <v>0.9342465753424658</v>
      </c>
      <c r="H9" s="26">
        <f>'YN01'!$I$10</f>
        <v>0.94</v>
      </c>
      <c r="I9" s="841">
        <f t="shared" si="18"/>
        <v>21686.572054917757</v>
      </c>
      <c r="J9" s="27">
        <f>BP!J14/DAY(EOMONTH(C9,0))</f>
        <v>13123.900339820473</v>
      </c>
      <c r="K9" s="31"/>
      <c r="L9" s="28">
        <f t="shared" si="7"/>
        <v>0.60516250823718498</v>
      </c>
      <c r="M9" s="29">
        <f t="shared" si="8"/>
        <v>29.047800395384879</v>
      </c>
      <c r="N9" s="29">
        <f t="shared" si="1"/>
        <v>9.6826001317949597</v>
      </c>
      <c r="O9" s="29">
        <f t="shared" si="2"/>
        <v>10</v>
      </c>
      <c r="P9" s="29">
        <f t="shared" si="9"/>
        <v>4</v>
      </c>
      <c r="Q9" s="30">
        <f t="shared" si="3"/>
        <v>12</v>
      </c>
      <c r="R9" s="30">
        <f t="shared" si="4"/>
        <v>12</v>
      </c>
      <c r="S9" s="30">
        <f>'Manpower Allocation'!$D$9</f>
        <v>17</v>
      </c>
      <c r="T9" s="30">
        <f t="shared" si="10"/>
        <v>29</v>
      </c>
      <c r="U9" s="1327">
        <f t="shared" si="11"/>
        <v>2710.8215068647196</v>
      </c>
      <c r="V9" s="22">
        <v>8</v>
      </c>
      <c r="W9" s="22">
        <f t="shared" si="12"/>
        <v>48</v>
      </c>
      <c r="X9" s="21">
        <f>IF(J9&gt;I9,V9,J9/U9)</f>
        <v>4.8413000658974799</v>
      </c>
      <c r="Y9" s="22">
        <f t="shared" si="14"/>
        <v>29</v>
      </c>
      <c r="Z9" s="22">
        <v>0.8</v>
      </c>
      <c r="AA9" s="1325">
        <f t="shared" si="15"/>
        <v>3.8730400527179842</v>
      </c>
      <c r="AB9" s="1325">
        <f t="shared" si="16"/>
        <v>4</v>
      </c>
      <c r="AC9" s="1325">
        <f t="shared" si="19"/>
        <v>12</v>
      </c>
      <c r="AD9" s="1355">
        <f t="shared" si="20"/>
        <v>12</v>
      </c>
      <c r="AE9" s="1355">
        <f t="shared" si="21"/>
        <v>12</v>
      </c>
      <c r="AF9" s="1336" t="s">
        <v>1532</v>
      </c>
      <c r="AG9" s="130">
        <v>2</v>
      </c>
      <c r="AH9" s="130">
        <f t="shared" si="17"/>
        <v>6</v>
      </c>
      <c r="AI9" s="130" t="s">
        <v>1528</v>
      </c>
      <c r="AJ9" s="130"/>
      <c r="AK9" s="130"/>
      <c r="AL9" s="130"/>
      <c r="AM9" s="130"/>
      <c r="AN9" s="22">
        <v>30</v>
      </c>
      <c r="AO9" s="22">
        <f t="shared" si="5"/>
        <v>-4</v>
      </c>
      <c r="AP9" s="22">
        <v>3</v>
      </c>
      <c r="AQ9" s="22"/>
      <c r="AR9" s="22"/>
      <c r="AS9" s="22"/>
      <c r="AU9" s="164" t="s">
        <v>132</v>
      </c>
      <c r="AV9" s="33">
        <v>5</v>
      </c>
      <c r="AW9" s="33">
        <v>5</v>
      </c>
      <c r="AY9" s="33">
        <v>5</v>
      </c>
      <c r="AZ9" s="33">
        <v>5</v>
      </c>
      <c r="BA9" s="33">
        <v>5</v>
      </c>
      <c r="BB9" s="33">
        <v>5</v>
      </c>
      <c r="BC9" s="33">
        <v>5</v>
      </c>
      <c r="BD9" s="33">
        <v>5</v>
      </c>
      <c r="BE9" s="33">
        <v>5</v>
      </c>
      <c r="BF9" s="33">
        <v>5</v>
      </c>
      <c r="BG9" s="33">
        <v>5</v>
      </c>
      <c r="BH9" s="33">
        <v>5</v>
      </c>
      <c r="BI9" s="33">
        <v>5</v>
      </c>
      <c r="BJ9" s="33">
        <v>5</v>
      </c>
      <c r="BO9" s="39"/>
      <c r="BW9" s="3"/>
      <c r="CA9" s="187"/>
      <c r="CB9" s="40"/>
    </row>
    <row r="10" spans="1:88">
      <c r="A10" s="23" t="s">
        <v>17</v>
      </c>
      <c r="B10" s="24" t="s">
        <v>17</v>
      </c>
      <c r="C10" s="5">
        <v>46296</v>
      </c>
      <c r="D10" s="966">
        <f>'YN01'!$J$31</f>
        <v>2576.9310541611849</v>
      </c>
      <c r="E10" s="966">
        <f>'YN01'!$B$31</f>
        <v>1247.7785690345604</v>
      </c>
      <c r="F10" s="25">
        <v>48</v>
      </c>
      <c r="G10" s="26">
        <f>'YN01'!$H$10</f>
        <v>0.9342465753424658</v>
      </c>
      <c r="H10" s="26">
        <f>'YN01'!$I$10</f>
        <v>0.94</v>
      </c>
      <c r="I10" s="841">
        <f t="shared" si="18"/>
        <v>21686.572054917757</v>
      </c>
      <c r="J10" s="27">
        <f>BP!K14/DAY(EOMONTH(C10,0))</f>
        <v>9321.0410097002386</v>
      </c>
      <c r="K10" s="31"/>
      <c r="L10" s="28">
        <f t="shared" si="7"/>
        <v>0.42980702464622816</v>
      </c>
      <c r="M10" s="29">
        <f t="shared" si="8"/>
        <v>20.630737183018951</v>
      </c>
      <c r="N10" s="29">
        <f t="shared" si="1"/>
        <v>6.8769123943396506</v>
      </c>
      <c r="O10" s="29">
        <f t="shared" si="2"/>
        <v>7</v>
      </c>
      <c r="P10" s="29">
        <f t="shared" si="9"/>
        <v>2.8</v>
      </c>
      <c r="Q10" s="30">
        <f t="shared" si="3"/>
        <v>8.3999999999999986</v>
      </c>
      <c r="R10" s="30">
        <f t="shared" si="4"/>
        <v>9</v>
      </c>
      <c r="S10" s="30">
        <f>'Manpower Allocation'!$D$9</f>
        <v>17</v>
      </c>
      <c r="T10" s="30">
        <f t="shared" si="10"/>
        <v>26</v>
      </c>
      <c r="U10" s="1327">
        <f t="shared" si="11"/>
        <v>2710.8215068647196</v>
      </c>
      <c r="V10" s="22">
        <v>8</v>
      </c>
      <c r="W10" s="22">
        <f t="shared" si="12"/>
        <v>48</v>
      </c>
      <c r="X10" s="21">
        <f t="shared" si="13"/>
        <v>3.4384561971698253</v>
      </c>
      <c r="Y10" s="22">
        <f t="shared" si="14"/>
        <v>21</v>
      </c>
      <c r="Z10" s="22">
        <v>0.8</v>
      </c>
      <c r="AA10" s="1325">
        <f t="shared" si="15"/>
        <v>2.7507649577358606</v>
      </c>
      <c r="AB10" s="1325">
        <f t="shared" si="16"/>
        <v>3</v>
      </c>
      <c r="AC10" s="1325">
        <f t="shared" si="19"/>
        <v>9</v>
      </c>
      <c r="AD10" s="1355">
        <f t="shared" si="20"/>
        <v>9</v>
      </c>
      <c r="AE10" s="1355">
        <f t="shared" si="21"/>
        <v>9</v>
      </c>
      <c r="AF10" s="1336" t="s">
        <v>1533</v>
      </c>
      <c r="AG10" s="130">
        <v>2</v>
      </c>
      <c r="AH10" s="130">
        <f t="shared" si="17"/>
        <v>6</v>
      </c>
      <c r="AI10" s="130" t="s">
        <v>1528</v>
      </c>
      <c r="AJ10" s="130"/>
      <c r="AK10" s="130"/>
      <c r="AL10" s="130"/>
      <c r="AM10" s="130"/>
      <c r="AN10" s="22">
        <v>30</v>
      </c>
      <c r="AO10" s="22">
        <f t="shared" si="5"/>
        <v>-7</v>
      </c>
      <c r="AP10" s="22">
        <v>3</v>
      </c>
      <c r="AQ10" s="22"/>
      <c r="AR10" s="22"/>
      <c r="AS10" s="22"/>
      <c r="AU10" s="45" t="s">
        <v>133</v>
      </c>
      <c r="AV10" s="33">
        <v>3</v>
      </c>
      <c r="AW10" s="33">
        <v>3</v>
      </c>
      <c r="AY10" s="33">
        <v>3</v>
      </c>
      <c r="AZ10" s="33">
        <v>3</v>
      </c>
      <c r="BA10" s="33">
        <v>3</v>
      </c>
      <c r="BB10" s="33">
        <v>3</v>
      </c>
      <c r="BC10" s="33">
        <v>3</v>
      </c>
      <c r="BD10" s="33">
        <v>3</v>
      </c>
      <c r="BE10" s="33">
        <v>3</v>
      </c>
      <c r="BF10" s="33">
        <v>3</v>
      </c>
      <c r="BG10" s="33">
        <v>3</v>
      </c>
      <c r="BH10" s="33">
        <v>3</v>
      </c>
      <c r="BI10" s="33">
        <v>3</v>
      </c>
      <c r="BJ10" s="33">
        <v>3</v>
      </c>
      <c r="BO10" s="39"/>
      <c r="BW10" s="3"/>
      <c r="CA10" s="187"/>
      <c r="CB10" s="40"/>
    </row>
    <row r="11" spans="1:88">
      <c r="A11" s="23" t="s">
        <v>17</v>
      </c>
      <c r="B11" s="24" t="s">
        <v>17</v>
      </c>
      <c r="C11" s="5">
        <v>46327</v>
      </c>
      <c r="D11" s="966">
        <f>'YN01'!$J$31</f>
        <v>2576.9310541611849</v>
      </c>
      <c r="E11" s="966">
        <f>'YN01'!$B$31</f>
        <v>1247.7785690345604</v>
      </c>
      <c r="F11" s="25">
        <v>48</v>
      </c>
      <c r="G11" s="26">
        <f>'YN01'!$H$10</f>
        <v>0.9342465753424658</v>
      </c>
      <c r="H11" s="26">
        <f>'YN01'!$I$10</f>
        <v>0.94</v>
      </c>
      <c r="I11" s="841">
        <f t="shared" si="18"/>
        <v>21686.572054917757</v>
      </c>
      <c r="J11" s="27">
        <f>BP!L14/DAY(EOMONTH(C11,0))</f>
        <v>12237.75407168092</v>
      </c>
      <c r="K11" s="31"/>
      <c r="L11" s="28">
        <f t="shared" si="7"/>
        <v>0.56430098960272634</v>
      </c>
      <c r="M11" s="29">
        <f t="shared" si="8"/>
        <v>27.086447500930866</v>
      </c>
      <c r="N11" s="29">
        <f t="shared" si="1"/>
        <v>9.0288158336436215</v>
      </c>
      <c r="O11" s="29">
        <f t="shared" si="2"/>
        <v>10</v>
      </c>
      <c r="P11" s="29">
        <f t="shared" si="9"/>
        <v>4</v>
      </c>
      <c r="Q11" s="30">
        <f t="shared" si="3"/>
        <v>12</v>
      </c>
      <c r="R11" s="30">
        <f t="shared" si="4"/>
        <v>12</v>
      </c>
      <c r="S11" s="30">
        <f>'Manpower Allocation'!$D$9</f>
        <v>17</v>
      </c>
      <c r="T11" s="30">
        <f t="shared" si="10"/>
        <v>29</v>
      </c>
      <c r="U11" s="1327">
        <f t="shared" si="11"/>
        <v>2710.8215068647196</v>
      </c>
      <c r="V11" s="22">
        <v>8</v>
      </c>
      <c r="W11" s="22">
        <f t="shared" si="12"/>
        <v>48</v>
      </c>
      <c r="X11" s="21">
        <f>IF(J11&gt;I11,V11,J11/U11)</f>
        <v>4.5144079168218108</v>
      </c>
      <c r="Y11" s="22">
        <f t="shared" si="14"/>
        <v>27</v>
      </c>
      <c r="Z11" s="22">
        <v>0.8</v>
      </c>
      <c r="AA11" s="1325">
        <f t="shared" si="15"/>
        <v>3.6115263334574488</v>
      </c>
      <c r="AB11" s="1325">
        <f t="shared" si="16"/>
        <v>4</v>
      </c>
      <c r="AC11" s="1325">
        <f t="shared" si="19"/>
        <v>12</v>
      </c>
      <c r="AD11" s="1355">
        <f t="shared" si="20"/>
        <v>12</v>
      </c>
      <c r="AE11" s="1355">
        <f t="shared" si="21"/>
        <v>12</v>
      </c>
      <c r="AF11" s="1336" t="s">
        <v>1534</v>
      </c>
      <c r="AG11" s="130">
        <v>1</v>
      </c>
      <c r="AH11" s="130">
        <f t="shared" si="17"/>
        <v>3</v>
      </c>
      <c r="AI11" s="130" t="s">
        <v>1528</v>
      </c>
      <c r="AJ11" s="130"/>
      <c r="AK11" s="130"/>
      <c r="AL11" s="130"/>
      <c r="AM11" s="130"/>
      <c r="AN11" s="22">
        <v>30</v>
      </c>
      <c r="AO11" s="22">
        <f t="shared" si="5"/>
        <v>-4</v>
      </c>
      <c r="AP11" s="22">
        <v>3</v>
      </c>
      <c r="AQ11" s="22"/>
      <c r="AR11" s="22"/>
      <c r="AS11" s="22"/>
      <c r="AU11" s="133" t="s">
        <v>561</v>
      </c>
      <c r="AV11" s="328">
        <f>SUM(AV4:AV10)</f>
        <v>35.166666666666664</v>
      </c>
      <c r="AW11" s="33">
        <f>SUM(AW4:AW10)</f>
        <v>37</v>
      </c>
      <c r="AY11" s="33">
        <f>SUM(AY4:AY10)</f>
        <v>31</v>
      </c>
      <c r="AZ11" s="328">
        <f t="shared" ref="AZ11:BJ11" si="23">SUM(AZ4:AZ10)</f>
        <v>32.5</v>
      </c>
      <c r="BA11" s="328">
        <f t="shared" si="23"/>
        <v>32.5</v>
      </c>
      <c r="BB11" s="328">
        <f t="shared" si="23"/>
        <v>35.5</v>
      </c>
      <c r="BC11" s="328">
        <f t="shared" si="23"/>
        <v>35.5</v>
      </c>
      <c r="BD11" s="328">
        <f t="shared" si="23"/>
        <v>41.5</v>
      </c>
      <c r="BE11" s="328">
        <f t="shared" si="23"/>
        <v>38.5</v>
      </c>
      <c r="BF11" s="328">
        <f t="shared" si="23"/>
        <v>43</v>
      </c>
      <c r="BG11" s="328">
        <f t="shared" si="23"/>
        <v>38.5</v>
      </c>
      <c r="BH11" s="328">
        <f t="shared" si="23"/>
        <v>43</v>
      </c>
      <c r="BI11" s="328">
        <f t="shared" si="23"/>
        <v>38.5</v>
      </c>
      <c r="BJ11" s="328">
        <f t="shared" si="23"/>
        <v>40</v>
      </c>
      <c r="BO11" s="39"/>
      <c r="BW11" s="3"/>
      <c r="CA11" s="187"/>
      <c r="CB11" s="40"/>
    </row>
    <row r="12" spans="1:88">
      <c r="A12" s="23" t="s">
        <v>17</v>
      </c>
      <c r="B12" s="24" t="s">
        <v>17</v>
      </c>
      <c r="C12" s="5">
        <v>46357</v>
      </c>
      <c r="D12" s="966">
        <f>'YN01'!$J$31</f>
        <v>2576.9310541611849</v>
      </c>
      <c r="E12" s="966">
        <f>'YN01'!$B$31</f>
        <v>1247.7785690345604</v>
      </c>
      <c r="F12" s="25">
        <v>48</v>
      </c>
      <c r="G12" s="26">
        <f>'YN01'!$H$10</f>
        <v>0.9342465753424658</v>
      </c>
      <c r="H12" s="26">
        <f>'YN01'!$I$10</f>
        <v>0.94</v>
      </c>
      <c r="I12" s="841">
        <f t="shared" si="18"/>
        <v>21686.572054917757</v>
      </c>
      <c r="J12" s="27">
        <f>BP!M14/DAY(EOMONTH(C12,0))</f>
        <v>21844.944561204364</v>
      </c>
      <c r="K12" s="31"/>
      <c r="L12" s="28">
        <f t="shared" si="7"/>
        <v>1.0073027911412442</v>
      </c>
      <c r="M12" s="29">
        <f t="shared" si="8"/>
        <v>48.350533974779722</v>
      </c>
      <c r="N12" s="29">
        <f t="shared" si="1"/>
        <v>16.116844658259907</v>
      </c>
      <c r="O12" s="29">
        <f t="shared" si="2"/>
        <v>17</v>
      </c>
      <c r="P12" s="29">
        <f t="shared" si="9"/>
        <v>6.8</v>
      </c>
      <c r="Q12" s="30">
        <f t="shared" si="3"/>
        <v>20.399999999999999</v>
      </c>
      <c r="R12" s="30">
        <f t="shared" si="4"/>
        <v>21</v>
      </c>
      <c r="S12" s="30">
        <f>'Manpower Allocation'!$D$9</f>
        <v>17</v>
      </c>
      <c r="T12" s="30">
        <f t="shared" si="10"/>
        <v>38</v>
      </c>
      <c r="U12" s="1327">
        <f t="shared" si="11"/>
        <v>2710.8215068647196</v>
      </c>
      <c r="V12" s="22">
        <v>8</v>
      </c>
      <c r="W12" s="22">
        <f t="shared" si="12"/>
        <v>48</v>
      </c>
      <c r="X12" s="21">
        <f t="shared" si="13"/>
        <v>8</v>
      </c>
      <c r="Y12" s="22">
        <f t="shared" si="14"/>
        <v>48</v>
      </c>
      <c r="Z12" s="22">
        <v>0.8</v>
      </c>
      <c r="AA12" s="1325">
        <f t="shared" si="15"/>
        <v>6.4</v>
      </c>
      <c r="AB12" s="1325">
        <f t="shared" si="16"/>
        <v>7</v>
      </c>
      <c r="AC12" s="1325">
        <f t="shared" si="19"/>
        <v>21</v>
      </c>
      <c r="AD12" s="1355">
        <f t="shared" si="20"/>
        <v>21</v>
      </c>
      <c r="AE12" s="1355">
        <f t="shared" si="21"/>
        <v>21</v>
      </c>
      <c r="AF12" s="1325"/>
      <c r="AG12" s="22"/>
      <c r="AH12" s="22"/>
      <c r="AI12" s="22"/>
      <c r="AJ12" s="130"/>
      <c r="AK12" s="130"/>
      <c r="AL12" s="130"/>
      <c r="AM12" s="130"/>
      <c r="AN12" s="22">
        <v>30</v>
      </c>
      <c r="AO12" s="22">
        <f t="shared" si="5"/>
        <v>5</v>
      </c>
      <c r="AP12" s="22">
        <v>3</v>
      </c>
      <c r="AQ12" s="22"/>
      <c r="AR12" s="22"/>
      <c r="AS12" s="22"/>
      <c r="BO12" s="39"/>
      <c r="CA12" s="187"/>
      <c r="CB12" s="188"/>
      <c r="CI12" t="s">
        <v>301</v>
      </c>
      <c r="CJ12">
        <v>3</v>
      </c>
    </row>
    <row r="13" spans="1:88">
      <c r="A13" s="23" t="s">
        <v>17</v>
      </c>
      <c r="B13" s="24" t="s">
        <v>17</v>
      </c>
      <c r="C13" s="5">
        <v>46388</v>
      </c>
      <c r="D13" s="966">
        <f>'YN01'!$J$31</f>
        <v>2576.9310541611849</v>
      </c>
      <c r="E13" s="966">
        <f>'YN01'!$B$31</f>
        <v>1247.7785690345604</v>
      </c>
      <c r="F13" s="25">
        <v>48</v>
      </c>
      <c r="G13" s="26">
        <f>'YN01'!$H$10</f>
        <v>0.9342465753424658</v>
      </c>
      <c r="H13" s="26">
        <f>'YN01'!$I$10</f>
        <v>0.94</v>
      </c>
      <c r="I13" s="841">
        <f t="shared" si="18"/>
        <v>21686.572054917757</v>
      </c>
      <c r="J13" s="27">
        <f>BP!N14/DAY(EOMONTH(C13,0))</f>
        <v>17033.689068936208</v>
      </c>
      <c r="K13" s="31"/>
      <c r="L13" s="28">
        <f t="shared" si="7"/>
        <v>0.7854486649988357</v>
      </c>
      <c r="M13" s="29">
        <f t="shared" si="8"/>
        <v>37.701535919944114</v>
      </c>
      <c r="N13" s="29">
        <f t="shared" si="1"/>
        <v>12.567178639981371</v>
      </c>
      <c r="O13" s="29">
        <f t="shared" si="2"/>
        <v>13</v>
      </c>
      <c r="P13" s="29">
        <f t="shared" si="9"/>
        <v>5.2</v>
      </c>
      <c r="Q13" s="30">
        <f t="shared" si="3"/>
        <v>15.600000000000001</v>
      </c>
      <c r="R13" s="30">
        <f t="shared" si="4"/>
        <v>16</v>
      </c>
      <c r="S13" s="30">
        <f>'Manpower Allocation'!$D$9</f>
        <v>17</v>
      </c>
      <c r="T13" s="30">
        <f t="shared" si="10"/>
        <v>33</v>
      </c>
      <c r="U13" s="1327">
        <f t="shared" si="11"/>
        <v>2710.8215068647196</v>
      </c>
      <c r="V13" s="22">
        <v>8</v>
      </c>
      <c r="W13" s="22">
        <f t="shared" si="12"/>
        <v>48</v>
      </c>
      <c r="X13" s="21">
        <f>IF(J13&gt;I13,V13,J13/U13)</f>
        <v>6.2835893199906856</v>
      </c>
      <c r="Y13" s="22">
        <f t="shared" si="14"/>
        <v>38</v>
      </c>
      <c r="Z13" s="22">
        <v>0.8</v>
      </c>
      <c r="AA13" s="1325">
        <f t="shared" si="15"/>
        <v>5.0268714559925485</v>
      </c>
      <c r="AB13" s="1325">
        <f t="shared" si="16"/>
        <v>6</v>
      </c>
      <c r="AC13" s="1329">
        <f>ROUNDUP(AA13*3,0)</f>
        <v>16</v>
      </c>
      <c r="AD13" s="1355">
        <f t="shared" si="20"/>
        <v>16</v>
      </c>
      <c r="AE13" s="1355">
        <f t="shared" si="21"/>
        <v>16</v>
      </c>
      <c r="AF13" s="1325"/>
      <c r="AG13" s="22"/>
      <c r="AH13" s="22"/>
      <c r="AI13" s="22"/>
      <c r="AJ13" s="130"/>
      <c r="AK13" s="130"/>
      <c r="AL13" s="130"/>
      <c r="AM13" s="130"/>
      <c r="AN13" s="22">
        <v>30</v>
      </c>
      <c r="AO13" s="22">
        <f t="shared" si="5"/>
        <v>0</v>
      </c>
      <c r="AP13" s="22">
        <v>3</v>
      </c>
      <c r="AQ13" s="22"/>
      <c r="AR13" s="22"/>
      <c r="AS13" s="22"/>
      <c r="AW13" s="536">
        <v>10</v>
      </c>
      <c r="AY13">
        <v>6</v>
      </c>
      <c r="AZ13">
        <v>7</v>
      </c>
      <c r="BA13">
        <v>7</v>
      </c>
      <c r="BB13">
        <v>9</v>
      </c>
      <c r="BC13">
        <v>9</v>
      </c>
      <c r="BD13">
        <v>13</v>
      </c>
      <c r="BE13">
        <v>11</v>
      </c>
      <c r="BF13">
        <v>14</v>
      </c>
      <c r="BG13">
        <v>11</v>
      </c>
      <c r="BH13">
        <v>14</v>
      </c>
      <c r="BI13">
        <v>11</v>
      </c>
      <c r="BJ13">
        <v>12</v>
      </c>
      <c r="BO13" s="39"/>
      <c r="CI13" t="s">
        <v>390</v>
      </c>
      <c r="CJ13">
        <v>3</v>
      </c>
    </row>
    <row r="14" spans="1:88">
      <c r="A14" s="23" t="s">
        <v>17</v>
      </c>
      <c r="B14" s="24" t="s">
        <v>17</v>
      </c>
      <c r="C14" s="5">
        <v>46419</v>
      </c>
      <c r="D14" s="966">
        <f>'YN01'!$J$31</f>
        <v>2576.9310541611849</v>
      </c>
      <c r="E14" s="966">
        <f>'YN01'!$B$31</f>
        <v>1247.7785690345604</v>
      </c>
      <c r="F14" s="25">
        <v>48</v>
      </c>
      <c r="G14" s="26">
        <f>'YN01'!$H$10</f>
        <v>0.9342465753424658</v>
      </c>
      <c r="H14" s="26">
        <f>'YN01'!$I$10</f>
        <v>0.94</v>
      </c>
      <c r="I14" s="841">
        <f t="shared" si="18"/>
        <v>21686.572054917757</v>
      </c>
      <c r="J14" s="27">
        <f>BP!O14/DAY(EOMONTH(C14,0))</f>
        <v>17417.413110346832</v>
      </c>
      <c r="K14" s="31"/>
      <c r="L14" s="28">
        <f t="shared" si="7"/>
        <v>0.80314274963512133</v>
      </c>
      <c r="M14" s="29">
        <f t="shared" si="8"/>
        <v>38.550851982485824</v>
      </c>
      <c r="N14" s="29">
        <f t="shared" si="1"/>
        <v>12.850283994161941</v>
      </c>
      <c r="O14" s="29">
        <f t="shared" si="2"/>
        <v>13</v>
      </c>
      <c r="P14" s="29">
        <f t="shared" si="9"/>
        <v>5.2</v>
      </c>
      <c r="Q14" s="30">
        <f t="shared" si="3"/>
        <v>15.600000000000001</v>
      </c>
      <c r="R14" s="30">
        <f t="shared" si="4"/>
        <v>16</v>
      </c>
      <c r="S14" s="30">
        <f>'Manpower Allocation'!$D$9</f>
        <v>17</v>
      </c>
      <c r="T14" s="30">
        <f t="shared" si="10"/>
        <v>33</v>
      </c>
      <c r="U14" s="1327">
        <f t="shared" si="11"/>
        <v>2710.8215068647196</v>
      </c>
      <c r="V14" s="22">
        <v>8</v>
      </c>
      <c r="W14" s="22">
        <f t="shared" si="12"/>
        <v>48</v>
      </c>
      <c r="X14" s="21">
        <f t="shared" si="13"/>
        <v>6.4251419970809707</v>
      </c>
      <c r="Y14" s="22">
        <f t="shared" si="14"/>
        <v>39</v>
      </c>
      <c r="Z14" s="22">
        <v>0.8</v>
      </c>
      <c r="AA14" s="1325">
        <f t="shared" si="15"/>
        <v>5.1401135976647767</v>
      </c>
      <c r="AB14" s="1325">
        <f t="shared" si="16"/>
        <v>6</v>
      </c>
      <c r="AC14" s="1329">
        <f>ROUNDUP(AA14*3,0)</f>
        <v>16</v>
      </c>
      <c r="AD14" s="1355">
        <f t="shared" si="20"/>
        <v>16</v>
      </c>
      <c r="AE14" s="1355">
        <f t="shared" si="21"/>
        <v>16</v>
      </c>
      <c r="AF14" s="1325"/>
      <c r="AG14" s="22"/>
      <c r="AH14" s="22"/>
      <c r="AI14" s="22"/>
      <c r="AJ14" s="130"/>
      <c r="AK14" s="130"/>
      <c r="AL14" s="130"/>
      <c r="AM14" s="130"/>
      <c r="AN14" s="22">
        <v>30</v>
      </c>
      <c r="AO14" s="22">
        <f t="shared" si="5"/>
        <v>0</v>
      </c>
      <c r="AP14" s="22">
        <v>3</v>
      </c>
      <c r="AQ14" s="22"/>
      <c r="AR14" s="22"/>
      <c r="AS14" s="22"/>
      <c r="AY14" s="44"/>
      <c r="BO14" s="39"/>
      <c r="CA14" s="187"/>
      <c r="CB14" s="40"/>
      <c r="CI14" t="s">
        <v>32</v>
      </c>
      <c r="CJ14">
        <v>3</v>
      </c>
    </row>
    <row r="15" spans="1:88">
      <c r="A15" s="23" t="s">
        <v>17</v>
      </c>
      <c r="B15" s="24" t="s">
        <v>17</v>
      </c>
      <c r="C15" s="5">
        <v>46447</v>
      </c>
      <c r="D15" s="966">
        <f>'YN01'!$J$31</f>
        <v>2576.9310541611849</v>
      </c>
      <c r="E15" s="966">
        <f>'YN01'!$B$31</f>
        <v>1247.7785690345604</v>
      </c>
      <c r="F15" s="25">
        <v>48</v>
      </c>
      <c r="G15" s="26">
        <f>'YN01'!$H$10</f>
        <v>0.9342465753424658</v>
      </c>
      <c r="H15" s="26">
        <f>'YN01'!$I$10</f>
        <v>0.94</v>
      </c>
      <c r="I15" s="841">
        <f t="shared" si="18"/>
        <v>21686.572054917757</v>
      </c>
      <c r="J15" s="27">
        <f>BP!P14/DAY(EOMONTH(C15,0))</f>
        <v>14566.332876215205</v>
      </c>
      <c r="K15" s="31"/>
      <c r="L15" s="28">
        <f t="shared" si="7"/>
        <v>0.67167521170834699</v>
      </c>
      <c r="M15" s="29">
        <f t="shared" si="8"/>
        <v>32.240410162000657</v>
      </c>
      <c r="N15" s="29">
        <f t="shared" si="1"/>
        <v>10.746803387333552</v>
      </c>
      <c r="O15" s="29">
        <f t="shared" si="2"/>
        <v>11</v>
      </c>
      <c r="P15" s="29">
        <f t="shared" si="9"/>
        <v>4.4000000000000004</v>
      </c>
      <c r="Q15" s="30">
        <f t="shared" si="3"/>
        <v>13.200000000000001</v>
      </c>
      <c r="R15" s="30">
        <f t="shared" si="4"/>
        <v>14</v>
      </c>
      <c r="S15" s="30">
        <f>'Manpower Allocation'!$D$9</f>
        <v>17</v>
      </c>
      <c r="T15" s="30">
        <f t="shared" si="10"/>
        <v>31</v>
      </c>
      <c r="U15" s="1327">
        <f t="shared" si="11"/>
        <v>2710.8215068647196</v>
      </c>
      <c r="V15" s="22">
        <v>8</v>
      </c>
      <c r="W15" s="22">
        <f t="shared" si="12"/>
        <v>48</v>
      </c>
      <c r="X15" s="21">
        <f t="shared" si="13"/>
        <v>5.3734016936667759</v>
      </c>
      <c r="Y15" s="22">
        <f t="shared" si="14"/>
        <v>32</v>
      </c>
      <c r="Z15" s="22">
        <v>0.8</v>
      </c>
      <c r="AA15" s="1325">
        <f t="shared" si="15"/>
        <v>4.2987213549334209</v>
      </c>
      <c r="AB15" s="1325">
        <f t="shared" si="16"/>
        <v>5</v>
      </c>
      <c r="AC15" s="1328">
        <f>ROUNDUP(AA15*3,0)</f>
        <v>13</v>
      </c>
      <c r="AD15" s="1355">
        <f t="shared" si="20"/>
        <v>13</v>
      </c>
      <c r="AE15" s="1355">
        <f t="shared" si="21"/>
        <v>13</v>
      </c>
      <c r="AF15" s="1325"/>
      <c r="AG15" s="22"/>
      <c r="AH15" s="22"/>
      <c r="AI15" s="22"/>
      <c r="AJ15" s="130"/>
      <c r="AK15" s="130"/>
      <c r="AL15" s="130"/>
      <c r="AM15" s="130"/>
      <c r="AN15" s="22">
        <v>30</v>
      </c>
      <c r="AO15" s="22">
        <f t="shared" si="5"/>
        <v>-2</v>
      </c>
      <c r="AP15" s="22">
        <v>3</v>
      </c>
      <c r="AQ15" s="22"/>
      <c r="AR15" s="22"/>
      <c r="AS15" s="22"/>
      <c r="BO15" s="39"/>
      <c r="BP15" s="41"/>
      <c r="CA15" s="187"/>
      <c r="CB15" s="40"/>
      <c r="CI15" t="s">
        <v>49</v>
      </c>
      <c r="CJ15">
        <v>3</v>
      </c>
    </row>
    <row r="17" spans="1:84" s="2" customFormat="1" ht="72.75" customHeight="1">
      <c r="A17" s="1" t="s">
        <v>0</v>
      </c>
      <c r="B17" s="1" t="s">
        <v>1</v>
      </c>
      <c r="C17" s="1" t="s">
        <v>2</v>
      </c>
      <c r="D17" s="799" t="s">
        <v>3</v>
      </c>
      <c r="E17" s="1" t="s">
        <v>4</v>
      </c>
      <c r="F17" s="1" t="s">
        <v>5</v>
      </c>
      <c r="G17" s="1" t="s">
        <v>6</v>
      </c>
      <c r="H17" s="1" t="s">
        <v>7</v>
      </c>
      <c r="I17" s="1" t="s">
        <v>8</v>
      </c>
      <c r="J17" s="1" t="s">
        <v>9</v>
      </c>
      <c r="K17" s="1"/>
      <c r="L17" s="1" t="s">
        <v>10</v>
      </c>
      <c r="M17" s="1" t="s">
        <v>10</v>
      </c>
      <c r="N17" s="1" t="s">
        <v>11</v>
      </c>
      <c r="O17" s="1" t="s">
        <v>11</v>
      </c>
      <c r="P17" s="1" t="s">
        <v>12</v>
      </c>
      <c r="Q17" s="1" t="s">
        <v>13</v>
      </c>
      <c r="R17" s="1" t="s">
        <v>13</v>
      </c>
      <c r="S17" s="1" t="s">
        <v>1251</v>
      </c>
      <c r="T17" s="1" t="s">
        <v>14</v>
      </c>
      <c r="U17" s="851" t="s">
        <v>1561</v>
      </c>
      <c r="V17" s="851" t="s">
        <v>1535</v>
      </c>
      <c r="W17" s="851" t="s">
        <v>1518</v>
      </c>
      <c r="X17" s="851" t="s">
        <v>873</v>
      </c>
      <c r="Y17" s="851" t="s">
        <v>1519</v>
      </c>
      <c r="Z17" s="851" t="s">
        <v>1520</v>
      </c>
      <c r="AA17" s="851" t="s">
        <v>1521</v>
      </c>
      <c r="AB17" s="851" t="s">
        <v>1521</v>
      </c>
      <c r="AC17" s="851" t="s">
        <v>1562</v>
      </c>
      <c r="AD17" s="851" t="s">
        <v>537</v>
      </c>
      <c r="AE17" s="969">
        <f>AVERAGE(AE18:AE29)</f>
        <v>71.166666666666671</v>
      </c>
      <c r="AF17" s="1335" t="s">
        <v>1522</v>
      </c>
      <c r="AG17" s="1324" t="s">
        <v>164</v>
      </c>
      <c r="AH17" s="1324" t="s">
        <v>1523</v>
      </c>
      <c r="AI17" s="935"/>
      <c r="AJ17" s="969">
        <f>AVERAGE(AJ18:AJ29)</f>
        <v>71.166666666666671</v>
      </c>
      <c r="AK17" s="935"/>
      <c r="AL17" s="935"/>
      <c r="AM17" s="935"/>
      <c r="AN17" s="851"/>
      <c r="AO17" s="851"/>
      <c r="AP17" s="851"/>
      <c r="AQ17" s="851"/>
      <c r="AR17" s="851"/>
      <c r="AS17" s="851"/>
      <c r="AW17" s="395" t="s">
        <v>521</v>
      </c>
      <c r="AX17" s="395"/>
      <c r="AY17" s="5">
        <v>45748</v>
      </c>
      <c r="AZ17" s="5">
        <v>45778</v>
      </c>
      <c r="BA17" s="5">
        <v>45809</v>
      </c>
      <c r="BB17" s="5">
        <v>45839</v>
      </c>
      <c r="BC17" s="5">
        <v>45870</v>
      </c>
      <c r="BD17" s="5">
        <v>45901</v>
      </c>
      <c r="BE17" s="5">
        <v>45931</v>
      </c>
      <c r="BF17" s="5">
        <v>45962</v>
      </c>
      <c r="BG17" s="5">
        <v>45992</v>
      </c>
      <c r="BH17" s="5">
        <v>46023</v>
      </c>
      <c r="BI17" s="5">
        <v>46054</v>
      </c>
      <c r="BJ17" s="5">
        <v>46082</v>
      </c>
      <c r="BQ17" s="186"/>
    </row>
    <row r="18" spans="1:84" ht="15.5">
      <c r="A18" s="3" t="s">
        <v>15</v>
      </c>
      <c r="B18" s="4" t="s">
        <v>15</v>
      </c>
      <c r="C18" s="5">
        <v>46113</v>
      </c>
      <c r="D18" s="745">
        <f>'YN01'!$J$51</f>
        <v>2967.7286562190557</v>
      </c>
      <c r="E18" s="1308">
        <f>'YN01'!$B$51</f>
        <v>270.46771174951448</v>
      </c>
      <c r="F18" s="4">
        <f>24*12-12</f>
        <v>276</v>
      </c>
      <c r="G18" s="8">
        <f>'YN01'!$H$43</f>
        <v>0.9342465753424658</v>
      </c>
      <c r="H18" s="8">
        <f>'YN01'!$I$43</f>
        <v>0.97</v>
      </c>
      <c r="I18" s="841">
        <f>D18*E18*F18*G18*H18*0.00016</f>
        <v>32121.952127873319</v>
      </c>
      <c r="J18" s="10">
        <f>(BP!E90+BP!E91)/DAY(EOMONTH(C18,0))</f>
        <v>50613.667538818154</v>
      </c>
      <c r="K18" s="10"/>
      <c r="L18" s="11">
        <f t="shared" ref="L18:L29" si="24">J18/I18</f>
        <v>1.5756722174708349</v>
      </c>
      <c r="M18" s="12">
        <f>IF((L18*F18)&gt;F18,F18,(L18*F18))</f>
        <v>276</v>
      </c>
      <c r="N18" s="12">
        <f>M18/11.5</f>
        <v>24</v>
      </c>
      <c r="O18" s="12">
        <f t="shared" ref="O18:O29" si="25">ROUNDUP(N18,0)</f>
        <v>24</v>
      </c>
      <c r="P18" s="38">
        <f>O18*0.25</f>
        <v>6</v>
      </c>
      <c r="Q18" s="38">
        <f t="shared" ref="Q18:Q29" si="26">P18*3</f>
        <v>18</v>
      </c>
      <c r="R18" s="38">
        <f t="shared" ref="R18:R29" si="27">ROUNDUP(Q18,0)</f>
        <v>18</v>
      </c>
      <c r="S18" s="38">
        <f>'Manpower Allocation'!$D$18</f>
        <v>25</v>
      </c>
      <c r="T18" s="30">
        <f t="shared" ref="T18:T29" si="28">R18+S18</f>
        <v>43</v>
      </c>
      <c r="U18" s="1327">
        <f>I18/V18</f>
        <v>2676.8293439894433</v>
      </c>
      <c r="V18" s="22">
        <v>12</v>
      </c>
      <c r="W18" s="22">
        <f>(11*12*2)+(1*6*2)</f>
        <v>276</v>
      </c>
      <c r="X18" s="21">
        <f>IF(J18&gt;I18,V18,J18/U18)</f>
        <v>12</v>
      </c>
      <c r="Y18" s="22">
        <f>ROUND(L18*W18,0)</f>
        <v>435</v>
      </c>
      <c r="Z18" s="22">
        <v>0.5</v>
      </c>
      <c r="AA18" s="22">
        <f>Z18*X18</f>
        <v>6</v>
      </c>
      <c r="AB18" s="1325">
        <f t="shared" ref="AB18:AB29" si="29">ROUNDUP(AA18,0)</f>
        <v>6</v>
      </c>
      <c r="AC18" s="1325">
        <f t="shared" ref="AC18:AC29" si="30">AB18*3</f>
        <v>18</v>
      </c>
      <c r="AD18" s="22" t="s">
        <v>1536</v>
      </c>
      <c r="AE18" s="130">
        <f>T18+T4</f>
        <v>66</v>
      </c>
      <c r="AF18" s="1336" t="s">
        <v>1537</v>
      </c>
      <c r="AG18" s="130">
        <v>1</v>
      </c>
      <c r="AH18" s="130">
        <v>6</v>
      </c>
      <c r="AI18" s="130"/>
      <c r="AJ18" s="130">
        <f>T18+T4</f>
        <v>66</v>
      </c>
      <c r="AK18" s="130"/>
      <c r="AL18" s="130"/>
      <c r="AM18" s="907"/>
      <c r="AN18" s="614"/>
      <c r="AO18" s="614"/>
      <c r="AP18" s="614"/>
      <c r="AQ18" s="614"/>
      <c r="AR18" s="614"/>
      <c r="AS18" s="614"/>
      <c r="AT18" s="316">
        <f>J18/T18</f>
        <v>1177.0620357864686</v>
      </c>
      <c r="AU18" s="371" t="s">
        <v>142</v>
      </c>
      <c r="AV18" s="249">
        <f>Q30</f>
        <v>17.9375</v>
      </c>
      <c r="AW18" s="609">
        <f>6*3</f>
        <v>18</v>
      </c>
      <c r="AX18" s="316" t="s">
        <v>684</v>
      </c>
      <c r="AY18" s="609">
        <f t="shared" ref="AY18:BJ18" si="31">6*3</f>
        <v>18</v>
      </c>
      <c r="AZ18" s="609">
        <f t="shared" si="31"/>
        <v>18</v>
      </c>
      <c r="BA18" s="609">
        <f t="shared" si="31"/>
        <v>18</v>
      </c>
      <c r="BB18" s="609">
        <f t="shared" si="31"/>
        <v>18</v>
      </c>
      <c r="BC18" s="609">
        <f t="shared" si="31"/>
        <v>18</v>
      </c>
      <c r="BD18" s="609">
        <f t="shared" si="31"/>
        <v>18</v>
      </c>
      <c r="BE18" s="609">
        <f t="shared" si="31"/>
        <v>18</v>
      </c>
      <c r="BF18" s="609">
        <f t="shared" si="31"/>
        <v>18</v>
      </c>
      <c r="BG18" s="609">
        <f>4*3</f>
        <v>12</v>
      </c>
      <c r="BH18" s="609">
        <f t="shared" si="31"/>
        <v>18</v>
      </c>
      <c r="BI18" s="609">
        <f t="shared" si="31"/>
        <v>18</v>
      </c>
      <c r="BJ18" s="609">
        <f t="shared" si="31"/>
        <v>18</v>
      </c>
      <c r="BK18" s="316"/>
      <c r="BL18" s="316"/>
      <c r="BM18" s="316"/>
      <c r="BN18" s="316"/>
      <c r="BO18" s="40"/>
      <c r="BS18" s="40"/>
      <c r="BW18" s="3"/>
      <c r="BX18" s="40"/>
    </row>
    <row r="19" spans="1:84" ht="15.5">
      <c r="A19" s="3" t="s">
        <v>15</v>
      </c>
      <c r="B19" s="4" t="s">
        <v>15</v>
      </c>
      <c r="C19" s="5">
        <v>46143</v>
      </c>
      <c r="D19" s="745">
        <f>'YN01'!$J$51</f>
        <v>2967.7286562190557</v>
      </c>
      <c r="E19" s="1308">
        <f>'YN01'!$B$51</f>
        <v>270.46771174951448</v>
      </c>
      <c r="F19" s="1071">
        <f t="shared" ref="F19:F29" si="32">24*12-12</f>
        <v>276</v>
      </c>
      <c r="G19" s="8">
        <f>'YN01'!$H$43</f>
        <v>0.9342465753424658</v>
      </c>
      <c r="H19" s="8">
        <f>'YN01'!$I$43</f>
        <v>0.97</v>
      </c>
      <c r="I19" s="841">
        <f t="shared" ref="I19:I29" si="33">D19*E19*F19*G19*H19*0.00016</f>
        <v>32121.952127873319</v>
      </c>
      <c r="J19" s="10">
        <f>(BP!F90+BP!F91)/DAY(EOMONTH(C19,0))</f>
        <v>40984.506715719152</v>
      </c>
      <c r="K19" s="10"/>
      <c r="L19" s="11">
        <f t="shared" si="24"/>
        <v>1.2759033620548699</v>
      </c>
      <c r="M19" s="12">
        <f t="shared" ref="M19:M29" si="34">IF((L19*F19)&gt;F19,F19,(L19*F19))</f>
        <v>276</v>
      </c>
      <c r="N19" s="12">
        <f t="shared" ref="N19:N29" si="35">M19/11.5</f>
        <v>24</v>
      </c>
      <c r="O19" s="12">
        <f t="shared" si="25"/>
        <v>24</v>
      </c>
      <c r="P19" s="38">
        <f t="shared" ref="P19:P29" si="36">O19*0.25</f>
        <v>6</v>
      </c>
      <c r="Q19" s="38">
        <f t="shared" si="26"/>
        <v>18</v>
      </c>
      <c r="R19" s="13">
        <f t="shared" si="27"/>
        <v>18</v>
      </c>
      <c r="S19" s="38">
        <f>'Manpower Allocation'!$D$18</f>
        <v>25</v>
      </c>
      <c r="T19" s="30">
        <f t="shared" si="28"/>
        <v>43</v>
      </c>
      <c r="U19" s="1327">
        <f t="shared" ref="U19:U29" si="37">I19/V19</f>
        <v>2676.8293439894433</v>
      </c>
      <c r="V19" s="22">
        <v>12</v>
      </c>
      <c r="W19" s="22">
        <f t="shared" ref="W19:W29" si="38">(11*12*2)+(1*6*2)</f>
        <v>276</v>
      </c>
      <c r="X19" s="21">
        <f t="shared" ref="X19:X29" si="39">IF(J19&gt;I19,V19,J19/U19)</f>
        <v>12</v>
      </c>
      <c r="Y19" s="22">
        <f t="shared" ref="Y19:Y29" si="40">ROUND(L19*W19,0)</f>
        <v>352</v>
      </c>
      <c r="Z19" s="22">
        <v>0.5</v>
      </c>
      <c r="AA19" s="22">
        <f t="shared" ref="AA19:AA29" si="41">Z19*X19</f>
        <v>6</v>
      </c>
      <c r="AB19" s="1325">
        <f t="shared" si="29"/>
        <v>6</v>
      </c>
      <c r="AC19" s="1325">
        <f t="shared" si="30"/>
        <v>18</v>
      </c>
      <c r="AD19" s="22"/>
      <c r="AE19" s="130">
        <f t="shared" ref="AE19:AE29" si="42">T19+T5</f>
        <v>68</v>
      </c>
      <c r="AF19" s="1336" t="s">
        <v>1538</v>
      </c>
      <c r="AG19" s="130">
        <v>1</v>
      </c>
      <c r="AH19" s="130">
        <v>6</v>
      </c>
      <c r="AI19" s="130"/>
      <c r="AJ19" s="130">
        <f t="shared" ref="AJ19:AJ29" si="43">T19+T5</f>
        <v>68</v>
      </c>
      <c r="AK19" s="130"/>
      <c r="AL19" s="130"/>
      <c r="AM19" s="907"/>
      <c r="AN19" s="614"/>
      <c r="AO19" s="614"/>
      <c r="AP19" s="614"/>
      <c r="AQ19" s="614"/>
      <c r="AR19" s="614"/>
      <c r="AS19" s="614"/>
      <c r="AU19" s="370" t="s">
        <v>133</v>
      </c>
      <c r="AV19" s="368">
        <v>3</v>
      </c>
      <c r="AW19" s="368">
        <v>3</v>
      </c>
      <c r="AY19" s="395">
        <v>3</v>
      </c>
      <c r="AZ19" s="395">
        <v>3</v>
      </c>
      <c r="BA19" s="395">
        <v>3</v>
      </c>
      <c r="BB19" s="395">
        <v>3</v>
      </c>
      <c r="BC19" s="395">
        <v>3</v>
      </c>
      <c r="BD19" s="395">
        <v>3</v>
      </c>
      <c r="BE19" s="395">
        <v>3</v>
      </c>
      <c r="BF19" s="395">
        <v>3</v>
      </c>
      <c r="BG19" s="395">
        <v>3</v>
      </c>
      <c r="BH19" s="395">
        <v>3</v>
      </c>
      <c r="BI19" s="395">
        <v>3</v>
      </c>
      <c r="BJ19" s="395">
        <v>3</v>
      </c>
      <c r="BO19" s="40"/>
      <c r="BS19" s="40"/>
      <c r="BW19" s="23"/>
      <c r="BX19" s="40"/>
      <c r="CA19" s="187"/>
      <c r="CB19" s="40"/>
      <c r="CF19" s="40"/>
    </row>
    <row r="20" spans="1:84" ht="15.5">
      <c r="A20" s="3" t="s">
        <v>15</v>
      </c>
      <c r="B20" s="4" t="s">
        <v>15</v>
      </c>
      <c r="C20" s="5">
        <v>46174</v>
      </c>
      <c r="D20" s="745">
        <f>'YN01'!$J$51</f>
        <v>2967.7286562190557</v>
      </c>
      <c r="E20" s="1308">
        <f>'YN01'!$B$51</f>
        <v>270.46771174951448</v>
      </c>
      <c r="F20" s="1071">
        <f t="shared" si="32"/>
        <v>276</v>
      </c>
      <c r="G20" s="8">
        <f>'YN01'!$H$43</f>
        <v>0.9342465753424658</v>
      </c>
      <c r="H20" s="8">
        <f>'YN01'!$I$43</f>
        <v>0.97</v>
      </c>
      <c r="I20" s="841">
        <f t="shared" si="33"/>
        <v>32121.952127873319</v>
      </c>
      <c r="J20" s="10">
        <f>(BP!G90+BP!G91)/DAY(EOMONTH(C20,0))</f>
        <v>35678.920404370176</v>
      </c>
      <c r="K20" s="10"/>
      <c r="L20" s="11">
        <f t="shared" si="24"/>
        <v>1.1107332537679226</v>
      </c>
      <c r="M20" s="12">
        <f t="shared" si="34"/>
        <v>276</v>
      </c>
      <c r="N20" s="12">
        <f t="shared" si="35"/>
        <v>24</v>
      </c>
      <c r="O20" s="12">
        <f t="shared" si="25"/>
        <v>24</v>
      </c>
      <c r="P20" s="38">
        <f t="shared" si="36"/>
        <v>6</v>
      </c>
      <c r="Q20" s="38">
        <f t="shared" si="26"/>
        <v>18</v>
      </c>
      <c r="R20" s="13">
        <f t="shared" si="27"/>
        <v>18</v>
      </c>
      <c r="S20" s="38">
        <f>'Manpower Allocation'!$D$18</f>
        <v>25</v>
      </c>
      <c r="T20" s="30">
        <f t="shared" si="28"/>
        <v>43</v>
      </c>
      <c r="U20" s="1327">
        <f t="shared" si="37"/>
        <v>2676.8293439894433</v>
      </c>
      <c r="V20" s="22">
        <v>12</v>
      </c>
      <c r="W20" s="22">
        <f t="shared" si="38"/>
        <v>276</v>
      </c>
      <c r="X20" s="21">
        <f t="shared" si="39"/>
        <v>12</v>
      </c>
      <c r="Y20" s="22">
        <f t="shared" si="40"/>
        <v>307</v>
      </c>
      <c r="Z20" s="22">
        <v>0.5</v>
      </c>
      <c r="AA20" s="22">
        <f t="shared" si="41"/>
        <v>6</v>
      </c>
      <c r="AB20" s="1325">
        <f t="shared" si="29"/>
        <v>6</v>
      </c>
      <c r="AC20" s="1325">
        <f t="shared" si="30"/>
        <v>18</v>
      </c>
      <c r="AD20" s="22"/>
      <c r="AE20" s="130">
        <f t="shared" si="42"/>
        <v>66</v>
      </c>
      <c r="AF20" s="1336" t="s">
        <v>1539</v>
      </c>
      <c r="AG20" s="130">
        <v>1</v>
      </c>
      <c r="AH20" s="130">
        <v>12</v>
      </c>
      <c r="AI20" s="130"/>
      <c r="AJ20" s="130">
        <f t="shared" si="43"/>
        <v>66</v>
      </c>
      <c r="AK20" s="130"/>
      <c r="AL20" s="130"/>
      <c r="AM20" s="907"/>
      <c r="AN20" s="614"/>
      <c r="AO20" s="614"/>
      <c r="AP20" s="614"/>
      <c r="AQ20" s="614"/>
      <c r="AR20" s="614"/>
      <c r="AS20" s="614"/>
      <c r="AU20" s="367" t="s">
        <v>136</v>
      </c>
      <c r="AV20" s="368">
        <v>6</v>
      </c>
      <c r="AW20" s="368">
        <v>3</v>
      </c>
      <c r="AX20" t="s">
        <v>679</v>
      </c>
      <c r="AY20" s="395">
        <v>3</v>
      </c>
      <c r="AZ20" s="395">
        <v>3</v>
      </c>
      <c r="BA20" s="395">
        <v>3</v>
      </c>
      <c r="BB20" s="395">
        <v>3</v>
      </c>
      <c r="BC20" s="395">
        <v>3</v>
      </c>
      <c r="BD20" s="395">
        <v>3</v>
      </c>
      <c r="BE20" s="395">
        <v>3</v>
      </c>
      <c r="BF20" s="395">
        <v>3</v>
      </c>
      <c r="BG20" s="395">
        <v>3</v>
      </c>
      <c r="BH20" s="395">
        <v>3</v>
      </c>
      <c r="BI20" s="395">
        <v>3</v>
      </c>
      <c r="BJ20" s="395">
        <v>3</v>
      </c>
      <c r="BO20" s="40"/>
      <c r="BS20" s="40"/>
      <c r="BW20" s="32"/>
      <c r="BX20" s="40"/>
      <c r="CA20" s="187"/>
      <c r="CB20" s="40"/>
      <c r="CF20" s="40"/>
    </row>
    <row r="21" spans="1:84" ht="15.5">
      <c r="A21" s="3" t="s">
        <v>15</v>
      </c>
      <c r="B21" s="4" t="s">
        <v>15</v>
      </c>
      <c r="C21" s="5">
        <v>46204</v>
      </c>
      <c r="D21" s="745">
        <f>'YN01'!$J$51</f>
        <v>2967.7286562190557</v>
      </c>
      <c r="E21" s="1308">
        <f>'YN01'!$B$51</f>
        <v>270.46771174951448</v>
      </c>
      <c r="F21" s="1071">
        <f t="shared" si="32"/>
        <v>276</v>
      </c>
      <c r="G21" s="8">
        <f>'YN01'!$H$43</f>
        <v>0.9342465753424658</v>
      </c>
      <c r="H21" s="8">
        <f>'YN01'!$I$43</f>
        <v>0.97</v>
      </c>
      <c r="I21" s="841">
        <f t="shared" si="33"/>
        <v>32121.952127873319</v>
      </c>
      <c r="J21" s="10">
        <f>(BP!H90+BP!H91)/DAY(EOMONTH(C21,0))</f>
        <v>48507.406003135155</v>
      </c>
      <c r="K21" s="10"/>
      <c r="L21" s="11">
        <f t="shared" si="24"/>
        <v>1.5101014349947808</v>
      </c>
      <c r="M21" s="12">
        <f t="shared" si="34"/>
        <v>276</v>
      </c>
      <c r="N21" s="12">
        <f t="shared" si="35"/>
        <v>24</v>
      </c>
      <c r="O21" s="12">
        <f t="shared" si="25"/>
        <v>24</v>
      </c>
      <c r="P21" s="38">
        <f t="shared" si="36"/>
        <v>6</v>
      </c>
      <c r="Q21" s="38">
        <f t="shared" si="26"/>
        <v>18</v>
      </c>
      <c r="R21" s="13">
        <f t="shared" si="27"/>
        <v>18</v>
      </c>
      <c r="S21" s="38">
        <f>'Manpower Allocation'!$D$18</f>
        <v>25</v>
      </c>
      <c r="T21" s="30">
        <f t="shared" si="28"/>
        <v>43</v>
      </c>
      <c r="U21" s="1327">
        <f t="shared" si="37"/>
        <v>2676.8293439894433</v>
      </c>
      <c r="V21" s="22">
        <v>12</v>
      </c>
      <c r="W21" s="22">
        <f t="shared" si="38"/>
        <v>276</v>
      </c>
      <c r="X21" s="21">
        <f t="shared" si="39"/>
        <v>12</v>
      </c>
      <c r="Y21" s="22">
        <f t="shared" si="40"/>
        <v>417</v>
      </c>
      <c r="Z21" s="22">
        <v>0.5</v>
      </c>
      <c r="AA21" s="22">
        <f t="shared" si="41"/>
        <v>6</v>
      </c>
      <c r="AB21" s="1325">
        <f t="shared" si="29"/>
        <v>6</v>
      </c>
      <c r="AC21" s="1325">
        <f t="shared" si="30"/>
        <v>18</v>
      </c>
      <c r="AD21" s="22"/>
      <c r="AE21" s="130">
        <f t="shared" si="42"/>
        <v>66</v>
      </c>
      <c r="AF21" s="1336" t="s">
        <v>1540</v>
      </c>
      <c r="AG21" s="130">
        <v>1</v>
      </c>
      <c r="AH21" s="130">
        <v>12</v>
      </c>
      <c r="AI21" s="130"/>
      <c r="AJ21" s="130">
        <f t="shared" si="43"/>
        <v>66</v>
      </c>
      <c r="AK21" s="130"/>
      <c r="AL21" s="130"/>
      <c r="AM21" s="907"/>
      <c r="AN21" s="614"/>
      <c r="AO21" s="614"/>
      <c r="AP21" s="614"/>
      <c r="AQ21" s="614"/>
      <c r="AR21" s="614"/>
      <c r="AS21" s="614"/>
      <c r="AU21" s="367" t="s">
        <v>632</v>
      </c>
      <c r="AV21" s="368">
        <v>9</v>
      </c>
      <c r="AW21" s="368">
        <f>(2*3)+(1*2)</f>
        <v>8</v>
      </c>
      <c r="AY21" s="395">
        <f t="shared" ref="AY21:BJ21" si="44">(2*3)+(1*2)</f>
        <v>8</v>
      </c>
      <c r="AZ21" s="395">
        <f t="shared" si="44"/>
        <v>8</v>
      </c>
      <c r="BA21" s="395">
        <f t="shared" si="44"/>
        <v>8</v>
      </c>
      <c r="BB21" s="395">
        <f t="shared" si="44"/>
        <v>8</v>
      </c>
      <c r="BC21" s="395">
        <f t="shared" si="44"/>
        <v>8</v>
      </c>
      <c r="BD21" s="395">
        <f t="shared" si="44"/>
        <v>8</v>
      </c>
      <c r="BE21" s="395">
        <f t="shared" si="44"/>
        <v>8</v>
      </c>
      <c r="BF21" s="395">
        <f t="shared" si="44"/>
        <v>8</v>
      </c>
      <c r="BG21" s="395">
        <f t="shared" si="44"/>
        <v>8</v>
      </c>
      <c r="BH21" s="395">
        <f t="shared" si="44"/>
        <v>8</v>
      </c>
      <c r="BI21" s="395">
        <f t="shared" si="44"/>
        <v>8</v>
      </c>
      <c r="BJ21" s="395">
        <f t="shared" si="44"/>
        <v>8</v>
      </c>
      <c r="BO21" s="40"/>
      <c r="BS21" s="40"/>
      <c r="BW21" s="32"/>
      <c r="CA21" s="187"/>
      <c r="CB21" s="40"/>
      <c r="CF21" s="40"/>
    </row>
    <row r="22" spans="1:84" ht="15.5">
      <c r="A22" s="3" t="s">
        <v>15</v>
      </c>
      <c r="B22" s="4" t="s">
        <v>15</v>
      </c>
      <c r="C22" s="5">
        <v>46235</v>
      </c>
      <c r="D22" s="745">
        <f>'YN01'!$J$51</f>
        <v>2967.7286562190557</v>
      </c>
      <c r="E22" s="1308">
        <f>'YN01'!$B$51</f>
        <v>270.46771174951448</v>
      </c>
      <c r="F22" s="1071">
        <f t="shared" si="32"/>
        <v>276</v>
      </c>
      <c r="G22" s="8">
        <f>'YN01'!$H$43</f>
        <v>0.9342465753424658</v>
      </c>
      <c r="H22" s="8">
        <f>'YN01'!$I$43</f>
        <v>0.97</v>
      </c>
      <c r="I22" s="841">
        <f t="shared" si="33"/>
        <v>32121.952127873319</v>
      </c>
      <c r="J22" s="10">
        <f>(BP!I90+BP!I91)/DAY(EOMONTH(C22,0))</f>
        <v>37814.245483172235</v>
      </c>
      <c r="K22" s="10"/>
      <c r="L22" s="11">
        <f t="shared" si="24"/>
        <v>1.1772088238173892</v>
      </c>
      <c r="M22" s="12">
        <f t="shared" si="34"/>
        <v>276</v>
      </c>
      <c r="N22" s="12">
        <f t="shared" si="35"/>
        <v>24</v>
      </c>
      <c r="O22" s="12">
        <f t="shared" si="25"/>
        <v>24</v>
      </c>
      <c r="P22" s="38">
        <f t="shared" si="36"/>
        <v>6</v>
      </c>
      <c r="Q22" s="38">
        <f t="shared" si="26"/>
        <v>18</v>
      </c>
      <c r="R22" s="13">
        <f t="shared" si="27"/>
        <v>18</v>
      </c>
      <c r="S22" s="38">
        <f>'Manpower Allocation'!$D$18</f>
        <v>25</v>
      </c>
      <c r="T22" s="30">
        <f t="shared" si="28"/>
        <v>43</v>
      </c>
      <c r="U22" s="1327">
        <f t="shared" si="37"/>
        <v>2676.8293439894433</v>
      </c>
      <c r="V22" s="22">
        <v>12</v>
      </c>
      <c r="W22" s="22">
        <f t="shared" si="38"/>
        <v>276</v>
      </c>
      <c r="X22" s="21">
        <f t="shared" si="39"/>
        <v>12</v>
      </c>
      <c r="Y22" s="22">
        <f t="shared" si="40"/>
        <v>325</v>
      </c>
      <c r="Z22" s="22">
        <v>0.5</v>
      </c>
      <c r="AA22" s="22">
        <f t="shared" si="41"/>
        <v>6</v>
      </c>
      <c r="AB22" s="1325">
        <f t="shared" si="29"/>
        <v>6</v>
      </c>
      <c r="AC22" s="1325">
        <f t="shared" si="30"/>
        <v>18</v>
      </c>
      <c r="AD22" s="22"/>
      <c r="AE22" s="130">
        <f t="shared" si="42"/>
        <v>68</v>
      </c>
      <c r="AF22" s="1336" t="s">
        <v>1541</v>
      </c>
      <c r="AG22" s="130">
        <v>1</v>
      </c>
      <c r="AH22" s="130">
        <v>12</v>
      </c>
      <c r="AI22" s="130"/>
      <c r="AJ22" s="130">
        <f t="shared" si="43"/>
        <v>68</v>
      </c>
      <c r="AK22" s="130"/>
      <c r="AL22" s="130"/>
      <c r="AM22" s="907"/>
      <c r="AN22" s="614"/>
      <c r="AO22" s="614"/>
      <c r="AP22" s="614"/>
      <c r="AQ22" s="614"/>
      <c r="AR22" s="614"/>
      <c r="AS22" s="614"/>
      <c r="AU22" s="367" t="s">
        <v>137</v>
      </c>
      <c r="AV22" s="368">
        <v>1</v>
      </c>
      <c r="AW22" s="368">
        <v>1</v>
      </c>
      <c r="AX22" t="s">
        <v>680</v>
      </c>
      <c r="AY22" s="395">
        <v>1</v>
      </c>
      <c r="AZ22" s="395">
        <v>1</v>
      </c>
      <c r="BA22" s="395">
        <v>1</v>
      </c>
      <c r="BB22" s="395">
        <v>1</v>
      </c>
      <c r="BC22" s="395">
        <v>1</v>
      </c>
      <c r="BD22" s="395">
        <v>1</v>
      </c>
      <c r="BE22" s="395">
        <v>1</v>
      </c>
      <c r="BF22" s="395">
        <v>1</v>
      </c>
      <c r="BG22" s="395">
        <v>1</v>
      </c>
      <c r="BH22" s="395">
        <v>1</v>
      </c>
      <c r="BI22" s="395">
        <v>1</v>
      </c>
      <c r="BJ22" s="395">
        <v>1</v>
      </c>
      <c r="BO22" s="40"/>
      <c r="BS22" s="40"/>
      <c r="BW22" s="32"/>
      <c r="BX22" s="40"/>
      <c r="CA22" s="187"/>
      <c r="CB22" s="40"/>
      <c r="CF22" s="40"/>
    </row>
    <row r="23" spans="1:84" ht="15.5">
      <c r="A23" s="3" t="s">
        <v>15</v>
      </c>
      <c r="B23" s="4" t="s">
        <v>15</v>
      </c>
      <c r="C23" s="5">
        <v>46266</v>
      </c>
      <c r="D23" s="745">
        <f>'YN01'!$J$51</f>
        <v>2967.7286562190557</v>
      </c>
      <c r="E23" s="1308">
        <f>'YN01'!$B$51</f>
        <v>270.46771174951448</v>
      </c>
      <c r="F23" s="1071">
        <f t="shared" si="32"/>
        <v>276</v>
      </c>
      <c r="G23" s="8">
        <f>'YN01'!$H$43</f>
        <v>0.9342465753424658</v>
      </c>
      <c r="H23" s="8">
        <f>'YN01'!$I$43</f>
        <v>0.97</v>
      </c>
      <c r="I23" s="841">
        <f t="shared" si="33"/>
        <v>32121.952127873319</v>
      </c>
      <c r="J23" s="10">
        <f>(BP!J90+BP!J91)/DAY(EOMONTH(C23,0))</f>
        <v>35651.418688229067</v>
      </c>
      <c r="K23" s="10"/>
      <c r="L23" s="11">
        <f t="shared" si="24"/>
        <v>1.1098770879897149</v>
      </c>
      <c r="M23" s="12">
        <f t="shared" si="34"/>
        <v>276</v>
      </c>
      <c r="N23" s="12">
        <f t="shared" si="35"/>
        <v>24</v>
      </c>
      <c r="O23" s="12">
        <f t="shared" si="25"/>
        <v>24</v>
      </c>
      <c r="P23" s="38">
        <f t="shared" si="36"/>
        <v>6</v>
      </c>
      <c r="Q23" s="38">
        <f t="shared" si="26"/>
        <v>18</v>
      </c>
      <c r="R23" s="13">
        <f t="shared" si="27"/>
        <v>18</v>
      </c>
      <c r="S23" s="38">
        <f>'Manpower Allocation'!$D$18</f>
        <v>25</v>
      </c>
      <c r="T23" s="30">
        <f t="shared" si="28"/>
        <v>43</v>
      </c>
      <c r="U23" s="1327">
        <f t="shared" si="37"/>
        <v>2676.8293439894433</v>
      </c>
      <c r="V23" s="22">
        <v>12</v>
      </c>
      <c r="W23" s="22">
        <f t="shared" si="38"/>
        <v>276</v>
      </c>
      <c r="X23" s="21">
        <f t="shared" si="39"/>
        <v>12</v>
      </c>
      <c r="Y23" s="22">
        <f t="shared" si="40"/>
        <v>306</v>
      </c>
      <c r="Z23" s="22">
        <v>0.5</v>
      </c>
      <c r="AA23" s="22">
        <f t="shared" si="41"/>
        <v>6</v>
      </c>
      <c r="AB23" s="1325">
        <f t="shared" si="29"/>
        <v>6</v>
      </c>
      <c r="AC23" s="1325">
        <f t="shared" si="30"/>
        <v>18</v>
      </c>
      <c r="AD23" s="22"/>
      <c r="AE23" s="130">
        <f t="shared" si="42"/>
        <v>72</v>
      </c>
      <c r="AF23" s="1336" t="s">
        <v>1542</v>
      </c>
      <c r="AG23" s="130">
        <v>1</v>
      </c>
      <c r="AH23" s="130">
        <v>12</v>
      </c>
      <c r="AI23" s="130"/>
      <c r="AJ23" s="130">
        <f t="shared" si="43"/>
        <v>72</v>
      </c>
      <c r="AK23" s="130"/>
      <c r="AL23" s="130"/>
      <c r="AM23" s="907"/>
      <c r="AN23" s="614"/>
      <c r="AO23" s="614"/>
      <c r="AP23" s="614"/>
      <c r="AQ23" s="614"/>
      <c r="AR23" s="614"/>
      <c r="AS23" s="614"/>
      <c r="AU23" s="367" t="s">
        <v>139</v>
      </c>
      <c r="AV23" s="368">
        <v>6</v>
      </c>
      <c r="AW23" s="368">
        <v>6</v>
      </c>
      <c r="AY23" s="395">
        <v>6</v>
      </c>
      <c r="AZ23" s="395">
        <v>6</v>
      </c>
      <c r="BA23" s="395">
        <v>6</v>
      </c>
      <c r="BB23" s="395">
        <v>6</v>
      </c>
      <c r="BC23" s="395">
        <v>6</v>
      </c>
      <c r="BD23" s="395">
        <v>6</v>
      </c>
      <c r="BE23" s="395">
        <v>6</v>
      </c>
      <c r="BF23" s="395">
        <v>6</v>
      </c>
      <c r="BG23" s="395">
        <v>6</v>
      </c>
      <c r="BH23" s="395">
        <v>6</v>
      </c>
      <c r="BI23" s="395">
        <v>6</v>
      </c>
      <c r="BJ23" s="395">
        <v>6</v>
      </c>
      <c r="BO23" s="40"/>
      <c r="BS23" s="40"/>
      <c r="BW23" s="32"/>
      <c r="BX23" s="40"/>
      <c r="CA23" s="187"/>
      <c r="CB23" s="40"/>
      <c r="CF23" s="40"/>
    </row>
    <row r="24" spans="1:84" ht="15.5">
      <c r="A24" s="3" t="s">
        <v>15</v>
      </c>
      <c r="B24" s="4" t="s">
        <v>15</v>
      </c>
      <c r="C24" s="5">
        <v>46296</v>
      </c>
      <c r="D24" s="745">
        <f>'YN01'!$J$51</f>
        <v>2967.7286562190557</v>
      </c>
      <c r="E24" s="1308">
        <f>'YN01'!$B$51</f>
        <v>270.46771174951448</v>
      </c>
      <c r="F24" s="1071">
        <f t="shared" si="32"/>
        <v>276</v>
      </c>
      <c r="G24" s="8">
        <f>'YN01'!$H$43</f>
        <v>0.9342465753424658</v>
      </c>
      <c r="H24" s="8">
        <f>'YN01'!$I$43</f>
        <v>0.97</v>
      </c>
      <c r="I24" s="841">
        <f t="shared" si="33"/>
        <v>32121.952127873319</v>
      </c>
      <c r="J24" s="10">
        <f>(BP!K90+BP!K91)/DAY(EOMONTH(C24,0))</f>
        <v>37403.158993685662</v>
      </c>
      <c r="K24" s="10"/>
      <c r="L24" s="11">
        <f t="shared" si="24"/>
        <v>1.1644111430335411</v>
      </c>
      <c r="M24" s="12">
        <f t="shared" si="34"/>
        <v>276</v>
      </c>
      <c r="N24" s="12">
        <f t="shared" si="35"/>
        <v>24</v>
      </c>
      <c r="O24" s="12">
        <f t="shared" si="25"/>
        <v>24</v>
      </c>
      <c r="P24" s="38">
        <f t="shared" si="36"/>
        <v>6</v>
      </c>
      <c r="Q24" s="38">
        <f t="shared" si="26"/>
        <v>18</v>
      </c>
      <c r="R24" s="13">
        <f t="shared" si="27"/>
        <v>18</v>
      </c>
      <c r="S24" s="38">
        <f>'Manpower Allocation'!$D$18</f>
        <v>25</v>
      </c>
      <c r="T24" s="30">
        <f t="shared" si="28"/>
        <v>43</v>
      </c>
      <c r="U24" s="1327">
        <f t="shared" si="37"/>
        <v>2676.8293439894433</v>
      </c>
      <c r="V24" s="22">
        <v>12</v>
      </c>
      <c r="W24" s="22">
        <f t="shared" si="38"/>
        <v>276</v>
      </c>
      <c r="X24" s="21">
        <f t="shared" si="39"/>
        <v>12</v>
      </c>
      <c r="Y24" s="22">
        <f t="shared" si="40"/>
        <v>321</v>
      </c>
      <c r="Z24" s="22">
        <v>0.5</v>
      </c>
      <c r="AA24" s="22">
        <f t="shared" si="41"/>
        <v>6</v>
      </c>
      <c r="AB24" s="1325">
        <f t="shared" si="29"/>
        <v>6</v>
      </c>
      <c r="AC24" s="1325">
        <f t="shared" si="30"/>
        <v>18</v>
      </c>
      <c r="AD24" s="22"/>
      <c r="AE24" s="130">
        <f t="shared" si="42"/>
        <v>69</v>
      </c>
      <c r="AF24" s="1336" t="s">
        <v>1543</v>
      </c>
      <c r="AG24" s="130">
        <v>2</v>
      </c>
      <c r="AH24" s="130">
        <f>AG24*12</f>
        <v>24</v>
      </c>
      <c r="AI24" s="130"/>
      <c r="AJ24" s="130">
        <f t="shared" si="43"/>
        <v>69</v>
      </c>
      <c r="AK24" s="130"/>
      <c r="AL24" s="130"/>
      <c r="AM24" s="907"/>
      <c r="AN24" s="614"/>
      <c r="AO24" s="614"/>
      <c r="AP24" s="614"/>
      <c r="AQ24" s="614"/>
      <c r="AR24" s="614"/>
      <c r="AS24" s="614"/>
      <c r="AU24" s="210" t="s">
        <v>140</v>
      </c>
      <c r="AV24" s="368">
        <v>3</v>
      </c>
      <c r="AW24" s="368">
        <v>3</v>
      </c>
      <c r="AY24" s="395">
        <v>3</v>
      </c>
      <c r="AZ24" s="395">
        <v>3</v>
      </c>
      <c r="BA24" s="395">
        <v>3</v>
      </c>
      <c r="BB24" s="395">
        <v>3</v>
      </c>
      <c r="BC24" s="395">
        <v>3</v>
      </c>
      <c r="BD24" s="395">
        <v>3</v>
      </c>
      <c r="BE24" s="395">
        <v>3</v>
      </c>
      <c r="BF24" s="395">
        <v>3</v>
      </c>
      <c r="BG24" s="395">
        <v>3</v>
      </c>
      <c r="BH24" s="395">
        <v>3</v>
      </c>
      <c r="BI24" s="395">
        <v>3</v>
      </c>
      <c r="BJ24" s="395">
        <v>3</v>
      </c>
      <c r="BO24" s="40"/>
      <c r="BS24" s="40"/>
      <c r="BW24" s="13"/>
      <c r="BX24" s="40"/>
      <c r="CA24" s="187"/>
      <c r="CB24" s="40"/>
      <c r="CE24" s="187"/>
      <c r="CF24" s="40"/>
    </row>
    <row r="25" spans="1:84" ht="15.5">
      <c r="A25" s="3" t="s">
        <v>15</v>
      </c>
      <c r="B25" s="4" t="s">
        <v>15</v>
      </c>
      <c r="C25" s="5">
        <v>46327</v>
      </c>
      <c r="D25" s="745">
        <f>'YN01'!$J$51</f>
        <v>2967.7286562190557</v>
      </c>
      <c r="E25" s="1308">
        <f>'YN01'!$B$51</f>
        <v>270.46771174951448</v>
      </c>
      <c r="F25" s="1071">
        <f t="shared" si="32"/>
        <v>276</v>
      </c>
      <c r="G25" s="8">
        <f>'YN01'!$H$43</f>
        <v>0.9342465753424658</v>
      </c>
      <c r="H25" s="8">
        <f>'YN01'!$I$43</f>
        <v>0.97</v>
      </c>
      <c r="I25" s="841">
        <f t="shared" si="33"/>
        <v>32121.952127873319</v>
      </c>
      <c r="J25" s="10">
        <f>(BP!L90+BP!L91)/DAY(EOMONTH(C25,0))</f>
        <v>34395.261301297389</v>
      </c>
      <c r="K25" s="10"/>
      <c r="L25" s="11">
        <f t="shared" si="24"/>
        <v>1.0707712023346003</v>
      </c>
      <c r="M25" s="12">
        <f t="shared" si="34"/>
        <v>276</v>
      </c>
      <c r="N25" s="12">
        <f t="shared" si="35"/>
        <v>24</v>
      </c>
      <c r="O25" s="12">
        <f t="shared" si="25"/>
        <v>24</v>
      </c>
      <c r="P25" s="38">
        <f t="shared" si="36"/>
        <v>6</v>
      </c>
      <c r="Q25" s="38">
        <f t="shared" si="26"/>
        <v>18</v>
      </c>
      <c r="R25" s="13">
        <f t="shared" si="27"/>
        <v>18</v>
      </c>
      <c r="S25" s="38">
        <f>'Manpower Allocation'!$D$18</f>
        <v>25</v>
      </c>
      <c r="T25" s="30">
        <f t="shared" si="28"/>
        <v>43</v>
      </c>
      <c r="U25" s="1327">
        <f t="shared" si="37"/>
        <v>2676.8293439894433</v>
      </c>
      <c r="V25" s="22">
        <v>12</v>
      </c>
      <c r="W25" s="22">
        <f t="shared" si="38"/>
        <v>276</v>
      </c>
      <c r="X25" s="21">
        <f t="shared" si="39"/>
        <v>12</v>
      </c>
      <c r="Y25" s="22">
        <f t="shared" si="40"/>
        <v>296</v>
      </c>
      <c r="Z25" s="22">
        <v>0.5</v>
      </c>
      <c r="AA25" s="22">
        <f t="shared" si="41"/>
        <v>6</v>
      </c>
      <c r="AB25" s="1325">
        <f t="shared" si="29"/>
        <v>6</v>
      </c>
      <c r="AC25" s="1325">
        <f t="shared" si="30"/>
        <v>18</v>
      </c>
      <c r="AD25" s="22"/>
      <c r="AE25" s="130">
        <f t="shared" si="42"/>
        <v>72</v>
      </c>
      <c r="AF25" s="1336" t="s">
        <v>1544</v>
      </c>
      <c r="AG25" s="130">
        <v>2</v>
      </c>
      <c r="AH25" s="130">
        <f t="shared" ref="AH25:AH29" si="45">AG25*12</f>
        <v>24</v>
      </c>
      <c r="AI25" s="130"/>
      <c r="AJ25" s="130">
        <f t="shared" si="43"/>
        <v>72</v>
      </c>
      <c r="AK25" s="130"/>
      <c r="AL25" s="130"/>
      <c r="AM25" s="907"/>
      <c r="AN25" s="614"/>
      <c r="AO25" s="614"/>
      <c r="AP25" s="614"/>
      <c r="AQ25" s="614"/>
      <c r="AR25" s="614"/>
      <c r="AS25" s="614"/>
      <c r="AU25" s="133" t="s">
        <v>561</v>
      </c>
      <c r="AV25" s="94">
        <f>SUM(AV18:AV24)</f>
        <v>45.9375</v>
      </c>
      <c r="AW25" s="94">
        <f>SUM(AW18:AW24)</f>
        <v>42</v>
      </c>
      <c r="AY25" s="94">
        <f t="shared" ref="AY25:BJ25" si="46">SUM(AY18:AY24)</f>
        <v>42</v>
      </c>
      <c r="AZ25" s="94">
        <f t="shared" si="46"/>
        <v>42</v>
      </c>
      <c r="BA25" s="94">
        <f t="shared" si="46"/>
        <v>42</v>
      </c>
      <c r="BB25" s="94">
        <f t="shared" si="46"/>
        <v>42</v>
      </c>
      <c r="BC25" s="94">
        <f t="shared" si="46"/>
        <v>42</v>
      </c>
      <c r="BD25" s="94">
        <f t="shared" si="46"/>
        <v>42</v>
      </c>
      <c r="BE25" s="94">
        <f t="shared" si="46"/>
        <v>42</v>
      </c>
      <c r="BF25" s="94">
        <f t="shared" si="46"/>
        <v>42</v>
      </c>
      <c r="BG25" s="94">
        <f t="shared" si="46"/>
        <v>36</v>
      </c>
      <c r="BH25" s="94">
        <f t="shared" si="46"/>
        <v>42</v>
      </c>
      <c r="BI25" s="94">
        <f t="shared" si="46"/>
        <v>42</v>
      </c>
      <c r="BJ25" s="94">
        <f t="shared" si="46"/>
        <v>42</v>
      </c>
      <c r="BO25" s="40"/>
      <c r="BS25" s="40"/>
      <c r="BW25" s="45"/>
      <c r="CA25" s="187"/>
      <c r="CB25" s="40"/>
      <c r="CE25" s="187"/>
      <c r="CF25" s="40"/>
    </row>
    <row r="26" spans="1:84" ht="15.5">
      <c r="A26" s="3" t="s">
        <v>15</v>
      </c>
      <c r="B26" s="4" t="s">
        <v>15</v>
      </c>
      <c r="C26" s="5">
        <v>46357</v>
      </c>
      <c r="D26" s="745">
        <f>'YN01'!$J$51</f>
        <v>2967.7286562190557</v>
      </c>
      <c r="E26" s="1308">
        <f>'YN01'!$B$51</f>
        <v>270.46771174951448</v>
      </c>
      <c r="F26" s="1071">
        <f t="shared" si="32"/>
        <v>276</v>
      </c>
      <c r="G26" s="8">
        <f>'YN01'!$H$43</f>
        <v>0.9342465753424658</v>
      </c>
      <c r="H26" s="8">
        <f>'YN01'!$I$43</f>
        <v>0.97</v>
      </c>
      <c r="I26" s="841">
        <f t="shared" si="33"/>
        <v>32121.952127873319</v>
      </c>
      <c r="J26" s="10">
        <f>(BP!M90+BP!M91)/DAY(EOMONTH(C26,0))</f>
        <v>33711.280943895981</v>
      </c>
      <c r="K26" s="10"/>
      <c r="L26" s="11">
        <f t="shared" si="24"/>
        <v>1.0494779647792185</v>
      </c>
      <c r="M26" s="12">
        <f t="shared" si="34"/>
        <v>276</v>
      </c>
      <c r="N26" s="12">
        <f t="shared" si="35"/>
        <v>24</v>
      </c>
      <c r="O26" s="12">
        <f t="shared" si="25"/>
        <v>24</v>
      </c>
      <c r="P26" s="38">
        <f t="shared" si="36"/>
        <v>6</v>
      </c>
      <c r="Q26" s="38">
        <f t="shared" si="26"/>
        <v>18</v>
      </c>
      <c r="R26" s="13">
        <f t="shared" si="27"/>
        <v>18</v>
      </c>
      <c r="S26" s="38">
        <f>'Manpower Allocation'!$D$18</f>
        <v>25</v>
      </c>
      <c r="T26" s="30">
        <f t="shared" si="28"/>
        <v>43</v>
      </c>
      <c r="U26" s="1327">
        <f t="shared" si="37"/>
        <v>2676.8293439894433</v>
      </c>
      <c r="V26" s="22">
        <v>12</v>
      </c>
      <c r="W26" s="22">
        <f t="shared" si="38"/>
        <v>276</v>
      </c>
      <c r="X26" s="21">
        <f t="shared" si="39"/>
        <v>12</v>
      </c>
      <c r="Y26" s="22">
        <f t="shared" si="40"/>
        <v>290</v>
      </c>
      <c r="Z26" s="22">
        <v>0.5</v>
      </c>
      <c r="AA26" s="22">
        <f t="shared" si="41"/>
        <v>6</v>
      </c>
      <c r="AB26" s="1325">
        <f t="shared" si="29"/>
        <v>6</v>
      </c>
      <c r="AC26" s="1325">
        <f t="shared" si="30"/>
        <v>18</v>
      </c>
      <c r="AD26" s="22"/>
      <c r="AE26" s="130">
        <f t="shared" si="42"/>
        <v>81</v>
      </c>
      <c r="AF26" s="1336" t="s">
        <v>1545</v>
      </c>
      <c r="AG26" s="130">
        <v>2</v>
      </c>
      <c r="AH26" s="130">
        <f t="shared" si="45"/>
        <v>24</v>
      </c>
      <c r="AI26" s="130"/>
      <c r="AJ26" s="130">
        <f t="shared" si="43"/>
        <v>81</v>
      </c>
      <c r="AK26" s="130"/>
      <c r="AL26" s="130"/>
      <c r="AM26" s="907"/>
      <c r="AN26" s="614"/>
      <c r="AO26" s="614"/>
      <c r="AP26" s="614"/>
      <c r="AQ26" s="614"/>
      <c r="AR26" s="614"/>
      <c r="AS26" s="614"/>
      <c r="BO26" s="40"/>
      <c r="BS26" s="40"/>
      <c r="BW26" s="45"/>
      <c r="CA26" s="187"/>
      <c r="CB26" s="40"/>
      <c r="CE26" s="187"/>
      <c r="CF26" s="40"/>
    </row>
    <row r="27" spans="1:84" ht="15.5">
      <c r="A27" s="3" t="s">
        <v>15</v>
      </c>
      <c r="B27" s="4" t="s">
        <v>15</v>
      </c>
      <c r="C27" s="5">
        <v>46388</v>
      </c>
      <c r="D27" s="745">
        <f>'YN01'!$J$51</f>
        <v>2967.7286562190557</v>
      </c>
      <c r="E27" s="1308">
        <f>'YN01'!$B$51</f>
        <v>270.46771174951448</v>
      </c>
      <c r="F27" s="1071">
        <f t="shared" si="32"/>
        <v>276</v>
      </c>
      <c r="G27" s="8">
        <f>'YN01'!$H$43</f>
        <v>0.9342465753424658</v>
      </c>
      <c r="H27" s="8">
        <f>'YN01'!$I$43</f>
        <v>0.97</v>
      </c>
      <c r="I27" s="841">
        <f t="shared" si="33"/>
        <v>32121.952127873319</v>
      </c>
      <c r="J27" s="10">
        <f>(BP!N90+BP!N91)/DAY(EOMONTH(C27,0))</f>
        <v>33761.519179139214</v>
      </c>
      <c r="K27" s="10"/>
      <c r="L27" s="11">
        <f t="shared" si="24"/>
        <v>1.0510419492793897</v>
      </c>
      <c r="M27" s="12">
        <f t="shared" si="34"/>
        <v>276</v>
      </c>
      <c r="N27" s="12">
        <f t="shared" si="35"/>
        <v>24</v>
      </c>
      <c r="O27" s="12">
        <f t="shared" si="25"/>
        <v>24</v>
      </c>
      <c r="P27" s="38">
        <f t="shared" si="36"/>
        <v>6</v>
      </c>
      <c r="Q27" s="38">
        <f t="shared" si="26"/>
        <v>18</v>
      </c>
      <c r="R27" s="13">
        <f t="shared" si="27"/>
        <v>18</v>
      </c>
      <c r="S27" s="38">
        <f>'Manpower Allocation'!$D$18</f>
        <v>25</v>
      </c>
      <c r="T27" s="30">
        <f t="shared" si="28"/>
        <v>43</v>
      </c>
      <c r="U27" s="1327">
        <f t="shared" si="37"/>
        <v>2676.8293439894433</v>
      </c>
      <c r="V27" s="22">
        <v>12</v>
      </c>
      <c r="W27" s="22">
        <f t="shared" si="38"/>
        <v>276</v>
      </c>
      <c r="X27" s="21">
        <f t="shared" si="39"/>
        <v>12</v>
      </c>
      <c r="Y27" s="22">
        <f t="shared" si="40"/>
        <v>290</v>
      </c>
      <c r="Z27" s="22">
        <v>0.5</v>
      </c>
      <c r="AA27" s="22">
        <f t="shared" si="41"/>
        <v>6</v>
      </c>
      <c r="AB27" s="1325">
        <f t="shared" si="29"/>
        <v>6</v>
      </c>
      <c r="AC27" s="1325">
        <f t="shared" si="30"/>
        <v>18</v>
      </c>
      <c r="AD27" s="22"/>
      <c r="AE27" s="130">
        <f t="shared" si="42"/>
        <v>76</v>
      </c>
      <c r="AF27" s="1336" t="s">
        <v>1546</v>
      </c>
      <c r="AG27" s="130">
        <v>4</v>
      </c>
      <c r="AH27" s="130">
        <f t="shared" si="45"/>
        <v>48</v>
      </c>
      <c r="AI27" s="130"/>
      <c r="AJ27" s="130">
        <f t="shared" si="43"/>
        <v>76</v>
      </c>
      <c r="AK27" s="130"/>
      <c r="AL27" s="130"/>
      <c r="AM27" s="907"/>
      <c r="AN27" s="614"/>
      <c r="AO27" s="614"/>
      <c r="AP27" s="614"/>
      <c r="AQ27" s="614"/>
      <c r="AR27" s="614"/>
      <c r="AS27" s="614"/>
      <c r="BO27" s="40"/>
      <c r="BS27" s="40"/>
      <c r="BW27" s="13"/>
      <c r="CA27" s="187"/>
      <c r="CB27" s="40"/>
      <c r="CE27" s="187"/>
      <c r="CF27" s="40"/>
    </row>
    <row r="28" spans="1:84" ht="15.5">
      <c r="A28" s="3" t="s">
        <v>15</v>
      </c>
      <c r="B28" s="4" t="s">
        <v>15</v>
      </c>
      <c r="C28" s="5">
        <v>46419</v>
      </c>
      <c r="D28" s="745">
        <f>'YN01'!$J$51</f>
        <v>2967.7286562190557</v>
      </c>
      <c r="E28" s="1308">
        <f>'YN01'!$B$51</f>
        <v>270.46771174951448</v>
      </c>
      <c r="F28" s="1071">
        <f t="shared" si="32"/>
        <v>276</v>
      </c>
      <c r="G28" s="8">
        <f>'YN01'!$H$43</f>
        <v>0.9342465753424658</v>
      </c>
      <c r="H28" s="8">
        <f>'YN01'!$I$43</f>
        <v>0.97</v>
      </c>
      <c r="I28" s="841">
        <f t="shared" si="33"/>
        <v>32121.952127873319</v>
      </c>
      <c r="J28" s="10">
        <f>(BP!O90+BP!O91)/DAY(EOMONTH(C28,0))</f>
        <v>35709.419840274299</v>
      </c>
      <c r="K28" s="10"/>
      <c r="L28" s="11">
        <f t="shared" si="24"/>
        <v>1.1116827426340634</v>
      </c>
      <c r="M28" s="12">
        <f t="shared" si="34"/>
        <v>276</v>
      </c>
      <c r="N28" s="12">
        <f t="shared" si="35"/>
        <v>24</v>
      </c>
      <c r="O28" s="12">
        <f t="shared" si="25"/>
        <v>24</v>
      </c>
      <c r="P28" s="38">
        <f t="shared" si="36"/>
        <v>6</v>
      </c>
      <c r="Q28" s="38">
        <f t="shared" si="26"/>
        <v>18</v>
      </c>
      <c r="R28" s="13">
        <f t="shared" si="27"/>
        <v>18</v>
      </c>
      <c r="S28" s="38">
        <f>'Manpower Allocation'!$D$18</f>
        <v>25</v>
      </c>
      <c r="T28" s="30">
        <f t="shared" si="28"/>
        <v>43</v>
      </c>
      <c r="U28" s="1327">
        <f t="shared" si="37"/>
        <v>2676.8293439894433</v>
      </c>
      <c r="V28" s="22">
        <v>12</v>
      </c>
      <c r="W28" s="22">
        <f t="shared" si="38"/>
        <v>276</v>
      </c>
      <c r="X28" s="21">
        <f t="shared" si="39"/>
        <v>12</v>
      </c>
      <c r="Y28" s="22">
        <f t="shared" si="40"/>
        <v>307</v>
      </c>
      <c r="Z28" s="22">
        <v>0.5</v>
      </c>
      <c r="AA28" s="22">
        <f t="shared" si="41"/>
        <v>6</v>
      </c>
      <c r="AB28" s="1325">
        <f t="shared" si="29"/>
        <v>6</v>
      </c>
      <c r="AC28" s="1325">
        <f t="shared" si="30"/>
        <v>18</v>
      </c>
      <c r="AD28" s="22"/>
      <c r="AE28" s="130">
        <f t="shared" si="42"/>
        <v>76</v>
      </c>
      <c r="AF28" s="1336" t="s">
        <v>1547</v>
      </c>
      <c r="AG28" s="130">
        <v>4</v>
      </c>
      <c r="AH28" s="130">
        <f t="shared" si="45"/>
        <v>48</v>
      </c>
      <c r="AI28" s="130"/>
      <c r="AJ28" s="130">
        <f t="shared" si="43"/>
        <v>76</v>
      </c>
      <c r="AK28" s="130"/>
      <c r="AL28" s="130"/>
      <c r="AM28" s="907"/>
      <c r="AN28" s="614"/>
      <c r="AO28" s="614"/>
      <c r="AP28" s="614"/>
      <c r="AQ28" s="614"/>
      <c r="AR28" s="614"/>
      <c r="AS28" s="614"/>
      <c r="BO28" s="40"/>
      <c r="BS28" s="40"/>
      <c r="BW28" s="13"/>
      <c r="CA28" s="187"/>
      <c r="CB28" s="40"/>
      <c r="CE28" s="187"/>
      <c r="CF28" s="40"/>
    </row>
    <row r="29" spans="1:84" ht="58">
      <c r="A29" s="3" t="s">
        <v>15</v>
      </c>
      <c r="B29" s="4" t="s">
        <v>15</v>
      </c>
      <c r="C29" s="5">
        <v>46447</v>
      </c>
      <c r="D29" s="745">
        <f>'YN01'!$J$51</f>
        <v>2967.7286562190557</v>
      </c>
      <c r="E29" s="1308">
        <f>'YN01'!$B$51</f>
        <v>270.46771174951448</v>
      </c>
      <c r="F29" s="1071">
        <f t="shared" si="32"/>
        <v>276</v>
      </c>
      <c r="G29" s="8">
        <f>'YN01'!$H$43</f>
        <v>0.9342465753424658</v>
      </c>
      <c r="H29" s="8">
        <f>'YN01'!$I$43</f>
        <v>0.97</v>
      </c>
      <c r="I29" s="841">
        <f t="shared" si="33"/>
        <v>32121.952127873319</v>
      </c>
      <c r="J29" s="10">
        <f>(BP!P90+BP!P91)/DAY(EOMONTH(C29,0))</f>
        <v>29715.511176625227</v>
      </c>
      <c r="K29" s="10"/>
      <c r="L29" s="11">
        <f t="shared" si="24"/>
        <v>0.92508422459293993</v>
      </c>
      <c r="M29" s="12">
        <f t="shared" si="34"/>
        <v>255.32324598765143</v>
      </c>
      <c r="N29" s="12">
        <f t="shared" si="35"/>
        <v>22.202021390230559</v>
      </c>
      <c r="O29" s="12">
        <f t="shared" si="25"/>
        <v>23</v>
      </c>
      <c r="P29" s="38">
        <f t="shared" si="36"/>
        <v>5.75</v>
      </c>
      <c r="Q29" s="38">
        <f t="shared" si="26"/>
        <v>17.25</v>
      </c>
      <c r="R29" s="13">
        <f t="shared" si="27"/>
        <v>18</v>
      </c>
      <c r="S29" s="38">
        <f>'Manpower Allocation'!$D$18</f>
        <v>25</v>
      </c>
      <c r="T29" s="30">
        <f t="shared" si="28"/>
        <v>43</v>
      </c>
      <c r="U29" s="1327">
        <f t="shared" si="37"/>
        <v>2676.8293439894433</v>
      </c>
      <c r="V29" s="22">
        <v>12</v>
      </c>
      <c r="W29" s="22">
        <f t="shared" si="38"/>
        <v>276</v>
      </c>
      <c r="X29" s="21">
        <f t="shared" si="39"/>
        <v>11.10101069511528</v>
      </c>
      <c r="Y29" s="22">
        <f t="shared" si="40"/>
        <v>255</v>
      </c>
      <c r="Z29" s="22">
        <v>0.5</v>
      </c>
      <c r="AA29" s="22">
        <f t="shared" si="41"/>
        <v>5.5505053475576398</v>
      </c>
      <c r="AB29" s="1325">
        <f t="shared" si="29"/>
        <v>6</v>
      </c>
      <c r="AC29" s="1325">
        <f t="shared" si="30"/>
        <v>18</v>
      </c>
      <c r="AD29" s="22"/>
      <c r="AE29" s="130">
        <f t="shared" si="42"/>
        <v>74</v>
      </c>
      <c r="AF29" s="1336" t="s">
        <v>1548</v>
      </c>
      <c r="AG29" s="130">
        <v>4</v>
      </c>
      <c r="AH29" s="130">
        <f t="shared" si="45"/>
        <v>48</v>
      </c>
      <c r="AI29" s="1326" t="s">
        <v>1549</v>
      </c>
      <c r="AJ29" s="130">
        <f t="shared" si="43"/>
        <v>74</v>
      </c>
      <c r="AK29" s="130"/>
      <c r="AL29" s="130"/>
      <c r="AM29" s="907"/>
      <c r="AN29" s="614"/>
      <c r="AO29" s="614"/>
      <c r="AP29" s="614"/>
      <c r="AQ29" s="614"/>
      <c r="AR29" s="614"/>
      <c r="AS29" s="614"/>
      <c r="BO29" s="40"/>
      <c r="BS29" s="40"/>
      <c r="BW29" s="13"/>
      <c r="CA29" s="187"/>
      <c r="CB29" s="40"/>
      <c r="CE29" s="187"/>
      <c r="CF29" s="40"/>
    </row>
    <row r="30" spans="1:84" ht="15.5">
      <c r="A30" s="14"/>
      <c r="B30" s="15"/>
      <c r="C30" s="15"/>
      <c r="D30" s="800"/>
      <c r="E30" s="16"/>
      <c r="F30" s="15"/>
      <c r="G30" s="17"/>
      <c r="H30" s="17"/>
      <c r="I30" s="18"/>
      <c r="J30" s="19"/>
      <c r="K30" s="19"/>
      <c r="L30" s="20"/>
      <c r="M30" s="21"/>
      <c r="N30" s="21"/>
      <c r="O30" s="21"/>
      <c r="P30" s="22"/>
      <c r="Q30" s="393">
        <f>AVERAGE(Q18:Q29)</f>
        <v>17.9375</v>
      </c>
      <c r="R30" s="393">
        <f>AVERAGE(R18:R29)</f>
        <v>18</v>
      </c>
      <c r="S30" s="393"/>
      <c r="AE30" s="100"/>
      <c r="AF30" s="1336" t="s">
        <v>1550</v>
      </c>
      <c r="AG30" s="130">
        <v>1</v>
      </c>
      <c r="AH30" s="130">
        <f>AG30*6</f>
        <v>6</v>
      </c>
      <c r="AI30" s="100"/>
      <c r="BS30" s="40"/>
      <c r="BW30" s="13"/>
      <c r="CA30" s="187"/>
      <c r="CB30" s="40"/>
    </row>
    <row r="31" spans="1:84">
      <c r="N31" s="44">
        <f>AVERAGE(N4:N15)</f>
        <v>8.5892747386994373</v>
      </c>
      <c r="O31" s="44">
        <f>AVERAGE(O4:O15)</f>
        <v>9</v>
      </c>
      <c r="P31" s="152">
        <f t="shared" ref="P31" si="47">O31/2</f>
        <v>4.5</v>
      </c>
      <c r="Q31" s="152">
        <f t="shared" ref="Q31" si="48">P31*3</f>
        <v>13.5</v>
      </c>
      <c r="R31" s="152">
        <f>AVERAGE(R4:R15)</f>
        <v>11.166666666666666</v>
      </c>
      <c r="S31" s="130"/>
    </row>
    <row r="32" spans="1:84" ht="69" customHeight="1">
      <c r="A32" s="1" t="s">
        <v>0</v>
      </c>
      <c r="B32" s="1" t="s">
        <v>1</v>
      </c>
      <c r="C32" s="1" t="s">
        <v>2</v>
      </c>
      <c r="D32" s="799" t="s">
        <v>3</v>
      </c>
      <c r="E32" s="1" t="s">
        <v>4</v>
      </c>
      <c r="F32" s="1" t="s">
        <v>5</v>
      </c>
      <c r="G32" s="1" t="s">
        <v>6</v>
      </c>
      <c r="H32" s="1" t="s">
        <v>7</v>
      </c>
      <c r="I32" s="1" t="s">
        <v>8</v>
      </c>
      <c r="J32" s="1" t="s">
        <v>9</v>
      </c>
      <c r="K32" s="1"/>
      <c r="L32" s="1" t="s">
        <v>10</v>
      </c>
      <c r="M32" s="1" t="s">
        <v>10</v>
      </c>
      <c r="N32" s="1" t="s">
        <v>11</v>
      </c>
      <c r="O32" s="1" t="s">
        <v>11</v>
      </c>
      <c r="P32" s="1" t="s">
        <v>12</v>
      </c>
      <c r="Q32" s="1" t="s">
        <v>13</v>
      </c>
      <c r="R32" s="1" t="s">
        <v>13</v>
      </c>
      <c r="S32" s="1" t="s">
        <v>1251</v>
      </c>
      <c r="T32" s="1" t="s">
        <v>14</v>
      </c>
      <c r="U32" s="851" t="s">
        <v>1561</v>
      </c>
      <c r="V32" s="851" t="s">
        <v>1517</v>
      </c>
      <c r="W32" s="851" t="s">
        <v>1518</v>
      </c>
      <c r="X32" s="851" t="s">
        <v>873</v>
      </c>
      <c r="Y32" s="851" t="s">
        <v>1519</v>
      </c>
      <c r="Z32" s="851" t="s">
        <v>1520</v>
      </c>
      <c r="AA32" s="851" t="s">
        <v>1521</v>
      </c>
      <c r="AB32" s="851" t="s">
        <v>1521</v>
      </c>
      <c r="AC32" s="851" t="s">
        <v>1562</v>
      </c>
      <c r="AD32" s="851" t="s">
        <v>537</v>
      </c>
      <c r="AE32" s="1324" t="s">
        <v>1207</v>
      </c>
      <c r="AF32" s="1335" t="s">
        <v>1207</v>
      </c>
      <c r="AG32" s="1324" t="s">
        <v>1551</v>
      </c>
      <c r="AH32" s="1324" t="s">
        <v>1551</v>
      </c>
      <c r="AI32" s="935"/>
      <c r="AJ32" s="935"/>
      <c r="AK32" s="935"/>
      <c r="AL32" s="935"/>
      <c r="AM32" s="935"/>
      <c r="AN32" s="851"/>
      <c r="AO32" s="851"/>
      <c r="AP32" s="851"/>
      <c r="AQ32" s="851"/>
      <c r="AR32" s="851"/>
      <c r="AS32" s="851"/>
      <c r="AW32" s="395" t="s">
        <v>521</v>
      </c>
      <c r="AX32" s="395"/>
      <c r="AY32" s="5">
        <v>45748</v>
      </c>
      <c r="AZ32" s="5">
        <v>45778</v>
      </c>
      <c r="BA32" s="5">
        <v>45809</v>
      </c>
      <c r="BB32" s="5">
        <v>45839</v>
      </c>
      <c r="BC32" s="5">
        <v>45870</v>
      </c>
      <c r="BD32" s="5">
        <v>45901</v>
      </c>
      <c r="BE32" s="5">
        <v>45931</v>
      </c>
      <c r="BF32" s="5">
        <v>45962</v>
      </c>
      <c r="BG32" s="5">
        <v>45992</v>
      </c>
      <c r="BH32" s="5">
        <v>46023</v>
      </c>
      <c r="BI32" s="5">
        <v>46054</v>
      </c>
      <c r="BJ32" s="5">
        <v>46082</v>
      </c>
      <c r="BK32" s="5"/>
      <c r="CB32" s="40"/>
    </row>
    <row r="33" spans="1:80">
      <c r="A33" s="32" t="s">
        <v>19</v>
      </c>
      <c r="B33" s="4" t="s">
        <v>19</v>
      </c>
      <c r="C33" s="5">
        <v>46113</v>
      </c>
      <c r="D33" s="967">
        <f>'YN01'!$J$74</f>
        <v>546.20058215434074</v>
      </c>
      <c r="E33" s="1309">
        <f>'YN01'!$E$74</f>
        <v>284.63751352624445</v>
      </c>
      <c r="F33" s="33">
        <v>1296</v>
      </c>
      <c r="G33" s="34">
        <f>'YN01'!$H$64</f>
        <v>0.94957983193277307</v>
      </c>
      <c r="H33" s="8">
        <f>'YN01'!$I$64</f>
        <v>0.96</v>
      </c>
      <c r="I33" s="841">
        <f t="shared" ref="I33:I44" si="49">D33*E33*F33*G33*H33*0.00016</f>
        <v>29388.132885879077</v>
      </c>
      <c r="J33" s="10">
        <f>(BP!E105+BP!E106)/DAY(EOMONTH(C33,0))</f>
        <v>48085.276984219709</v>
      </c>
      <c r="K33" s="612"/>
      <c r="L33" s="35">
        <f t="shared" ref="L33:L44" si="50">J33/I33</f>
        <v>1.6362140858334202</v>
      </c>
      <c r="M33" s="12">
        <f t="shared" ref="M33:M44" si="51">IF((L33*F33)&gt;F33,F33,(L33*F33))</f>
        <v>1296</v>
      </c>
      <c r="N33" s="29">
        <f>M33</f>
        <v>1296</v>
      </c>
      <c r="O33" s="29">
        <f>ROUNDUP(N33,0)</f>
        <v>1296</v>
      </c>
      <c r="P33" s="30">
        <f>'Manpower Allocation'!$S$30</f>
        <v>20.5</v>
      </c>
      <c r="Q33" s="30">
        <f>P33*3</f>
        <v>61.5</v>
      </c>
      <c r="R33" s="30">
        <f>ROUNDUP(Q33,0)</f>
        <v>62</v>
      </c>
      <c r="S33" s="30">
        <f>'Manpower Allocation'!$D$28</f>
        <v>22</v>
      </c>
      <c r="T33" s="30">
        <f t="shared" ref="T33:T44" si="52">R33+S33</f>
        <v>84</v>
      </c>
      <c r="U33" s="1327">
        <f t="shared" ref="U33" si="53">I33/V33</f>
        <v>3673.5166107348846</v>
      </c>
      <c r="V33" s="22">
        <f>6+2</f>
        <v>8</v>
      </c>
      <c r="W33" s="22">
        <f>(4*224)+(2*336)+32+32</f>
        <v>1632</v>
      </c>
      <c r="X33" s="21">
        <f t="shared" ref="X33:X44" si="54">IF(J33&gt;I33,V33,J33/U33)</f>
        <v>8</v>
      </c>
      <c r="Y33" s="22">
        <f>W33*L33</f>
        <v>2670.3013880801418</v>
      </c>
      <c r="Z33" s="22">
        <f>$AH$36</f>
        <v>2.5625</v>
      </c>
      <c r="AA33" s="22">
        <f t="shared" ref="AA33:AA44" si="55">Z33*X33</f>
        <v>20.5</v>
      </c>
      <c r="AB33" s="1325">
        <f t="shared" ref="AB33:AB44" si="56">ROUNDUP(AA33,0)</f>
        <v>21</v>
      </c>
      <c r="AC33" s="1328">
        <f t="shared" ref="AC33:AC44" si="57">AB33*3</f>
        <v>63</v>
      </c>
      <c r="AD33" s="22" t="s">
        <v>1552</v>
      </c>
      <c r="AE33">
        <v>4.5</v>
      </c>
      <c r="AF33" s="558">
        <v>4</v>
      </c>
      <c r="AG33">
        <v>3</v>
      </c>
      <c r="AH33">
        <v>3</v>
      </c>
      <c r="AI33" s="130">
        <f>224*AF33</f>
        <v>896</v>
      </c>
      <c r="AJ33" s="907">
        <f>AI33/AF33</f>
        <v>224</v>
      </c>
      <c r="AK33" s="130"/>
      <c r="AL33" s="130"/>
      <c r="AM33" s="907"/>
      <c r="AN33" s="614"/>
      <c r="AO33" s="614"/>
      <c r="AP33" s="614"/>
      <c r="AQ33" s="614"/>
      <c r="AR33" s="614"/>
      <c r="AS33" s="614"/>
      <c r="AT33" s="324">
        <f>(6*1*3*3)+6</f>
        <v>60</v>
      </c>
      <c r="AU33" s="374" t="s">
        <v>142</v>
      </c>
      <c r="AV33" s="375">
        <f>(P47*3)</f>
        <v>61.5</v>
      </c>
      <c r="AW33" s="376">
        <f>20*3</f>
        <v>60</v>
      </c>
      <c r="AY33" s="376">
        <f t="shared" ref="AY33:BJ33" si="58">20*3</f>
        <v>60</v>
      </c>
      <c r="AZ33" s="376">
        <f t="shared" si="58"/>
        <v>60</v>
      </c>
      <c r="BA33" s="376">
        <f t="shared" si="58"/>
        <v>60</v>
      </c>
      <c r="BB33" s="376">
        <f t="shared" si="58"/>
        <v>60</v>
      </c>
      <c r="BC33" s="376">
        <f t="shared" si="58"/>
        <v>60</v>
      </c>
      <c r="BD33" s="376">
        <f t="shared" si="58"/>
        <v>60</v>
      </c>
      <c r="BE33" s="376">
        <f t="shared" si="58"/>
        <v>60</v>
      </c>
      <c r="BF33" s="376">
        <f t="shared" si="58"/>
        <v>60</v>
      </c>
      <c r="BG33" s="376">
        <f t="shared" si="58"/>
        <v>60</v>
      </c>
      <c r="BH33" s="376">
        <f t="shared" si="58"/>
        <v>60</v>
      </c>
      <c r="BI33" s="376">
        <f t="shared" si="58"/>
        <v>60</v>
      </c>
      <c r="BJ33" s="376">
        <f t="shared" si="58"/>
        <v>60</v>
      </c>
      <c r="BK33" s="376">
        <f>15*3</f>
        <v>45</v>
      </c>
      <c r="BP33" s="41">
        <f>J33/1.2</f>
        <v>40071.064153516425</v>
      </c>
      <c r="CB33" s="40"/>
    </row>
    <row r="34" spans="1:80">
      <c r="A34" s="32" t="s">
        <v>19</v>
      </c>
      <c r="B34" s="4" t="s">
        <v>19</v>
      </c>
      <c r="C34" s="5">
        <v>46143</v>
      </c>
      <c r="D34" s="967">
        <f>'YN01'!$J$74</f>
        <v>546.20058215434074</v>
      </c>
      <c r="E34" s="1309">
        <f>'YN01'!$E$74</f>
        <v>284.63751352624445</v>
      </c>
      <c r="F34" s="33">
        <v>1296</v>
      </c>
      <c r="G34" s="34">
        <f>'YN01'!$H$64</f>
        <v>0.94957983193277307</v>
      </c>
      <c r="H34" s="8">
        <f>'YN01'!$I$64</f>
        <v>0.96</v>
      </c>
      <c r="I34" s="841">
        <f t="shared" si="49"/>
        <v>29388.132885879077</v>
      </c>
      <c r="J34" s="10">
        <f>(BP!F105+BP!F106)/DAY(EOMONTH(C34,0))</f>
        <v>40196.040004010647</v>
      </c>
      <c r="K34" s="612"/>
      <c r="L34" s="35">
        <f t="shared" si="50"/>
        <v>1.3677643339949896</v>
      </c>
      <c r="M34" s="12">
        <f t="shared" si="51"/>
        <v>1296</v>
      </c>
      <c r="N34" s="29">
        <f t="shared" ref="N34:N44" si="59">M34</f>
        <v>1296</v>
      </c>
      <c r="O34" s="29">
        <f t="shared" ref="O34:O44" si="60">ROUNDUP(N34,0)</f>
        <v>1296</v>
      </c>
      <c r="P34" s="30">
        <f>'Manpower Allocation'!$S$30</f>
        <v>20.5</v>
      </c>
      <c r="Q34" s="30">
        <f t="shared" ref="Q34:Q44" si="61">P34*3</f>
        <v>61.5</v>
      </c>
      <c r="R34" s="30">
        <f t="shared" ref="R34:R44" si="62">ROUNDUP(Q34,0)</f>
        <v>62</v>
      </c>
      <c r="S34" s="30">
        <f>'Manpower Allocation'!$D$28</f>
        <v>22</v>
      </c>
      <c r="T34" s="30">
        <f t="shared" si="52"/>
        <v>84</v>
      </c>
      <c r="U34" s="1327">
        <f t="shared" ref="U34:U44" si="63">I34/V34</f>
        <v>3673.5166107348846</v>
      </c>
      <c r="V34" s="22">
        <f t="shared" ref="V34:V44" si="64">6+2</f>
        <v>8</v>
      </c>
      <c r="W34" s="22">
        <f t="shared" ref="W34:W44" si="65">(4*224)+(2*336)+32+32</f>
        <v>1632</v>
      </c>
      <c r="X34" s="21">
        <f t="shared" si="54"/>
        <v>8</v>
      </c>
      <c r="Y34" s="22">
        <f t="shared" ref="Y34:Y44" si="66">W34*L34</f>
        <v>2232.1913930798232</v>
      </c>
      <c r="Z34" s="22">
        <f t="shared" ref="Z34:Z44" si="67">$AH$36</f>
        <v>2.5625</v>
      </c>
      <c r="AA34" s="22">
        <f t="shared" si="55"/>
        <v>20.5</v>
      </c>
      <c r="AB34" s="1325">
        <f t="shared" si="56"/>
        <v>21</v>
      </c>
      <c r="AC34" s="1328">
        <f t="shared" si="57"/>
        <v>63</v>
      </c>
      <c r="AD34" s="22"/>
      <c r="AE34">
        <v>1.5</v>
      </c>
      <c r="AF34" s="558">
        <v>2</v>
      </c>
      <c r="AG34">
        <v>4</v>
      </c>
      <c r="AH34">
        <v>4</v>
      </c>
      <c r="AI34" s="130">
        <f>336*AF34</f>
        <v>672</v>
      </c>
      <c r="AJ34" s="907">
        <f>AI34/AF34</f>
        <v>336</v>
      </c>
      <c r="AK34" s="130"/>
      <c r="AL34" s="130"/>
      <c r="AM34" s="907"/>
      <c r="AN34" s="614"/>
      <c r="AO34" s="614"/>
      <c r="AP34" s="614"/>
      <c r="AQ34" s="614"/>
      <c r="AR34" s="614"/>
      <c r="AS34" s="614"/>
      <c r="AU34" s="367" t="s">
        <v>134</v>
      </c>
      <c r="AV34" s="368">
        <v>12</v>
      </c>
      <c r="AW34" s="368">
        <v>9</v>
      </c>
      <c r="AY34" s="395">
        <v>9</v>
      </c>
      <c r="AZ34" s="395">
        <v>9</v>
      </c>
      <c r="BA34" s="395">
        <v>9</v>
      </c>
      <c r="BB34" s="395">
        <v>9</v>
      </c>
      <c r="BC34" s="395">
        <v>9</v>
      </c>
      <c r="BD34" s="395">
        <v>9</v>
      </c>
      <c r="BE34" s="395">
        <v>9</v>
      </c>
      <c r="BF34" s="395">
        <v>9</v>
      </c>
      <c r="BG34" s="395">
        <v>9</v>
      </c>
      <c r="BH34" s="395">
        <v>9</v>
      </c>
      <c r="BI34" s="395">
        <v>9</v>
      </c>
      <c r="BJ34" s="395">
        <v>9</v>
      </c>
      <c r="BK34" s="395">
        <v>9</v>
      </c>
    </row>
    <row r="35" spans="1:80">
      <c r="A35" s="32" t="s">
        <v>19</v>
      </c>
      <c r="B35" s="4" t="s">
        <v>19</v>
      </c>
      <c r="C35" s="5">
        <v>46174</v>
      </c>
      <c r="D35" s="967">
        <f>'YN01'!$J$74</f>
        <v>546.20058215434074</v>
      </c>
      <c r="E35" s="1309">
        <f>'YN01'!$E$74</f>
        <v>284.63751352624445</v>
      </c>
      <c r="F35" s="33">
        <v>1296</v>
      </c>
      <c r="G35" s="34">
        <f>'YN01'!$H$64</f>
        <v>0.94957983193277307</v>
      </c>
      <c r="H35" s="8">
        <f>'YN01'!$I$64</f>
        <v>0.96</v>
      </c>
      <c r="I35" s="841">
        <f t="shared" si="49"/>
        <v>29388.132885879077</v>
      </c>
      <c r="J35" s="10">
        <f>(BP!G105+BP!G106)/DAY(EOMONTH(C35,0))</f>
        <v>38656.900576141074</v>
      </c>
      <c r="K35" s="612"/>
      <c r="L35" s="35">
        <f t="shared" si="50"/>
        <v>1.3153915128346114</v>
      </c>
      <c r="M35" s="12">
        <f t="shared" si="51"/>
        <v>1296</v>
      </c>
      <c r="N35" s="29">
        <f t="shared" si="59"/>
        <v>1296</v>
      </c>
      <c r="O35" s="29">
        <f t="shared" si="60"/>
        <v>1296</v>
      </c>
      <c r="P35" s="30">
        <f>'Manpower Allocation'!$S$30</f>
        <v>20.5</v>
      </c>
      <c r="Q35" s="30">
        <f t="shared" si="61"/>
        <v>61.5</v>
      </c>
      <c r="R35" s="30">
        <f t="shared" si="62"/>
        <v>62</v>
      </c>
      <c r="S35" s="30">
        <f>'Manpower Allocation'!$D$28</f>
        <v>22</v>
      </c>
      <c r="T35" s="30">
        <f t="shared" si="52"/>
        <v>84</v>
      </c>
      <c r="U35" s="1327">
        <f t="shared" si="63"/>
        <v>3673.5166107348846</v>
      </c>
      <c r="V35" s="22">
        <f t="shared" si="64"/>
        <v>8</v>
      </c>
      <c r="W35" s="22">
        <f t="shared" si="65"/>
        <v>1632</v>
      </c>
      <c r="X35" s="21">
        <f t="shared" si="54"/>
        <v>8</v>
      </c>
      <c r="Y35" s="22">
        <f t="shared" si="66"/>
        <v>2146.7189489460857</v>
      </c>
      <c r="Z35" s="22">
        <f t="shared" si="67"/>
        <v>2.5625</v>
      </c>
      <c r="AA35" s="22">
        <f t="shared" si="55"/>
        <v>20.5</v>
      </c>
      <c r="AB35" s="1325">
        <f t="shared" si="56"/>
        <v>21</v>
      </c>
      <c r="AC35" s="1328">
        <f t="shared" si="57"/>
        <v>63</v>
      </c>
      <c r="AD35" s="22"/>
      <c r="AE35">
        <v>2</v>
      </c>
      <c r="AF35" s="558">
        <v>2</v>
      </c>
      <c r="AG35">
        <v>0.5</v>
      </c>
      <c r="AH35">
        <v>0.5</v>
      </c>
      <c r="AI35" s="130">
        <f>32+32</f>
        <v>64</v>
      </c>
      <c r="AJ35" s="907">
        <f>AI35/AF35</f>
        <v>32</v>
      </c>
      <c r="AK35" s="130"/>
      <c r="AL35" s="130"/>
      <c r="AM35" s="907"/>
      <c r="AN35" s="614"/>
      <c r="AO35" s="614"/>
      <c r="AP35" s="614"/>
      <c r="AQ35" s="614"/>
      <c r="AR35" s="614"/>
      <c r="AS35" s="614"/>
      <c r="AU35" s="210" t="s">
        <v>143</v>
      </c>
      <c r="AV35" s="368">
        <v>3</v>
      </c>
      <c r="AW35" s="368">
        <v>0</v>
      </c>
      <c r="AY35" s="395">
        <v>0</v>
      </c>
      <c r="AZ35" s="395">
        <v>0</v>
      </c>
      <c r="BA35" s="395">
        <v>0</v>
      </c>
      <c r="BB35" s="395">
        <v>0</v>
      </c>
      <c r="BC35" s="395">
        <v>0</v>
      </c>
      <c r="BD35" s="395">
        <v>0</v>
      </c>
      <c r="BE35" s="395">
        <v>0</v>
      </c>
      <c r="BF35" s="395">
        <v>0</v>
      </c>
      <c r="BG35" s="395">
        <v>0</v>
      </c>
      <c r="BH35" s="395">
        <v>0</v>
      </c>
      <c r="BI35" s="395">
        <v>0</v>
      </c>
      <c r="BJ35" s="395">
        <v>0</v>
      </c>
      <c r="BK35" s="395">
        <v>0</v>
      </c>
    </row>
    <row r="36" spans="1:80">
      <c r="A36" s="32" t="s">
        <v>19</v>
      </c>
      <c r="B36" s="4" t="s">
        <v>19</v>
      </c>
      <c r="C36" s="5">
        <v>46204</v>
      </c>
      <c r="D36" s="967">
        <f>'YN01'!$J$74</f>
        <v>546.20058215434074</v>
      </c>
      <c r="E36" s="1309">
        <f>'YN01'!$E$74</f>
        <v>284.63751352624445</v>
      </c>
      <c r="F36" s="33">
        <v>1296</v>
      </c>
      <c r="G36" s="34">
        <f>'YN01'!$H$64</f>
        <v>0.94957983193277307</v>
      </c>
      <c r="H36" s="8">
        <f>'YN01'!$I$64</f>
        <v>0.96</v>
      </c>
      <c r="I36" s="841">
        <f t="shared" si="49"/>
        <v>29388.132885879077</v>
      </c>
      <c r="J36" s="10">
        <f>(BP!H105+BP!H106)/DAY(EOMONTH(C36,0))</f>
        <v>40295.113555653224</v>
      </c>
      <c r="K36" s="612"/>
      <c r="L36" s="35">
        <f t="shared" si="50"/>
        <v>1.3711355434565538</v>
      </c>
      <c r="M36" s="12">
        <f t="shared" si="51"/>
        <v>1296</v>
      </c>
      <c r="N36" s="29">
        <f t="shared" si="59"/>
        <v>1296</v>
      </c>
      <c r="O36" s="29">
        <f t="shared" si="60"/>
        <v>1296</v>
      </c>
      <c r="P36" s="30">
        <f>'Manpower Allocation'!$S$30</f>
        <v>20.5</v>
      </c>
      <c r="Q36" s="30">
        <f t="shared" si="61"/>
        <v>61.5</v>
      </c>
      <c r="R36" s="30">
        <f t="shared" si="62"/>
        <v>62</v>
      </c>
      <c r="S36" s="30">
        <f>'Manpower Allocation'!$D$28</f>
        <v>22</v>
      </c>
      <c r="T36" s="30">
        <f t="shared" si="52"/>
        <v>84</v>
      </c>
      <c r="U36" s="1327">
        <f t="shared" si="63"/>
        <v>3673.5166107348846</v>
      </c>
      <c r="V36" s="22">
        <f t="shared" si="64"/>
        <v>8</v>
      </c>
      <c r="W36" s="22">
        <f t="shared" si="65"/>
        <v>1632</v>
      </c>
      <c r="X36" s="21">
        <f t="shared" si="54"/>
        <v>8</v>
      </c>
      <c r="Y36" s="22">
        <f t="shared" si="66"/>
        <v>2237.6932069210957</v>
      </c>
      <c r="Z36" s="22">
        <f t="shared" si="67"/>
        <v>2.5625</v>
      </c>
      <c r="AA36" s="22">
        <f t="shared" si="55"/>
        <v>20.5</v>
      </c>
      <c r="AB36" s="1325">
        <f t="shared" si="56"/>
        <v>21</v>
      </c>
      <c r="AC36" s="1328">
        <f t="shared" si="57"/>
        <v>63</v>
      </c>
      <c r="AD36" s="22"/>
      <c r="AG36">
        <f>SUMPRODUCT(AG33:AG35,AF33:AF35)/SUM(AF33:AF35)</f>
        <v>2.625</v>
      </c>
      <c r="AH36">
        <f>SUMPRODUCT(AH33:AH35,AE33:AE35)/SUM(AE33:AE35)</f>
        <v>2.5625</v>
      </c>
      <c r="AI36" s="130"/>
      <c r="AJ36" s="907">
        <f>SUMPRODUCT(AJ33:AJ35,AF33:AF35)/SUM(AF33:AF35)</f>
        <v>204</v>
      </c>
      <c r="AK36" s="130"/>
      <c r="AL36" s="130"/>
      <c r="AM36" s="907"/>
      <c r="AN36" s="614"/>
      <c r="AO36" s="614"/>
      <c r="AP36" s="614"/>
      <c r="AQ36" s="614"/>
      <c r="AR36" s="614"/>
      <c r="AS36" s="614"/>
      <c r="AU36" s="210" t="s">
        <v>122</v>
      </c>
      <c r="AV36" s="368">
        <v>3</v>
      </c>
      <c r="AW36" s="368">
        <v>3</v>
      </c>
      <c r="AY36" s="395">
        <v>3</v>
      </c>
      <c r="AZ36" s="395">
        <v>3</v>
      </c>
      <c r="BA36" s="395">
        <v>3</v>
      </c>
      <c r="BB36" s="395">
        <v>3</v>
      </c>
      <c r="BC36" s="395">
        <v>3</v>
      </c>
      <c r="BD36" s="395">
        <v>3</v>
      </c>
      <c r="BE36" s="395">
        <v>3</v>
      </c>
      <c r="BF36" s="395">
        <v>3</v>
      </c>
      <c r="BG36" s="395">
        <v>3</v>
      </c>
      <c r="BH36" s="395">
        <v>3</v>
      </c>
      <c r="BI36" s="395">
        <v>3</v>
      </c>
      <c r="BJ36" s="395">
        <v>3</v>
      </c>
      <c r="BK36" s="395">
        <v>3</v>
      </c>
    </row>
    <row r="37" spans="1:80">
      <c r="A37" s="32" t="s">
        <v>19</v>
      </c>
      <c r="B37" s="4" t="s">
        <v>19</v>
      </c>
      <c r="C37" s="5">
        <v>46235</v>
      </c>
      <c r="D37" s="967">
        <f>'YN01'!$J$74</f>
        <v>546.20058215434074</v>
      </c>
      <c r="E37" s="1309">
        <f>'YN01'!$E$74</f>
        <v>284.63751352624445</v>
      </c>
      <c r="F37" s="33">
        <v>1296</v>
      </c>
      <c r="G37" s="34">
        <f>'YN01'!$H$64</f>
        <v>0.94957983193277307</v>
      </c>
      <c r="H37" s="8">
        <f>'YN01'!$I$64</f>
        <v>0.96</v>
      </c>
      <c r="I37" s="841">
        <f t="shared" si="49"/>
        <v>29388.132885879077</v>
      </c>
      <c r="J37" s="10">
        <f>(BP!I105+BP!I106)/DAY(EOMONTH(C37,0))</f>
        <v>43144.011319133242</v>
      </c>
      <c r="K37" s="612"/>
      <c r="L37" s="35">
        <f t="shared" si="50"/>
        <v>1.4680759572808326</v>
      </c>
      <c r="M37" s="12">
        <f t="shared" si="51"/>
        <v>1296</v>
      </c>
      <c r="N37" s="29">
        <f t="shared" si="59"/>
        <v>1296</v>
      </c>
      <c r="O37" s="29">
        <f t="shared" si="60"/>
        <v>1296</v>
      </c>
      <c r="P37" s="30">
        <f>'Manpower Allocation'!$S$30</f>
        <v>20.5</v>
      </c>
      <c r="Q37" s="30">
        <f t="shared" si="61"/>
        <v>61.5</v>
      </c>
      <c r="R37" s="30">
        <f t="shared" si="62"/>
        <v>62</v>
      </c>
      <c r="S37" s="30">
        <f>'Manpower Allocation'!$D$28</f>
        <v>22</v>
      </c>
      <c r="T37" s="30">
        <f t="shared" si="52"/>
        <v>84</v>
      </c>
      <c r="U37" s="1327">
        <f t="shared" si="63"/>
        <v>3673.5166107348846</v>
      </c>
      <c r="V37" s="22">
        <f t="shared" si="64"/>
        <v>8</v>
      </c>
      <c r="W37" s="22">
        <f t="shared" si="65"/>
        <v>1632</v>
      </c>
      <c r="X37" s="21">
        <f t="shared" si="54"/>
        <v>8</v>
      </c>
      <c r="Y37" s="22">
        <f t="shared" si="66"/>
        <v>2395.8999622823189</v>
      </c>
      <c r="Z37" s="22">
        <f t="shared" si="67"/>
        <v>2.5625</v>
      </c>
      <c r="AA37" s="22">
        <f t="shared" si="55"/>
        <v>20.5</v>
      </c>
      <c r="AB37" s="1325">
        <f t="shared" si="56"/>
        <v>21</v>
      </c>
      <c r="AC37" s="1328">
        <f t="shared" si="57"/>
        <v>63</v>
      </c>
      <c r="AD37" s="22"/>
      <c r="AE37" s="130"/>
      <c r="AF37" s="1336"/>
      <c r="AG37" s="130"/>
      <c r="AH37" s="130"/>
      <c r="AI37" s="130"/>
      <c r="AJ37" s="907">
        <f>AJ36/AH36</f>
        <v>79.609756097560975</v>
      </c>
      <c r="AK37" s="130"/>
      <c r="AL37" s="130"/>
      <c r="AM37" s="907"/>
      <c r="AN37" s="614"/>
      <c r="AO37" s="614"/>
      <c r="AP37" s="614"/>
      <c r="AQ37" s="614"/>
      <c r="AR37" s="614"/>
      <c r="AS37" s="614"/>
      <c r="AU37" s="210" t="s">
        <v>121</v>
      </c>
      <c r="AV37" s="368">
        <v>3</v>
      </c>
      <c r="AW37" s="368">
        <v>3</v>
      </c>
      <c r="AY37" s="395">
        <v>3</v>
      </c>
      <c r="AZ37" s="395">
        <v>3</v>
      </c>
      <c r="BA37" s="395">
        <v>3</v>
      </c>
      <c r="BB37" s="395">
        <v>3</v>
      </c>
      <c r="BC37" s="395">
        <v>3</v>
      </c>
      <c r="BD37" s="395">
        <v>3</v>
      </c>
      <c r="BE37" s="395">
        <v>3</v>
      </c>
      <c r="BF37" s="395">
        <v>3</v>
      </c>
      <c r="BG37" s="395">
        <v>3</v>
      </c>
      <c r="BH37" s="395">
        <v>3</v>
      </c>
      <c r="BI37" s="395">
        <v>3</v>
      </c>
      <c r="BJ37" s="395">
        <v>3</v>
      </c>
      <c r="BK37" s="395">
        <v>3</v>
      </c>
    </row>
    <row r="38" spans="1:80">
      <c r="A38" s="32" t="s">
        <v>19</v>
      </c>
      <c r="B38" s="4" t="s">
        <v>19</v>
      </c>
      <c r="C38" s="5">
        <v>46266</v>
      </c>
      <c r="D38" s="967">
        <f>'YN01'!$J$74</f>
        <v>546.20058215434074</v>
      </c>
      <c r="E38" s="1309">
        <f>'YN01'!$E$74</f>
        <v>284.63751352624445</v>
      </c>
      <c r="F38" s="33">
        <v>1296</v>
      </c>
      <c r="G38" s="34">
        <f>'YN01'!$H$64</f>
        <v>0.94957983193277307</v>
      </c>
      <c r="H38" s="8">
        <f>'YN01'!$I$64</f>
        <v>0.96</v>
      </c>
      <c r="I38" s="841">
        <f t="shared" si="49"/>
        <v>29388.132885879077</v>
      </c>
      <c r="J38" s="10">
        <f>(BP!J105+BP!J106)/DAY(EOMONTH(C38,0))</f>
        <v>38015.305778484471</v>
      </c>
      <c r="K38" s="612"/>
      <c r="L38" s="35">
        <f t="shared" si="50"/>
        <v>1.2935597482870622</v>
      </c>
      <c r="M38" s="12">
        <f t="shared" si="51"/>
        <v>1296</v>
      </c>
      <c r="N38" s="29">
        <f t="shared" si="59"/>
        <v>1296</v>
      </c>
      <c r="O38" s="29">
        <f t="shared" si="60"/>
        <v>1296</v>
      </c>
      <c r="P38" s="30">
        <f>'Manpower Allocation'!$S$30</f>
        <v>20.5</v>
      </c>
      <c r="Q38" s="36">
        <f t="shared" si="61"/>
        <v>61.5</v>
      </c>
      <c r="R38" s="30">
        <f>ROUNDUP(Q38,0)</f>
        <v>62</v>
      </c>
      <c r="S38" s="30">
        <f>'Manpower Allocation'!$D$28</f>
        <v>22</v>
      </c>
      <c r="T38" s="30">
        <f t="shared" si="52"/>
        <v>84</v>
      </c>
      <c r="U38" s="1327">
        <f t="shared" si="63"/>
        <v>3673.5166107348846</v>
      </c>
      <c r="V38" s="22">
        <f t="shared" si="64"/>
        <v>8</v>
      </c>
      <c r="W38" s="22">
        <f t="shared" si="65"/>
        <v>1632</v>
      </c>
      <c r="X38" s="21">
        <f t="shared" si="54"/>
        <v>8</v>
      </c>
      <c r="Y38" s="22">
        <f t="shared" si="66"/>
        <v>2111.0895092044857</v>
      </c>
      <c r="Z38" s="22">
        <f t="shared" si="67"/>
        <v>2.5625</v>
      </c>
      <c r="AA38" s="22">
        <f t="shared" si="55"/>
        <v>20.5</v>
      </c>
      <c r="AB38" s="1325">
        <f t="shared" si="56"/>
        <v>21</v>
      </c>
      <c r="AC38" s="1328">
        <f t="shared" si="57"/>
        <v>63</v>
      </c>
      <c r="AD38" s="22"/>
      <c r="AE38" s="130"/>
      <c r="AF38" s="1336"/>
      <c r="AG38" s="130"/>
      <c r="AH38" s="130"/>
      <c r="AI38" s="130"/>
      <c r="AJ38" s="130"/>
      <c r="AK38" s="130"/>
      <c r="AL38" s="130"/>
      <c r="AM38" s="907"/>
      <c r="AN38" s="614"/>
      <c r="AO38" s="614"/>
      <c r="AP38" s="614"/>
      <c r="AQ38" s="614"/>
      <c r="AR38" s="614"/>
      <c r="AS38" s="614"/>
      <c r="AT38" t="s">
        <v>1039</v>
      </c>
      <c r="AU38" s="210" t="s">
        <v>144</v>
      </c>
      <c r="AV38" s="368">
        <v>3</v>
      </c>
      <c r="AW38" s="368">
        <v>3</v>
      </c>
      <c r="AY38" s="395">
        <v>3</v>
      </c>
      <c r="AZ38" s="395">
        <v>3</v>
      </c>
      <c r="BA38" s="395">
        <v>3</v>
      </c>
      <c r="BB38" s="395">
        <v>3</v>
      </c>
      <c r="BC38" s="395">
        <v>3</v>
      </c>
      <c r="BD38" s="395">
        <v>3</v>
      </c>
      <c r="BE38" s="395">
        <v>3</v>
      </c>
      <c r="BF38" s="395">
        <v>3</v>
      </c>
      <c r="BG38" s="395">
        <v>3</v>
      </c>
      <c r="BH38" s="395">
        <v>3</v>
      </c>
      <c r="BI38" s="395">
        <v>3</v>
      </c>
      <c r="BJ38" s="395">
        <v>3</v>
      </c>
      <c r="BK38" s="395">
        <v>3</v>
      </c>
    </row>
    <row r="39" spans="1:80">
      <c r="A39" s="32" t="s">
        <v>19</v>
      </c>
      <c r="B39" s="4" t="s">
        <v>19</v>
      </c>
      <c r="C39" s="5">
        <v>46296</v>
      </c>
      <c r="D39" s="967">
        <f>'YN01'!$J$74</f>
        <v>546.20058215434074</v>
      </c>
      <c r="E39" s="1309">
        <f>'YN01'!$E$74</f>
        <v>284.63751352624445</v>
      </c>
      <c r="F39" s="33">
        <v>1296</v>
      </c>
      <c r="G39" s="34">
        <f>'YN01'!$H$64</f>
        <v>0.94957983193277307</v>
      </c>
      <c r="H39" s="8">
        <f>'YN01'!$I$64</f>
        <v>0.96</v>
      </c>
      <c r="I39" s="841">
        <f t="shared" si="49"/>
        <v>29388.132885879077</v>
      </c>
      <c r="J39" s="10">
        <f>(BP!K105+BP!K106)/DAY(EOMONTH(C39,0))</f>
        <v>37561.645598046605</v>
      </c>
      <c r="K39" s="612"/>
      <c r="L39" s="35">
        <f t="shared" si="50"/>
        <v>1.278122898923425</v>
      </c>
      <c r="M39" s="12">
        <f t="shared" si="51"/>
        <v>1296</v>
      </c>
      <c r="N39" s="29">
        <f t="shared" si="59"/>
        <v>1296</v>
      </c>
      <c r="O39" s="29">
        <f t="shared" si="60"/>
        <v>1296</v>
      </c>
      <c r="P39" s="30">
        <f>'Manpower Allocation'!$S$30</f>
        <v>20.5</v>
      </c>
      <c r="Q39" s="36">
        <f t="shared" si="61"/>
        <v>61.5</v>
      </c>
      <c r="R39" s="30">
        <f t="shared" si="62"/>
        <v>62</v>
      </c>
      <c r="S39" s="30">
        <f>'Manpower Allocation'!$D$28</f>
        <v>22</v>
      </c>
      <c r="T39" s="30">
        <f t="shared" si="52"/>
        <v>84</v>
      </c>
      <c r="U39" s="1327">
        <f t="shared" si="63"/>
        <v>3673.5166107348846</v>
      </c>
      <c r="V39" s="22">
        <f t="shared" si="64"/>
        <v>8</v>
      </c>
      <c r="W39" s="22">
        <f t="shared" si="65"/>
        <v>1632</v>
      </c>
      <c r="X39" s="21">
        <f t="shared" si="54"/>
        <v>8</v>
      </c>
      <c r="Y39" s="22">
        <f t="shared" si="66"/>
        <v>2085.8965710430298</v>
      </c>
      <c r="Z39" s="22">
        <f t="shared" si="67"/>
        <v>2.5625</v>
      </c>
      <c r="AA39" s="22">
        <f t="shared" si="55"/>
        <v>20.5</v>
      </c>
      <c r="AB39" s="1325">
        <f t="shared" si="56"/>
        <v>21</v>
      </c>
      <c r="AC39" s="1328">
        <f t="shared" si="57"/>
        <v>63</v>
      </c>
      <c r="AD39" s="22"/>
      <c r="AE39" s="130"/>
      <c r="AF39" s="1336"/>
      <c r="AG39" s="130"/>
      <c r="AH39" s="130"/>
      <c r="AI39" s="130"/>
      <c r="AJ39" s="130"/>
      <c r="AK39" s="130"/>
      <c r="AL39" s="130"/>
      <c r="AM39" s="907"/>
      <c r="AN39" s="614"/>
      <c r="AO39" s="614"/>
      <c r="AP39" s="614"/>
      <c r="AQ39" s="614"/>
      <c r="AR39" s="614"/>
      <c r="AS39" s="614"/>
      <c r="AU39" s="210" t="s">
        <v>145</v>
      </c>
      <c r="AV39" s="368">
        <v>3</v>
      </c>
      <c r="AW39" s="368">
        <v>1</v>
      </c>
      <c r="AX39" t="s">
        <v>682</v>
      </c>
      <c r="AY39" s="395">
        <v>1</v>
      </c>
      <c r="AZ39" s="395">
        <v>1</v>
      </c>
      <c r="BA39" s="395">
        <v>1</v>
      </c>
      <c r="BB39" s="395">
        <v>1</v>
      </c>
      <c r="BC39" s="395">
        <v>1</v>
      </c>
      <c r="BD39" s="395">
        <v>1</v>
      </c>
      <c r="BE39" s="395">
        <v>1</v>
      </c>
      <c r="BF39" s="395">
        <v>1</v>
      </c>
      <c r="BG39" s="395">
        <v>1</v>
      </c>
      <c r="BH39" s="395">
        <v>1</v>
      </c>
      <c r="BI39" s="395">
        <v>1</v>
      </c>
      <c r="BJ39" s="395">
        <v>1</v>
      </c>
      <c r="BK39" s="395">
        <v>1</v>
      </c>
    </row>
    <row r="40" spans="1:80">
      <c r="A40" s="32" t="s">
        <v>19</v>
      </c>
      <c r="B40" s="4" t="s">
        <v>19</v>
      </c>
      <c r="C40" s="5">
        <v>46327</v>
      </c>
      <c r="D40" s="967">
        <f>'YN01'!$J$74</f>
        <v>546.20058215434074</v>
      </c>
      <c r="E40" s="1309">
        <f>'YN01'!$E$74</f>
        <v>284.63751352624445</v>
      </c>
      <c r="F40" s="33">
        <v>1296</v>
      </c>
      <c r="G40" s="34">
        <f>'YN01'!$H$64</f>
        <v>0.94957983193277307</v>
      </c>
      <c r="H40" s="8">
        <f>'YN01'!$I$64</f>
        <v>0.96</v>
      </c>
      <c r="I40" s="841">
        <f t="shared" si="49"/>
        <v>29388.132885879077</v>
      </c>
      <c r="J40" s="10">
        <f>(BP!L105+BP!L106)/DAY(EOMONTH(C40,0))</f>
        <v>34406.076681617313</v>
      </c>
      <c r="K40" s="612"/>
      <c r="L40" s="35">
        <f t="shared" si="50"/>
        <v>1.1707472814017847</v>
      </c>
      <c r="M40" s="12">
        <f t="shared" si="51"/>
        <v>1296</v>
      </c>
      <c r="N40" s="29">
        <f t="shared" si="59"/>
        <v>1296</v>
      </c>
      <c r="O40" s="29">
        <f t="shared" si="60"/>
        <v>1296</v>
      </c>
      <c r="P40" s="30">
        <f>'Manpower Allocation'!$S$30</f>
        <v>20.5</v>
      </c>
      <c r="Q40" s="36">
        <f t="shared" si="61"/>
        <v>61.5</v>
      </c>
      <c r="R40" s="30">
        <f t="shared" si="62"/>
        <v>62</v>
      </c>
      <c r="S40" s="30">
        <f>'Manpower Allocation'!$D$28</f>
        <v>22</v>
      </c>
      <c r="T40" s="30">
        <f t="shared" si="52"/>
        <v>84</v>
      </c>
      <c r="U40" s="1327">
        <f t="shared" si="63"/>
        <v>3673.5166107348846</v>
      </c>
      <c r="V40" s="22">
        <f t="shared" si="64"/>
        <v>8</v>
      </c>
      <c r="W40" s="22">
        <f t="shared" si="65"/>
        <v>1632</v>
      </c>
      <c r="X40" s="21">
        <f t="shared" si="54"/>
        <v>8</v>
      </c>
      <c r="Y40" s="22">
        <f t="shared" si="66"/>
        <v>1910.6595632477126</v>
      </c>
      <c r="Z40" s="22">
        <f t="shared" si="67"/>
        <v>2.5625</v>
      </c>
      <c r="AA40" s="22">
        <f t="shared" si="55"/>
        <v>20.5</v>
      </c>
      <c r="AB40" s="1325">
        <f t="shared" si="56"/>
        <v>21</v>
      </c>
      <c r="AC40" s="1328">
        <f t="shared" si="57"/>
        <v>63</v>
      </c>
      <c r="AD40" s="22"/>
      <c r="AE40" s="22"/>
      <c r="AF40" s="1325"/>
      <c r="AG40" s="22"/>
      <c r="AH40" s="22"/>
      <c r="AI40" s="22"/>
      <c r="AJ40" s="130"/>
      <c r="AK40" s="130"/>
      <c r="AL40" s="130"/>
      <c r="AM40" s="907"/>
      <c r="AN40" s="614"/>
      <c r="AO40" s="614"/>
      <c r="AP40" s="614"/>
      <c r="AQ40" s="614"/>
      <c r="AR40" s="614"/>
      <c r="AS40" s="614"/>
      <c r="AU40" s="210" t="s">
        <v>146</v>
      </c>
      <c r="AV40" s="368">
        <v>3</v>
      </c>
      <c r="AW40" s="368">
        <v>3</v>
      </c>
      <c r="AY40" s="395">
        <v>3</v>
      </c>
      <c r="AZ40" s="395">
        <v>3</v>
      </c>
      <c r="BA40" s="395">
        <v>3</v>
      </c>
      <c r="BB40" s="395">
        <v>3</v>
      </c>
      <c r="BC40" s="395">
        <v>3</v>
      </c>
      <c r="BD40" s="395">
        <v>3</v>
      </c>
      <c r="BE40" s="395">
        <v>3</v>
      </c>
      <c r="BF40" s="395">
        <v>3</v>
      </c>
      <c r="BG40" s="395">
        <v>3</v>
      </c>
      <c r="BH40" s="395">
        <v>3</v>
      </c>
      <c r="BI40" s="395">
        <v>3</v>
      </c>
      <c r="BJ40" s="395">
        <v>3</v>
      </c>
      <c r="BK40" s="395">
        <v>3</v>
      </c>
    </row>
    <row r="41" spans="1:80">
      <c r="A41" s="32" t="s">
        <v>19</v>
      </c>
      <c r="B41" s="4" t="s">
        <v>19</v>
      </c>
      <c r="C41" s="5">
        <v>46357</v>
      </c>
      <c r="D41" s="967">
        <f>'YN01'!$J$74</f>
        <v>546.20058215434074</v>
      </c>
      <c r="E41" s="1309">
        <f>'YN01'!$E$74</f>
        <v>284.63751352624445</v>
      </c>
      <c r="F41" s="33">
        <v>1296</v>
      </c>
      <c r="G41" s="34">
        <f>'YN01'!$H$64</f>
        <v>0.94957983193277307</v>
      </c>
      <c r="H41" s="8">
        <f>'YN01'!$I$64</f>
        <v>0.96</v>
      </c>
      <c r="I41" s="841">
        <f t="shared" si="49"/>
        <v>29388.132885879077</v>
      </c>
      <c r="J41" s="10">
        <f>(BP!M105+BP!M106)/DAY(EOMONTH(C41,0))</f>
        <v>33689.358524434516</v>
      </c>
      <c r="K41" s="612"/>
      <c r="L41" s="35">
        <f t="shared" si="50"/>
        <v>1.1463592687312969</v>
      </c>
      <c r="M41" s="12">
        <f t="shared" si="51"/>
        <v>1296</v>
      </c>
      <c r="N41" s="29">
        <f t="shared" si="59"/>
        <v>1296</v>
      </c>
      <c r="O41" s="29">
        <f t="shared" si="60"/>
        <v>1296</v>
      </c>
      <c r="P41" s="30">
        <f>'Manpower Allocation'!$S$30</f>
        <v>20.5</v>
      </c>
      <c r="Q41" s="30">
        <f t="shared" si="61"/>
        <v>61.5</v>
      </c>
      <c r="R41" s="30">
        <f t="shared" si="62"/>
        <v>62</v>
      </c>
      <c r="S41" s="30">
        <f>'Manpower Allocation'!$D$28</f>
        <v>22</v>
      </c>
      <c r="T41" s="30">
        <f t="shared" si="52"/>
        <v>84</v>
      </c>
      <c r="U41" s="1327">
        <f t="shared" si="63"/>
        <v>3673.5166107348846</v>
      </c>
      <c r="V41" s="22">
        <f t="shared" si="64"/>
        <v>8</v>
      </c>
      <c r="W41" s="22">
        <f t="shared" si="65"/>
        <v>1632</v>
      </c>
      <c r="X41" s="21">
        <f t="shared" si="54"/>
        <v>8</v>
      </c>
      <c r="Y41" s="22">
        <f t="shared" si="66"/>
        <v>1870.8583265694765</v>
      </c>
      <c r="Z41" s="22">
        <f t="shared" si="67"/>
        <v>2.5625</v>
      </c>
      <c r="AA41" s="22">
        <f t="shared" si="55"/>
        <v>20.5</v>
      </c>
      <c r="AB41" s="1325">
        <f t="shared" si="56"/>
        <v>21</v>
      </c>
      <c r="AC41" s="1328">
        <f t="shared" si="57"/>
        <v>63</v>
      </c>
      <c r="AD41" s="22"/>
      <c r="AE41" s="22"/>
      <c r="AF41" s="1325"/>
      <c r="AG41" s="22"/>
      <c r="AH41" s="22"/>
      <c r="AI41" s="22"/>
      <c r="AJ41" s="130"/>
      <c r="AK41" s="130"/>
      <c r="AL41" s="130"/>
      <c r="AM41" s="907"/>
      <c r="AN41" s="614"/>
      <c r="AO41" s="614"/>
      <c r="AP41" s="614"/>
      <c r="AQ41" s="614"/>
      <c r="AR41" s="614"/>
      <c r="AS41" s="614"/>
      <c r="AU41" s="133" t="s">
        <v>561</v>
      </c>
      <c r="AV41" s="328">
        <f>SUM(AV33:AV40)</f>
        <v>91.5</v>
      </c>
      <c r="AW41" s="33">
        <f>SUM(AW33:AW40)</f>
        <v>82</v>
      </c>
      <c r="AY41" s="33">
        <f t="shared" ref="AY41:BK41" si="68">SUM(AY33:AY40)</f>
        <v>82</v>
      </c>
      <c r="AZ41" s="33">
        <f t="shared" si="68"/>
        <v>82</v>
      </c>
      <c r="BA41" s="33">
        <f t="shared" si="68"/>
        <v>82</v>
      </c>
      <c r="BB41" s="33">
        <f t="shared" si="68"/>
        <v>82</v>
      </c>
      <c r="BC41" s="33">
        <f t="shared" si="68"/>
        <v>82</v>
      </c>
      <c r="BD41" s="33">
        <f t="shared" si="68"/>
        <v>82</v>
      </c>
      <c r="BE41" s="33">
        <f t="shared" si="68"/>
        <v>82</v>
      </c>
      <c r="BF41" s="33">
        <f t="shared" si="68"/>
        <v>82</v>
      </c>
      <c r="BG41" s="33">
        <f t="shared" si="68"/>
        <v>82</v>
      </c>
      <c r="BH41" s="33">
        <f t="shared" si="68"/>
        <v>82</v>
      </c>
      <c r="BI41" s="33">
        <f t="shared" si="68"/>
        <v>82</v>
      </c>
      <c r="BJ41" s="33">
        <f t="shared" si="68"/>
        <v>82</v>
      </c>
      <c r="BK41" s="33">
        <f t="shared" si="68"/>
        <v>67</v>
      </c>
    </row>
    <row r="42" spans="1:80">
      <c r="A42" s="32" t="s">
        <v>19</v>
      </c>
      <c r="B42" s="4" t="s">
        <v>19</v>
      </c>
      <c r="C42" s="5">
        <v>46388</v>
      </c>
      <c r="D42" s="967">
        <f>'YN01'!$J$74</f>
        <v>546.20058215434074</v>
      </c>
      <c r="E42" s="1309">
        <f>'YN01'!$E$74</f>
        <v>284.63751352624445</v>
      </c>
      <c r="F42" s="33">
        <v>1296</v>
      </c>
      <c r="G42" s="34">
        <f>'YN01'!$H$64</f>
        <v>0.94957983193277307</v>
      </c>
      <c r="H42" s="8">
        <f>'YN01'!$I$64</f>
        <v>0.96</v>
      </c>
      <c r="I42" s="841">
        <f t="shared" si="49"/>
        <v>29388.132885879077</v>
      </c>
      <c r="J42" s="10">
        <f>(BP!N105+BP!N106)/DAY(EOMONTH(C42,0))</f>
        <v>33726.015686628838</v>
      </c>
      <c r="K42" s="612"/>
      <c r="L42" s="35">
        <f t="shared" si="50"/>
        <v>1.1476066144655996</v>
      </c>
      <c r="M42" s="12">
        <f t="shared" si="51"/>
        <v>1296</v>
      </c>
      <c r="N42" s="29">
        <f t="shared" si="59"/>
        <v>1296</v>
      </c>
      <c r="O42" s="29">
        <f t="shared" si="60"/>
        <v>1296</v>
      </c>
      <c r="P42" s="30">
        <f>'Manpower Allocation'!$S$30</f>
        <v>20.5</v>
      </c>
      <c r="Q42" s="30">
        <f t="shared" si="61"/>
        <v>61.5</v>
      </c>
      <c r="R42" s="30">
        <f t="shared" si="62"/>
        <v>62</v>
      </c>
      <c r="S42" s="30">
        <f>'Manpower Allocation'!$D$28</f>
        <v>22</v>
      </c>
      <c r="T42" s="30">
        <f t="shared" si="52"/>
        <v>84</v>
      </c>
      <c r="U42" s="1327">
        <f t="shared" si="63"/>
        <v>3673.5166107348846</v>
      </c>
      <c r="V42" s="22">
        <f t="shared" si="64"/>
        <v>8</v>
      </c>
      <c r="W42" s="22">
        <f t="shared" si="65"/>
        <v>1632</v>
      </c>
      <c r="X42" s="21">
        <f t="shared" si="54"/>
        <v>8</v>
      </c>
      <c r="Y42" s="22">
        <f t="shared" si="66"/>
        <v>1872.8939948078587</v>
      </c>
      <c r="Z42" s="22">
        <f t="shared" si="67"/>
        <v>2.5625</v>
      </c>
      <c r="AA42" s="22">
        <f t="shared" si="55"/>
        <v>20.5</v>
      </c>
      <c r="AB42" s="1325">
        <f t="shared" si="56"/>
        <v>21</v>
      </c>
      <c r="AC42" s="1328">
        <f t="shared" si="57"/>
        <v>63</v>
      </c>
      <c r="AD42" s="22"/>
      <c r="AE42" s="22"/>
      <c r="AF42" s="1325"/>
      <c r="AG42" s="22"/>
      <c r="AH42" s="22"/>
      <c r="AI42" s="22"/>
      <c r="AJ42" s="130"/>
      <c r="AK42" s="130"/>
      <c r="AL42" s="130"/>
      <c r="AM42" s="907"/>
      <c r="AN42" s="614"/>
      <c r="AO42" s="614"/>
      <c r="AP42" s="614"/>
      <c r="AQ42" s="614"/>
      <c r="AR42" s="614"/>
      <c r="AS42" s="614"/>
    </row>
    <row r="43" spans="1:80">
      <c r="A43" s="32" t="s">
        <v>19</v>
      </c>
      <c r="B43" s="4" t="s">
        <v>19</v>
      </c>
      <c r="C43" s="5">
        <v>46419</v>
      </c>
      <c r="D43" s="967">
        <f>'YN01'!$J$74</f>
        <v>546.20058215434074</v>
      </c>
      <c r="E43" s="1309">
        <f>'YN01'!$E$74</f>
        <v>284.63751352624445</v>
      </c>
      <c r="F43" s="33">
        <v>1296</v>
      </c>
      <c r="G43" s="34">
        <f>'YN01'!$H$64</f>
        <v>0.94957983193277307</v>
      </c>
      <c r="H43" s="8">
        <f>'YN01'!$I$64</f>
        <v>0.96</v>
      </c>
      <c r="I43" s="841">
        <f t="shared" si="49"/>
        <v>29388.132885879077</v>
      </c>
      <c r="J43" s="10">
        <f>(BP!O105+BP!O106)/DAY(EOMONTH(C43,0))</f>
        <v>35663.593584933507</v>
      </c>
      <c r="K43" s="612"/>
      <c r="L43" s="35">
        <f t="shared" si="50"/>
        <v>1.2135372370685642</v>
      </c>
      <c r="M43" s="12">
        <f t="shared" si="51"/>
        <v>1296</v>
      </c>
      <c r="N43" s="29">
        <f t="shared" si="59"/>
        <v>1296</v>
      </c>
      <c r="O43" s="29">
        <f t="shared" si="60"/>
        <v>1296</v>
      </c>
      <c r="P43" s="30">
        <f>'Manpower Allocation'!$S$30</f>
        <v>20.5</v>
      </c>
      <c r="Q43" s="30">
        <f t="shared" si="61"/>
        <v>61.5</v>
      </c>
      <c r="R43" s="30">
        <f t="shared" si="62"/>
        <v>62</v>
      </c>
      <c r="S43" s="30">
        <f>'Manpower Allocation'!$D$28</f>
        <v>22</v>
      </c>
      <c r="T43" s="30">
        <f t="shared" si="52"/>
        <v>84</v>
      </c>
      <c r="U43" s="1327">
        <f t="shared" si="63"/>
        <v>3673.5166107348846</v>
      </c>
      <c r="V43" s="22">
        <f t="shared" si="64"/>
        <v>8</v>
      </c>
      <c r="W43" s="22">
        <f t="shared" si="65"/>
        <v>1632</v>
      </c>
      <c r="X43" s="21">
        <f t="shared" si="54"/>
        <v>8</v>
      </c>
      <c r="Y43" s="22">
        <f t="shared" si="66"/>
        <v>1980.4927708958967</v>
      </c>
      <c r="Z43" s="22">
        <f t="shared" si="67"/>
        <v>2.5625</v>
      </c>
      <c r="AA43" s="22">
        <f t="shared" si="55"/>
        <v>20.5</v>
      </c>
      <c r="AB43" s="1325">
        <f t="shared" si="56"/>
        <v>21</v>
      </c>
      <c r="AC43" s="1328">
        <f t="shared" si="57"/>
        <v>63</v>
      </c>
      <c r="AD43" s="22"/>
      <c r="AE43" s="22"/>
      <c r="AF43" s="1325"/>
      <c r="AG43" s="22"/>
      <c r="AH43" s="22"/>
      <c r="AI43" s="22"/>
      <c r="AJ43" s="130"/>
      <c r="AK43" s="130"/>
      <c r="AL43" s="130"/>
      <c r="AM43" s="907"/>
      <c r="AN43" s="614"/>
      <c r="AO43" s="614"/>
      <c r="AP43" s="614"/>
      <c r="AQ43" s="614"/>
      <c r="AR43" s="614"/>
      <c r="AS43" s="614"/>
    </row>
    <row r="44" spans="1:80">
      <c r="A44" s="32" t="s">
        <v>19</v>
      </c>
      <c r="B44" s="4" t="s">
        <v>19</v>
      </c>
      <c r="C44" s="5">
        <v>46447</v>
      </c>
      <c r="D44" s="967">
        <f>'YN01'!$J$74</f>
        <v>546.20058215434074</v>
      </c>
      <c r="E44" s="1309">
        <f>'YN01'!$E$74</f>
        <v>284.63751352624445</v>
      </c>
      <c r="F44" s="33">
        <v>1296</v>
      </c>
      <c r="G44" s="34">
        <f>'YN01'!$H$64</f>
        <v>0.94957983193277307</v>
      </c>
      <c r="H44" s="8">
        <f>'YN01'!$I$64</f>
        <v>0.96</v>
      </c>
      <c r="I44" s="841">
        <f t="shared" si="49"/>
        <v>29388.132885879077</v>
      </c>
      <c r="J44" s="10">
        <f>(BP!P105+BP!P106)/DAY(EOMONTH(C44,0))</f>
        <v>29814.290416036336</v>
      </c>
      <c r="K44" s="612"/>
      <c r="L44" s="35">
        <f t="shared" si="50"/>
        <v>1.0145010073219733</v>
      </c>
      <c r="M44" s="12">
        <f t="shared" si="51"/>
        <v>1296</v>
      </c>
      <c r="N44" s="29">
        <f t="shared" si="59"/>
        <v>1296</v>
      </c>
      <c r="O44" s="29">
        <f t="shared" si="60"/>
        <v>1296</v>
      </c>
      <c r="P44" s="30">
        <f>'Manpower Allocation'!$S$30</f>
        <v>20.5</v>
      </c>
      <c r="Q44" s="30">
        <f t="shared" si="61"/>
        <v>61.5</v>
      </c>
      <c r="R44" s="30">
        <f t="shared" si="62"/>
        <v>62</v>
      </c>
      <c r="S44" s="30">
        <f>'Manpower Allocation'!$D$28</f>
        <v>22</v>
      </c>
      <c r="T44" s="30">
        <f t="shared" si="52"/>
        <v>84</v>
      </c>
      <c r="U44" s="1327">
        <f t="shared" si="63"/>
        <v>3673.5166107348846</v>
      </c>
      <c r="V44" s="22">
        <f t="shared" si="64"/>
        <v>8</v>
      </c>
      <c r="W44" s="22">
        <f t="shared" si="65"/>
        <v>1632</v>
      </c>
      <c r="X44" s="21">
        <f t="shared" si="54"/>
        <v>8</v>
      </c>
      <c r="Y44" s="22">
        <f t="shared" si="66"/>
        <v>1655.6656439494604</v>
      </c>
      <c r="Z44" s="22">
        <f t="shared" si="67"/>
        <v>2.5625</v>
      </c>
      <c r="AA44" s="22">
        <f t="shared" si="55"/>
        <v>20.5</v>
      </c>
      <c r="AB44" s="1325">
        <f t="shared" si="56"/>
        <v>21</v>
      </c>
      <c r="AC44" s="1328">
        <f t="shared" si="57"/>
        <v>63</v>
      </c>
      <c r="AD44" s="22"/>
      <c r="AE44" s="22"/>
      <c r="AF44" s="1325"/>
      <c r="AG44" s="22"/>
      <c r="AH44" s="22"/>
      <c r="AI44" s="22"/>
      <c r="AJ44" s="130"/>
      <c r="AK44" s="130"/>
      <c r="AL44" s="130"/>
      <c r="AM44" s="907"/>
      <c r="AN44" s="614"/>
      <c r="AO44" s="614"/>
      <c r="AP44" s="614"/>
      <c r="AQ44" s="614"/>
      <c r="AR44" s="614"/>
      <c r="AS44" s="614"/>
    </row>
    <row r="45" spans="1:80">
      <c r="A45" s="32"/>
      <c r="B45" s="395"/>
      <c r="C45" s="5"/>
      <c r="D45" s="328"/>
      <c r="E45" s="33"/>
      <c r="F45" s="33"/>
      <c r="G45" s="34"/>
      <c r="H45" s="8"/>
      <c r="I45" s="9"/>
      <c r="J45" s="10"/>
      <c r="K45" s="612"/>
      <c r="L45" s="35"/>
      <c r="M45" s="12"/>
      <c r="N45" s="29"/>
      <c r="O45" s="29"/>
      <c r="P45" s="30"/>
      <c r="Q45" s="30"/>
      <c r="R45" s="30"/>
      <c r="S45" s="30"/>
      <c r="T45" s="36"/>
      <c r="U45" s="614"/>
      <c r="V45" s="614"/>
      <c r="W45" s="614"/>
      <c r="X45" s="614"/>
      <c r="Y45" s="614"/>
      <c r="Z45" s="614"/>
      <c r="AA45" s="614"/>
      <c r="AB45" s="614"/>
      <c r="AC45" s="614"/>
      <c r="AD45" s="614"/>
      <c r="AE45" s="614"/>
      <c r="AF45" s="1325"/>
      <c r="AG45" s="614"/>
      <c r="AH45" s="614"/>
      <c r="AI45" s="614"/>
      <c r="AJ45" s="907"/>
      <c r="AK45" s="907"/>
      <c r="AL45" s="907"/>
      <c r="AM45" s="907"/>
      <c r="AN45" s="614"/>
      <c r="AO45" s="614"/>
      <c r="AP45" s="614"/>
      <c r="AQ45" s="614"/>
      <c r="AR45" s="614"/>
      <c r="AS45" s="614"/>
    </row>
    <row r="46" spans="1:80">
      <c r="A46" s="617"/>
      <c r="B46" s="15"/>
      <c r="C46" s="611"/>
      <c r="D46" s="616"/>
      <c r="E46" s="145"/>
      <c r="F46" s="145"/>
      <c r="G46" s="618"/>
      <c r="H46" s="17"/>
      <c r="I46" s="18"/>
      <c r="J46" s="612"/>
      <c r="K46" s="612"/>
      <c r="L46" s="20"/>
      <c r="M46" s="21"/>
      <c r="N46" s="21"/>
      <c r="O46" s="21"/>
      <c r="P46" s="22"/>
      <c r="Q46" s="22"/>
      <c r="R46" s="22"/>
      <c r="S46" s="22"/>
      <c r="T46" s="614"/>
      <c r="U46" s="614"/>
      <c r="V46" s="614"/>
      <c r="W46" s="614"/>
      <c r="X46" s="614"/>
      <c r="Y46" s="614"/>
      <c r="Z46" s="614"/>
      <c r="AA46" s="614"/>
      <c r="AB46" s="614"/>
      <c r="AC46" s="614"/>
      <c r="AD46" s="614"/>
      <c r="AE46" s="614"/>
      <c r="AF46" s="1325"/>
      <c r="AG46" s="614"/>
      <c r="AH46" s="614"/>
      <c r="AI46" s="614"/>
      <c r="AJ46" s="907"/>
      <c r="AK46" s="907"/>
      <c r="AL46" s="907"/>
      <c r="AM46" s="907"/>
      <c r="AN46" s="614"/>
      <c r="AO46" s="614"/>
      <c r="AP46" s="614"/>
      <c r="AQ46" s="614"/>
      <c r="AR46" s="614"/>
      <c r="AS46" s="614"/>
    </row>
    <row r="47" spans="1:80">
      <c r="P47">
        <f>AVERAGE(P33:P44)</f>
        <v>20.5</v>
      </c>
    </row>
    <row r="48" spans="1:80" ht="60" customHeight="1">
      <c r="A48" s="1" t="s">
        <v>0</v>
      </c>
      <c r="B48" s="1" t="s">
        <v>1</v>
      </c>
      <c r="C48" s="1" t="s">
        <v>2</v>
      </c>
      <c r="D48" s="799" t="s">
        <v>3</v>
      </c>
      <c r="E48" s="1" t="s">
        <v>4</v>
      </c>
      <c r="F48" s="1" t="s">
        <v>5</v>
      </c>
      <c r="G48" s="1" t="s">
        <v>6</v>
      </c>
      <c r="H48" s="1" t="s">
        <v>7</v>
      </c>
      <c r="I48" s="1" t="s">
        <v>8</v>
      </c>
      <c r="J48" s="1" t="s">
        <v>9</v>
      </c>
      <c r="K48" s="1"/>
      <c r="L48" s="1" t="s">
        <v>10</v>
      </c>
      <c r="M48" s="1" t="s">
        <v>10</v>
      </c>
      <c r="N48" s="1" t="s">
        <v>11</v>
      </c>
      <c r="O48" s="1" t="s">
        <v>11</v>
      </c>
      <c r="P48" s="1" t="s">
        <v>12</v>
      </c>
      <c r="Q48" s="1" t="s">
        <v>13</v>
      </c>
      <c r="R48" s="908" t="s">
        <v>13</v>
      </c>
      <c r="S48" s="1" t="s">
        <v>1251</v>
      </c>
      <c r="T48" s="1" t="s">
        <v>14</v>
      </c>
      <c r="U48" s="851" t="s">
        <v>1561</v>
      </c>
      <c r="V48" s="851" t="s">
        <v>1517</v>
      </c>
      <c r="W48" s="851" t="s">
        <v>1518</v>
      </c>
      <c r="X48" s="851" t="s">
        <v>873</v>
      </c>
      <c r="Y48" s="851" t="s">
        <v>1519</v>
      </c>
      <c r="Z48" s="851" t="s">
        <v>1520</v>
      </c>
      <c r="AA48" s="851" t="s">
        <v>1521</v>
      </c>
      <c r="AB48" s="851" t="s">
        <v>1521</v>
      </c>
      <c r="AC48" s="851" t="s">
        <v>1562</v>
      </c>
      <c r="AD48" s="851" t="s">
        <v>537</v>
      </c>
      <c r="AE48" s="851"/>
      <c r="AF48" s="1337"/>
      <c r="AG48" s="851"/>
      <c r="AH48" s="851"/>
      <c r="AI48" s="851"/>
      <c r="AJ48" s="935"/>
      <c r="AK48" s="935"/>
      <c r="AL48" s="935"/>
      <c r="AM48" s="935"/>
      <c r="AN48" s="851"/>
      <c r="AO48" s="851"/>
      <c r="AP48" s="851"/>
      <c r="AQ48" s="851"/>
      <c r="AR48" s="851"/>
      <c r="AS48" s="851"/>
      <c r="AW48" s="395" t="s">
        <v>521</v>
      </c>
      <c r="AX48" s="395"/>
      <c r="AY48" s="5">
        <v>45748</v>
      </c>
      <c r="AZ48" s="5">
        <v>45778</v>
      </c>
      <c r="BA48" s="5">
        <v>45809</v>
      </c>
      <c r="BB48" s="5">
        <v>45839</v>
      </c>
      <c r="BC48" s="5">
        <v>45870</v>
      </c>
      <c r="BD48" s="5">
        <v>45901</v>
      </c>
      <c r="BE48" s="5">
        <v>45931</v>
      </c>
      <c r="BF48" s="5">
        <v>45962</v>
      </c>
      <c r="BG48" s="5">
        <v>45992</v>
      </c>
      <c r="BH48" s="5">
        <v>46023</v>
      </c>
      <c r="BI48" s="5">
        <v>46054</v>
      </c>
      <c r="BJ48" s="5">
        <v>46082</v>
      </c>
    </row>
    <row r="49" spans="1:68">
      <c r="A49" s="32" t="s">
        <v>21</v>
      </c>
      <c r="B49" s="4" t="s">
        <v>356</v>
      </c>
      <c r="C49" s="5">
        <v>46113</v>
      </c>
      <c r="D49" s="967">
        <f>'YN01'!$J$94</f>
        <v>520.63123119561942</v>
      </c>
      <c r="E49" s="967">
        <f>'YN01'!$E$94</f>
        <v>1446.7334812473048</v>
      </c>
      <c r="F49" s="33">
        <v>176</v>
      </c>
      <c r="G49" s="34">
        <f>'YN01'!$H$94</f>
        <v>0.94957983193277284</v>
      </c>
      <c r="H49" s="8">
        <f>'YN01'!$I$94</f>
        <v>0.69999999999999984</v>
      </c>
      <c r="I49" s="841">
        <f t="shared" ref="I49:I60" si="69">D49*E49*F49*G49*H49*0.00016</f>
        <v>14098.760124344617</v>
      </c>
      <c r="J49" s="10">
        <f>BP!E115/DAY(EOMONTH(C49,0))</f>
        <v>25757.709134886449</v>
      </c>
      <c r="K49" s="612"/>
      <c r="L49" s="35">
        <f t="shared" ref="L49:L60" si="70">J49/I49</f>
        <v>1.8269485336097098</v>
      </c>
      <c r="M49" s="12">
        <f t="shared" ref="M49:M60" si="71">IF((L49*F49)&gt;F49,F49,(L49*F49))</f>
        <v>176</v>
      </c>
      <c r="N49" s="29">
        <f t="shared" ref="N49:N60" si="72">M49</f>
        <v>176</v>
      </c>
      <c r="O49" s="29">
        <f t="shared" ref="O49:O60" si="73">ROUNDUP(N49,0)</f>
        <v>176</v>
      </c>
      <c r="P49" s="321">
        <f>2*4</f>
        <v>8</v>
      </c>
      <c r="Q49" s="321">
        <f>P49*3</f>
        <v>24</v>
      </c>
      <c r="R49" s="37">
        <f t="shared" ref="R49:R60" si="74">ROUNDUP(Q49,0)</f>
        <v>24</v>
      </c>
      <c r="S49" s="13">
        <f>'Manpower Allocation'!$D$33</f>
        <v>3</v>
      </c>
      <c r="T49" s="30">
        <f t="shared" ref="T49:T60" si="75">R49+S49</f>
        <v>27</v>
      </c>
      <c r="U49" s="1327">
        <f t="shared" ref="U49:U60" si="76">I49/V49</f>
        <v>3524.6900310861542</v>
      </c>
      <c r="V49" s="22">
        <v>4</v>
      </c>
      <c r="W49" s="22">
        <f>4*44</f>
        <v>176</v>
      </c>
      <c r="X49" s="21">
        <f t="shared" ref="X49:X60" si="77">IF(J49&gt;I49,V49,J49/U49)</f>
        <v>4</v>
      </c>
      <c r="Y49" s="22">
        <f>L49*W49</f>
        <v>321.54294191530892</v>
      </c>
      <c r="Z49" s="22">
        <v>2</v>
      </c>
      <c r="AA49" s="22">
        <f t="shared" ref="AA49" si="78">Z49*X49</f>
        <v>8</v>
      </c>
      <c r="AB49" s="1325">
        <f t="shared" ref="AB49:AB60" si="79">ROUNDUP(AA49,0)</f>
        <v>8</v>
      </c>
      <c r="AC49" s="1325">
        <f t="shared" ref="AC49:AC60" si="80">AB49*3</f>
        <v>24</v>
      </c>
      <c r="AD49" s="22" t="s">
        <v>1553</v>
      </c>
      <c r="AE49" s="22"/>
      <c r="AF49" s="1325"/>
      <c r="AG49" s="22"/>
      <c r="AH49" s="22"/>
      <c r="AI49" s="22"/>
      <c r="AJ49" s="130"/>
      <c r="AK49" s="130"/>
      <c r="AL49" s="130"/>
      <c r="AM49" s="130"/>
      <c r="AN49" s="22"/>
      <c r="AO49" s="22"/>
      <c r="AP49" s="22"/>
      <c r="AQ49" s="22"/>
      <c r="AR49" s="22"/>
      <c r="AS49" s="22"/>
      <c r="AT49" s="149">
        <f>(4*3)+(2*3)+(1*2)</f>
        <v>20</v>
      </c>
      <c r="AU49" s="203" t="s">
        <v>142</v>
      </c>
      <c r="AV49" s="328">
        <f>ROUNDUP(Q62,0)</f>
        <v>24</v>
      </c>
      <c r="AW49" s="33">
        <f>(2*3*3)</f>
        <v>18</v>
      </c>
      <c r="AX49" s="149"/>
      <c r="AY49" s="2">
        <f>4*2*3</f>
        <v>24</v>
      </c>
      <c r="AZ49" s="2">
        <f t="shared" ref="AZ49:BJ49" si="81">4*2*3</f>
        <v>24</v>
      </c>
      <c r="BA49" s="2">
        <f t="shared" si="81"/>
        <v>24</v>
      </c>
      <c r="BB49" s="2">
        <f t="shared" si="81"/>
        <v>24</v>
      </c>
      <c r="BC49" s="2">
        <f t="shared" si="81"/>
        <v>24</v>
      </c>
      <c r="BD49" s="2">
        <f t="shared" si="81"/>
        <v>24</v>
      </c>
      <c r="BE49" s="2">
        <f t="shared" si="81"/>
        <v>24</v>
      </c>
      <c r="BF49" s="2">
        <f t="shared" si="81"/>
        <v>24</v>
      </c>
      <c r="BG49" s="2">
        <f t="shared" si="81"/>
        <v>24</v>
      </c>
      <c r="BH49" s="2">
        <f t="shared" si="81"/>
        <v>24</v>
      </c>
      <c r="BI49" s="2">
        <f t="shared" si="81"/>
        <v>24</v>
      </c>
      <c r="BJ49" s="2">
        <f t="shared" si="81"/>
        <v>24</v>
      </c>
      <c r="BK49" s="149"/>
      <c r="BL49" s="149"/>
      <c r="BM49" s="149"/>
      <c r="BN49" s="149"/>
      <c r="BP49" t="s">
        <v>634</v>
      </c>
    </row>
    <row r="50" spans="1:68">
      <c r="A50" s="32" t="s">
        <v>21</v>
      </c>
      <c r="B50" s="4" t="s">
        <v>356</v>
      </c>
      <c r="C50" s="5">
        <v>46143</v>
      </c>
      <c r="D50" s="967">
        <f>'YN01'!$J$94</f>
        <v>520.63123119561942</v>
      </c>
      <c r="E50" s="967">
        <f>'YN01'!$E$94</f>
        <v>1446.7334812473048</v>
      </c>
      <c r="F50" s="33">
        <v>176</v>
      </c>
      <c r="G50" s="34">
        <f>'YN01'!$H$94</f>
        <v>0.94957983193277284</v>
      </c>
      <c r="H50" s="8">
        <f>'YN01'!$I$94</f>
        <v>0.69999999999999984</v>
      </c>
      <c r="I50" s="841">
        <f t="shared" si="69"/>
        <v>14098.760124344617</v>
      </c>
      <c r="J50" s="10">
        <f>BP!F115/DAY(EOMONTH(C50,0))</f>
        <v>21764.217987658994</v>
      </c>
      <c r="K50" s="612"/>
      <c r="L50" s="35">
        <f t="shared" si="70"/>
        <v>1.5436973035719839</v>
      </c>
      <c r="M50" s="12">
        <f t="shared" si="71"/>
        <v>176</v>
      </c>
      <c r="N50" s="29">
        <f t="shared" si="72"/>
        <v>176</v>
      </c>
      <c r="O50" s="29">
        <f t="shared" si="73"/>
        <v>176</v>
      </c>
      <c r="P50" s="321">
        <f t="shared" ref="P50:P60" si="82">2*4</f>
        <v>8</v>
      </c>
      <c r="Q50" s="321">
        <f t="shared" ref="Q50:Q60" si="83">P50*3</f>
        <v>24</v>
      </c>
      <c r="R50" s="37">
        <f t="shared" si="74"/>
        <v>24</v>
      </c>
      <c r="S50" s="13">
        <f>'Manpower Allocation'!$D$33</f>
        <v>3</v>
      </c>
      <c r="T50" s="30">
        <f t="shared" si="75"/>
        <v>27</v>
      </c>
      <c r="U50" s="1327">
        <f t="shared" si="76"/>
        <v>3524.6900310861542</v>
      </c>
      <c r="V50" s="22">
        <v>4</v>
      </c>
      <c r="W50" s="22">
        <f t="shared" ref="W50:W60" si="84">4*44</f>
        <v>176</v>
      </c>
      <c r="X50" s="21">
        <f t="shared" si="77"/>
        <v>4</v>
      </c>
      <c r="Y50" s="22">
        <f t="shared" ref="Y50:Y60" si="85">L50*W50</f>
        <v>271.69072542866917</v>
      </c>
      <c r="Z50" s="22">
        <v>2</v>
      </c>
      <c r="AA50" s="22">
        <f t="shared" ref="AA50:AA60" si="86">Z50*X50</f>
        <v>8</v>
      </c>
      <c r="AB50" s="1325">
        <f t="shared" si="79"/>
        <v>8</v>
      </c>
      <c r="AC50" s="1325">
        <f t="shared" si="80"/>
        <v>24</v>
      </c>
      <c r="AD50" s="22"/>
      <c r="AE50" s="22"/>
      <c r="AF50" s="1325"/>
      <c r="AG50" s="22"/>
      <c r="AH50" s="22"/>
      <c r="AI50" s="22"/>
      <c r="AJ50" s="130"/>
      <c r="AK50" s="130"/>
      <c r="AL50" s="130"/>
      <c r="AM50" s="130"/>
      <c r="AN50" s="22"/>
      <c r="AO50" s="22"/>
      <c r="AP50" s="22"/>
      <c r="AQ50" s="22"/>
      <c r="AR50" s="22"/>
      <c r="AS50" s="22"/>
      <c r="AU50" s="373" t="s">
        <v>122</v>
      </c>
      <c r="AV50" s="33">
        <f>1*3</f>
        <v>3</v>
      </c>
      <c r="AW50" s="33">
        <f>(1*2)</f>
        <v>2</v>
      </c>
      <c r="AY50" s="2">
        <v>3</v>
      </c>
      <c r="AZ50" s="2">
        <v>3</v>
      </c>
      <c r="BA50" s="2">
        <v>3</v>
      </c>
      <c r="BB50" s="2">
        <v>3</v>
      </c>
      <c r="BC50" s="2">
        <v>3</v>
      </c>
      <c r="BD50" s="2">
        <v>3</v>
      </c>
      <c r="BE50" s="2">
        <v>3</v>
      </c>
      <c r="BF50" s="2">
        <v>3</v>
      </c>
      <c r="BG50" s="2">
        <v>3</v>
      </c>
      <c r="BH50" s="2">
        <v>3</v>
      </c>
      <c r="BI50" s="2">
        <v>3</v>
      </c>
      <c r="BJ50" s="2">
        <v>3</v>
      </c>
    </row>
    <row r="51" spans="1:68">
      <c r="A51" s="32" t="s">
        <v>21</v>
      </c>
      <c r="B51" s="4" t="s">
        <v>356</v>
      </c>
      <c r="C51" s="5">
        <v>46174</v>
      </c>
      <c r="D51" s="967">
        <f>'YN01'!$J$94</f>
        <v>520.63123119561942</v>
      </c>
      <c r="E51" s="967">
        <f>'YN01'!$E$94</f>
        <v>1446.7334812473048</v>
      </c>
      <c r="F51" s="33">
        <v>176</v>
      </c>
      <c r="G51" s="34">
        <f>'YN01'!$H$94</f>
        <v>0.94957983193277284</v>
      </c>
      <c r="H51" s="8">
        <f>'YN01'!$I$94</f>
        <v>0.69999999999999984</v>
      </c>
      <c r="I51" s="841">
        <f t="shared" si="69"/>
        <v>14098.760124344617</v>
      </c>
      <c r="J51" s="10">
        <f>BP!G115/DAY(EOMONTH(C51,0))</f>
        <v>20261.87931785595</v>
      </c>
      <c r="K51" s="612"/>
      <c r="L51" s="35">
        <f t="shared" si="70"/>
        <v>1.4371390916048958</v>
      </c>
      <c r="M51" s="12">
        <f t="shared" si="71"/>
        <v>176</v>
      </c>
      <c r="N51" s="29">
        <f t="shared" si="72"/>
        <v>176</v>
      </c>
      <c r="O51" s="29">
        <f t="shared" si="73"/>
        <v>176</v>
      </c>
      <c r="P51" s="321">
        <f t="shared" si="82"/>
        <v>8</v>
      </c>
      <c r="Q51" s="321">
        <f t="shared" si="83"/>
        <v>24</v>
      </c>
      <c r="R51" s="37">
        <f t="shared" si="74"/>
        <v>24</v>
      </c>
      <c r="S51" s="13">
        <f>'Manpower Allocation'!$D$33</f>
        <v>3</v>
      </c>
      <c r="T51" s="30">
        <f t="shared" si="75"/>
        <v>27</v>
      </c>
      <c r="U51" s="1327">
        <f t="shared" si="76"/>
        <v>3524.6900310861542</v>
      </c>
      <c r="V51" s="22">
        <v>4</v>
      </c>
      <c r="W51" s="22">
        <f t="shared" si="84"/>
        <v>176</v>
      </c>
      <c r="X51" s="21">
        <f t="shared" si="77"/>
        <v>4</v>
      </c>
      <c r="Y51" s="22">
        <f t="shared" si="85"/>
        <v>252.93648012246166</v>
      </c>
      <c r="Z51" s="22">
        <v>2</v>
      </c>
      <c r="AA51" s="22">
        <f t="shared" si="86"/>
        <v>8</v>
      </c>
      <c r="AB51" s="1325">
        <f t="shared" si="79"/>
        <v>8</v>
      </c>
      <c r="AC51" s="1325">
        <f t="shared" si="80"/>
        <v>24</v>
      </c>
      <c r="AD51" s="22"/>
      <c r="AE51" s="22"/>
      <c r="AF51" s="1325"/>
      <c r="AG51" s="22"/>
      <c r="AH51" s="22"/>
      <c r="AI51" s="22"/>
      <c r="AJ51" s="130"/>
      <c r="AK51" s="130"/>
      <c r="AL51" s="130"/>
      <c r="AM51" s="130"/>
      <c r="AN51" s="22"/>
      <c r="AO51" s="22"/>
      <c r="AP51" s="22"/>
      <c r="AQ51" s="22"/>
      <c r="AR51" s="22"/>
      <c r="AS51" s="22"/>
      <c r="AU51" s="133" t="s">
        <v>561</v>
      </c>
      <c r="AV51" s="377">
        <f>SUM(AV49:AV50)</f>
        <v>27</v>
      </c>
      <c r="AW51" s="69">
        <f>SUM(AW49:AW50)+7</f>
        <v>27</v>
      </c>
      <c r="AY51" s="149">
        <f>SUM(AY49:AY50)</f>
        <v>27</v>
      </c>
      <c r="AZ51" s="149">
        <f t="shared" ref="AZ51:BJ51" si="87">SUM(AZ49:AZ50)</f>
        <v>27</v>
      </c>
      <c r="BA51" s="149">
        <f t="shared" si="87"/>
        <v>27</v>
      </c>
      <c r="BB51" s="149">
        <f t="shared" si="87"/>
        <v>27</v>
      </c>
      <c r="BC51" s="149">
        <f t="shared" si="87"/>
        <v>27</v>
      </c>
      <c r="BD51" s="149">
        <f t="shared" si="87"/>
        <v>27</v>
      </c>
      <c r="BE51" s="149">
        <f t="shared" si="87"/>
        <v>27</v>
      </c>
      <c r="BF51" s="149">
        <f t="shared" si="87"/>
        <v>27</v>
      </c>
      <c r="BG51" s="149">
        <f t="shared" si="87"/>
        <v>27</v>
      </c>
      <c r="BH51" s="149">
        <f t="shared" si="87"/>
        <v>27</v>
      </c>
      <c r="BI51" s="149">
        <f t="shared" si="87"/>
        <v>27</v>
      </c>
      <c r="BJ51" s="149">
        <f t="shared" si="87"/>
        <v>27</v>
      </c>
    </row>
    <row r="52" spans="1:68">
      <c r="A52" s="32" t="s">
        <v>21</v>
      </c>
      <c r="B52" s="4" t="s">
        <v>356</v>
      </c>
      <c r="C52" s="5">
        <v>46204</v>
      </c>
      <c r="D52" s="967">
        <f>'YN01'!$J$94</f>
        <v>520.63123119561942</v>
      </c>
      <c r="E52" s="967">
        <f>'YN01'!$E$94</f>
        <v>1446.7334812473048</v>
      </c>
      <c r="F52" s="33">
        <v>176</v>
      </c>
      <c r="G52" s="34">
        <f>'YN01'!$H$94</f>
        <v>0.94957983193277284</v>
      </c>
      <c r="H52" s="8">
        <f>'YN01'!$I$94</f>
        <v>0.69999999999999984</v>
      </c>
      <c r="I52" s="841">
        <f t="shared" si="69"/>
        <v>14098.760124344617</v>
      </c>
      <c r="J52" s="10">
        <f>BP!H115/DAY(EOMONTH(C52,0))</f>
        <v>22493.296226954822</v>
      </c>
      <c r="K52" s="612"/>
      <c r="L52" s="35">
        <f t="shared" si="70"/>
        <v>1.5954095274034197</v>
      </c>
      <c r="M52" s="12">
        <f t="shared" si="71"/>
        <v>176</v>
      </c>
      <c r="N52" s="29">
        <f t="shared" si="72"/>
        <v>176</v>
      </c>
      <c r="O52" s="29">
        <f t="shared" si="73"/>
        <v>176</v>
      </c>
      <c r="P52" s="321">
        <f t="shared" si="82"/>
        <v>8</v>
      </c>
      <c r="Q52" s="321">
        <f t="shared" si="83"/>
        <v>24</v>
      </c>
      <c r="R52" s="37">
        <f t="shared" si="74"/>
        <v>24</v>
      </c>
      <c r="S52" s="13">
        <f>'Manpower Allocation'!$D$33</f>
        <v>3</v>
      </c>
      <c r="T52" s="30">
        <f t="shared" si="75"/>
        <v>27</v>
      </c>
      <c r="U52" s="1327">
        <f t="shared" si="76"/>
        <v>3524.6900310861542</v>
      </c>
      <c r="V52" s="22">
        <v>4</v>
      </c>
      <c r="W52" s="22">
        <f t="shared" si="84"/>
        <v>176</v>
      </c>
      <c r="X52" s="21">
        <f t="shared" si="77"/>
        <v>4</v>
      </c>
      <c r="Y52" s="22">
        <f t="shared" si="85"/>
        <v>280.79207682300188</v>
      </c>
      <c r="Z52" s="22">
        <v>2</v>
      </c>
      <c r="AA52" s="22">
        <f t="shared" si="86"/>
        <v>8</v>
      </c>
      <c r="AB52" s="1325">
        <f t="shared" si="79"/>
        <v>8</v>
      </c>
      <c r="AC52" s="1325">
        <f t="shared" si="80"/>
        <v>24</v>
      </c>
      <c r="AD52" s="22"/>
      <c r="AE52" s="22"/>
      <c r="AF52" s="1325"/>
      <c r="AG52" s="22"/>
      <c r="AH52" s="22"/>
      <c r="AI52" s="22"/>
      <c r="AJ52" s="130"/>
      <c r="AK52" s="130"/>
      <c r="AL52" s="130"/>
      <c r="AM52" s="130"/>
      <c r="AN52" s="22"/>
      <c r="AO52" s="22"/>
      <c r="AP52" s="22"/>
      <c r="AQ52" s="22"/>
      <c r="AR52" s="22"/>
      <c r="AS52" s="22"/>
    </row>
    <row r="53" spans="1:68">
      <c r="A53" s="32" t="s">
        <v>21</v>
      </c>
      <c r="B53" s="4" t="s">
        <v>356</v>
      </c>
      <c r="C53" s="5">
        <v>46235</v>
      </c>
      <c r="D53" s="967">
        <f>'YN01'!$J$94</f>
        <v>520.63123119561942</v>
      </c>
      <c r="E53" s="967">
        <f>'YN01'!$E$94</f>
        <v>1446.7334812473048</v>
      </c>
      <c r="F53" s="33">
        <v>176</v>
      </c>
      <c r="G53" s="34">
        <f>'YN01'!$H$94</f>
        <v>0.94957983193277284</v>
      </c>
      <c r="H53" s="8">
        <f>'YN01'!$I$94</f>
        <v>0.69999999999999984</v>
      </c>
      <c r="I53" s="841">
        <f t="shared" si="69"/>
        <v>14098.760124344617</v>
      </c>
      <c r="J53" s="10">
        <f>BP!I115/DAY(EOMONTH(C53,0))</f>
        <v>21203.283110941531</v>
      </c>
      <c r="K53" s="612"/>
      <c r="L53" s="35">
        <f t="shared" si="70"/>
        <v>1.5039111896321571</v>
      </c>
      <c r="M53" s="12">
        <f t="shared" si="71"/>
        <v>176</v>
      </c>
      <c r="N53" s="29">
        <f t="shared" si="72"/>
        <v>176</v>
      </c>
      <c r="O53" s="29">
        <f t="shared" si="73"/>
        <v>176</v>
      </c>
      <c r="P53" s="321">
        <f t="shared" si="82"/>
        <v>8</v>
      </c>
      <c r="Q53" s="321">
        <f t="shared" si="83"/>
        <v>24</v>
      </c>
      <c r="R53" s="37">
        <f t="shared" si="74"/>
        <v>24</v>
      </c>
      <c r="S53" s="13">
        <f>'Manpower Allocation'!$D$33</f>
        <v>3</v>
      </c>
      <c r="T53" s="30">
        <f t="shared" si="75"/>
        <v>27</v>
      </c>
      <c r="U53" s="1327">
        <f t="shared" si="76"/>
        <v>3524.6900310861542</v>
      </c>
      <c r="V53" s="22">
        <v>4</v>
      </c>
      <c r="W53" s="22">
        <f t="shared" si="84"/>
        <v>176</v>
      </c>
      <c r="X53" s="21">
        <f t="shared" si="77"/>
        <v>4</v>
      </c>
      <c r="Y53" s="22">
        <f t="shared" si="85"/>
        <v>264.68836937525964</v>
      </c>
      <c r="Z53" s="22">
        <v>2</v>
      </c>
      <c r="AA53" s="22">
        <f t="shared" si="86"/>
        <v>8</v>
      </c>
      <c r="AB53" s="1325">
        <f t="shared" si="79"/>
        <v>8</v>
      </c>
      <c r="AC53" s="1325">
        <f t="shared" si="80"/>
        <v>24</v>
      </c>
      <c r="AD53" s="22"/>
      <c r="AE53" s="22"/>
      <c r="AF53" s="1325"/>
      <c r="AG53" s="22"/>
      <c r="AH53" s="22"/>
      <c r="AI53" s="22"/>
      <c r="AJ53" s="130"/>
      <c r="AK53" s="130"/>
      <c r="AL53" s="130"/>
      <c r="AM53" s="615"/>
      <c r="AN53" s="147"/>
      <c r="AO53" s="147"/>
      <c r="AP53" s="147"/>
      <c r="AQ53" s="147"/>
      <c r="AR53" s="147"/>
      <c r="AS53" s="147"/>
    </row>
    <row r="54" spans="1:68">
      <c r="A54" s="32" t="s">
        <v>21</v>
      </c>
      <c r="B54" s="4" t="s">
        <v>356</v>
      </c>
      <c r="C54" s="5">
        <v>46266</v>
      </c>
      <c r="D54" s="967">
        <f>'YN01'!$J$94</f>
        <v>520.63123119561942</v>
      </c>
      <c r="E54" s="967">
        <f>'YN01'!$E$94</f>
        <v>1446.7334812473048</v>
      </c>
      <c r="F54" s="33">
        <v>176</v>
      </c>
      <c r="G54" s="34">
        <f>'YN01'!$H$94</f>
        <v>0.94957983193277284</v>
      </c>
      <c r="H54" s="8">
        <f>'YN01'!$I$94</f>
        <v>0.69999999999999984</v>
      </c>
      <c r="I54" s="841">
        <f t="shared" si="69"/>
        <v>14098.760124344617</v>
      </c>
      <c r="J54" s="10">
        <f>BP!J115/DAY(EOMONTH(C54,0))</f>
        <v>21151.793011945552</v>
      </c>
      <c r="K54" s="612"/>
      <c r="L54" s="35">
        <f t="shared" si="70"/>
        <v>1.5002590884160316</v>
      </c>
      <c r="M54" s="12">
        <f t="shared" si="71"/>
        <v>176</v>
      </c>
      <c r="N54" s="29">
        <f t="shared" si="72"/>
        <v>176</v>
      </c>
      <c r="O54" s="29">
        <f t="shared" si="73"/>
        <v>176</v>
      </c>
      <c r="P54" s="321">
        <f t="shared" si="82"/>
        <v>8</v>
      </c>
      <c r="Q54" s="321">
        <f t="shared" si="83"/>
        <v>24</v>
      </c>
      <c r="R54" s="37">
        <f t="shared" si="74"/>
        <v>24</v>
      </c>
      <c r="S54" s="13">
        <f>'Manpower Allocation'!$D$33</f>
        <v>3</v>
      </c>
      <c r="T54" s="30">
        <f t="shared" si="75"/>
        <v>27</v>
      </c>
      <c r="U54" s="1327">
        <f t="shared" si="76"/>
        <v>3524.6900310861542</v>
      </c>
      <c r="V54" s="22">
        <v>4</v>
      </c>
      <c r="W54" s="22">
        <f t="shared" si="84"/>
        <v>176</v>
      </c>
      <c r="X54" s="21">
        <f t="shared" si="77"/>
        <v>4</v>
      </c>
      <c r="Y54" s="22">
        <f t="shared" si="85"/>
        <v>264.04559956122159</v>
      </c>
      <c r="Z54" s="22">
        <v>2</v>
      </c>
      <c r="AA54" s="22">
        <f t="shared" si="86"/>
        <v>8</v>
      </c>
      <c r="AB54" s="1325">
        <f t="shared" si="79"/>
        <v>8</v>
      </c>
      <c r="AC54" s="1325">
        <f t="shared" si="80"/>
        <v>24</v>
      </c>
      <c r="AD54" s="22"/>
      <c r="AE54" s="22"/>
      <c r="AF54" s="1325"/>
      <c r="AG54" s="22"/>
      <c r="AH54" s="22"/>
      <c r="AI54" s="22"/>
      <c r="AJ54" s="130"/>
      <c r="AK54" s="130"/>
      <c r="AL54" s="130"/>
      <c r="AM54" s="615"/>
      <c r="AN54" s="147"/>
      <c r="AO54" s="147"/>
      <c r="AP54" s="147"/>
      <c r="AQ54" s="147"/>
      <c r="AR54" s="147"/>
      <c r="AS54" s="147"/>
    </row>
    <row r="55" spans="1:68">
      <c r="A55" s="32" t="s">
        <v>21</v>
      </c>
      <c r="B55" s="4" t="s">
        <v>356</v>
      </c>
      <c r="C55" s="5">
        <v>46296</v>
      </c>
      <c r="D55" s="967">
        <f>'YN01'!$J$94</f>
        <v>520.63123119561942</v>
      </c>
      <c r="E55" s="967">
        <f>'YN01'!$E$94</f>
        <v>1446.7334812473048</v>
      </c>
      <c r="F55" s="33">
        <v>176</v>
      </c>
      <c r="G55" s="34">
        <f>'YN01'!$H$94</f>
        <v>0.94957983193277284</v>
      </c>
      <c r="H55" s="8">
        <f>'YN01'!$I$94</f>
        <v>0.69999999999999984</v>
      </c>
      <c r="I55" s="841">
        <f t="shared" si="69"/>
        <v>14098.760124344617</v>
      </c>
      <c r="J55" s="10">
        <f>BP!K115/DAY(EOMONTH(C55,0))</f>
        <v>19854.218246045853</v>
      </c>
      <c r="K55" s="612"/>
      <c r="L55" s="35">
        <f t="shared" si="70"/>
        <v>1.4082244162565167</v>
      </c>
      <c r="M55" s="12">
        <f t="shared" si="71"/>
        <v>176</v>
      </c>
      <c r="N55" s="29">
        <f t="shared" si="72"/>
        <v>176</v>
      </c>
      <c r="O55" s="29">
        <f t="shared" si="73"/>
        <v>176</v>
      </c>
      <c r="P55" s="321">
        <f t="shared" si="82"/>
        <v>8</v>
      </c>
      <c r="Q55" s="321">
        <f t="shared" si="83"/>
        <v>24</v>
      </c>
      <c r="R55" s="37">
        <f t="shared" si="74"/>
        <v>24</v>
      </c>
      <c r="S55" s="13">
        <f>'Manpower Allocation'!$D$33</f>
        <v>3</v>
      </c>
      <c r="T55" s="30">
        <f t="shared" si="75"/>
        <v>27</v>
      </c>
      <c r="U55" s="1327">
        <f t="shared" si="76"/>
        <v>3524.6900310861542</v>
      </c>
      <c r="V55" s="22">
        <v>4</v>
      </c>
      <c r="W55" s="22">
        <f t="shared" si="84"/>
        <v>176</v>
      </c>
      <c r="X55" s="21">
        <f t="shared" si="77"/>
        <v>4</v>
      </c>
      <c r="Y55" s="22">
        <f t="shared" si="85"/>
        <v>247.84749726114694</v>
      </c>
      <c r="Z55" s="22">
        <v>2</v>
      </c>
      <c r="AA55" s="22">
        <f t="shared" si="86"/>
        <v>8</v>
      </c>
      <c r="AB55" s="1325">
        <f t="shared" si="79"/>
        <v>8</v>
      </c>
      <c r="AC55" s="1325">
        <f t="shared" si="80"/>
        <v>24</v>
      </c>
      <c r="AD55" s="22"/>
      <c r="AE55" s="22"/>
      <c r="AF55" s="1325"/>
      <c r="AG55" s="22"/>
      <c r="AH55" s="22"/>
      <c r="AI55" s="22"/>
      <c r="AJ55" s="130"/>
      <c r="AK55" s="130"/>
      <c r="AL55" s="130"/>
      <c r="AM55" s="615"/>
      <c r="AN55" s="147"/>
      <c r="AO55" s="147"/>
      <c r="AP55" s="147"/>
      <c r="AQ55" s="147"/>
      <c r="AR55" s="147"/>
      <c r="AS55" s="147"/>
    </row>
    <row r="56" spans="1:68">
      <c r="A56" s="32" t="s">
        <v>21</v>
      </c>
      <c r="B56" s="4" t="s">
        <v>356</v>
      </c>
      <c r="C56" s="5">
        <v>46327</v>
      </c>
      <c r="D56" s="967">
        <f>'YN01'!$J$94</f>
        <v>520.63123119561942</v>
      </c>
      <c r="E56" s="967">
        <f>'YN01'!$E$94</f>
        <v>1446.7334812473048</v>
      </c>
      <c r="F56" s="33">
        <v>176</v>
      </c>
      <c r="G56" s="34">
        <f>'YN01'!$H$94</f>
        <v>0.94957983193277284</v>
      </c>
      <c r="H56" s="8">
        <f>'YN01'!$I$94</f>
        <v>0.69999999999999984</v>
      </c>
      <c r="I56" s="841">
        <f t="shared" si="69"/>
        <v>14098.760124344617</v>
      </c>
      <c r="J56" s="10">
        <f>BP!L115/DAY(EOMONTH(C56,0))</f>
        <v>18321.186977943198</v>
      </c>
      <c r="K56" s="612"/>
      <c r="L56" s="35">
        <f t="shared" si="70"/>
        <v>1.2994892328374061</v>
      </c>
      <c r="M56" s="12">
        <f t="shared" si="71"/>
        <v>176</v>
      </c>
      <c r="N56" s="29">
        <f t="shared" si="72"/>
        <v>176</v>
      </c>
      <c r="O56" s="29">
        <f t="shared" si="73"/>
        <v>176</v>
      </c>
      <c r="P56" s="321">
        <f t="shared" si="82"/>
        <v>8</v>
      </c>
      <c r="Q56" s="321">
        <f t="shared" si="83"/>
        <v>24</v>
      </c>
      <c r="R56" s="37">
        <f t="shared" si="74"/>
        <v>24</v>
      </c>
      <c r="S56" s="13">
        <f>'Manpower Allocation'!$D$33</f>
        <v>3</v>
      </c>
      <c r="T56" s="30">
        <f t="shared" si="75"/>
        <v>27</v>
      </c>
      <c r="U56" s="1327">
        <f t="shared" si="76"/>
        <v>3524.6900310861542</v>
      </c>
      <c r="V56" s="22">
        <v>4</v>
      </c>
      <c r="W56" s="22">
        <f t="shared" si="84"/>
        <v>176</v>
      </c>
      <c r="X56" s="21">
        <f t="shared" si="77"/>
        <v>4</v>
      </c>
      <c r="Y56" s="22">
        <f t="shared" si="85"/>
        <v>228.71010497938349</v>
      </c>
      <c r="Z56" s="22">
        <v>2</v>
      </c>
      <c r="AA56" s="22">
        <f t="shared" si="86"/>
        <v>8</v>
      </c>
      <c r="AB56" s="1325">
        <f t="shared" si="79"/>
        <v>8</v>
      </c>
      <c r="AC56" s="1325">
        <f t="shared" si="80"/>
        <v>24</v>
      </c>
      <c r="AD56" s="22"/>
      <c r="AE56" s="22"/>
      <c r="AF56" s="1325"/>
      <c r="AG56" s="22"/>
      <c r="AH56" s="22"/>
      <c r="AI56" s="22"/>
      <c r="AJ56" s="130"/>
      <c r="AK56" s="130"/>
      <c r="AL56" s="130"/>
      <c r="AM56" s="615"/>
      <c r="AN56" s="147"/>
      <c r="AO56" s="147"/>
      <c r="AP56" s="147"/>
      <c r="AQ56" s="147"/>
      <c r="AR56" s="147"/>
      <c r="AS56" s="147"/>
    </row>
    <row r="57" spans="1:68">
      <c r="A57" s="32" t="s">
        <v>21</v>
      </c>
      <c r="B57" s="4" t="s">
        <v>356</v>
      </c>
      <c r="C57" s="5">
        <v>46357</v>
      </c>
      <c r="D57" s="967">
        <f>'YN01'!$J$94</f>
        <v>520.63123119561942</v>
      </c>
      <c r="E57" s="967">
        <f>'YN01'!$E$94</f>
        <v>1446.7334812473048</v>
      </c>
      <c r="F57" s="33">
        <v>176</v>
      </c>
      <c r="G57" s="34">
        <f>'YN01'!$H$94</f>
        <v>0.94957983193277284</v>
      </c>
      <c r="H57" s="8">
        <f>'YN01'!$I$94</f>
        <v>0.69999999999999984</v>
      </c>
      <c r="I57" s="841">
        <f t="shared" si="69"/>
        <v>14098.760124344617</v>
      </c>
      <c r="J57" s="10">
        <f>BP!M115/DAY(EOMONTH(C57,0))</f>
        <v>21404.060867608543</v>
      </c>
      <c r="K57" s="612"/>
      <c r="L57" s="35">
        <f t="shared" si="70"/>
        <v>1.518151999100241</v>
      </c>
      <c r="M57" s="12">
        <f t="shared" si="71"/>
        <v>176</v>
      </c>
      <c r="N57" s="29">
        <f t="shared" si="72"/>
        <v>176</v>
      </c>
      <c r="O57" s="29">
        <f t="shared" si="73"/>
        <v>176</v>
      </c>
      <c r="P57" s="321">
        <f t="shared" si="82"/>
        <v>8</v>
      </c>
      <c r="Q57" s="321">
        <f t="shared" si="83"/>
        <v>24</v>
      </c>
      <c r="R57" s="37">
        <f t="shared" si="74"/>
        <v>24</v>
      </c>
      <c r="S57" s="13">
        <f>'Manpower Allocation'!$D$33</f>
        <v>3</v>
      </c>
      <c r="T57" s="30">
        <f t="shared" si="75"/>
        <v>27</v>
      </c>
      <c r="U57" s="1327">
        <f t="shared" si="76"/>
        <v>3524.6900310861542</v>
      </c>
      <c r="V57" s="22">
        <v>4</v>
      </c>
      <c r="W57" s="22">
        <f t="shared" si="84"/>
        <v>176</v>
      </c>
      <c r="X57" s="21">
        <f t="shared" si="77"/>
        <v>4</v>
      </c>
      <c r="Y57" s="22">
        <f t="shared" si="85"/>
        <v>267.19475184164241</v>
      </c>
      <c r="Z57" s="22">
        <v>2</v>
      </c>
      <c r="AA57" s="22">
        <f t="shared" si="86"/>
        <v>8</v>
      </c>
      <c r="AB57" s="1325">
        <f t="shared" si="79"/>
        <v>8</v>
      </c>
      <c r="AC57" s="1325">
        <f t="shared" si="80"/>
        <v>24</v>
      </c>
      <c r="AD57" s="22"/>
      <c r="AE57" s="22"/>
      <c r="AF57" s="1325"/>
      <c r="AG57" s="22"/>
      <c r="AH57" s="22"/>
      <c r="AI57" s="22"/>
      <c r="AJ57" s="130"/>
      <c r="AK57" s="130"/>
      <c r="AL57" s="130"/>
      <c r="AM57" s="615"/>
      <c r="AN57" s="147"/>
      <c r="AO57" s="147"/>
      <c r="AP57" s="147"/>
      <c r="AQ57" s="147"/>
      <c r="AR57" s="147"/>
      <c r="AS57" s="147"/>
    </row>
    <row r="58" spans="1:68">
      <c r="A58" s="32" t="s">
        <v>21</v>
      </c>
      <c r="B58" s="4" t="s">
        <v>356</v>
      </c>
      <c r="C58" s="5">
        <v>46388</v>
      </c>
      <c r="D58" s="967">
        <f>'YN01'!$J$94</f>
        <v>520.63123119561942</v>
      </c>
      <c r="E58" s="967">
        <f>'YN01'!$E$94</f>
        <v>1446.7334812473048</v>
      </c>
      <c r="F58" s="33">
        <v>176</v>
      </c>
      <c r="G58" s="34">
        <f>'YN01'!$H$94</f>
        <v>0.94957983193277284</v>
      </c>
      <c r="H58" s="8">
        <f>'YN01'!$I$94</f>
        <v>0.69999999999999984</v>
      </c>
      <c r="I58" s="841">
        <f t="shared" si="69"/>
        <v>14098.760124344617</v>
      </c>
      <c r="J58" s="10">
        <f>BP!N115/DAY(EOMONTH(C58,0))</f>
        <v>20437.994791453595</v>
      </c>
      <c r="K58" s="612"/>
      <c r="L58" s="35">
        <f t="shared" si="70"/>
        <v>1.4496306491634603</v>
      </c>
      <c r="M58" s="12">
        <f t="shared" si="71"/>
        <v>176</v>
      </c>
      <c r="N58" s="29">
        <f t="shared" si="72"/>
        <v>176</v>
      </c>
      <c r="O58" s="29">
        <f t="shared" si="73"/>
        <v>176</v>
      </c>
      <c r="P58" s="321">
        <f t="shared" si="82"/>
        <v>8</v>
      </c>
      <c r="Q58" s="321">
        <f t="shared" si="83"/>
        <v>24</v>
      </c>
      <c r="R58" s="37">
        <f t="shared" si="74"/>
        <v>24</v>
      </c>
      <c r="S58" s="13">
        <f>'Manpower Allocation'!$D$33</f>
        <v>3</v>
      </c>
      <c r="T58" s="30">
        <f t="shared" si="75"/>
        <v>27</v>
      </c>
      <c r="U58" s="1327">
        <f t="shared" si="76"/>
        <v>3524.6900310861542</v>
      </c>
      <c r="V58" s="22">
        <v>4</v>
      </c>
      <c r="W58" s="22">
        <f t="shared" si="84"/>
        <v>176</v>
      </c>
      <c r="X58" s="21">
        <f t="shared" si="77"/>
        <v>4</v>
      </c>
      <c r="Y58" s="22">
        <f t="shared" si="85"/>
        <v>255.13499425276902</v>
      </c>
      <c r="Z58" s="22">
        <v>2</v>
      </c>
      <c r="AA58" s="22">
        <f t="shared" si="86"/>
        <v>8</v>
      </c>
      <c r="AB58" s="1325">
        <f t="shared" si="79"/>
        <v>8</v>
      </c>
      <c r="AC58" s="1325">
        <f t="shared" si="80"/>
        <v>24</v>
      </c>
      <c r="AD58" s="22"/>
      <c r="AE58" s="22"/>
      <c r="AF58" s="1325"/>
      <c r="AG58" s="22"/>
      <c r="AH58" s="22"/>
      <c r="AI58" s="22"/>
      <c r="AJ58" s="130"/>
      <c r="AK58" s="130"/>
      <c r="AL58" s="130"/>
      <c r="AM58" s="615"/>
      <c r="AN58" s="147"/>
      <c r="AO58" s="147"/>
      <c r="AP58" s="147"/>
      <c r="AQ58" s="147"/>
      <c r="AR58" s="147"/>
      <c r="AS58" s="147"/>
    </row>
    <row r="59" spans="1:68">
      <c r="A59" s="32" t="s">
        <v>21</v>
      </c>
      <c r="B59" s="4" t="s">
        <v>356</v>
      </c>
      <c r="C59" s="5">
        <v>46419</v>
      </c>
      <c r="D59" s="967">
        <f>'YN01'!$J$94</f>
        <v>520.63123119561942</v>
      </c>
      <c r="E59" s="967">
        <f>'YN01'!$E$94</f>
        <v>1446.7334812473048</v>
      </c>
      <c r="F59" s="33">
        <v>176</v>
      </c>
      <c r="G59" s="34">
        <f>'YN01'!$H$94</f>
        <v>0.94957983193277284</v>
      </c>
      <c r="H59" s="8">
        <f>'YN01'!$I$94</f>
        <v>0.69999999999999984</v>
      </c>
      <c r="I59" s="841">
        <f t="shared" si="69"/>
        <v>14098.760124344617</v>
      </c>
      <c r="J59" s="10">
        <f>BP!O115/DAY(EOMONTH(C59,0))</f>
        <v>21553.115709014492</v>
      </c>
      <c r="K59" s="612"/>
      <c r="L59" s="35">
        <f t="shared" si="70"/>
        <v>1.5287241941082668</v>
      </c>
      <c r="M59" s="12">
        <f t="shared" si="71"/>
        <v>176</v>
      </c>
      <c r="N59" s="29">
        <f t="shared" si="72"/>
        <v>176</v>
      </c>
      <c r="O59" s="29">
        <f t="shared" si="73"/>
        <v>176</v>
      </c>
      <c r="P59" s="321">
        <f t="shared" si="82"/>
        <v>8</v>
      </c>
      <c r="Q59" s="321">
        <f t="shared" si="83"/>
        <v>24</v>
      </c>
      <c r="R59" s="37">
        <f t="shared" si="74"/>
        <v>24</v>
      </c>
      <c r="S59" s="13">
        <f>'Manpower Allocation'!$D$33</f>
        <v>3</v>
      </c>
      <c r="T59" s="30">
        <f t="shared" si="75"/>
        <v>27</v>
      </c>
      <c r="U59" s="1327">
        <f t="shared" si="76"/>
        <v>3524.6900310861542</v>
      </c>
      <c r="V59" s="22">
        <v>4</v>
      </c>
      <c r="W59" s="22">
        <f t="shared" si="84"/>
        <v>176</v>
      </c>
      <c r="X59" s="21">
        <f t="shared" si="77"/>
        <v>4</v>
      </c>
      <c r="Y59" s="22">
        <f t="shared" si="85"/>
        <v>269.05545816305494</v>
      </c>
      <c r="Z59" s="22">
        <v>2</v>
      </c>
      <c r="AA59" s="22">
        <f t="shared" si="86"/>
        <v>8</v>
      </c>
      <c r="AB59" s="1325">
        <f t="shared" si="79"/>
        <v>8</v>
      </c>
      <c r="AC59" s="1325">
        <f t="shared" si="80"/>
        <v>24</v>
      </c>
      <c r="AD59" s="22"/>
      <c r="AE59" s="22"/>
      <c r="AF59" s="1325"/>
      <c r="AG59" s="22"/>
      <c r="AH59" s="22"/>
      <c r="AI59" s="22"/>
      <c r="AJ59" s="130"/>
      <c r="AK59" s="130"/>
      <c r="AL59" s="130"/>
      <c r="AM59" s="615"/>
      <c r="AN59" s="147"/>
      <c r="AO59" s="147"/>
      <c r="AP59" s="147"/>
      <c r="AQ59" s="147"/>
      <c r="AR59" s="147"/>
      <c r="AS59" s="147"/>
    </row>
    <row r="60" spans="1:68">
      <c r="A60" s="32" t="s">
        <v>21</v>
      </c>
      <c r="B60" s="4" t="s">
        <v>356</v>
      </c>
      <c r="C60" s="5">
        <v>46447</v>
      </c>
      <c r="D60" s="967">
        <f>'YN01'!$J$94</f>
        <v>520.63123119561942</v>
      </c>
      <c r="E60" s="967">
        <f>'YN01'!$E$94</f>
        <v>1446.7334812473048</v>
      </c>
      <c r="F60" s="33">
        <v>176</v>
      </c>
      <c r="G60" s="34">
        <f>'YN01'!$H$94</f>
        <v>0.94957983193277284</v>
      </c>
      <c r="H60" s="8">
        <f>'YN01'!$I$94</f>
        <v>0.69999999999999984</v>
      </c>
      <c r="I60" s="841">
        <f t="shared" si="69"/>
        <v>14098.760124344617</v>
      </c>
      <c r="J60" s="10">
        <f>BP!P115/DAY(EOMONTH(C60,0))</f>
        <v>19632.217552982656</v>
      </c>
      <c r="K60" s="612"/>
      <c r="L60" s="35">
        <f t="shared" si="70"/>
        <v>1.392478301626205</v>
      </c>
      <c r="M60" s="12">
        <f t="shared" si="71"/>
        <v>176</v>
      </c>
      <c r="N60" s="29">
        <f t="shared" si="72"/>
        <v>176</v>
      </c>
      <c r="O60" s="29">
        <f t="shared" si="73"/>
        <v>176</v>
      </c>
      <c r="P60" s="321">
        <f t="shared" si="82"/>
        <v>8</v>
      </c>
      <c r="Q60" s="321">
        <f t="shared" si="83"/>
        <v>24</v>
      </c>
      <c r="R60" s="37">
        <f t="shared" si="74"/>
        <v>24</v>
      </c>
      <c r="S60" s="13">
        <f>'Manpower Allocation'!$D$33</f>
        <v>3</v>
      </c>
      <c r="T60" s="30">
        <f t="shared" si="75"/>
        <v>27</v>
      </c>
      <c r="U60" s="1327">
        <f t="shared" si="76"/>
        <v>3524.6900310861542</v>
      </c>
      <c r="V60" s="22">
        <v>4</v>
      </c>
      <c r="W60" s="22">
        <f t="shared" si="84"/>
        <v>176</v>
      </c>
      <c r="X60" s="21">
        <f t="shared" si="77"/>
        <v>4</v>
      </c>
      <c r="Y60" s="22">
        <f t="shared" si="85"/>
        <v>245.07618108621207</v>
      </c>
      <c r="Z60" s="22">
        <v>2</v>
      </c>
      <c r="AA60" s="22">
        <f t="shared" si="86"/>
        <v>8</v>
      </c>
      <c r="AB60" s="1325">
        <f t="shared" si="79"/>
        <v>8</v>
      </c>
      <c r="AC60" s="1325">
        <f t="shared" si="80"/>
        <v>24</v>
      </c>
      <c r="AD60" s="22"/>
      <c r="AE60" s="22"/>
      <c r="AF60" s="1325"/>
      <c r="AG60" s="22"/>
      <c r="AH60" s="22"/>
      <c r="AI60" s="22"/>
      <c r="AJ60" s="130"/>
      <c r="AK60" s="130"/>
      <c r="AL60" s="130"/>
      <c r="AM60" s="615"/>
      <c r="AN60" s="147"/>
      <c r="AO60" s="147"/>
      <c r="AP60" s="147"/>
      <c r="AQ60" s="147"/>
      <c r="AR60" s="147"/>
      <c r="AS60" s="147"/>
    </row>
    <row r="61" spans="1:68">
      <c r="A61" s="617"/>
      <c r="B61" s="15"/>
      <c r="C61" s="611"/>
      <c r="D61" s="328"/>
      <c r="E61" s="33"/>
      <c r="F61" s="33"/>
      <c r="G61" s="34"/>
      <c r="H61" s="8"/>
      <c r="I61" s="9"/>
      <c r="J61" s="10"/>
      <c r="K61" s="612"/>
      <c r="L61" s="35"/>
      <c r="M61" s="12"/>
      <c r="N61" s="29"/>
      <c r="O61" s="29"/>
      <c r="P61" s="30"/>
      <c r="Q61" s="30"/>
      <c r="R61" s="37"/>
      <c r="S61" s="13"/>
      <c r="T61" s="13"/>
      <c r="U61" s="22"/>
      <c r="V61" s="22"/>
      <c r="W61" s="22"/>
      <c r="X61" s="22"/>
      <c r="Y61" s="22"/>
      <c r="Z61" s="22"/>
      <c r="AA61" s="22"/>
      <c r="AB61" s="22"/>
      <c r="AC61" s="22"/>
      <c r="AD61" s="22"/>
      <c r="AE61" s="22"/>
      <c r="AF61" s="1325"/>
      <c r="AG61" s="22"/>
      <c r="AH61" s="22"/>
      <c r="AI61" s="22"/>
      <c r="AJ61" s="130"/>
      <c r="AK61" s="130"/>
      <c r="AL61" s="130"/>
      <c r="AM61" s="130"/>
      <c r="AN61" s="22"/>
      <c r="AO61" s="22"/>
      <c r="AP61" s="22"/>
      <c r="AQ61" s="22"/>
      <c r="AR61" s="22"/>
      <c r="AS61" s="22"/>
    </row>
    <row r="62" spans="1:68">
      <c r="P62" s="128">
        <f>AVERAGE(P49:P60)</f>
        <v>8</v>
      </c>
      <c r="Q62" s="128">
        <f>AVERAGE(Q49:Q60)</f>
        <v>24</v>
      </c>
    </row>
    <row r="63" spans="1:68" ht="54" customHeight="1">
      <c r="A63" s="1" t="s">
        <v>0</v>
      </c>
      <c r="B63" s="1" t="s">
        <v>1</v>
      </c>
      <c r="C63" s="1" t="s">
        <v>2</v>
      </c>
      <c r="D63" s="799" t="s">
        <v>3</v>
      </c>
      <c r="E63" s="1" t="s">
        <v>4</v>
      </c>
      <c r="F63" s="1" t="s">
        <v>5</v>
      </c>
      <c r="G63" s="1" t="s">
        <v>6</v>
      </c>
      <c r="H63" s="1" t="s">
        <v>7</v>
      </c>
      <c r="I63" s="1" t="s">
        <v>8</v>
      </c>
      <c r="J63" s="1" t="s">
        <v>9</v>
      </c>
      <c r="K63" s="1"/>
      <c r="L63" s="1" t="s">
        <v>10</v>
      </c>
      <c r="M63" s="1" t="s">
        <v>10</v>
      </c>
      <c r="N63" s="1" t="s">
        <v>11</v>
      </c>
      <c r="O63" s="1" t="s">
        <v>11</v>
      </c>
      <c r="P63" s="1" t="s">
        <v>12</v>
      </c>
      <c r="Q63" s="1" t="s">
        <v>13</v>
      </c>
      <c r="R63" s="908" t="s">
        <v>13</v>
      </c>
      <c r="S63" s="1" t="s">
        <v>1251</v>
      </c>
      <c r="T63" s="909" t="s">
        <v>14</v>
      </c>
      <c r="U63" s="851" t="s">
        <v>1561</v>
      </c>
      <c r="V63" s="851" t="s">
        <v>1517</v>
      </c>
      <c r="W63" s="851" t="s">
        <v>1518</v>
      </c>
      <c r="X63" s="851" t="s">
        <v>873</v>
      </c>
      <c r="Y63" s="851" t="s">
        <v>1519</v>
      </c>
      <c r="Z63" s="851" t="s">
        <v>1520</v>
      </c>
      <c r="AA63" s="851" t="s">
        <v>1521</v>
      </c>
      <c r="AB63" s="851" t="s">
        <v>1521</v>
      </c>
      <c r="AC63" s="851" t="s">
        <v>1562</v>
      </c>
      <c r="AD63" s="851" t="s">
        <v>537</v>
      </c>
      <c r="AE63" s="851"/>
      <c r="AF63" s="1337"/>
      <c r="AG63" s="851"/>
      <c r="AH63" s="851"/>
      <c r="AI63" s="851"/>
      <c r="AJ63" s="935"/>
      <c r="AK63" s="935"/>
      <c r="AL63" s="935"/>
      <c r="AM63" s="935"/>
      <c r="AN63" s="851"/>
      <c r="AO63" s="851"/>
      <c r="AP63" s="851"/>
      <c r="AQ63" s="851"/>
      <c r="AR63" s="851"/>
      <c r="AS63" s="851"/>
      <c r="AW63" s="395" t="s">
        <v>521</v>
      </c>
      <c r="AX63" s="395"/>
      <c r="AY63" s="5">
        <v>45748</v>
      </c>
      <c r="AZ63" s="5">
        <v>45778</v>
      </c>
      <c r="BA63" s="5">
        <v>45809</v>
      </c>
      <c r="BB63" s="5">
        <v>45839</v>
      </c>
      <c r="BC63" s="5">
        <v>45870</v>
      </c>
      <c r="BD63" s="5">
        <v>45901</v>
      </c>
      <c r="BE63" s="5">
        <v>45931</v>
      </c>
      <c r="BF63" s="5">
        <v>45962</v>
      </c>
      <c r="BG63" s="5">
        <v>45992</v>
      </c>
      <c r="BH63" s="5">
        <v>46023</v>
      </c>
      <c r="BI63" s="5">
        <v>46054</v>
      </c>
      <c r="BJ63" s="5">
        <v>46082</v>
      </c>
      <c r="BK63" s="5">
        <v>46082</v>
      </c>
    </row>
    <row r="64" spans="1:68">
      <c r="A64" s="32" t="s">
        <v>22</v>
      </c>
      <c r="B64" s="4" t="s">
        <v>22</v>
      </c>
      <c r="C64" s="5">
        <v>46113</v>
      </c>
      <c r="D64" s="967">
        <f>'YN01'!$J$162</f>
        <v>37.378367812747555</v>
      </c>
      <c r="E64" s="748">
        <f>'YN01'!$C$163</f>
        <v>2649.3918863440213</v>
      </c>
      <c r="F64" s="33">
        <f>(16*176)+(3*144)</f>
        <v>3248</v>
      </c>
      <c r="G64" s="34">
        <f>'YN01'!$H$162</f>
        <v>0.91596638655462181</v>
      </c>
      <c r="H64" s="8">
        <f>'YN01'!$I$162</f>
        <v>0.84100610728627012</v>
      </c>
      <c r="I64" s="841">
        <f t="shared" ref="I64:I75" si="88">D64*E64*F64*G64*H64*0.00016</f>
        <v>39644.342969220605</v>
      </c>
      <c r="J64" s="10">
        <f>BP!E30/DAY(EOMONTH(C64,0))</f>
        <v>41292.948564621576</v>
      </c>
      <c r="K64" s="612"/>
      <c r="L64" s="35">
        <f t="shared" ref="L64:L75" si="89">J64/I64</f>
        <v>1.041584888837253</v>
      </c>
      <c r="M64" s="38">
        <f t="shared" ref="M64:M75" si="90">IF((L64*F64)&gt;F64,F64,(L64*F64))</f>
        <v>3248</v>
      </c>
      <c r="N64" s="36">
        <f t="shared" ref="N64:N75" si="91">M64</f>
        <v>3248</v>
      </c>
      <c r="O64" s="36">
        <f t="shared" ref="O64:O75" si="92">ROUNDUP(N64,0)</f>
        <v>3248</v>
      </c>
      <c r="P64" s="36">
        <f>O64*'Manpower Allocation'!$D$38</f>
        <v>19</v>
      </c>
      <c r="Q64" s="36">
        <f t="shared" ref="Q64:Q75" si="93">P64*3</f>
        <v>57</v>
      </c>
      <c r="R64" s="37">
        <f t="shared" ref="R64:R75" si="94">ROUNDUP(Q64,0)</f>
        <v>57</v>
      </c>
      <c r="S64" s="13">
        <f>'Manpower Allocation'!$D$44</f>
        <v>12</v>
      </c>
      <c r="T64" s="30">
        <f>R64+S64</f>
        <v>69</v>
      </c>
      <c r="U64" s="1327">
        <f t="shared" ref="U64:U75" si="95">I64/V64</f>
        <v>2086.5443668010844</v>
      </c>
      <c r="V64" s="22">
        <v>19</v>
      </c>
      <c r="W64" s="612">
        <f>(16*88*2)+(3*72*2)</f>
        <v>3248</v>
      </c>
      <c r="X64" s="21">
        <f t="shared" ref="X64:X75" si="96">IF(J64&gt;I64,V64,J64/U64)</f>
        <v>19</v>
      </c>
      <c r="Y64" s="612">
        <f>W64*L64</f>
        <v>3383.0677189433977</v>
      </c>
      <c r="Z64" s="22">
        <v>1</v>
      </c>
      <c r="AA64" s="21">
        <f t="shared" ref="AA64:AA75" si="97">Z64*X64</f>
        <v>19</v>
      </c>
      <c r="AB64" s="1325">
        <f t="shared" ref="AB64:AB75" si="98">ROUNDUP(AA64,0)</f>
        <v>19</v>
      </c>
      <c r="AC64" s="1325">
        <f t="shared" ref="AC64:AC75" si="99">AB64*3</f>
        <v>57</v>
      </c>
      <c r="AD64" s="22" t="s">
        <v>1554</v>
      </c>
      <c r="AE64" s="22"/>
      <c r="AF64" s="1325"/>
      <c r="AG64" s="22"/>
      <c r="AH64" s="22"/>
      <c r="AI64" s="22"/>
      <c r="AJ64" s="130"/>
      <c r="AK64" s="130"/>
      <c r="AL64" s="130"/>
      <c r="AM64" s="907"/>
      <c r="AN64" s="614"/>
      <c r="AO64" s="614"/>
      <c r="AP64" s="614"/>
      <c r="AQ64" s="614"/>
      <c r="AR64" s="614"/>
      <c r="AS64" s="614"/>
      <c r="AT64" s="40"/>
      <c r="AU64" s="203" t="s">
        <v>142</v>
      </c>
      <c r="AV64" s="33">
        <f>R76</f>
        <v>52</v>
      </c>
      <c r="AW64" s="33">
        <f>(17/1.5)*3</f>
        <v>34</v>
      </c>
      <c r="AX64" t="s">
        <v>686</v>
      </c>
      <c r="AY64">
        <f>AY72*1*3</f>
        <v>42</v>
      </c>
      <c r="AZ64">
        <f t="shared" ref="AZ64:BJ64" si="100">AZ72*1*3</f>
        <v>45</v>
      </c>
      <c r="BA64">
        <f t="shared" si="100"/>
        <v>45</v>
      </c>
      <c r="BB64">
        <f t="shared" si="100"/>
        <v>54</v>
      </c>
      <c r="BC64">
        <f t="shared" si="100"/>
        <v>54</v>
      </c>
      <c r="BD64">
        <f t="shared" si="100"/>
        <v>57</v>
      </c>
      <c r="BE64">
        <f t="shared" si="100"/>
        <v>48</v>
      </c>
      <c r="BF64">
        <f t="shared" si="100"/>
        <v>57</v>
      </c>
      <c r="BG64">
        <f t="shared" si="100"/>
        <v>57</v>
      </c>
      <c r="BH64">
        <f t="shared" si="100"/>
        <v>57</v>
      </c>
      <c r="BI64">
        <f t="shared" si="100"/>
        <v>54</v>
      </c>
      <c r="BJ64">
        <f t="shared" si="100"/>
        <v>57</v>
      </c>
      <c r="BK64">
        <f t="shared" ref="BK64" si="101">BK72*1*3</f>
        <v>33</v>
      </c>
      <c r="BO64" s="316">
        <f t="shared" ref="BO64:BO75" si="102">P64/1.5</f>
        <v>12.666666666666666</v>
      </c>
      <c r="BP64" s="316">
        <f>BO64*3</f>
        <v>38</v>
      </c>
    </row>
    <row r="65" spans="1:71">
      <c r="A65" s="32" t="s">
        <v>22</v>
      </c>
      <c r="B65" s="4" t="s">
        <v>22</v>
      </c>
      <c r="C65" s="5">
        <v>46143</v>
      </c>
      <c r="D65" s="967">
        <f>'YN01'!$J$162</f>
        <v>37.378367812747555</v>
      </c>
      <c r="E65" s="748">
        <f>'YN01'!$C$163</f>
        <v>2649.3918863440213</v>
      </c>
      <c r="F65" s="1069">
        <f t="shared" ref="F65:F75" si="103">(16*176)+(3*144)</f>
        <v>3248</v>
      </c>
      <c r="G65" s="34">
        <f>'YN01'!$H$162</f>
        <v>0.91596638655462181</v>
      </c>
      <c r="H65" s="8">
        <f>'YN01'!$I$162</f>
        <v>0.84100610728627012</v>
      </c>
      <c r="I65" s="841">
        <f t="shared" si="88"/>
        <v>39644.342969220605</v>
      </c>
      <c r="J65" s="10">
        <f>BP!F30/DAY(EOMONTH(C65,0))</f>
        <v>34846.488560269885</v>
      </c>
      <c r="K65" s="612"/>
      <c r="L65" s="35">
        <f t="shared" si="89"/>
        <v>0.87897757789362996</v>
      </c>
      <c r="M65" s="38">
        <f t="shared" si="90"/>
        <v>2854.91917299851</v>
      </c>
      <c r="N65" s="36">
        <f t="shared" si="91"/>
        <v>2854.91917299851</v>
      </c>
      <c r="O65" s="36">
        <f t="shared" si="92"/>
        <v>2855</v>
      </c>
      <c r="P65" s="36">
        <f>O65*'Manpower Allocation'!$D$38</f>
        <v>16.701046798029555</v>
      </c>
      <c r="Q65" s="36">
        <f t="shared" si="93"/>
        <v>50.103140394088669</v>
      </c>
      <c r="R65" s="37">
        <f t="shared" si="94"/>
        <v>51</v>
      </c>
      <c r="S65" s="13">
        <f>'Manpower Allocation'!$D$44</f>
        <v>12</v>
      </c>
      <c r="T65" s="30">
        <f t="shared" ref="T65:T75" si="104">R65+S65</f>
        <v>63</v>
      </c>
      <c r="U65" s="1327">
        <f t="shared" si="95"/>
        <v>2086.5443668010844</v>
      </c>
      <c r="V65" s="22">
        <v>19</v>
      </c>
      <c r="W65" s="612">
        <f t="shared" ref="W65:W75" si="105">(16*88*2)+(3*72*2)</f>
        <v>3248</v>
      </c>
      <c r="X65" s="21">
        <f t="shared" si="96"/>
        <v>16.700573979978969</v>
      </c>
      <c r="Y65" s="612">
        <f t="shared" ref="Y65:Y75" si="106">W65*L65</f>
        <v>2854.91917299851</v>
      </c>
      <c r="Z65" s="22">
        <v>1</v>
      </c>
      <c r="AA65" s="21">
        <f t="shared" si="97"/>
        <v>16.700573979978969</v>
      </c>
      <c r="AB65" s="1325">
        <f t="shared" si="98"/>
        <v>17</v>
      </c>
      <c r="AC65" s="1325">
        <f t="shared" si="99"/>
        <v>51</v>
      </c>
      <c r="AD65" s="22"/>
      <c r="AE65" s="22"/>
      <c r="AF65" s="1325"/>
      <c r="AG65" s="22"/>
      <c r="AH65" s="22"/>
      <c r="AI65" s="22"/>
      <c r="AJ65" s="130"/>
      <c r="AK65" s="130"/>
      <c r="AL65" s="130"/>
      <c r="AM65" s="907"/>
      <c r="AN65" s="614"/>
      <c r="AO65" s="614"/>
      <c r="AP65" s="614"/>
      <c r="AQ65" s="614"/>
      <c r="AR65" s="614"/>
      <c r="AS65" s="614"/>
      <c r="AT65" s="40"/>
      <c r="AU65" s="380" t="s">
        <v>143</v>
      </c>
      <c r="AV65" s="368">
        <v>3</v>
      </c>
      <c r="AW65" s="368">
        <v>0</v>
      </c>
      <c r="AX65" t="s">
        <v>630</v>
      </c>
      <c r="AY65">
        <v>0</v>
      </c>
      <c r="AZ65">
        <v>0</v>
      </c>
      <c r="BA65">
        <v>0</v>
      </c>
      <c r="BB65">
        <v>0</v>
      </c>
      <c r="BC65">
        <v>0</v>
      </c>
      <c r="BD65">
        <v>0</v>
      </c>
      <c r="BE65">
        <v>0</v>
      </c>
      <c r="BF65">
        <v>0</v>
      </c>
      <c r="BG65">
        <v>0</v>
      </c>
      <c r="BH65">
        <v>0</v>
      </c>
      <c r="BI65">
        <v>0</v>
      </c>
      <c r="BJ65">
        <v>0</v>
      </c>
      <c r="BK65">
        <v>0</v>
      </c>
      <c r="BO65" s="316">
        <f t="shared" si="102"/>
        <v>11.134031198686371</v>
      </c>
      <c r="BP65" s="316">
        <f t="shared" ref="BP65:BP75" si="107">BO65*3</f>
        <v>33.40209359605911</v>
      </c>
      <c r="BR65" s="44">
        <f>480/(176)</f>
        <v>2.7272727272727271</v>
      </c>
      <c r="BS65" t="s">
        <v>645</v>
      </c>
    </row>
    <row r="66" spans="1:71">
      <c r="A66" s="32" t="s">
        <v>22</v>
      </c>
      <c r="B66" s="4" t="s">
        <v>22</v>
      </c>
      <c r="C66" s="5">
        <v>46174</v>
      </c>
      <c r="D66" s="967">
        <f>'YN01'!$J$162</f>
        <v>37.378367812747555</v>
      </c>
      <c r="E66" s="748">
        <f>'YN01'!$C$163</f>
        <v>2649.3918863440213</v>
      </c>
      <c r="F66" s="1069">
        <f t="shared" si="103"/>
        <v>3248</v>
      </c>
      <c r="G66" s="34">
        <f>'YN01'!$H$162</f>
        <v>0.91596638655462181</v>
      </c>
      <c r="H66" s="8">
        <f>'YN01'!$I$162</f>
        <v>0.84100610728627012</v>
      </c>
      <c r="I66" s="841">
        <f t="shared" si="88"/>
        <v>39644.342969220605</v>
      </c>
      <c r="J66" s="10">
        <f>BP!G30/DAY(EOMONTH(C66,0))</f>
        <v>32022.756126797543</v>
      </c>
      <c r="K66" s="612"/>
      <c r="L66" s="35">
        <f t="shared" si="89"/>
        <v>0.8077509608788227</v>
      </c>
      <c r="M66" s="38">
        <f t="shared" si="90"/>
        <v>2623.5751209344162</v>
      </c>
      <c r="N66" s="36">
        <f t="shared" si="91"/>
        <v>2623.5751209344162</v>
      </c>
      <c r="O66" s="36">
        <f t="shared" si="92"/>
        <v>2624</v>
      </c>
      <c r="P66" s="36">
        <f>O66*'Manpower Allocation'!$D$38</f>
        <v>15.349753694581281</v>
      </c>
      <c r="Q66" s="36">
        <f t="shared" si="93"/>
        <v>46.049261083743843</v>
      </c>
      <c r="R66" s="37">
        <f t="shared" si="94"/>
        <v>47</v>
      </c>
      <c r="S66" s="13">
        <f>'Manpower Allocation'!$D$44</f>
        <v>12</v>
      </c>
      <c r="T66" s="30">
        <f t="shared" si="104"/>
        <v>59</v>
      </c>
      <c r="U66" s="1327">
        <f t="shared" si="95"/>
        <v>2086.5443668010844</v>
      </c>
      <c r="V66" s="22">
        <v>19</v>
      </c>
      <c r="W66" s="612">
        <f t="shared" si="105"/>
        <v>3248</v>
      </c>
      <c r="X66" s="21">
        <f t="shared" si="96"/>
        <v>15.347268256697632</v>
      </c>
      <c r="Y66" s="612">
        <f t="shared" si="106"/>
        <v>2623.5751209344162</v>
      </c>
      <c r="Z66" s="22">
        <v>1</v>
      </c>
      <c r="AA66" s="21">
        <f t="shared" si="97"/>
        <v>15.347268256697632</v>
      </c>
      <c r="AB66" s="1325">
        <f t="shared" si="98"/>
        <v>16</v>
      </c>
      <c r="AC66" s="1328">
        <f t="shared" si="99"/>
        <v>48</v>
      </c>
      <c r="AD66" s="22" t="s">
        <v>1563</v>
      </c>
      <c r="AE66" s="22"/>
      <c r="AF66" s="1325"/>
      <c r="AG66" s="22"/>
      <c r="AH66" s="22"/>
      <c r="AI66" s="22"/>
      <c r="AJ66" s="130"/>
      <c r="AK66" s="130"/>
      <c r="AL66" s="130"/>
      <c r="AM66" s="907"/>
      <c r="AN66" s="614"/>
      <c r="AO66" s="614"/>
      <c r="AP66" s="614"/>
      <c r="AQ66" s="614"/>
      <c r="AR66" s="614"/>
      <c r="AS66" s="614"/>
      <c r="AT66" s="40"/>
      <c r="AU66" s="380" t="s">
        <v>122</v>
      </c>
      <c r="AV66" s="368">
        <v>3</v>
      </c>
      <c r="AW66" s="368">
        <v>3</v>
      </c>
      <c r="AX66" t="s">
        <v>687</v>
      </c>
      <c r="AY66">
        <v>3</v>
      </c>
      <c r="AZ66">
        <v>3</v>
      </c>
      <c r="BA66">
        <v>3</v>
      </c>
      <c r="BB66">
        <v>3</v>
      </c>
      <c r="BC66">
        <v>3</v>
      </c>
      <c r="BD66">
        <v>3</v>
      </c>
      <c r="BE66">
        <v>3</v>
      </c>
      <c r="BF66">
        <v>3</v>
      </c>
      <c r="BG66">
        <v>3</v>
      </c>
      <c r="BH66">
        <v>3</v>
      </c>
      <c r="BI66">
        <v>3</v>
      </c>
      <c r="BJ66">
        <v>3</v>
      </c>
      <c r="BK66">
        <v>3</v>
      </c>
      <c r="BO66" s="316">
        <f t="shared" si="102"/>
        <v>10.233169129720855</v>
      </c>
      <c r="BP66" s="316">
        <f t="shared" si="107"/>
        <v>30.699507389162562</v>
      </c>
      <c r="BR66" t="s">
        <v>646</v>
      </c>
    </row>
    <row r="67" spans="1:71">
      <c r="A67" s="32" t="s">
        <v>22</v>
      </c>
      <c r="B67" s="4" t="s">
        <v>22</v>
      </c>
      <c r="C67" s="5">
        <v>46204</v>
      </c>
      <c r="D67" s="967">
        <f>'YN01'!$J$162</f>
        <v>37.378367812747555</v>
      </c>
      <c r="E67" s="748">
        <f>'YN01'!$C$163</f>
        <v>2649.3918863440213</v>
      </c>
      <c r="F67" s="1069">
        <f t="shared" si="103"/>
        <v>3248</v>
      </c>
      <c r="G67" s="34">
        <f>'YN01'!$H$162</f>
        <v>0.91596638655462181</v>
      </c>
      <c r="H67" s="8">
        <f>'YN01'!$I$162</f>
        <v>0.84100610728627012</v>
      </c>
      <c r="I67" s="841">
        <f t="shared" si="88"/>
        <v>39644.342969220605</v>
      </c>
      <c r="J67" s="10">
        <f>BP!H30/DAY(EOMONTH(C67,0))</f>
        <v>34633.558317913623</v>
      </c>
      <c r="K67" s="612"/>
      <c r="L67" s="35">
        <f t="shared" si="89"/>
        <v>0.87360656588009811</v>
      </c>
      <c r="M67" s="38">
        <f t="shared" si="90"/>
        <v>2837.4741259785587</v>
      </c>
      <c r="N67" s="36">
        <f t="shared" si="91"/>
        <v>2837.4741259785587</v>
      </c>
      <c r="O67" s="36">
        <f t="shared" si="92"/>
        <v>2838</v>
      </c>
      <c r="P67" s="36">
        <f>O67*'Manpower Allocation'!$D$38</f>
        <v>16.601600985221673</v>
      </c>
      <c r="Q67" s="36">
        <f t="shared" si="93"/>
        <v>49.804802955665018</v>
      </c>
      <c r="R67" s="37">
        <f t="shared" si="94"/>
        <v>50</v>
      </c>
      <c r="S67" s="13">
        <f>'Manpower Allocation'!$D$44</f>
        <v>12</v>
      </c>
      <c r="T67" s="30">
        <f t="shared" si="104"/>
        <v>62</v>
      </c>
      <c r="U67" s="1327">
        <f t="shared" si="95"/>
        <v>2086.5443668010844</v>
      </c>
      <c r="V67" s="22">
        <v>19</v>
      </c>
      <c r="W67" s="612">
        <f t="shared" si="105"/>
        <v>3248</v>
      </c>
      <c r="X67" s="21">
        <f t="shared" si="96"/>
        <v>16.598524751721865</v>
      </c>
      <c r="Y67" s="612">
        <f t="shared" si="106"/>
        <v>2837.4741259785587</v>
      </c>
      <c r="Z67" s="22">
        <v>1</v>
      </c>
      <c r="AA67" s="21">
        <f t="shared" si="97"/>
        <v>16.598524751721865</v>
      </c>
      <c r="AB67" s="1325">
        <f t="shared" si="98"/>
        <v>17</v>
      </c>
      <c r="AC67" s="1328">
        <f t="shared" si="99"/>
        <v>51</v>
      </c>
      <c r="AD67" s="22" t="s">
        <v>1564</v>
      </c>
      <c r="AE67" s="22"/>
      <c r="AF67" s="1325"/>
      <c r="AG67" s="22"/>
      <c r="AH67" s="22"/>
      <c r="AI67" s="22"/>
      <c r="AJ67" s="130"/>
      <c r="AK67" s="130"/>
      <c r="AL67" s="130"/>
      <c r="AM67" s="907"/>
      <c r="AN67" s="614"/>
      <c r="AO67" s="614"/>
      <c r="AP67" s="614"/>
      <c r="AQ67" s="614"/>
      <c r="AR67" s="614"/>
      <c r="AS67" s="614"/>
      <c r="AT67" s="40"/>
      <c r="AU67" s="380" t="s">
        <v>121</v>
      </c>
      <c r="AV67" s="368">
        <v>3</v>
      </c>
      <c r="AW67" s="368">
        <v>3</v>
      </c>
      <c r="AY67">
        <v>0</v>
      </c>
      <c r="AZ67">
        <v>0</v>
      </c>
      <c r="BA67">
        <v>0</v>
      </c>
      <c r="BB67">
        <v>0</v>
      </c>
      <c r="BC67">
        <v>0</v>
      </c>
      <c r="BD67">
        <v>0</v>
      </c>
      <c r="BE67">
        <v>0</v>
      </c>
      <c r="BF67">
        <v>0</v>
      </c>
      <c r="BG67">
        <v>0</v>
      </c>
      <c r="BH67">
        <v>0</v>
      </c>
      <c r="BI67">
        <v>0</v>
      </c>
      <c r="BJ67">
        <v>0</v>
      </c>
      <c r="BK67">
        <v>0</v>
      </c>
      <c r="BO67" s="316">
        <f t="shared" si="102"/>
        <v>11.067733990147781</v>
      </c>
      <c r="BP67" s="316">
        <f t="shared" si="107"/>
        <v>33.203201970443345</v>
      </c>
      <c r="BR67" t="s">
        <v>647</v>
      </c>
    </row>
    <row r="68" spans="1:71">
      <c r="A68" s="32" t="s">
        <v>22</v>
      </c>
      <c r="B68" s="4" t="s">
        <v>22</v>
      </c>
      <c r="C68" s="5">
        <v>46235</v>
      </c>
      <c r="D68" s="967">
        <f>'YN01'!$J$162</f>
        <v>37.378367812747555</v>
      </c>
      <c r="E68" s="748">
        <f>'YN01'!$C$163</f>
        <v>2649.3918863440213</v>
      </c>
      <c r="F68" s="1069">
        <f t="shared" si="103"/>
        <v>3248</v>
      </c>
      <c r="G68" s="34">
        <f>'YN01'!$H$162</f>
        <v>0.91596638655462181</v>
      </c>
      <c r="H68" s="8">
        <f>'YN01'!$I$162</f>
        <v>0.84100610728627012</v>
      </c>
      <c r="I68" s="841">
        <f t="shared" si="88"/>
        <v>39644.342969220605</v>
      </c>
      <c r="J68" s="10">
        <f>BP!I30/DAY(EOMONTH(C68,0))</f>
        <v>38506.101631586273</v>
      </c>
      <c r="K68" s="612"/>
      <c r="L68" s="35">
        <f t="shared" si="89"/>
        <v>0.97128868200645802</v>
      </c>
      <c r="M68" s="38">
        <f t="shared" si="90"/>
        <v>3154.7456391569758</v>
      </c>
      <c r="N68" s="36">
        <f t="shared" si="91"/>
        <v>3154.7456391569758</v>
      </c>
      <c r="O68" s="36">
        <f t="shared" si="92"/>
        <v>3155</v>
      </c>
      <c r="P68" s="36">
        <f>O68*'Manpower Allocation'!$D$38</f>
        <v>18.45597290640394</v>
      </c>
      <c r="Q68" s="36">
        <f t="shared" si="93"/>
        <v>55.367918719211815</v>
      </c>
      <c r="R68" s="37">
        <f t="shared" si="94"/>
        <v>56</v>
      </c>
      <c r="S68" s="13">
        <f>'Manpower Allocation'!$D$44</f>
        <v>12</v>
      </c>
      <c r="T68" s="30">
        <f t="shared" si="104"/>
        <v>68</v>
      </c>
      <c r="U68" s="1327">
        <f t="shared" si="95"/>
        <v>2086.5443668010844</v>
      </c>
      <c r="V68" s="22">
        <v>19</v>
      </c>
      <c r="W68" s="612">
        <f t="shared" si="105"/>
        <v>3248</v>
      </c>
      <c r="X68" s="21">
        <f t="shared" si="96"/>
        <v>18.454484958122702</v>
      </c>
      <c r="Y68" s="612">
        <f t="shared" si="106"/>
        <v>3154.7456391569758</v>
      </c>
      <c r="Z68" s="22">
        <v>1</v>
      </c>
      <c r="AA68" s="21">
        <f t="shared" si="97"/>
        <v>18.454484958122702</v>
      </c>
      <c r="AB68" s="1325">
        <f t="shared" si="98"/>
        <v>19</v>
      </c>
      <c r="AC68" s="1328">
        <f t="shared" si="99"/>
        <v>57</v>
      </c>
      <c r="AD68" s="22" t="s">
        <v>1564</v>
      </c>
      <c r="AE68" s="22"/>
      <c r="AF68" s="1325"/>
      <c r="AG68" s="22"/>
      <c r="AH68" s="22"/>
      <c r="AI68" s="22"/>
      <c r="AJ68" s="130"/>
      <c r="AK68" s="130"/>
      <c r="AL68" s="130"/>
      <c r="AM68" s="907"/>
      <c r="AN68" s="614"/>
      <c r="AO68" s="614"/>
      <c r="AP68" s="614"/>
      <c r="AQ68" s="614"/>
      <c r="AR68" s="614"/>
      <c r="AS68" s="614"/>
      <c r="AT68" s="40"/>
      <c r="AU68" s="380" t="s">
        <v>144</v>
      </c>
      <c r="AV68" s="368">
        <v>3</v>
      </c>
      <c r="AW68" s="368">
        <v>3</v>
      </c>
      <c r="AY68">
        <v>3</v>
      </c>
      <c r="AZ68">
        <v>3</v>
      </c>
      <c r="BA68">
        <v>3</v>
      </c>
      <c r="BB68">
        <v>3</v>
      </c>
      <c r="BC68">
        <v>3</v>
      </c>
      <c r="BD68">
        <v>3</v>
      </c>
      <c r="BE68">
        <v>3</v>
      </c>
      <c r="BF68">
        <v>3</v>
      </c>
      <c r="BG68">
        <v>3</v>
      </c>
      <c r="BH68">
        <v>3</v>
      </c>
      <c r="BI68">
        <v>3</v>
      </c>
      <c r="BJ68">
        <v>3</v>
      </c>
      <c r="BK68">
        <v>3</v>
      </c>
      <c r="BO68" s="316">
        <f t="shared" si="102"/>
        <v>12.303981937602627</v>
      </c>
      <c r="BP68" s="316">
        <f t="shared" si="107"/>
        <v>36.911945812807879</v>
      </c>
      <c r="BR68" t="s">
        <v>648</v>
      </c>
    </row>
    <row r="69" spans="1:71">
      <c r="A69" s="32" t="s">
        <v>22</v>
      </c>
      <c r="B69" s="4" t="s">
        <v>22</v>
      </c>
      <c r="C69" s="5">
        <v>46266</v>
      </c>
      <c r="D69" s="967">
        <f>'YN01'!$J$162</f>
        <v>37.378367812747555</v>
      </c>
      <c r="E69" s="748">
        <f>'YN01'!$C$163</f>
        <v>2649.3918863440213</v>
      </c>
      <c r="F69" s="1069">
        <f t="shared" si="103"/>
        <v>3248</v>
      </c>
      <c r="G69" s="34">
        <f>'YN01'!$H$162</f>
        <v>0.91596638655462181</v>
      </c>
      <c r="H69" s="8">
        <f>'YN01'!$I$162</f>
        <v>0.84100610728627012</v>
      </c>
      <c r="I69" s="841">
        <f t="shared" si="88"/>
        <v>39644.342969220605</v>
      </c>
      <c r="J69" s="10">
        <f>BP!J30/DAY(EOMONTH(C69,0))</f>
        <v>39007.07849021069</v>
      </c>
      <c r="K69" s="612"/>
      <c r="L69" s="35">
        <f t="shared" si="89"/>
        <v>0.98392546246750312</v>
      </c>
      <c r="M69" s="38">
        <f t="shared" si="90"/>
        <v>3195.7899020944501</v>
      </c>
      <c r="N69" s="36">
        <f t="shared" si="91"/>
        <v>3195.7899020944501</v>
      </c>
      <c r="O69" s="36">
        <f t="shared" si="92"/>
        <v>3196</v>
      </c>
      <c r="P69" s="36">
        <f>O69*'Manpower Allocation'!$D$38</f>
        <v>18.695812807881772</v>
      </c>
      <c r="Q69" s="36">
        <f t="shared" si="93"/>
        <v>56.087438423645317</v>
      </c>
      <c r="R69" s="37">
        <f t="shared" si="94"/>
        <v>57</v>
      </c>
      <c r="S69" s="13">
        <f>'Manpower Allocation'!$D$44</f>
        <v>12</v>
      </c>
      <c r="T69" s="30">
        <f t="shared" si="104"/>
        <v>69</v>
      </c>
      <c r="U69" s="1327">
        <f t="shared" si="95"/>
        <v>2086.5443668010844</v>
      </c>
      <c r="V69" s="22">
        <v>19</v>
      </c>
      <c r="W69" s="612">
        <f t="shared" si="105"/>
        <v>3248</v>
      </c>
      <c r="X69" s="21">
        <f t="shared" si="96"/>
        <v>18.694583786882561</v>
      </c>
      <c r="Y69" s="612">
        <f t="shared" si="106"/>
        <v>3195.7899020944501</v>
      </c>
      <c r="Z69" s="22">
        <v>1</v>
      </c>
      <c r="AA69" s="21">
        <f t="shared" si="97"/>
        <v>18.694583786882561</v>
      </c>
      <c r="AB69" s="1325">
        <f t="shared" si="98"/>
        <v>19</v>
      </c>
      <c r="AC69" s="1325">
        <f t="shared" si="99"/>
        <v>57</v>
      </c>
      <c r="AD69" s="22"/>
      <c r="AE69" s="22"/>
      <c r="AF69" s="1325"/>
      <c r="AG69" s="22"/>
      <c r="AH69" s="22"/>
      <c r="AI69" s="22"/>
      <c r="AJ69" s="130"/>
      <c r="AK69" s="130"/>
      <c r="AL69" s="130"/>
      <c r="AM69" s="936"/>
      <c r="AN69" s="852"/>
      <c r="AO69" s="852"/>
      <c r="AP69" s="852"/>
      <c r="AQ69" s="852"/>
      <c r="AR69" s="852"/>
      <c r="AS69" s="852"/>
      <c r="AT69" s="40" t="s">
        <v>1040</v>
      </c>
      <c r="AU69" s="380" t="s">
        <v>134</v>
      </c>
      <c r="AV69" s="368">
        <v>3</v>
      </c>
      <c r="AW69" s="368">
        <v>3</v>
      </c>
      <c r="AY69">
        <v>3</v>
      </c>
      <c r="AZ69">
        <v>3</v>
      </c>
      <c r="BA69">
        <v>3</v>
      </c>
      <c r="BB69">
        <v>3</v>
      </c>
      <c r="BC69">
        <v>3</v>
      </c>
      <c r="BD69">
        <v>3</v>
      </c>
      <c r="BE69">
        <v>3</v>
      </c>
      <c r="BF69">
        <v>3</v>
      </c>
      <c r="BG69">
        <v>3</v>
      </c>
      <c r="BH69">
        <v>3</v>
      </c>
      <c r="BI69">
        <v>3</v>
      </c>
      <c r="BJ69">
        <v>3</v>
      </c>
      <c r="BK69">
        <v>3</v>
      </c>
      <c r="BO69" s="316">
        <f t="shared" si="102"/>
        <v>12.463875205254515</v>
      </c>
      <c r="BP69" s="316">
        <f t="shared" si="107"/>
        <v>37.391625615763544</v>
      </c>
      <c r="BR69" t="s">
        <v>649</v>
      </c>
    </row>
    <row r="70" spans="1:71">
      <c r="A70" s="32" t="s">
        <v>22</v>
      </c>
      <c r="B70" s="4" t="s">
        <v>22</v>
      </c>
      <c r="C70" s="5">
        <v>46296</v>
      </c>
      <c r="D70" s="967">
        <f>'YN01'!$J$162</f>
        <v>37.378367812747555</v>
      </c>
      <c r="E70" s="748">
        <f>'YN01'!$C$163</f>
        <v>2649.3918863440213</v>
      </c>
      <c r="F70" s="1069">
        <f t="shared" si="103"/>
        <v>3248</v>
      </c>
      <c r="G70" s="34">
        <f>'YN01'!$H$162</f>
        <v>0.91596638655462181</v>
      </c>
      <c r="H70" s="8">
        <f>'YN01'!$I$162</f>
        <v>0.84100610728627012</v>
      </c>
      <c r="I70" s="841">
        <f t="shared" si="88"/>
        <v>39644.342969220605</v>
      </c>
      <c r="J70" s="10">
        <f>BP!K30/DAY(EOMONTH(C70,0))</f>
        <v>34028.047628986453</v>
      </c>
      <c r="K70" s="612"/>
      <c r="L70" s="35">
        <f t="shared" si="89"/>
        <v>0.85833299483372505</v>
      </c>
      <c r="M70" s="38">
        <f t="shared" si="90"/>
        <v>2787.8655672199388</v>
      </c>
      <c r="N70" s="36">
        <f t="shared" si="91"/>
        <v>2787.8655672199388</v>
      </c>
      <c r="O70" s="36">
        <f t="shared" si="92"/>
        <v>2788</v>
      </c>
      <c r="P70" s="36">
        <f>O70*'Manpower Allocation'!$D$38</f>
        <v>16.309113300492609</v>
      </c>
      <c r="Q70" s="36">
        <f t="shared" si="93"/>
        <v>48.927339901477822</v>
      </c>
      <c r="R70" s="37">
        <f t="shared" si="94"/>
        <v>49</v>
      </c>
      <c r="S70" s="13">
        <f>'Manpower Allocation'!$D$44</f>
        <v>12</v>
      </c>
      <c r="T70" s="30">
        <f t="shared" si="104"/>
        <v>61</v>
      </c>
      <c r="U70" s="1327">
        <f t="shared" si="95"/>
        <v>2086.5443668010844</v>
      </c>
      <c r="V70" s="22">
        <v>19</v>
      </c>
      <c r="W70" s="612">
        <f t="shared" si="105"/>
        <v>3248</v>
      </c>
      <c r="X70" s="21">
        <f t="shared" si="96"/>
        <v>16.308326901840775</v>
      </c>
      <c r="Y70" s="612">
        <f t="shared" si="106"/>
        <v>2787.8655672199388</v>
      </c>
      <c r="Z70" s="22">
        <v>1</v>
      </c>
      <c r="AA70" s="21">
        <f t="shared" si="97"/>
        <v>16.308326901840775</v>
      </c>
      <c r="AB70" s="1325">
        <f t="shared" si="98"/>
        <v>17</v>
      </c>
      <c r="AC70" s="1328">
        <f t="shared" si="99"/>
        <v>51</v>
      </c>
      <c r="AD70" s="22" t="s">
        <v>1563</v>
      </c>
      <c r="AE70" s="22"/>
      <c r="AF70" s="1325"/>
      <c r="AG70" s="22"/>
      <c r="AH70" s="22"/>
      <c r="AI70" s="22"/>
      <c r="AJ70" s="130"/>
      <c r="AK70" s="130"/>
      <c r="AL70" s="130"/>
      <c r="AM70" s="907"/>
      <c r="AN70" s="614"/>
      <c r="AO70" s="614"/>
      <c r="AP70" s="614"/>
      <c r="AQ70" s="614"/>
      <c r="AR70" s="614"/>
      <c r="AS70" s="614"/>
      <c r="AT70" s="40"/>
      <c r="AU70" s="133" t="s">
        <v>561</v>
      </c>
      <c r="AV70" s="33">
        <f>SUM(AV64:AV69)</f>
        <v>67</v>
      </c>
      <c r="AW70" s="33">
        <f>SUM(AW64:AW69)</f>
        <v>46</v>
      </c>
      <c r="AY70">
        <f>SUM(AY64:AY69)</f>
        <v>51</v>
      </c>
      <c r="AZ70">
        <f t="shared" ref="AZ70:BK70" si="108">SUM(AZ64:AZ69)</f>
        <v>54</v>
      </c>
      <c r="BA70">
        <f t="shared" si="108"/>
        <v>54</v>
      </c>
      <c r="BB70">
        <f t="shared" si="108"/>
        <v>63</v>
      </c>
      <c r="BC70">
        <f t="shared" si="108"/>
        <v>63</v>
      </c>
      <c r="BD70">
        <f t="shared" si="108"/>
        <v>66</v>
      </c>
      <c r="BE70">
        <f t="shared" si="108"/>
        <v>57</v>
      </c>
      <c r="BF70">
        <f t="shared" si="108"/>
        <v>66</v>
      </c>
      <c r="BG70">
        <f t="shared" si="108"/>
        <v>66</v>
      </c>
      <c r="BH70">
        <f t="shared" si="108"/>
        <v>66</v>
      </c>
      <c r="BI70">
        <f t="shared" si="108"/>
        <v>63</v>
      </c>
      <c r="BJ70">
        <f t="shared" si="108"/>
        <v>66</v>
      </c>
      <c r="BK70">
        <f t="shared" si="108"/>
        <v>42</v>
      </c>
      <c r="BO70" s="316">
        <f t="shared" si="102"/>
        <v>10.872742200328405</v>
      </c>
      <c r="BP70" s="316">
        <f t="shared" si="107"/>
        <v>32.618226600985217</v>
      </c>
      <c r="BR70" t="s">
        <v>650</v>
      </c>
    </row>
    <row r="71" spans="1:71">
      <c r="A71" s="32" t="s">
        <v>22</v>
      </c>
      <c r="B71" s="4" t="s">
        <v>22</v>
      </c>
      <c r="C71" s="5">
        <v>46327</v>
      </c>
      <c r="D71" s="967">
        <f>'YN01'!$J$162</f>
        <v>37.378367812747555</v>
      </c>
      <c r="E71" s="748">
        <f>'YN01'!$C$163</f>
        <v>2649.3918863440213</v>
      </c>
      <c r="F71" s="1069">
        <f t="shared" si="103"/>
        <v>3248</v>
      </c>
      <c r="G71" s="34">
        <f>'YN01'!$H$162</f>
        <v>0.91596638655462181</v>
      </c>
      <c r="H71" s="8">
        <f>'YN01'!$I$162</f>
        <v>0.84100610728627012</v>
      </c>
      <c r="I71" s="841">
        <f t="shared" si="88"/>
        <v>39644.342969220605</v>
      </c>
      <c r="J71" s="10">
        <f>BP!L30/DAY(EOMONTH(C71,0))</f>
        <v>31353.977283563971</v>
      </c>
      <c r="K71" s="612"/>
      <c r="L71" s="35">
        <f t="shared" si="89"/>
        <v>0.79088149620506576</v>
      </c>
      <c r="M71" s="38">
        <f t="shared" si="90"/>
        <v>2568.7830996740536</v>
      </c>
      <c r="N71" s="36">
        <f t="shared" si="91"/>
        <v>2568.7830996740536</v>
      </c>
      <c r="O71" s="36">
        <f t="shared" si="92"/>
        <v>2569</v>
      </c>
      <c r="P71" s="36">
        <f>O71*'Manpower Allocation'!$D$38</f>
        <v>15.02801724137931</v>
      </c>
      <c r="Q71" s="36">
        <f t="shared" si="93"/>
        <v>45.084051724137929</v>
      </c>
      <c r="R71" s="37">
        <f t="shared" si="94"/>
        <v>46</v>
      </c>
      <c r="S71" s="13">
        <f>'Manpower Allocation'!$D$44</f>
        <v>12</v>
      </c>
      <c r="T71" s="30">
        <f t="shared" si="104"/>
        <v>58</v>
      </c>
      <c r="U71" s="1327">
        <f t="shared" si="95"/>
        <v>2086.5443668010844</v>
      </c>
      <c r="V71" s="22">
        <v>19</v>
      </c>
      <c r="W71" s="612">
        <f t="shared" si="105"/>
        <v>3248</v>
      </c>
      <c r="X71" s="21">
        <f t="shared" si="96"/>
        <v>15.02674842789625</v>
      </c>
      <c r="Y71" s="612">
        <f t="shared" si="106"/>
        <v>2568.7830996740536</v>
      </c>
      <c r="Z71" s="22">
        <v>1</v>
      </c>
      <c r="AA71" s="21">
        <f t="shared" si="97"/>
        <v>15.02674842789625</v>
      </c>
      <c r="AB71" s="1325">
        <f t="shared" si="98"/>
        <v>16</v>
      </c>
      <c r="AC71" s="1329">
        <f t="shared" ref="AC71:AC72" si="109">ROUNDUP(AA71*3,0)</f>
        <v>46</v>
      </c>
      <c r="AD71" s="22"/>
      <c r="AE71" s="22"/>
      <c r="AF71" s="1325"/>
      <c r="AG71" s="22"/>
      <c r="AH71" s="22"/>
      <c r="AI71" s="22"/>
      <c r="AJ71" s="130"/>
      <c r="AK71" s="130"/>
      <c r="AL71" s="130"/>
      <c r="AM71" s="907"/>
      <c r="AN71" s="614"/>
      <c r="AO71" s="614"/>
      <c r="AP71" s="614"/>
      <c r="AQ71" s="614"/>
      <c r="AR71" s="614"/>
      <c r="AS71" s="614"/>
      <c r="AT71" s="40"/>
      <c r="AZ71" s="40"/>
      <c r="BA71" s="40"/>
      <c r="BO71" s="316">
        <f t="shared" si="102"/>
        <v>10.01867816091954</v>
      </c>
      <c r="BP71" s="316">
        <f t="shared" si="107"/>
        <v>30.056034482758619</v>
      </c>
      <c r="BR71" t="s">
        <v>651</v>
      </c>
    </row>
    <row r="72" spans="1:71">
      <c r="A72" s="32" t="s">
        <v>22</v>
      </c>
      <c r="B72" s="4" t="s">
        <v>22</v>
      </c>
      <c r="C72" s="5">
        <v>46357</v>
      </c>
      <c r="D72" s="967">
        <f>'YN01'!$J$162</f>
        <v>37.378367812747555</v>
      </c>
      <c r="E72" s="748">
        <f>'YN01'!$C$163</f>
        <v>2649.3918863440213</v>
      </c>
      <c r="F72" s="1069">
        <f t="shared" si="103"/>
        <v>3248</v>
      </c>
      <c r="G72" s="34">
        <f>'YN01'!$H$162</f>
        <v>0.91596638655462181</v>
      </c>
      <c r="H72" s="8">
        <f>'YN01'!$I$162</f>
        <v>0.84100610728627012</v>
      </c>
      <c r="I72" s="841">
        <f t="shared" si="88"/>
        <v>39644.342969220605</v>
      </c>
      <c r="J72" s="10">
        <f>BP!M30/DAY(EOMONTH(C72,0))</f>
        <v>37743.215570490967</v>
      </c>
      <c r="K72" s="612"/>
      <c r="L72" s="35">
        <f t="shared" si="89"/>
        <v>0.9520454305370718</v>
      </c>
      <c r="M72" s="38">
        <f t="shared" si="90"/>
        <v>3092.2435583844094</v>
      </c>
      <c r="N72" s="36">
        <f t="shared" si="91"/>
        <v>3092.2435583844094</v>
      </c>
      <c r="O72" s="36">
        <f t="shared" si="92"/>
        <v>3093</v>
      </c>
      <c r="P72" s="36">
        <f>O72*'Manpower Allocation'!$D$38</f>
        <v>18.0932881773399</v>
      </c>
      <c r="Q72" s="36">
        <f t="shared" si="93"/>
        <v>54.279864532019701</v>
      </c>
      <c r="R72" s="37">
        <f t="shared" si="94"/>
        <v>55</v>
      </c>
      <c r="S72" s="13">
        <f>'Manpower Allocation'!$D$44</f>
        <v>12</v>
      </c>
      <c r="T72" s="30">
        <f t="shared" si="104"/>
        <v>67</v>
      </c>
      <c r="U72" s="1327">
        <f t="shared" si="95"/>
        <v>2086.5443668010844</v>
      </c>
      <c r="V72" s="22">
        <v>19</v>
      </c>
      <c r="W72" s="612">
        <f t="shared" si="105"/>
        <v>3248</v>
      </c>
      <c r="X72" s="21">
        <f t="shared" si="96"/>
        <v>18.088863180204367</v>
      </c>
      <c r="Y72" s="612">
        <f t="shared" si="106"/>
        <v>3092.2435583844094</v>
      </c>
      <c r="Z72" s="22">
        <v>1</v>
      </c>
      <c r="AA72" s="21">
        <f t="shared" si="97"/>
        <v>18.088863180204367</v>
      </c>
      <c r="AB72" s="1325">
        <f t="shared" si="98"/>
        <v>19</v>
      </c>
      <c r="AC72" s="1329">
        <f t="shared" si="109"/>
        <v>55</v>
      </c>
      <c r="AD72" s="22"/>
      <c r="AE72" s="22"/>
      <c r="AF72" s="1325"/>
      <c r="AG72" s="22"/>
      <c r="AH72" s="22"/>
      <c r="AI72" s="22"/>
      <c r="AJ72" s="130"/>
      <c r="AK72" s="130"/>
      <c r="AL72" s="130"/>
      <c r="AM72" s="907"/>
      <c r="AN72" s="614"/>
      <c r="AO72" s="614"/>
      <c r="AP72" s="614"/>
      <c r="AQ72" s="614"/>
      <c r="AR72" s="614"/>
      <c r="AS72" s="614"/>
      <c r="AT72" s="40"/>
      <c r="AY72" s="40">
        <v>14</v>
      </c>
      <c r="AZ72" s="40">
        <v>15</v>
      </c>
      <c r="BA72" s="40">
        <v>15</v>
      </c>
      <c r="BB72" s="40">
        <v>18</v>
      </c>
      <c r="BC72" s="40">
        <v>18</v>
      </c>
      <c r="BD72" s="40">
        <v>19</v>
      </c>
      <c r="BE72" s="40">
        <v>16</v>
      </c>
      <c r="BF72" s="40">
        <v>19</v>
      </c>
      <c r="BG72" s="40">
        <v>19</v>
      </c>
      <c r="BH72" s="40">
        <v>19</v>
      </c>
      <c r="BI72" s="40">
        <v>18</v>
      </c>
      <c r="BJ72" s="40">
        <v>19</v>
      </c>
      <c r="BK72" s="40">
        <v>11</v>
      </c>
      <c r="BO72" s="316">
        <f t="shared" si="102"/>
        <v>12.0621921182266</v>
      </c>
      <c r="BP72" s="316">
        <f t="shared" si="107"/>
        <v>36.186576354679801</v>
      </c>
    </row>
    <row r="73" spans="1:71">
      <c r="A73" s="32" t="s">
        <v>22</v>
      </c>
      <c r="B73" s="4" t="s">
        <v>22</v>
      </c>
      <c r="C73" s="5">
        <v>46388</v>
      </c>
      <c r="D73" s="967">
        <f>'YN01'!$J$162</f>
        <v>37.378367812747555</v>
      </c>
      <c r="E73" s="748">
        <f>'YN01'!$C$163</f>
        <v>2649.3918863440213</v>
      </c>
      <c r="F73" s="1069">
        <f t="shared" si="103"/>
        <v>3248</v>
      </c>
      <c r="G73" s="34">
        <f>'YN01'!$H$162</f>
        <v>0.91596638655462181</v>
      </c>
      <c r="H73" s="8">
        <f>'YN01'!$I$162</f>
        <v>0.84100610728627012</v>
      </c>
      <c r="I73" s="841">
        <f t="shared" si="88"/>
        <v>39644.342969220605</v>
      </c>
      <c r="J73" s="10">
        <f>BP!N30/DAY(EOMONTH(C73,0))</f>
        <v>37545.075372272251</v>
      </c>
      <c r="K73" s="612"/>
      <c r="L73" s="35">
        <f t="shared" si="89"/>
        <v>0.94704748673529038</v>
      </c>
      <c r="M73" s="38">
        <f t="shared" si="90"/>
        <v>3076.0102369162232</v>
      </c>
      <c r="N73" s="36">
        <f t="shared" si="91"/>
        <v>3076.0102369162232</v>
      </c>
      <c r="O73" s="36">
        <f t="shared" si="92"/>
        <v>3077</v>
      </c>
      <c r="P73" s="36">
        <f>O73*'Manpower Allocation'!$D$38</f>
        <v>17.999692118226601</v>
      </c>
      <c r="Q73" s="36">
        <f t="shared" si="93"/>
        <v>53.999076354679801</v>
      </c>
      <c r="R73" s="37">
        <f t="shared" si="94"/>
        <v>54</v>
      </c>
      <c r="S73" s="13">
        <f>'Manpower Allocation'!$D$44</f>
        <v>12</v>
      </c>
      <c r="T73" s="30">
        <f t="shared" si="104"/>
        <v>66</v>
      </c>
      <c r="U73" s="1327">
        <f t="shared" si="95"/>
        <v>2086.5443668010844</v>
      </c>
      <c r="V73" s="22">
        <v>19</v>
      </c>
      <c r="W73" s="612">
        <f t="shared" si="105"/>
        <v>3248</v>
      </c>
      <c r="X73" s="21">
        <f t="shared" si="96"/>
        <v>17.993902247970517</v>
      </c>
      <c r="Y73" s="612">
        <f t="shared" si="106"/>
        <v>3076.0102369162232</v>
      </c>
      <c r="Z73" s="22">
        <v>1</v>
      </c>
      <c r="AA73" s="21">
        <f t="shared" si="97"/>
        <v>17.993902247970517</v>
      </c>
      <c r="AB73" s="1325">
        <f t="shared" si="98"/>
        <v>18</v>
      </c>
      <c r="AC73" s="1325">
        <f t="shared" si="99"/>
        <v>54</v>
      </c>
      <c r="AD73" s="22"/>
      <c r="AE73" s="22"/>
      <c r="AF73" s="1325"/>
      <c r="AG73" s="22"/>
      <c r="AH73" s="22"/>
      <c r="AI73" s="22"/>
      <c r="AJ73" s="130"/>
      <c r="AK73" s="130"/>
      <c r="AL73" s="130"/>
      <c r="AM73" s="907"/>
      <c r="AN73" s="614"/>
      <c r="AO73" s="614"/>
      <c r="AP73" s="614"/>
      <c r="AQ73" s="614"/>
      <c r="AR73" s="614"/>
      <c r="AS73" s="614"/>
      <c r="AT73" s="40"/>
      <c r="AZ73" s="40"/>
      <c r="BA73" s="40"/>
      <c r="BO73" s="316">
        <f t="shared" si="102"/>
        <v>11.999794745484401</v>
      </c>
      <c r="BP73" s="316">
        <f t="shared" si="107"/>
        <v>35.999384236453203</v>
      </c>
      <c r="BR73">
        <f>34/3</f>
        <v>11.333333333333334</v>
      </c>
    </row>
    <row r="74" spans="1:71">
      <c r="A74" s="32" t="s">
        <v>22</v>
      </c>
      <c r="B74" s="4" t="s">
        <v>22</v>
      </c>
      <c r="C74" s="5">
        <v>46419</v>
      </c>
      <c r="D74" s="967">
        <f>'YN01'!$J$162</f>
        <v>37.378367812747555</v>
      </c>
      <c r="E74" s="748">
        <f>'YN01'!$C$163</f>
        <v>2649.3918863440213</v>
      </c>
      <c r="F74" s="1069">
        <f t="shared" si="103"/>
        <v>3248</v>
      </c>
      <c r="G74" s="34">
        <f>'YN01'!$H$162</f>
        <v>0.91596638655462181</v>
      </c>
      <c r="H74" s="8">
        <f>'YN01'!$I$162</f>
        <v>0.84100610728627012</v>
      </c>
      <c r="I74" s="841">
        <f t="shared" si="88"/>
        <v>39644.342969220605</v>
      </c>
      <c r="J74" s="10">
        <f>BP!O30/DAY(EOMONTH(C74,0))</f>
        <v>38907.620069402488</v>
      </c>
      <c r="K74" s="612"/>
      <c r="L74" s="35">
        <f t="shared" si="89"/>
        <v>0.98141669543142385</v>
      </c>
      <c r="M74" s="38">
        <f t="shared" si="90"/>
        <v>3187.6414267612645</v>
      </c>
      <c r="N74" s="36">
        <f t="shared" si="91"/>
        <v>3187.6414267612645</v>
      </c>
      <c r="O74" s="36">
        <f t="shared" si="92"/>
        <v>3188</v>
      </c>
      <c r="P74" s="36">
        <f>O74*'Manpower Allocation'!$D$38</f>
        <v>18.649014778325121</v>
      </c>
      <c r="Q74" s="36">
        <f t="shared" si="93"/>
        <v>55.947044334975359</v>
      </c>
      <c r="R74" s="37">
        <f t="shared" si="94"/>
        <v>56</v>
      </c>
      <c r="S74" s="13">
        <f>'Manpower Allocation'!$D$44</f>
        <v>12</v>
      </c>
      <c r="T74" s="30">
        <f t="shared" si="104"/>
        <v>68</v>
      </c>
      <c r="U74" s="1327">
        <f t="shared" si="95"/>
        <v>2086.5443668010844</v>
      </c>
      <c r="V74" s="22">
        <v>19</v>
      </c>
      <c r="W74" s="612">
        <f t="shared" si="105"/>
        <v>3248</v>
      </c>
      <c r="X74" s="21">
        <f t="shared" si="96"/>
        <v>18.646917213197053</v>
      </c>
      <c r="Y74" s="612">
        <f t="shared" si="106"/>
        <v>3187.6414267612645</v>
      </c>
      <c r="Z74" s="22">
        <v>1</v>
      </c>
      <c r="AA74" s="21">
        <f t="shared" si="97"/>
        <v>18.646917213197053</v>
      </c>
      <c r="AB74" s="1325">
        <f t="shared" si="98"/>
        <v>19</v>
      </c>
      <c r="AC74" s="1328">
        <f t="shared" si="99"/>
        <v>57</v>
      </c>
      <c r="AD74" s="22" t="s">
        <v>1564</v>
      </c>
      <c r="AE74" s="22"/>
      <c r="AF74" s="1325"/>
      <c r="AG74" s="22"/>
      <c r="AH74" s="22"/>
      <c r="AI74" s="22"/>
      <c r="AJ74" s="130"/>
      <c r="AK74" s="130"/>
      <c r="AL74" s="130"/>
      <c r="AM74" s="907"/>
      <c r="AN74" s="614"/>
      <c r="AO74" s="614"/>
      <c r="AP74" s="614"/>
      <c r="AQ74" s="614"/>
      <c r="AR74" s="614"/>
      <c r="AS74" s="614"/>
      <c r="AT74" s="40"/>
      <c r="AV74">
        <f>1*17*3</f>
        <v>51</v>
      </c>
      <c r="AZ74" s="40"/>
      <c r="BA74" s="40"/>
      <c r="BO74" s="316">
        <f t="shared" si="102"/>
        <v>12.432676518883413</v>
      </c>
      <c r="BP74" s="316">
        <f t="shared" si="107"/>
        <v>37.298029556650242</v>
      </c>
    </row>
    <row r="75" spans="1:71">
      <c r="A75" s="32" t="s">
        <v>22</v>
      </c>
      <c r="B75" s="4" t="s">
        <v>22</v>
      </c>
      <c r="C75" s="5">
        <v>46447</v>
      </c>
      <c r="D75" s="967">
        <f>'YN01'!$J$162</f>
        <v>37.378367812747555</v>
      </c>
      <c r="E75" s="748">
        <f>'YN01'!$C$163</f>
        <v>2649.3918863440213</v>
      </c>
      <c r="F75" s="1069">
        <f t="shared" si="103"/>
        <v>3248</v>
      </c>
      <c r="G75" s="34">
        <f>'YN01'!$H$162</f>
        <v>0.91596638655462181</v>
      </c>
      <c r="H75" s="8">
        <f>'YN01'!$I$162</f>
        <v>0.84100610728627012</v>
      </c>
      <c r="I75" s="841">
        <f t="shared" si="88"/>
        <v>39644.342969220605</v>
      </c>
      <c r="J75" s="10">
        <f>BP!P30/DAY(EOMONTH(C75,0))</f>
        <v>33353.913769647988</v>
      </c>
      <c r="K75" s="612"/>
      <c r="L75" s="35">
        <f t="shared" si="89"/>
        <v>0.84132845373534304</v>
      </c>
      <c r="M75" s="38">
        <f t="shared" si="90"/>
        <v>2732.6348177323944</v>
      </c>
      <c r="N75" s="36">
        <f t="shared" si="91"/>
        <v>2732.6348177323944</v>
      </c>
      <c r="O75" s="36">
        <f t="shared" si="92"/>
        <v>2733</v>
      </c>
      <c r="P75" s="36">
        <f>O75*'Manpower Allocation'!$D$38</f>
        <v>15.987376847290641</v>
      </c>
      <c r="Q75" s="36">
        <f t="shared" si="93"/>
        <v>47.962130541871922</v>
      </c>
      <c r="R75" s="37">
        <f t="shared" si="94"/>
        <v>48</v>
      </c>
      <c r="S75" s="13">
        <f>'Manpower Allocation'!$D$44</f>
        <v>12</v>
      </c>
      <c r="T75" s="30">
        <f t="shared" si="104"/>
        <v>60</v>
      </c>
      <c r="U75" s="1327">
        <f t="shared" si="95"/>
        <v>2086.5443668010844</v>
      </c>
      <c r="V75" s="22">
        <v>19</v>
      </c>
      <c r="W75" s="612">
        <f t="shared" si="105"/>
        <v>3248</v>
      </c>
      <c r="X75" s="21">
        <f t="shared" si="96"/>
        <v>15.985240620971517</v>
      </c>
      <c r="Y75" s="612">
        <f t="shared" si="106"/>
        <v>2732.6348177323944</v>
      </c>
      <c r="Z75" s="22">
        <v>1</v>
      </c>
      <c r="AA75" s="21">
        <f t="shared" si="97"/>
        <v>15.985240620971517</v>
      </c>
      <c r="AB75" s="1325">
        <f t="shared" si="98"/>
        <v>16</v>
      </c>
      <c r="AC75" s="1325">
        <f t="shared" si="99"/>
        <v>48</v>
      </c>
      <c r="AD75" s="22"/>
      <c r="AE75" s="22"/>
      <c r="AF75" s="1325"/>
      <c r="AG75" s="22"/>
      <c r="AH75" s="22"/>
      <c r="AI75" s="22"/>
      <c r="AJ75" s="130"/>
      <c r="AK75" s="130"/>
      <c r="AL75" s="130"/>
      <c r="AM75" s="907"/>
      <c r="AN75" s="614"/>
      <c r="AO75" s="614"/>
      <c r="AP75" s="614"/>
      <c r="AQ75" s="614"/>
      <c r="AR75" s="614"/>
      <c r="AS75" s="614"/>
      <c r="AT75" s="40"/>
      <c r="AZ75" s="40"/>
      <c r="BA75" s="40"/>
      <c r="BO75" s="316">
        <f t="shared" si="102"/>
        <v>10.658251231527094</v>
      </c>
      <c r="BP75" s="316">
        <f t="shared" si="107"/>
        <v>31.974753694581281</v>
      </c>
    </row>
    <row r="76" spans="1:71">
      <c r="Q76" s="40">
        <f>AVERAGE(Q64:Q75)</f>
        <v>51.717672413793089</v>
      </c>
      <c r="R76" s="379">
        <f>ROUNDUP(Q76,0)</f>
        <v>52</v>
      </c>
      <c r="S76" s="134"/>
      <c r="BP76" s="317">
        <f>AVERAGE(BP64:BP75)</f>
        <v>34.478448275862071</v>
      </c>
    </row>
    <row r="78" spans="1:71" ht="36" customHeight="1">
      <c r="A78" s="1" t="s">
        <v>0</v>
      </c>
      <c r="B78" s="1" t="s">
        <v>1</v>
      </c>
      <c r="C78" s="1" t="s">
        <v>2</v>
      </c>
      <c r="D78" s="799" t="s">
        <v>3</v>
      </c>
      <c r="E78" s="1" t="s">
        <v>4</v>
      </c>
      <c r="F78" s="1" t="s">
        <v>5</v>
      </c>
      <c r="G78" s="1" t="s">
        <v>6</v>
      </c>
      <c r="H78" s="1" t="s">
        <v>7</v>
      </c>
      <c r="I78" s="1" t="s">
        <v>8</v>
      </c>
      <c r="J78" s="1" t="s">
        <v>9</v>
      </c>
      <c r="K78" s="1"/>
      <c r="L78" s="1" t="s">
        <v>10</v>
      </c>
      <c r="M78" s="1" t="s">
        <v>10</v>
      </c>
      <c r="N78" s="1" t="s">
        <v>11</v>
      </c>
      <c r="O78" s="1" t="s">
        <v>11</v>
      </c>
      <c r="P78" s="1" t="s">
        <v>12</v>
      </c>
      <c r="Q78" s="1" t="s">
        <v>13</v>
      </c>
      <c r="R78" s="1" t="s">
        <v>13</v>
      </c>
      <c r="S78" s="1" t="s">
        <v>1251</v>
      </c>
      <c r="T78" s="1" t="s">
        <v>14</v>
      </c>
      <c r="U78" s="851" t="s">
        <v>1561</v>
      </c>
      <c r="V78" s="851" t="s">
        <v>1517</v>
      </c>
      <c r="W78" s="851" t="s">
        <v>1518</v>
      </c>
      <c r="X78" s="851" t="s">
        <v>873</v>
      </c>
      <c r="Y78" s="851" t="s">
        <v>1519</v>
      </c>
      <c r="Z78" s="851" t="s">
        <v>1520</v>
      </c>
      <c r="AA78" s="851" t="s">
        <v>1521</v>
      </c>
      <c r="AB78" s="851" t="s">
        <v>1521</v>
      </c>
      <c r="AC78" s="851" t="s">
        <v>1562</v>
      </c>
      <c r="AD78" s="851" t="s">
        <v>537</v>
      </c>
      <c r="AJ78" s="935"/>
      <c r="AK78" s="935"/>
      <c r="AL78" s="935"/>
      <c r="AM78" s="935"/>
      <c r="AN78" s="851" t="s">
        <v>428</v>
      </c>
      <c r="AO78" s="851" t="s">
        <v>1094</v>
      </c>
      <c r="AP78" s="851" t="s">
        <v>1095</v>
      </c>
      <c r="AQ78" s="851"/>
      <c r="AR78" s="851"/>
      <c r="AS78" s="851"/>
      <c r="AW78" s="395" t="s">
        <v>521</v>
      </c>
      <c r="AX78" s="395"/>
      <c r="AY78" s="5">
        <v>45748</v>
      </c>
      <c r="AZ78" s="5">
        <v>45778</v>
      </c>
      <c r="BA78" s="5">
        <v>45809</v>
      </c>
      <c r="BB78" s="5">
        <v>45839</v>
      </c>
      <c r="BC78" s="5">
        <v>45870</v>
      </c>
      <c r="BD78" s="5">
        <v>45901</v>
      </c>
      <c r="BE78" s="5">
        <v>45931</v>
      </c>
      <c r="BF78" s="5">
        <v>45962</v>
      </c>
      <c r="BG78" s="5">
        <v>45992</v>
      </c>
      <c r="BH78" s="5">
        <v>46023</v>
      </c>
      <c r="BI78" s="5">
        <v>46054</v>
      </c>
      <c r="BJ78" s="5">
        <v>46082</v>
      </c>
      <c r="BK78" s="5">
        <v>46082</v>
      </c>
    </row>
    <row r="79" spans="1:71">
      <c r="A79" s="32" t="s">
        <v>24</v>
      </c>
      <c r="B79" s="4" t="s">
        <v>506</v>
      </c>
      <c r="C79" s="5">
        <v>46113</v>
      </c>
      <c r="D79" s="967">
        <f>'YN01'!$K$333</f>
        <v>350</v>
      </c>
      <c r="E79" s="748">
        <f>'YN01'!$F$333</f>
        <v>2659.1722160694967</v>
      </c>
      <c r="F79" s="1313">
        <f>'YN01'!$N$333</f>
        <v>319.87517540461607</v>
      </c>
      <c r="G79" s="34">
        <f>'YN01'!$I$333</f>
        <v>0.90136986301369848</v>
      </c>
      <c r="H79" s="8">
        <f>'YN01'!$J$333</f>
        <v>0.85035903477255004</v>
      </c>
      <c r="I79" s="841">
        <f t="shared" ref="I79" si="110">D79*E79*F79*G79*H79*0.00016</f>
        <v>36510.719570498157</v>
      </c>
      <c r="J79" s="10">
        <f>(BP!E64+BP!E65)/DAY(EOMONTH(C79,0))</f>
        <v>36944.505538265548</v>
      </c>
      <c r="K79" s="612"/>
      <c r="L79" s="35">
        <f t="shared" ref="L79:L90" si="111">J79/I79</f>
        <v>1.0118810577515405</v>
      </c>
      <c r="M79" s="38">
        <f t="shared" ref="M79:M90" si="112">IF((L79*F79)&gt;F79,F79,(L79*F79))</f>
        <v>319.87517540461607</v>
      </c>
      <c r="N79" s="36">
        <f t="shared" ref="N79:N90" si="113">M79</f>
        <v>319.87517540461607</v>
      </c>
      <c r="O79" s="36">
        <f t="shared" ref="O79:O90" si="114">ROUNDUP(N79,0)</f>
        <v>320</v>
      </c>
      <c r="P79" s="36">
        <f>O79*'Manpower Allocation'!$D$46</f>
        <v>17.297297297297298</v>
      </c>
      <c r="Q79" s="36">
        <f t="shared" ref="Q79:Q90" si="115">P79*3</f>
        <v>51.891891891891895</v>
      </c>
      <c r="R79" s="37">
        <f t="shared" ref="R79:R90" si="116">ROUNDUP(Q79,0)</f>
        <v>52</v>
      </c>
      <c r="S79" s="13">
        <f>'Manpower Allocation'!$D$52</f>
        <v>12</v>
      </c>
      <c r="T79" s="30">
        <f t="shared" ref="T79:T90" si="117">R79+S79</f>
        <v>64</v>
      </c>
      <c r="U79" s="1327">
        <f t="shared" ref="U79:U90" si="118">I79/V79</f>
        <v>7302.1439140996317</v>
      </c>
      <c r="V79" s="22">
        <v>5</v>
      </c>
      <c r="W79" s="22">
        <f>72*5</f>
        <v>360</v>
      </c>
      <c r="X79" s="21">
        <f t="shared" ref="X79:X90" si="119">IF(J79&gt;I79,V79,J79/U79)</f>
        <v>5</v>
      </c>
      <c r="Y79" s="1325">
        <f>W79*L79</f>
        <v>364.27718079055455</v>
      </c>
      <c r="Z79" s="22">
        <v>4</v>
      </c>
      <c r="AA79" s="21">
        <f t="shared" ref="AA79:AA90" si="120">Z79*X79</f>
        <v>20</v>
      </c>
      <c r="AB79" s="1325">
        <f t="shared" ref="AB79:AB90" si="121">ROUNDUP(AA79,0)</f>
        <v>20</v>
      </c>
      <c r="AC79" s="1328">
        <f>ROUNDUP(AA79*3,0)</f>
        <v>60</v>
      </c>
      <c r="AD79" s="22" t="s">
        <v>1556</v>
      </c>
      <c r="AE79" s="22"/>
      <c r="AF79" s="1325"/>
      <c r="AG79" s="22"/>
      <c r="AH79" s="22"/>
      <c r="AI79" s="22"/>
      <c r="AJ79" s="130">
        <f>J79/I79*6</f>
        <v>6.0712863465092433</v>
      </c>
      <c r="AK79" s="130">
        <f>5*4*3+12</f>
        <v>72</v>
      </c>
      <c r="AL79" s="130"/>
      <c r="AM79" s="907"/>
      <c r="AN79" s="614">
        <v>44</v>
      </c>
      <c r="AO79" s="614">
        <v>24</v>
      </c>
      <c r="AP79" s="614">
        <f t="shared" ref="AP79:AP90" si="122">T79-AN79-AO79</f>
        <v>-4</v>
      </c>
      <c r="AQ79" s="853">
        <f t="shared" ref="AQ79:AQ90" si="123">AN79/T79</f>
        <v>0.6875</v>
      </c>
      <c r="AR79" s="853">
        <f t="shared" ref="AR79:AR90" si="124">AO79/T79</f>
        <v>0.375</v>
      </c>
      <c r="AS79" s="853">
        <f t="shared" ref="AS79:AS90" si="125">AP79/T79</f>
        <v>-6.25E-2</v>
      </c>
      <c r="AT79">
        <f>6*4*3</f>
        <v>72</v>
      </c>
      <c r="AU79" s="203" t="s">
        <v>142</v>
      </c>
      <c r="AV79" s="33">
        <f>R105</f>
        <v>47.916666666666664</v>
      </c>
      <c r="AW79" s="382">
        <v>68</v>
      </c>
      <c r="AY79">
        <f>(3*6*3)+(5*3)</f>
        <v>69</v>
      </c>
      <c r="AZ79">
        <f t="shared" ref="AZ79:BJ79" si="126">(3*6*3)+(5*3)</f>
        <v>69</v>
      </c>
      <c r="BA79">
        <f t="shared" si="126"/>
        <v>69</v>
      </c>
      <c r="BB79">
        <f t="shared" si="126"/>
        <v>69</v>
      </c>
      <c r="BC79">
        <f t="shared" si="126"/>
        <v>69</v>
      </c>
      <c r="BD79">
        <f t="shared" si="126"/>
        <v>69</v>
      </c>
      <c r="BE79">
        <f t="shared" si="126"/>
        <v>69</v>
      </c>
      <c r="BF79">
        <f t="shared" si="126"/>
        <v>69</v>
      </c>
      <c r="BG79">
        <f t="shared" si="126"/>
        <v>69</v>
      </c>
      <c r="BH79">
        <f t="shared" si="126"/>
        <v>69</v>
      </c>
      <c r="BI79">
        <f t="shared" si="126"/>
        <v>69</v>
      </c>
      <c r="BJ79">
        <f t="shared" si="126"/>
        <v>69</v>
      </c>
      <c r="BK79">
        <f>(3*5*3)+(4*3)</f>
        <v>57</v>
      </c>
      <c r="BO79" s="39">
        <f t="shared" ref="BO79:BO87" si="127">I18+J4</f>
        <v>38457.070720061944</v>
      </c>
      <c r="BP79" s="40">
        <f t="shared" ref="BP79:BP90" si="128">SUM(T18,T4,T33,T49,T64,T79,139,30,14)</f>
        <v>493</v>
      </c>
      <c r="BQ79" s="41">
        <f>BO79/BP79</f>
        <v>78.006228641099284</v>
      </c>
    </row>
    <row r="80" spans="1:71">
      <c r="A80" s="32" t="s">
        <v>24</v>
      </c>
      <c r="B80" s="1071" t="s">
        <v>506</v>
      </c>
      <c r="C80" s="5">
        <v>46143</v>
      </c>
      <c r="D80" s="967">
        <f>'YN01'!$K$333</f>
        <v>350</v>
      </c>
      <c r="E80" s="748">
        <f>'YN01'!$F$333</f>
        <v>2659.1722160694967</v>
      </c>
      <c r="F80" s="1313">
        <f>'YN01'!$N$333</f>
        <v>319.87517540461607</v>
      </c>
      <c r="G80" s="34">
        <f>'YN01'!$I$333</f>
        <v>0.90136986301369848</v>
      </c>
      <c r="H80" s="8">
        <f>'YN01'!$J$333</f>
        <v>0.85035903477255004</v>
      </c>
      <c r="I80" s="841">
        <f t="shared" ref="I80:I90" si="129">D80*E80*F80*G80*H80*0.00016</f>
        <v>36510.719570498157</v>
      </c>
      <c r="J80" s="10">
        <f>(BP!F64+BP!F65)/DAY(EOMONTH(C80,0))</f>
        <v>33161.583419790557</v>
      </c>
      <c r="K80" s="612"/>
      <c r="L80" s="35">
        <f t="shared" si="111"/>
        <v>0.90826978514513279</v>
      </c>
      <c r="M80" s="38">
        <f t="shared" si="112"/>
        <v>290.5329568380123</v>
      </c>
      <c r="N80" s="36">
        <f t="shared" si="113"/>
        <v>290.5329568380123</v>
      </c>
      <c r="O80" s="36">
        <f t="shared" si="114"/>
        <v>291</v>
      </c>
      <c r="P80" s="36">
        <f>O80*'Manpower Allocation'!$D$46</f>
        <v>15.72972972972973</v>
      </c>
      <c r="Q80" s="36">
        <f t="shared" si="115"/>
        <v>47.189189189189193</v>
      </c>
      <c r="R80" s="37">
        <f t="shared" si="116"/>
        <v>48</v>
      </c>
      <c r="S80" s="13">
        <f>'Manpower Allocation'!$D$52</f>
        <v>12</v>
      </c>
      <c r="T80" s="30">
        <f t="shared" si="117"/>
        <v>60</v>
      </c>
      <c r="U80" s="1327">
        <f t="shared" si="118"/>
        <v>7302.1439140996317</v>
      </c>
      <c r="V80" s="22">
        <v>5</v>
      </c>
      <c r="W80" s="22">
        <f t="shared" ref="W80:W90" si="130">72*5</f>
        <v>360</v>
      </c>
      <c r="X80" s="21">
        <f t="shared" si="119"/>
        <v>4.5413489257256643</v>
      </c>
      <c r="Y80" s="1325">
        <f t="shared" ref="Y80:Y90" si="131">W80*L80</f>
        <v>326.97712265224783</v>
      </c>
      <c r="Z80" s="22">
        <v>4</v>
      </c>
      <c r="AA80" s="21">
        <f t="shared" si="120"/>
        <v>18.165395702902657</v>
      </c>
      <c r="AB80" s="1325">
        <f t="shared" si="121"/>
        <v>19</v>
      </c>
      <c r="AC80" s="1328">
        <f t="shared" ref="AC80" si="132">ROUNDUP(AA80*3,0)</f>
        <v>55</v>
      </c>
      <c r="AD80" s="22"/>
      <c r="AE80" s="22"/>
      <c r="AF80" s="1325"/>
      <c r="AG80" s="22"/>
      <c r="AH80" s="22"/>
      <c r="AI80" s="22"/>
      <c r="AJ80" s="130">
        <f t="shared" ref="AJ80:AJ90" si="133">J80/I80*6</f>
        <v>5.449618710870797</v>
      </c>
      <c r="AK80" s="130">
        <f>5*4*3+12</f>
        <v>72</v>
      </c>
      <c r="AL80" s="130"/>
      <c r="AM80" s="907"/>
      <c r="AN80" s="614">
        <v>44</v>
      </c>
      <c r="AO80" s="614">
        <v>24</v>
      </c>
      <c r="AP80" s="614">
        <f t="shared" si="122"/>
        <v>-8</v>
      </c>
      <c r="AQ80" s="853">
        <f t="shared" si="123"/>
        <v>0.73333333333333328</v>
      </c>
      <c r="AR80" s="853">
        <f t="shared" si="124"/>
        <v>0.4</v>
      </c>
      <c r="AS80" s="853">
        <f t="shared" si="125"/>
        <v>-0.13333333333333333</v>
      </c>
      <c r="AU80" s="381" t="s">
        <v>143</v>
      </c>
      <c r="AV80" s="368">
        <v>3</v>
      </c>
      <c r="AW80" s="368">
        <v>0</v>
      </c>
      <c r="AX80" t="s">
        <v>630</v>
      </c>
      <c r="AY80">
        <v>0</v>
      </c>
      <c r="AZ80">
        <v>0</v>
      </c>
      <c r="BA80">
        <v>0</v>
      </c>
      <c r="BB80">
        <v>0</v>
      </c>
      <c r="BC80">
        <v>0</v>
      </c>
      <c r="BD80">
        <v>0</v>
      </c>
      <c r="BE80">
        <v>0</v>
      </c>
      <c r="BF80">
        <v>0</v>
      </c>
      <c r="BG80">
        <v>0</v>
      </c>
      <c r="BH80">
        <v>0</v>
      </c>
      <c r="BI80">
        <v>0</v>
      </c>
      <c r="BJ80">
        <v>0</v>
      </c>
      <c r="BK80">
        <v>0</v>
      </c>
      <c r="BO80" s="39">
        <f t="shared" si="127"/>
        <v>39465.070073834046</v>
      </c>
      <c r="BP80" s="40">
        <f t="shared" si="128"/>
        <v>485</v>
      </c>
      <c r="BQ80" s="41">
        <f t="shared" ref="BQ80:BQ90" si="134">BO80/BP80</f>
        <v>81.371278502750613</v>
      </c>
    </row>
    <row r="81" spans="1:69">
      <c r="A81" s="32" t="s">
        <v>24</v>
      </c>
      <c r="B81" s="1071" t="s">
        <v>506</v>
      </c>
      <c r="C81" s="5">
        <v>46174</v>
      </c>
      <c r="D81" s="967">
        <f>'YN01'!$K$333</f>
        <v>350</v>
      </c>
      <c r="E81" s="748">
        <f>'YN01'!$F$333</f>
        <v>2659.1722160694967</v>
      </c>
      <c r="F81" s="1313">
        <f>'YN01'!$N$333</f>
        <v>319.87517540461607</v>
      </c>
      <c r="G81" s="34">
        <f>'YN01'!$I$333</f>
        <v>0.90136986301369848</v>
      </c>
      <c r="H81" s="8">
        <f>'YN01'!$J$333</f>
        <v>0.85035903477255004</v>
      </c>
      <c r="I81" s="841">
        <f t="shared" si="129"/>
        <v>36510.719570498157</v>
      </c>
      <c r="J81" s="10">
        <f>(BP!G64+BP!G65)/DAY(EOMONTH(C81,0))</f>
        <v>31323.721468184875</v>
      </c>
      <c r="K81" s="612"/>
      <c r="L81" s="35">
        <f t="shared" si="111"/>
        <v>0.85793218640082503</v>
      </c>
      <c r="M81" s="38">
        <f t="shared" si="112"/>
        <v>274.4312086102297</v>
      </c>
      <c r="N81" s="36">
        <f t="shared" si="113"/>
        <v>274.4312086102297</v>
      </c>
      <c r="O81" s="36">
        <f t="shared" si="114"/>
        <v>275</v>
      </c>
      <c r="P81" s="36">
        <f>O81*'Manpower Allocation'!$D$46</f>
        <v>14.864864864864865</v>
      </c>
      <c r="Q81" s="36">
        <f t="shared" si="115"/>
        <v>44.594594594594597</v>
      </c>
      <c r="R81" s="37">
        <f t="shared" si="116"/>
        <v>45</v>
      </c>
      <c r="S81" s="13">
        <f>'Manpower Allocation'!$D$52</f>
        <v>12</v>
      </c>
      <c r="T81" s="30">
        <f t="shared" si="117"/>
        <v>57</v>
      </c>
      <c r="U81" s="1327">
        <f t="shared" si="118"/>
        <v>7302.1439140996317</v>
      </c>
      <c r="V81" s="22">
        <v>5</v>
      </c>
      <c r="W81" s="22">
        <f t="shared" si="130"/>
        <v>360</v>
      </c>
      <c r="X81" s="21">
        <f t="shared" si="119"/>
        <v>4.289660932004125</v>
      </c>
      <c r="Y81" s="1325">
        <f t="shared" si="131"/>
        <v>308.855587104297</v>
      </c>
      <c r="Z81" s="22">
        <v>4</v>
      </c>
      <c r="AA81" s="21">
        <f t="shared" si="120"/>
        <v>17.1586437280165</v>
      </c>
      <c r="AB81" s="1325">
        <f t="shared" si="121"/>
        <v>18</v>
      </c>
      <c r="AC81" s="1328">
        <f t="shared" ref="AC81" si="135">ROUNDUP(AA81*3,0)</f>
        <v>52</v>
      </c>
      <c r="AD81" s="22"/>
      <c r="AE81" s="22"/>
      <c r="AF81" s="1325"/>
      <c r="AG81" s="22"/>
      <c r="AH81" s="22"/>
      <c r="AI81" s="22"/>
      <c r="AJ81" s="130">
        <f t="shared" si="133"/>
        <v>5.1475931184049504</v>
      </c>
      <c r="AK81" s="130">
        <f>5*4*3+12</f>
        <v>72</v>
      </c>
      <c r="AL81" s="130"/>
      <c r="AM81" s="907"/>
      <c r="AN81" s="614">
        <v>44</v>
      </c>
      <c r="AO81" s="614">
        <v>24</v>
      </c>
      <c r="AP81" s="614">
        <f t="shared" si="122"/>
        <v>-11</v>
      </c>
      <c r="AQ81" s="853">
        <f t="shared" si="123"/>
        <v>0.77192982456140347</v>
      </c>
      <c r="AR81" s="853">
        <f t="shared" si="124"/>
        <v>0.42105263157894735</v>
      </c>
      <c r="AS81" s="853">
        <f t="shared" si="125"/>
        <v>-0.19298245614035087</v>
      </c>
      <c r="AU81" s="381" t="s">
        <v>122</v>
      </c>
      <c r="AV81" s="368">
        <v>3</v>
      </c>
      <c r="AW81" s="368">
        <v>3</v>
      </c>
      <c r="AY81">
        <v>3</v>
      </c>
      <c r="AZ81">
        <v>3</v>
      </c>
      <c r="BA81">
        <v>3</v>
      </c>
      <c r="BB81">
        <v>3</v>
      </c>
      <c r="BC81">
        <v>3</v>
      </c>
      <c r="BD81">
        <v>3</v>
      </c>
      <c r="BE81">
        <v>3</v>
      </c>
      <c r="BF81">
        <v>3</v>
      </c>
      <c r="BG81">
        <v>3</v>
      </c>
      <c r="BH81">
        <v>3</v>
      </c>
      <c r="BI81">
        <v>3</v>
      </c>
      <c r="BJ81">
        <v>3</v>
      </c>
      <c r="BK81">
        <v>3</v>
      </c>
      <c r="BO81" s="39">
        <f t="shared" si="127"/>
        <v>37879.82481847467</v>
      </c>
      <c r="BP81" s="40">
        <f t="shared" si="128"/>
        <v>476</v>
      </c>
      <c r="BQ81" s="41">
        <f t="shared" si="134"/>
        <v>79.579463904358548</v>
      </c>
    </row>
    <row r="82" spans="1:69">
      <c r="A82" s="32" t="s">
        <v>24</v>
      </c>
      <c r="B82" s="1071" t="s">
        <v>506</v>
      </c>
      <c r="C82" s="5">
        <v>46204</v>
      </c>
      <c r="D82" s="967">
        <f>'YN01'!$K$333</f>
        <v>350</v>
      </c>
      <c r="E82" s="748">
        <f>'YN01'!$F$333</f>
        <v>2659.1722160694967</v>
      </c>
      <c r="F82" s="1313">
        <f>'YN01'!$N$333</f>
        <v>319.87517540461607</v>
      </c>
      <c r="G82" s="34">
        <f>'YN01'!$I$333</f>
        <v>0.90136986301369848</v>
      </c>
      <c r="H82" s="8">
        <f>'YN01'!$J$333</f>
        <v>0.85035903477255004</v>
      </c>
      <c r="I82" s="841">
        <f t="shared" si="129"/>
        <v>36510.719570498157</v>
      </c>
      <c r="J82" s="10">
        <f>(BP!H64+BP!H65)/DAY(EOMONTH(C82,0))</f>
        <v>32311.931183481469</v>
      </c>
      <c r="K82" s="612"/>
      <c r="L82" s="35">
        <f t="shared" si="111"/>
        <v>0.88499847616234206</v>
      </c>
      <c r="M82" s="38">
        <f t="shared" si="112"/>
        <v>283.08904279524711</v>
      </c>
      <c r="N82" s="36">
        <f t="shared" si="113"/>
        <v>283.08904279524711</v>
      </c>
      <c r="O82" s="36">
        <f t="shared" si="114"/>
        <v>284</v>
      </c>
      <c r="P82" s="36">
        <f>O82*'Manpower Allocation'!$D$46</f>
        <v>15.351351351351353</v>
      </c>
      <c r="Q82" s="36">
        <f t="shared" si="115"/>
        <v>46.054054054054056</v>
      </c>
      <c r="R82" s="37">
        <f t="shared" si="116"/>
        <v>47</v>
      </c>
      <c r="S82" s="13">
        <f>'Manpower Allocation'!$D$52</f>
        <v>12</v>
      </c>
      <c r="T82" s="30">
        <f t="shared" si="117"/>
        <v>59</v>
      </c>
      <c r="U82" s="1327">
        <f t="shared" si="118"/>
        <v>7302.1439140996317</v>
      </c>
      <c r="V82" s="22">
        <v>5</v>
      </c>
      <c r="W82" s="22">
        <f t="shared" si="130"/>
        <v>360</v>
      </c>
      <c r="X82" s="21">
        <f t="shared" si="119"/>
        <v>4.4249923808117098</v>
      </c>
      <c r="Y82" s="1325">
        <f t="shared" si="131"/>
        <v>318.59945141844315</v>
      </c>
      <c r="Z82" s="22">
        <v>4</v>
      </c>
      <c r="AA82" s="21">
        <f t="shared" si="120"/>
        <v>17.699969523246839</v>
      </c>
      <c r="AB82" s="1325">
        <f t="shared" si="121"/>
        <v>18</v>
      </c>
      <c r="AC82" s="1328">
        <f t="shared" ref="AC82:AC90" si="136">AB82*3</f>
        <v>54</v>
      </c>
      <c r="AD82" s="22"/>
      <c r="AE82" s="22"/>
      <c r="AF82" s="1325"/>
      <c r="AG82" s="22"/>
      <c r="AH82" s="22"/>
      <c r="AI82" s="22"/>
      <c r="AJ82" s="130">
        <f t="shared" si="133"/>
        <v>5.3099908569740526</v>
      </c>
      <c r="AK82" s="130">
        <f>5.66*4*3+12</f>
        <v>79.92</v>
      </c>
      <c r="AL82" s="130"/>
      <c r="AM82" s="907"/>
      <c r="AN82" s="614">
        <v>44</v>
      </c>
      <c r="AO82" s="614">
        <v>24</v>
      </c>
      <c r="AP82" s="614">
        <f t="shared" si="122"/>
        <v>-9</v>
      </c>
      <c r="AQ82" s="853">
        <f t="shared" si="123"/>
        <v>0.74576271186440679</v>
      </c>
      <c r="AR82" s="853">
        <f t="shared" si="124"/>
        <v>0.40677966101694918</v>
      </c>
      <c r="AS82" s="853">
        <f t="shared" si="125"/>
        <v>-0.15254237288135594</v>
      </c>
      <c r="AU82" s="381" t="s">
        <v>144</v>
      </c>
      <c r="AV82" s="368">
        <v>3</v>
      </c>
      <c r="AW82" s="368">
        <v>3</v>
      </c>
      <c r="AY82">
        <v>3</v>
      </c>
      <c r="AZ82">
        <v>3</v>
      </c>
      <c r="BA82">
        <v>3</v>
      </c>
      <c r="BB82">
        <v>3</v>
      </c>
      <c r="BC82">
        <v>3</v>
      </c>
      <c r="BD82">
        <v>3</v>
      </c>
      <c r="BE82">
        <v>3</v>
      </c>
      <c r="BF82">
        <v>3</v>
      </c>
      <c r="BG82">
        <v>3</v>
      </c>
      <c r="BH82">
        <v>3</v>
      </c>
      <c r="BI82">
        <v>3</v>
      </c>
      <c r="BJ82">
        <v>3</v>
      </c>
      <c r="BK82">
        <v>3</v>
      </c>
      <c r="BO82" s="39">
        <f t="shared" si="127"/>
        <v>38753.527876651999</v>
      </c>
      <c r="BP82" s="40">
        <f t="shared" si="128"/>
        <v>481</v>
      </c>
      <c r="BQ82" s="41">
        <f t="shared" si="134"/>
        <v>80.568665024224529</v>
      </c>
    </row>
    <row r="83" spans="1:69">
      <c r="A83" s="32" t="s">
        <v>24</v>
      </c>
      <c r="B83" s="1071" t="s">
        <v>506</v>
      </c>
      <c r="C83" s="5">
        <v>46235</v>
      </c>
      <c r="D83" s="967">
        <f>'YN01'!$K$333</f>
        <v>350</v>
      </c>
      <c r="E83" s="748">
        <f>'YN01'!$F$333</f>
        <v>2659.1722160694967</v>
      </c>
      <c r="F83" s="1313">
        <f>'YN01'!$N$333</f>
        <v>319.87517540461607</v>
      </c>
      <c r="G83" s="34">
        <f>'YN01'!$I$333</f>
        <v>0.90136986301369848</v>
      </c>
      <c r="H83" s="8">
        <f>'YN01'!$J$333</f>
        <v>0.85035903477255004</v>
      </c>
      <c r="I83" s="841">
        <f t="shared" si="129"/>
        <v>36510.719570498157</v>
      </c>
      <c r="J83" s="10">
        <f>(BP!I64+BP!I65)/DAY(EOMONTH(C83,0))</f>
        <v>36469.040246453776</v>
      </c>
      <c r="K83" s="612"/>
      <c r="L83" s="35">
        <f t="shared" si="111"/>
        <v>0.99885843597347068</v>
      </c>
      <c r="M83" s="38">
        <f t="shared" si="112"/>
        <v>319.51001741139441</v>
      </c>
      <c r="N83" s="36">
        <f t="shared" si="113"/>
        <v>319.51001741139441</v>
      </c>
      <c r="O83" s="36">
        <f t="shared" si="114"/>
        <v>320</v>
      </c>
      <c r="P83" s="36">
        <f>O83*'Manpower Allocation'!$D$46</f>
        <v>17.297297297297298</v>
      </c>
      <c r="Q83" s="36">
        <f t="shared" si="115"/>
        <v>51.891891891891895</v>
      </c>
      <c r="R83" s="37">
        <f t="shared" si="116"/>
        <v>52</v>
      </c>
      <c r="S83" s="13">
        <f>'Manpower Allocation'!$D$52</f>
        <v>12</v>
      </c>
      <c r="T83" s="30">
        <f t="shared" si="117"/>
        <v>64</v>
      </c>
      <c r="U83" s="1327">
        <f t="shared" si="118"/>
        <v>7302.1439140996317</v>
      </c>
      <c r="V83" s="22">
        <v>5</v>
      </c>
      <c r="W83" s="22">
        <f t="shared" si="130"/>
        <v>360</v>
      </c>
      <c r="X83" s="21">
        <f t="shared" si="119"/>
        <v>4.9942921798673536</v>
      </c>
      <c r="Y83" s="1325">
        <f t="shared" si="131"/>
        <v>359.58903695044944</v>
      </c>
      <c r="Z83" s="22">
        <v>4</v>
      </c>
      <c r="AA83" s="21">
        <f t="shared" si="120"/>
        <v>19.977168719469415</v>
      </c>
      <c r="AB83" s="1325">
        <f t="shared" si="121"/>
        <v>20</v>
      </c>
      <c r="AC83" s="1328">
        <f t="shared" si="136"/>
        <v>60</v>
      </c>
      <c r="AD83" s="22"/>
      <c r="AE83" s="22"/>
      <c r="AF83" s="1325"/>
      <c r="AG83" s="22"/>
      <c r="AH83" s="22"/>
      <c r="AI83" s="22"/>
      <c r="AJ83" s="130">
        <f t="shared" si="133"/>
        <v>5.9931506158408236</v>
      </c>
      <c r="AK83" s="130">
        <f>4.66*4*3+12</f>
        <v>67.92</v>
      </c>
      <c r="AL83" s="130"/>
      <c r="AM83" s="907"/>
      <c r="AN83" s="614">
        <v>44</v>
      </c>
      <c r="AO83" s="614">
        <v>24</v>
      </c>
      <c r="AP83" s="614">
        <f t="shared" si="122"/>
        <v>-4</v>
      </c>
      <c r="AQ83" s="853">
        <f t="shared" si="123"/>
        <v>0.6875</v>
      </c>
      <c r="AR83" s="853">
        <f t="shared" si="124"/>
        <v>0.375</v>
      </c>
      <c r="AS83" s="853">
        <f t="shared" si="125"/>
        <v>-6.25E-2</v>
      </c>
      <c r="AU83" s="381" t="s">
        <v>150</v>
      </c>
      <c r="AV83" s="368">
        <v>6</v>
      </c>
      <c r="AW83" s="368">
        <v>3</v>
      </c>
      <c r="AY83">
        <v>3</v>
      </c>
      <c r="AZ83">
        <v>3</v>
      </c>
      <c r="BA83">
        <v>3</v>
      </c>
      <c r="BB83">
        <v>3</v>
      </c>
      <c r="BC83">
        <v>3</v>
      </c>
      <c r="BD83">
        <v>3</v>
      </c>
      <c r="BE83">
        <v>3</v>
      </c>
      <c r="BF83">
        <v>3</v>
      </c>
      <c r="BG83">
        <v>3</v>
      </c>
      <c r="BH83">
        <v>3</v>
      </c>
      <c r="BI83">
        <v>3</v>
      </c>
      <c r="BJ83">
        <v>3</v>
      </c>
      <c r="BK83">
        <v>3</v>
      </c>
      <c r="BO83" s="39">
        <f t="shared" si="127"/>
        <v>40213.136252657379</v>
      </c>
      <c r="BP83" s="40">
        <f t="shared" si="128"/>
        <v>494</v>
      </c>
      <c r="BQ83" s="41">
        <f t="shared" si="134"/>
        <v>81.403109823193077</v>
      </c>
    </row>
    <row r="84" spans="1:69">
      <c r="A84" s="32" t="s">
        <v>24</v>
      </c>
      <c r="B84" s="1071" t="s">
        <v>506</v>
      </c>
      <c r="C84" s="5">
        <v>46266</v>
      </c>
      <c r="D84" s="967">
        <f>'YN01'!$K$333</f>
        <v>350</v>
      </c>
      <c r="E84" s="748">
        <f>'YN01'!$F$333</f>
        <v>2659.1722160694967</v>
      </c>
      <c r="F84" s="1313">
        <f>'YN01'!$N$333</f>
        <v>319.87517540461607</v>
      </c>
      <c r="G84" s="34">
        <f>'YN01'!$I$333</f>
        <v>0.90136986301369848</v>
      </c>
      <c r="H84" s="8">
        <f>'YN01'!$J$333</f>
        <v>0.85035903477255004</v>
      </c>
      <c r="I84" s="841">
        <f t="shared" si="129"/>
        <v>36510.719570498157</v>
      </c>
      <c r="J84" s="10">
        <f>(BP!J64+BP!J65)/DAY(EOMONTH(C84,0))</f>
        <v>35212.370227201376</v>
      </c>
      <c r="K84" s="612"/>
      <c r="L84" s="35">
        <f t="shared" si="111"/>
        <v>0.96443922884648137</v>
      </c>
      <c r="M84" s="38">
        <f t="shared" si="112"/>
        <v>308.50016749436088</v>
      </c>
      <c r="N84" s="36">
        <f t="shared" si="113"/>
        <v>308.50016749436088</v>
      </c>
      <c r="O84" s="36">
        <f t="shared" si="114"/>
        <v>309</v>
      </c>
      <c r="P84" s="36">
        <f>O84*'Manpower Allocation'!$D$46</f>
        <v>16.702702702702705</v>
      </c>
      <c r="Q84" s="36">
        <f t="shared" si="115"/>
        <v>50.108108108108112</v>
      </c>
      <c r="R84" s="37">
        <f t="shared" si="116"/>
        <v>51</v>
      </c>
      <c r="S84" s="13">
        <f>'Manpower Allocation'!$D$52</f>
        <v>12</v>
      </c>
      <c r="T84" s="30">
        <f t="shared" si="117"/>
        <v>63</v>
      </c>
      <c r="U84" s="1327">
        <f t="shared" si="118"/>
        <v>7302.1439140996317</v>
      </c>
      <c r="V84" s="22">
        <v>5</v>
      </c>
      <c r="W84" s="22">
        <f t="shared" si="130"/>
        <v>360</v>
      </c>
      <c r="X84" s="21">
        <f t="shared" si="119"/>
        <v>4.8221961442324064</v>
      </c>
      <c r="Y84" s="1325">
        <f t="shared" si="131"/>
        <v>347.19812238473327</v>
      </c>
      <c r="Z84" s="22">
        <v>4</v>
      </c>
      <c r="AA84" s="21">
        <f t="shared" si="120"/>
        <v>19.288784576929626</v>
      </c>
      <c r="AB84" s="1325">
        <f t="shared" si="121"/>
        <v>20</v>
      </c>
      <c r="AC84" s="1328">
        <f>ROUNDUP(AA84*3,0)</f>
        <v>58</v>
      </c>
      <c r="AD84" s="22"/>
      <c r="AE84" s="22"/>
      <c r="AF84" s="1325"/>
      <c r="AG84" s="22"/>
      <c r="AH84" s="22"/>
      <c r="AI84" s="22"/>
      <c r="AJ84" s="130">
        <f t="shared" si="133"/>
        <v>5.7866353730788882</v>
      </c>
      <c r="AK84" s="130">
        <f>6*4*3+12</f>
        <v>84</v>
      </c>
      <c r="AL84" s="130"/>
      <c r="AM84" s="907"/>
      <c r="AN84" s="614">
        <v>44</v>
      </c>
      <c r="AO84" s="614">
        <v>24</v>
      </c>
      <c r="AP84" s="614">
        <f t="shared" si="122"/>
        <v>-5</v>
      </c>
      <c r="AQ84" s="853">
        <f t="shared" si="123"/>
        <v>0.69841269841269837</v>
      </c>
      <c r="AR84" s="853">
        <f t="shared" si="124"/>
        <v>0.38095238095238093</v>
      </c>
      <c r="AS84" s="853">
        <f t="shared" si="125"/>
        <v>-7.9365079365079361E-2</v>
      </c>
      <c r="AU84" s="381" t="s">
        <v>121</v>
      </c>
      <c r="AV84" s="368">
        <v>2</v>
      </c>
      <c r="AW84" s="368">
        <v>2</v>
      </c>
      <c r="AY84">
        <v>3</v>
      </c>
      <c r="AZ84">
        <v>3</v>
      </c>
      <c r="BA84">
        <v>3</v>
      </c>
      <c r="BB84">
        <v>3</v>
      </c>
      <c r="BC84">
        <v>3</v>
      </c>
      <c r="BD84">
        <v>3</v>
      </c>
      <c r="BE84">
        <v>3</v>
      </c>
      <c r="BF84">
        <v>3</v>
      </c>
      <c r="BG84">
        <v>3</v>
      </c>
      <c r="BH84">
        <v>3</v>
      </c>
      <c r="BI84">
        <v>3</v>
      </c>
      <c r="BJ84">
        <v>3</v>
      </c>
      <c r="BK84">
        <v>3</v>
      </c>
      <c r="BO84" s="39">
        <f t="shared" si="127"/>
        <v>45245.852467693796</v>
      </c>
      <c r="BP84" s="40">
        <f t="shared" si="128"/>
        <v>498</v>
      </c>
      <c r="BQ84" s="41">
        <f t="shared" si="134"/>
        <v>90.855125437136138</v>
      </c>
    </row>
    <row r="85" spans="1:69">
      <c r="A85" s="32" t="s">
        <v>24</v>
      </c>
      <c r="B85" s="1071" t="s">
        <v>506</v>
      </c>
      <c r="C85" s="5">
        <v>46296</v>
      </c>
      <c r="D85" s="967">
        <f>'YN01'!$K$333</f>
        <v>350</v>
      </c>
      <c r="E85" s="748">
        <f>'YN01'!$F$333</f>
        <v>2659.1722160694967</v>
      </c>
      <c r="F85" s="1313">
        <f>'YN01'!$N$333</f>
        <v>319.87517540461607</v>
      </c>
      <c r="G85" s="34">
        <f>'YN01'!$I$333</f>
        <v>0.90136986301369848</v>
      </c>
      <c r="H85" s="8">
        <f>'YN01'!$J$333</f>
        <v>0.85035903477255004</v>
      </c>
      <c r="I85" s="841">
        <f t="shared" si="129"/>
        <v>36510.719570498157</v>
      </c>
      <c r="J85" s="10">
        <f>(BP!K64+BP!K65)/DAY(EOMONTH(C85,0))</f>
        <v>30108.678386115094</v>
      </c>
      <c r="K85" s="612"/>
      <c r="L85" s="35">
        <f t="shared" si="111"/>
        <v>0.82465310846527062</v>
      </c>
      <c r="M85" s="38">
        <f t="shared" si="112"/>
        <v>263.78605771829035</v>
      </c>
      <c r="N85" s="36">
        <f t="shared" si="113"/>
        <v>263.78605771829035</v>
      </c>
      <c r="O85" s="36">
        <f t="shared" si="114"/>
        <v>264</v>
      </c>
      <c r="P85" s="36">
        <f>O85*'Manpower Allocation'!$D$46</f>
        <v>14.27027027027027</v>
      </c>
      <c r="Q85" s="36">
        <f t="shared" si="115"/>
        <v>42.810810810810807</v>
      </c>
      <c r="R85" s="37">
        <f t="shared" si="116"/>
        <v>43</v>
      </c>
      <c r="S85" s="13">
        <f>'Manpower Allocation'!$D$52</f>
        <v>12</v>
      </c>
      <c r="T85" s="30">
        <f t="shared" si="117"/>
        <v>55</v>
      </c>
      <c r="U85" s="1327">
        <f t="shared" si="118"/>
        <v>7302.1439140996317</v>
      </c>
      <c r="V85" s="22">
        <v>5</v>
      </c>
      <c r="W85" s="22">
        <f t="shared" si="130"/>
        <v>360</v>
      </c>
      <c r="X85" s="21">
        <f t="shared" si="119"/>
        <v>4.1232655423263527</v>
      </c>
      <c r="Y85" s="1325">
        <f t="shared" si="131"/>
        <v>296.87511904749744</v>
      </c>
      <c r="Z85" s="22">
        <v>4</v>
      </c>
      <c r="AA85" s="21">
        <f t="shared" si="120"/>
        <v>16.493062169305411</v>
      </c>
      <c r="AB85" s="1325">
        <f t="shared" si="121"/>
        <v>17</v>
      </c>
      <c r="AC85" s="1328">
        <f t="shared" si="136"/>
        <v>51</v>
      </c>
      <c r="AD85" s="22"/>
      <c r="AE85" s="22"/>
      <c r="AF85" s="1325"/>
      <c r="AG85" s="22"/>
      <c r="AH85" s="22"/>
      <c r="AI85" s="22"/>
      <c r="AJ85" s="130">
        <f t="shared" si="133"/>
        <v>4.9479186507916237</v>
      </c>
      <c r="AK85" s="130">
        <f t="shared" ref="AK85" si="137">5*4*3+12</f>
        <v>72</v>
      </c>
      <c r="AL85" s="130"/>
      <c r="AM85" s="907"/>
      <c r="AN85" s="614">
        <v>44</v>
      </c>
      <c r="AO85" s="614">
        <v>21</v>
      </c>
      <c r="AP85" s="614">
        <f t="shared" si="122"/>
        <v>-10</v>
      </c>
      <c r="AQ85" s="853">
        <f t="shared" si="123"/>
        <v>0.8</v>
      </c>
      <c r="AR85" s="853">
        <f t="shared" si="124"/>
        <v>0.38181818181818183</v>
      </c>
      <c r="AS85" s="853">
        <f t="shared" si="125"/>
        <v>-0.18181818181818182</v>
      </c>
      <c r="AU85" s="133" t="s">
        <v>561</v>
      </c>
      <c r="AV85" s="33">
        <f>SUM(AV79:AV84)</f>
        <v>64.916666666666657</v>
      </c>
      <c r="AW85" s="33">
        <f>SUM(AW79:AW84)</f>
        <v>79</v>
      </c>
      <c r="AY85">
        <f>SUM(AY79:AY84)</f>
        <v>81</v>
      </c>
      <c r="AZ85">
        <f t="shared" ref="AZ85:BK85" si="138">SUM(AZ79:AZ84)</f>
        <v>81</v>
      </c>
      <c r="BA85">
        <f t="shared" si="138"/>
        <v>81</v>
      </c>
      <c r="BB85">
        <f t="shared" si="138"/>
        <v>81</v>
      </c>
      <c r="BC85">
        <f t="shared" si="138"/>
        <v>81</v>
      </c>
      <c r="BD85">
        <f t="shared" si="138"/>
        <v>81</v>
      </c>
      <c r="BE85">
        <f t="shared" si="138"/>
        <v>81</v>
      </c>
      <c r="BF85">
        <f t="shared" si="138"/>
        <v>81</v>
      </c>
      <c r="BG85">
        <f t="shared" si="138"/>
        <v>81</v>
      </c>
      <c r="BH85">
        <f t="shared" si="138"/>
        <v>81</v>
      </c>
      <c r="BI85">
        <f t="shared" si="138"/>
        <v>81</v>
      </c>
      <c r="BJ85">
        <f t="shared" si="138"/>
        <v>81</v>
      </c>
      <c r="BK85">
        <f t="shared" si="138"/>
        <v>69</v>
      </c>
      <c r="BO85" s="39">
        <f t="shared" si="127"/>
        <v>41442.993137573561</v>
      </c>
      <c r="BP85" s="40">
        <f t="shared" si="128"/>
        <v>479</v>
      </c>
      <c r="BQ85" s="41">
        <f t="shared" si="134"/>
        <v>86.519818658817456</v>
      </c>
    </row>
    <row r="86" spans="1:69">
      <c r="A86" s="32" t="s">
        <v>24</v>
      </c>
      <c r="B86" s="1071" t="s">
        <v>506</v>
      </c>
      <c r="C86" s="5">
        <v>46327</v>
      </c>
      <c r="D86" s="967">
        <f>'YN01'!$K$333</f>
        <v>350</v>
      </c>
      <c r="E86" s="748">
        <f>'YN01'!$F$333</f>
        <v>2659.1722160694967</v>
      </c>
      <c r="F86" s="1313">
        <f>'YN01'!$N$333</f>
        <v>319.87517540461607</v>
      </c>
      <c r="G86" s="34">
        <f>'YN01'!$I$333</f>
        <v>0.90136986301369848</v>
      </c>
      <c r="H86" s="8">
        <f>'YN01'!$J$333</f>
        <v>0.85035903477255004</v>
      </c>
      <c r="I86" s="841">
        <f t="shared" si="129"/>
        <v>36510.719570498157</v>
      </c>
      <c r="J86" s="10">
        <f>(BP!L64+BP!L65)/DAY(EOMONTH(C86,0))</f>
        <v>30671.38599439021</v>
      </c>
      <c r="K86" s="612"/>
      <c r="L86" s="35">
        <f t="shared" si="111"/>
        <v>0.84006522893001767</v>
      </c>
      <c r="M86" s="38">
        <f t="shared" si="112"/>
        <v>268.71601245530837</v>
      </c>
      <c r="N86" s="36">
        <f t="shared" si="113"/>
        <v>268.71601245530837</v>
      </c>
      <c r="O86" s="36">
        <f t="shared" si="114"/>
        <v>269</v>
      </c>
      <c r="P86" s="36">
        <f>O86*'Manpower Allocation'!$D$46</f>
        <v>14.540540540540542</v>
      </c>
      <c r="Q86" s="36">
        <f t="shared" si="115"/>
        <v>43.621621621621628</v>
      </c>
      <c r="R86" s="37">
        <f t="shared" si="116"/>
        <v>44</v>
      </c>
      <c r="S86" s="13">
        <f>'Manpower Allocation'!$D$52</f>
        <v>12</v>
      </c>
      <c r="T86" s="30">
        <f t="shared" si="117"/>
        <v>56</v>
      </c>
      <c r="U86" s="1327">
        <f t="shared" si="118"/>
        <v>7302.1439140996317</v>
      </c>
      <c r="V86" s="22">
        <v>5</v>
      </c>
      <c r="W86" s="22">
        <f t="shared" si="130"/>
        <v>360</v>
      </c>
      <c r="X86" s="21">
        <f t="shared" si="119"/>
        <v>4.2003261446500879</v>
      </c>
      <c r="Y86" s="1325">
        <f t="shared" si="131"/>
        <v>302.42348241480636</v>
      </c>
      <c r="Z86" s="22">
        <v>4</v>
      </c>
      <c r="AA86" s="21">
        <f t="shared" si="120"/>
        <v>16.801304578600352</v>
      </c>
      <c r="AB86" s="1325">
        <f t="shared" si="121"/>
        <v>17</v>
      </c>
      <c r="AC86" s="1328">
        <f t="shared" si="136"/>
        <v>51</v>
      </c>
      <c r="AD86" s="22"/>
      <c r="AE86" s="22"/>
      <c r="AF86" s="1325"/>
      <c r="AG86" s="22"/>
      <c r="AH86" s="22"/>
      <c r="AI86" s="22"/>
      <c r="AJ86" s="130">
        <f t="shared" si="133"/>
        <v>5.040391373580106</v>
      </c>
      <c r="AK86" s="130">
        <f>5.33*4*3+12</f>
        <v>75.960000000000008</v>
      </c>
      <c r="AL86" s="130"/>
      <c r="AM86" s="907"/>
      <c r="AN86" s="614">
        <v>44</v>
      </c>
      <c r="AO86" s="614">
        <v>24</v>
      </c>
      <c r="AP86" s="614">
        <f t="shared" si="122"/>
        <v>-12</v>
      </c>
      <c r="AQ86" s="853">
        <f t="shared" si="123"/>
        <v>0.7857142857142857</v>
      </c>
      <c r="AR86" s="853">
        <f t="shared" si="124"/>
        <v>0.42857142857142855</v>
      </c>
      <c r="AS86" s="853">
        <f t="shared" si="125"/>
        <v>-0.21428571428571427</v>
      </c>
      <c r="BO86" s="39">
        <f t="shared" si="127"/>
        <v>44359.706199554239</v>
      </c>
      <c r="BP86" s="40">
        <f t="shared" si="128"/>
        <v>480</v>
      </c>
      <c r="BQ86" s="41">
        <f t="shared" si="134"/>
        <v>92.416054582404669</v>
      </c>
    </row>
    <row r="87" spans="1:69">
      <c r="A87" s="32" t="s">
        <v>24</v>
      </c>
      <c r="B87" s="1071" t="s">
        <v>506</v>
      </c>
      <c r="C87" s="5">
        <v>46357</v>
      </c>
      <c r="D87" s="967">
        <f>'YN01'!$K$333</f>
        <v>350</v>
      </c>
      <c r="E87" s="748">
        <f>'YN01'!$F$333</f>
        <v>2659.1722160694967</v>
      </c>
      <c r="F87" s="1313">
        <f>'YN01'!$N$333</f>
        <v>319.87517540461607</v>
      </c>
      <c r="G87" s="34">
        <f>'YN01'!$I$333</f>
        <v>0.90136986301369848</v>
      </c>
      <c r="H87" s="8">
        <f>'YN01'!$J$333</f>
        <v>0.85035903477255004</v>
      </c>
      <c r="I87" s="841">
        <f t="shared" si="129"/>
        <v>36510.719570498157</v>
      </c>
      <c r="J87" s="10">
        <f>(BP!M64+BP!M65)/DAY(EOMONTH(C87,0))</f>
        <v>39099.955871035221</v>
      </c>
      <c r="K87" s="612"/>
      <c r="L87" s="35">
        <f t="shared" si="111"/>
        <v>1.0709171534003195</v>
      </c>
      <c r="M87" s="38">
        <f t="shared" si="112"/>
        <v>319.87517540461607</v>
      </c>
      <c r="N87" s="36">
        <f t="shared" si="113"/>
        <v>319.87517540461607</v>
      </c>
      <c r="O87" s="36">
        <f t="shared" si="114"/>
        <v>320</v>
      </c>
      <c r="P87" s="36">
        <f>O87*'Manpower Allocation'!$D$46</f>
        <v>17.297297297297298</v>
      </c>
      <c r="Q87" s="36">
        <f t="shared" si="115"/>
        <v>51.891891891891895</v>
      </c>
      <c r="R87" s="37">
        <f t="shared" si="116"/>
        <v>52</v>
      </c>
      <c r="S87" s="13">
        <f>'Manpower Allocation'!$D$52</f>
        <v>12</v>
      </c>
      <c r="T87" s="30">
        <f t="shared" si="117"/>
        <v>64</v>
      </c>
      <c r="U87" s="1327">
        <f t="shared" si="118"/>
        <v>7302.1439140996317</v>
      </c>
      <c r="V87" s="22">
        <v>5</v>
      </c>
      <c r="W87" s="22">
        <f t="shared" si="130"/>
        <v>360</v>
      </c>
      <c r="X87" s="21">
        <f t="shared" si="119"/>
        <v>5</v>
      </c>
      <c r="Y87" s="1325">
        <f t="shared" si="131"/>
        <v>385.530175224115</v>
      </c>
      <c r="Z87" s="22">
        <v>4</v>
      </c>
      <c r="AA87" s="21">
        <f t="shared" si="120"/>
        <v>20</v>
      </c>
      <c r="AB87" s="1325">
        <f t="shared" si="121"/>
        <v>20</v>
      </c>
      <c r="AC87" s="1328">
        <f>ROUNDUP(AA87*3,0)</f>
        <v>60</v>
      </c>
      <c r="AD87" s="22"/>
      <c r="AE87" s="22"/>
      <c r="AF87" s="1325"/>
      <c r="AG87" s="22"/>
      <c r="AH87" s="22"/>
      <c r="AI87" s="22"/>
      <c r="AJ87" s="130">
        <f t="shared" si="133"/>
        <v>6.4255029204019163</v>
      </c>
      <c r="AK87" s="130">
        <f>6*4*3+12</f>
        <v>84</v>
      </c>
      <c r="AL87" s="130"/>
      <c r="AM87" s="907"/>
      <c r="AN87" s="614">
        <v>44</v>
      </c>
      <c r="AO87" s="614">
        <v>24</v>
      </c>
      <c r="AP87" s="614">
        <f t="shared" si="122"/>
        <v>-4</v>
      </c>
      <c r="AQ87" s="853">
        <f t="shared" si="123"/>
        <v>0.6875</v>
      </c>
      <c r="AR87" s="853">
        <f t="shared" si="124"/>
        <v>0.375</v>
      </c>
      <c r="AS87" s="853">
        <f t="shared" si="125"/>
        <v>-6.25E-2</v>
      </c>
      <c r="AW87" s="40"/>
      <c r="BO87" s="39">
        <f t="shared" si="127"/>
        <v>53966.896689077679</v>
      </c>
      <c r="BP87" s="40">
        <f t="shared" si="128"/>
        <v>506</v>
      </c>
      <c r="BQ87" s="41">
        <f t="shared" si="134"/>
        <v>106.65394602584522</v>
      </c>
    </row>
    <row r="88" spans="1:69">
      <c r="A88" s="32" t="s">
        <v>24</v>
      </c>
      <c r="B88" s="1071" t="s">
        <v>506</v>
      </c>
      <c r="C88" s="5">
        <v>46388</v>
      </c>
      <c r="D88" s="967">
        <f>'YN01'!$K$333</f>
        <v>350</v>
      </c>
      <c r="E88" s="748">
        <f>'YN01'!$F$333</f>
        <v>2659.1722160694967</v>
      </c>
      <c r="F88" s="1313">
        <f>'YN01'!$N$333</f>
        <v>319.87517540461607</v>
      </c>
      <c r="G88" s="34">
        <f>'YN01'!$I$333</f>
        <v>0.90136986301369848</v>
      </c>
      <c r="H88" s="8">
        <f>'YN01'!$J$333</f>
        <v>0.85035903477255004</v>
      </c>
      <c r="I88" s="841">
        <f t="shared" si="129"/>
        <v>36510.719570498157</v>
      </c>
      <c r="J88" s="10">
        <f>(BP!N64+BP!N65)/DAY(EOMONTH(C88,0))</f>
        <v>32022.662426409217</v>
      </c>
      <c r="K88" s="612"/>
      <c r="L88" s="35">
        <f t="shared" si="111"/>
        <v>0.87707563157107882</v>
      </c>
      <c r="M88" s="38">
        <f t="shared" si="112"/>
        <v>280.55472149191326</v>
      </c>
      <c r="N88" s="36">
        <f t="shared" si="113"/>
        <v>280.55472149191326</v>
      </c>
      <c r="O88" s="36">
        <f t="shared" si="114"/>
        <v>281</v>
      </c>
      <c r="P88" s="36">
        <f>O88*'Manpower Allocation'!$D$46</f>
        <v>15.189189189189189</v>
      </c>
      <c r="Q88" s="36">
        <f t="shared" si="115"/>
        <v>45.567567567567565</v>
      </c>
      <c r="R88" s="37">
        <f t="shared" si="116"/>
        <v>46</v>
      </c>
      <c r="S88" s="13">
        <f>'Manpower Allocation'!$D$52</f>
        <v>12</v>
      </c>
      <c r="T88" s="30">
        <f t="shared" si="117"/>
        <v>58</v>
      </c>
      <c r="U88" s="1327">
        <f t="shared" si="118"/>
        <v>7302.1439140996317</v>
      </c>
      <c r="V88" s="22">
        <v>5</v>
      </c>
      <c r="W88" s="22">
        <f t="shared" si="130"/>
        <v>360</v>
      </c>
      <c r="X88" s="21">
        <f t="shared" si="119"/>
        <v>4.3853781578553939</v>
      </c>
      <c r="Y88" s="1325">
        <f t="shared" si="131"/>
        <v>315.7472273655884</v>
      </c>
      <c r="Z88" s="22">
        <v>4</v>
      </c>
      <c r="AA88" s="21">
        <f t="shared" si="120"/>
        <v>17.541512631421575</v>
      </c>
      <c r="AB88" s="1325">
        <f t="shared" si="121"/>
        <v>18</v>
      </c>
      <c r="AC88" s="1328">
        <f t="shared" si="136"/>
        <v>54</v>
      </c>
      <c r="AD88" s="22"/>
      <c r="AE88" s="22"/>
      <c r="AF88" s="1325"/>
      <c r="AG88" s="22"/>
      <c r="AH88" s="22"/>
      <c r="AI88" s="22"/>
      <c r="AJ88" s="130">
        <f t="shared" si="133"/>
        <v>5.2624537894264733</v>
      </c>
      <c r="AK88" s="130">
        <f>5*4*3+12</f>
        <v>72</v>
      </c>
      <c r="AL88" s="130"/>
      <c r="AM88" s="907"/>
      <c r="AN88" s="614">
        <v>44</v>
      </c>
      <c r="AO88" s="614">
        <v>24</v>
      </c>
      <c r="AP88" s="614">
        <f t="shared" si="122"/>
        <v>-10</v>
      </c>
      <c r="AQ88" s="853">
        <f t="shared" si="123"/>
        <v>0.75862068965517238</v>
      </c>
      <c r="AR88" s="853">
        <f t="shared" si="124"/>
        <v>0.41379310344827586</v>
      </c>
      <c r="AS88" s="853">
        <f t="shared" si="125"/>
        <v>-0.17241379310344829</v>
      </c>
      <c r="BO88" s="39">
        <f>J27+J13</f>
        <v>50795.208248075418</v>
      </c>
      <c r="BP88" s="40">
        <f t="shared" si="128"/>
        <v>494</v>
      </c>
      <c r="BQ88" s="41">
        <f t="shared" si="134"/>
        <v>102.82430819448466</v>
      </c>
    </row>
    <row r="89" spans="1:69">
      <c r="A89" s="32" t="s">
        <v>24</v>
      </c>
      <c r="B89" s="1071" t="s">
        <v>506</v>
      </c>
      <c r="C89" s="5">
        <v>46419</v>
      </c>
      <c r="D89" s="967">
        <f>'YN01'!$K$333</f>
        <v>350</v>
      </c>
      <c r="E89" s="748">
        <f>'YN01'!$F$333</f>
        <v>2659.1722160694967</v>
      </c>
      <c r="F89" s="1313">
        <f>'YN01'!$N$333</f>
        <v>319.87517540461607</v>
      </c>
      <c r="G89" s="34">
        <f>'YN01'!$I$333</f>
        <v>0.90136986301369848</v>
      </c>
      <c r="H89" s="8">
        <f>'YN01'!$J$333</f>
        <v>0.85035903477255004</v>
      </c>
      <c r="I89" s="841">
        <f t="shared" si="129"/>
        <v>36510.719570498157</v>
      </c>
      <c r="J89" s="10">
        <f>(BP!O64+BP!O65)/DAY(EOMONTH(C89,0))</f>
        <v>35550.068739102797</v>
      </c>
      <c r="K89" s="612"/>
      <c r="L89" s="35">
        <f t="shared" si="111"/>
        <v>0.97368852647397297</v>
      </c>
      <c r="M89" s="38">
        <f t="shared" si="112"/>
        <v>311.45878819532425</v>
      </c>
      <c r="N89" s="36">
        <f t="shared" si="113"/>
        <v>311.45878819532425</v>
      </c>
      <c r="O89" s="36">
        <f t="shared" si="114"/>
        <v>312</v>
      </c>
      <c r="P89" s="36">
        <f>O89*'Manpower Allocation'!$D$46</f>
        <v>16.864864864864867</v>
      </c>
      <c r="Q89" s="36">
        <f t="shared" si="115"/>
        <v>50.594594594594597</v>
      </c>
      <c r="R89" s="37">
        <f t="shared" si="116"/>
        <v>51</v>
      </c>
      <c r="S89" s="13">
        <f>'Manpower Allocation'!$D$52</f>
        <v>12</v>
      </c>
      <c r="T89" s="30">
        <f t="shared" si="117"/>
        <v>63</v>
      </c>
      <c r="U89" s="1327">
        <f t="shared" si="118"/>
        <v>7302.1439140996317</v>
      </c>
      <c r="V89" s="22">
        <v>5</v>
      </c>
      <c r="W89" s="22">
        <f t="shared" si="130"/>
        <v>360</v>
      </c>
      <c r="X89" s="21">
        <f t="shared" si="119"/>
        <v>4.8684426323698649</v>
      </c>
      <c r="Y89" s="1325">
        <f t="shared" si="131"/>
        <v>350.52786953063026</v>
      </c>
      <c r="Z89" s="22">
        <v>4</v>
      </c>
      <c r="AA89" s="21">
        <f t="shared" si="120"/>
        <v>19.473770529479459</v>
      </c>
      <c r="AB89" s="1325">
        <f t="shared" si="121"/>
        <v>20</v>
      </c>
      <c r="AC89" s="1328">
        <f t="shared" si="136"/>
        <v>60</v>
      </c>
      <c r="AD89" s="22"/>
      <c r="AE89" s="22"/>
      <c r="AF89" s="1325"/>
      <c r="AG89" s="22"/>
      <c r="AH89" s="22"/>
      <c r="AI89" s="22"/>
      <c r="AJ89" s="130">
        <f t="shared" si="133"/>
        <v>5.8421311588438378</v>
      </c>
      <c r="AK89" s="130">
        <f>5.5*4*3+12</f>
        <v>78</v>
      </c>
      <c r="AL89" s="130"/>
      <c r="AM89" s="907"/>
      <c r="AN89" s="614">
        <v>44</v>
      </c>
      <c r="AO89" s="614">
        <v>24</v>
      </c>
      <c r="AP89" s="614">
        <f t="shared" si="122"/>
        <v>-5</v>
      </c>
      <c r="AQ89" s="853">
        <f t="shared" si="123"/>
        <v>0.69841269841269837</v>
      </c>
      <c r="AR89" s="853">
        <f t="shared" si="124"/>
        <v>0.38095238095238093</v>
      </c>
      <c r="AS89" s="853">
        <f t="shared" si="125"/>
        <v>-7.9365079365079361E-2</v>
      </c>
      <c r="BO89" s="39">
        <f>J28+J14</f>
        <v>53126.83295062113</v>
      </c>
      <c r="BP89" s="40">
        <f t="shared" si="128"/>
        <v>501</v>
      </c>
      <c r="BQ89" s="41">
        <f t="shared" si="134"/>
        <v>106.04158273577072</v>
      </c>
    </row>
    <row r="90" spans="1:69">
      <c r="A90" s="32" t="s">
        <v>24</v>
      </c>
      <c r="B90" s="1071" t="s">
        <v>506</v>
      </c>
      <c r="C90" s="5">
        <v>46447</v>
      </c>
      <c r="D90" s="967">
        <f>'YN01'!$K$333</f>
        <v>350</v>
      </c>
      <c r="E90" s="748">
        <f>'YN01'!$F$333</f>
        <v>2659.1722160694967</v>
      </c>
      <c r="F90" s="1313">
        <f>'YN01'!$N$333</f>
        <v>319.87517540461607</v>
      </c>
      <c r="G90" s="34">
        <f>'YN01'!$I$333</f>
        <v>0.90136986301369848</v>
      </c>
      <c r="H90" s="8">
        <f>'YN01'!$J$333</f>
        <v>0.85035903477255004</v>
      </c>
      <c r="I90" s="841">
        <f t="shared" si="129"/>
        <v>36510.719570498157</v>
      </c>
      <c r="J90" s="10">
        <f>(BP!P64+BP!P65)/DAY(EOMONTH(C90,0))</f>
        <v>30369.831368822677</v>
      </c>
      <c r="K90" s="612"/>
      <c r="L90" s="35">
        <f t="shared" si="111"/>
        <v>0.83180588402761813</v>
      </c>
      <c r="M90" s="38">
        <f t="shared" si="112"/>
        <v>266.07405305592607</v>
      </c>
      <c r="N90" s="36">
        <f t="shared" si="113"/>
        <v>266.07405305592607</v>
      </c>
      <c r="O90" s="36">
        <f t="shared" si="114"/>
        <v>267</v>
      </c>
      <c r="P90" s="36">
        <f>O90*'Manpower Allocation'!$D$46</f>
        <v>14.432432432432433</v>
      </c>
      <c r="Q90" s="36">
        <f t="shared" si="115"/>
        <v>43.297297297297298</v>
      </c>
      <c r="R90" s="37">
        <f t="shared" si="116"/>
        <v>44</v>
      </c>
      <c r="S90" s="13">
        <f>'Manpower Allocation'!$D$52</f>
        <v>12</v>
      </c>
      <c r="T90" s="30">
        <f t="shared" si="117"/>
        <v>56</v>
      </c>
      <c r="U90" s="1327">
        <f t="shared" si="118"/>
        <v>7302.1439140996317</v>
      </c>
      <c r="V90" s="22">
        <v>5</v>
      </c>
      <c r="W90" s="22">
        <f t="shared" si="130"/>
        <v>360</v>
      </c>
      <c r="X90" s="21">
        <f t="shared" si="119"/>
        <v>4.15902942013809</v>
      </c>
      <c r="Y90" s="1325">
        <f t="shared" si="131"/>
        <v>299.45011824994253</v>
      </c>
      <c r="Z90" s="22">
        <v>4</v>
      </c>
      <c r="AA90" s="21">
        <f t="shared" si="120"/>
        <v>16.63611768055236</v>
      </c>
      <c r="AB90" s="1325">
        <f t="shared" si="121"/>
        <v>17</v>
      </c>
      <c r="AC90" s="1328">
        <f t="shared" si="136"/>
        <v>51</v>
      </c>
      <c r="AD90" s="22"/>
      <c r="AE90" s="22"/>
      <c r="AF90" s="1325"/>
      <c r="AG90" s="22"/>
      <c r="AH90" s="22"/>
      <c r="AI90" s="22"/>
      <c r="AJ90" s="130">
        <f t="shared" si="133"/>
        <v>4.9908353041657083</v>
      </c>
      <c r="AK90" s="130">
        <f>5*4*3+12</f>
        <v>72</v>
      </c>
      <c r="AL90" s="130"/>
      <c r="AM90" s="907"/>
      <c r="AN90" s="614">
        <v>44</v>
      </c>
      <c r="AO90" s="614">
        <v>24</v>
      </c>
      <c r="AP90" s="614">
        <f t="shared" si="122"/>
        <v>-12</v>
      </c>
      <c r="AQ90" s="853">
        <f t="shared" si="123"/>
        <v>0.7857142857142857</v>
      </c>
      <c r="AR90" s="853">
        <f t="shared" si="124"/>
        <v>0.42857142857142855</v>
      </c>
      <c r="AS90" s="853">
        <f t="shared" si="125"/>
        <v>-0.21428571428571427</v>
      </c>
      <c r="BO90" s="39">
        <f>J29+J15</f>
        <v>44281.844052840432</v>
      </c>
      <c r="BP90" s="40">
        <f t="shared" si="128"/>
        <v>484</v>
      </c>
      <c r="BQ90" s="41">
        <f t="shared" si="134"/>
        <v>91.491413332314949</v>
      </c>
    </row>
    <row r="91" spans="1:69">
      <c r="A91" s="617"/>
      <c r="B91" s="15"/>
      <c r="C91" s="611"/>
      <c r="D91" s="328"/>
      <c r="E91" s="1069"/>
      <c r="F91" s="1069"/>
      <c r="G91" s="34"/>
      <c r="H91" s="8"/>
      <c r="I91" s="842"/>
      <c r="J91" s="10"/>
      <c r="K91" s="612"/>
      <c r="L91" s="35"/>
      <c r="M91" s="38"/>
      <c r="N91" s="36"/>
      <c r="O91" s="36"/>
      <c r="P91" s="36"/>
      <c r="Q91" s="36"/>
      <c r="R91" s="37"/>
      <c r="S91" s="22"/>
      <c r="T91" s="22"/>
      <c r="U91" s="22"/>
      <c r="V91" s="22"/>
      <c r="W91" s="22"/>
      <c r="X91" s="22"/>
      <c r="Y91" s="22"/>
      <c r="Z91" s="22"/>
      <c r="AA91" s="22"/>
      <c r="AB91" s="22"/>
      <c r="AC91" s="22"/>
      <c r="AD91" s="22"/>
      <c r="AE91" s="22"/>
      <c r="AF91" s="1325"/>
      <c r="AG91" s="22"/>
      <c r="AH91" s="22"/>
      <c r="AI91" s="22"/>
      <c r="AJ91" s="130"/>
      <c r="AK91" s="130"/>
      <c r="AL91" s="130"/>
      <c r="AM91" s="907"/>
      <c r="AN91" s="614"/>
      <c r="AO91" s="614"/>
      <c r="AP91" s="614"/>
      <c r="AQ91" s="853"/>
      <c r="AR91" s="853"/>
      <c r="AS91" s="853"/>
      <c r="BO91" s="39"/>
      <c r="BP91" s="40"/>
      <c r="BQ91" s="41"/>
    </row>
    <row r="92" spans="1:69" ht="43.5">
      <c r="A92" s="1068" t="s">
        <v>0</v>
      </c>
      <c r="B92" s="1068" t="s">
        <v>1</v>
      </c>
      <c r="C92" s="1068" t="s">
        <v>2</v>
      </c>
      <c r="D92" s="799" t="s">
        <v>3</v>
      </c>
      <c r="E92" s="1068" t="s">
        <v>4</v>
      </c>
      <c r="F92" s="1068" t="s">
        <v>5</v>
      </c>
      <c r="G92" s="1068" t="s">
        <v>6</v>
      </c>
      <c r="H92" s="1068" t="s">
        <v>7</v>
      </c>
      <c r="I92" s="1068" t="s">
        <v>8</v>
      </c>
      <c r="J92" s="1068" t="s">
        <v>9</v>
      </c>
      <c r="K92" s="1068"/>
      <c r="L92" s="1068" t="s">
        <v>10</v>
      </c>
      <c r="M92" s="1068" t="s">
        <v>10</v>
      </c>
      <c r="N92" s="1068" t="s">
        <v>604</v>
      </c>
      <c r="O92" s="1068" t="s">
        <v>343</v>
      </c>
      <c r="P92" s="1068" t="s">
        <v>12</v>
      </c>
      <c r="Q92" s="1068" t="s">
        <v>13</v>
      </c>
      <c r="R92" s="1068" t="s">
        <v>13</v>
      </c>
      <c r="S92" s="1068" t="s">
        <v>1251</v>
      </c>
      <c r="T92" s="1068" t="s">
        <v>14</v>
      </c>
      <c r="U92" s="851" t="s">
        <v>1561</v>
      </c>
      <c r="V92" s="851" t="s">
        <v>1517</v>
      </c>
      <c r="W92" s="851" t="s">
        <v>1518</v>
      </c>
      <c r="X92" s="851" t="s">
        <v>873</v>
      </c>
      <c r="Y92" s="851" t="s">
        <v>1519</v>
      </c>
      <c r="Z92" s="851" t="s">
        <v>1520</v>
      </c>
      <c r="AA92" s="851" t="s">
        <v>1521</v>
      </c>
      <c r="AB92" s="851" t="s">
        <v>1521</v>
      </c>
      <c r="AC92" s="851" t="s">
        <v>1562</v>
      </c>
      <c r="AD92" s="851" t="s">
        <v>537</v>
      </c>
      <c r="AE92" s="851"/>
      <c r="AF92" s="1337"/>
      <c r="AG92" s="851"/>
      <c r="AH92" s="851"/>
      <c r="AI92" s="851"/>
      <c r="AJ92" s="130"/>
      <c r="AK92" s="130"/>
      <c r="AL92" s="130"/>
      <c r="AM92" s="907"/>
      <c r="AN92" s="614"/>
      <c r="AO92" s="614"/>
      <c r="AP92" s="614"/>
      <c r="AQ92" s="853"/>
      <c r="AR92" s="853"/>
      <c r="AS92" s="853"/>
      <c r="BO92" s="39"/>
      <c r="BP92" s="40"/>
      <c r="BQ92" s="41"/>
    </row>
    <row r="93" spans="1:69">
      <c r="A93" s="32" t="s">
        <v>24</v>
      </c>
      <c r="B93" s="1071" t="s">
        <v>505</v>
      </c>
      <c r="C93" s="5">
        <v>46113</v>
      </c>
      <c r="D93" s="328">
        <f>'YN01'!$K$362</f>
        <v>399.99999999999989</v>
      </c>
      <c r="E93" s="1313">
        <f>'YN01'!$F$362</f>
        <v>2423.6343569217202</v>
      </c>
      <c r="F93" s="1313">
        <f>'YN01'!$L$362</f>
        <v>83.999999999999986</v>
      </c>
      <c r="G93" s="34">
        <f>'YN01'!$I$362</f>
        <v>0.83193277310924374</v>
      </c>
      <c r="H93" s="8">
        <f>'YN01'!$J$362</f>
        <v>0.79999999999999993</v>
      </c>
      <c r="I93" s="841">
        <f t="shared" ref="I93" si="139">D93*E93*F93*G93*H93*0.00016</f>
        <v>8671.7067023751606</v>
      </c>
      <c r="J93" s="10">
        <f>(BP!$E$49)/DAY(EOMONTH(C93,0))</f>
        <v>3349.009772451901</v>
      </c>
      <c r="K93" s="612"/>
      <c r="L93" s="35">
        <f t="shared" ref="L93" si="140">J93/I93</f>
        <v>0.38619961299366995</v>
      </c>
      <c r="M93" s="38">
        <f t="shared" ref="M93" si="141">IF((L93*F93)&gt;F93,F93,(L93*F93))</f>
        <v>32.440767491468272</v>
      </c>
      <c r="N93" s="36">
        <f>M93/84</f>
        <v>0.38619961299366989</v>
      </c>
      <c r="O93" s="1362">
        <f>ROUND(N93/0.33,0)</f>
        <v>1</v>
      </c>
      <c r="P93" s="36">
        <f>4</f>
        <v>4</v>
      </c>
      <c r="Q93" s="36">
        <f>P93*O93</f>
        <v>4</v>
      </c>
      <c r="R93" s="37">
        <f t="shared" ref="R93" si="142">ROUNDUP(Q93,0)</f>
        <v>4</v>
      </c>
      <c r="S93" s="13">
        <v>0</v>
      </c>
      <c r="T93" s="30">
        <f t="shared" ref="T93" si="143">R93+S93</f>
        <v>4</v>
      </c>
      <c r="U93" s="1327">
        <f t="shared" ref="U93:U104" si="144">I93/V93</f>
        <v>8671.7067023751606</v>
      </c>
      <c r="V93" s="22">
        <v>1</v>
      </c>
      <c r="W93" s="22">
        <v>84</v>
      </c>
      <c r="X93" s="21">
        <f t="shared" ref="X93:X104" si="145">IF(J93&gt;I93,V93,J93/U93)</f>
        <v>0.38619961299366995</v>
      </c>
      <c r="Y93" s="1325">
        <f>W93*L93</f>
        <v>32.440767491468279</v>
      </c>
      <c r="Z93" s="22">
        <v>4</v>
      </c>
      <c r="AA93" s="21">
        <f t="shared" ref="AA93:AA104" si="146">Z93*X93</f>
        <v>1.5447984519746798</v>
      </c>
      <c r="AB93" s="1325">
        <f t="shared" ref="AB93:AB104" si="147">ROUNDUP(AA93,0)</f>
        <v>2</v>
      </c>
      <c r="AC93" s="1328">
        <f>Z93*AF95</f>
        <v>8</v>
      </c>
      <c r="AD93" s="22" t="s">
        <v>1555</v>
      </c>
      <c r="AE93" s="22"/>
      <c r="AF93" s="1325"/>
      <c r="AG93" s="22"/>
      <c r="AH93" s="22">
        <f>IF(MOD(AA93,1)&lt;0.34,MOD(AA93,1)*1,IF(AND(MOD(AA93,1)&gt;0.33,MOD(AA93,1)&lt;0.67),MOD(AA93,1)*2,MOD(AA93,1)*3))+ROUNDDOWN(AA93,0)*3</f>
        <v>4.08959690394936</v>
      </c>
      <c r="AI93" s="22">
        <f>IF(MOD(AA93,1)&lt;0.34,1,IF(AND(MOD(AA93,1)&gt;0.33,MOD(AA93,1)&lt;0.67),2,3))*MOD(AA93,1)+ROUNDDOWN(AA93,0)*3</f>
        <v>4.08959690394936</v>
      </c>
      <c r="AJ93" s="130"/>
      <c r="AK93" s="130"/>
      <c r="AL93" s="130"/>
      <c r="AM93" s="907"/>
      <c r="AN93" s="614"/>
      <c r="AO93" s="614"/>
      <c r="AP93" s="614"/>
      <c r="AQ93" s="853"/>
      <c r="AR93" s="853"/>
      <c r="AS93" s="853"/>
      <c r="BO93" s="39"/>
      <c r="BP93" s="40"/>
      <c r="BQ93" s="41"/>
    </row>
    <row r="94" spans="1:69">
      <c r="A94" s="32" t="s">
        <v>24</v>
      </c>
      <c r="B94" s="1071" t="s">
        <v>505</v>
      </c>
      <c r="C94" s="5">
        <v>46143</v>
      </c>
      <c r="D94" s="328">
        <f>'YN01'!$K$362</f>
        <v>399.99999999999989</v>
      </c>
      <c r="E94" s="1313">
        <f>'YN01'!$F$362</f>
        <v>2423.6343569217202</v>
      </c>
      <c r="F94" s="1313">
        <f>'YN01'!$L$362</f>
        <v>83.999999999999986</v>
      </c>
      <c r="G94" s="34">
        <f>'YN01'!$I$362</f>
        <v>0.83193277310924374</v>
      </c>
      <c r="H94" s="8">
        <f>'YN01'!$J$362</f>
        <v>0.79999999999999993</v>
      </c>
      <c r="I94" s="841">
        <f t="shared" ref="I94:I104" si="148">D94*E94*F94*G94*H94*0.00016</f>
        <v>8671.7067023751606</v>
      </c>
      <c r="J94" s="10">
        <f>(BP!$F$49)/DAY(EOMONTH(C94,0))</f>
        <v>2496.4783411213862</v>
      </c>
      <c r="K94" s="612"/>
      <c r="L94" s="35">
        <f t="shared" ref="L94:L104" si="149">J94/I94</f>
        <v>0.28788777420684747</v>
      </c>
      <c r="M94" s="38">
        <f t="shared" ref="M94:M104" si="150">IF((L94*F94)&gt;F94,F94,(L94*F94))</f>
        <v>24.182573033375185</v>
      </c>
      <c r="N94" s="36">
        <f t="shared" ref="N94:N104" si="151">M94/84</f>
        <v>0.28788777420684741</v>
      </c>
      <c r="O94" s="1362">
        <f t="shared" ref="O94:O104" si="152">ROUND(N94/0.33,0)</f>
        <v>1</v>
      </c>
      <c r="P94" s="36">
        <f>4</f>
        <v>4</v>
      </c>
      <c r="Q94" s="36">
        <f t="shared" ref="Q94:Q104" si="153">P94*O94</f>
        <v>4</v>
      </c>
      <c r="R94" s="37">
        <f t="shared" ref="R94:R104" si="154">ROUNDUP(Q94,0)</f>
        <v>4</v>
      </c>
      <c r="S94" s="13">
        <v>0</v>
      </c>
      <c r="T94" s="30">
        <f t="shared" ref="T94:T104" si="155">R94+S94</f>
        <v>4</v>
      </c>
      <c r="U94" s="1327">
        <f t="shared" si="144"/>
        <v>8671.7067023751606</v>
      </c>
      <c r="V94" s="22">
        <v>1</v>
      </c>
      <c r="W94" s="22">
        <v>84</v>
      </c>
      <c r="X94" s="21">
        <f t="shared" si="145"/>
        <v>0.28788777420684747</v>
      </c>
      <c r="Y94" s="1325">
        <f t="shared" ref="Y94:Y104" si="156">W94*L94</f>
        <v>24.182573033375188</v>
      </c>
      <c r="Z94" s="22">
        <v>4</v>
      </c>
      <c r="AA94" s="21">
        <f t="shared" si="146"/>
        <v>1.1515510968273899</v>
      </c>
      <c r="AB94" s="1325">
        <f t="shared" si="147"/>
        <v>2</v>
      </c>
      <c r="AC94" s="1329">
        <f t="shared" ref="AC94" si="157">ROUNDUP(AA94*3,0)</f>
        <v>4</v>
      </c>
      <c r="AD94" s="22"/>
      <c r="AE94" s="22" t="s">
        <v>1566</v>
      </c>
      <c r="AF94" s="1325">
        <v>1</v>
      </c>
      <c r="AG94" s="22" t="s">
        <v>1565</v>
      </c>
      <c r="AH94" s="22">
        <f t="shared" ref="AH94:AH104" si="158">IF(MOD(AA94,1)&lt;0.34,MOD(AA94,1)*1,IF(AND(MOD(AA94,1)&gt;0.33,MOD(AA94,1)&lt;0.67),MOD(AA94,1)*2,MOD(AA94,1)*3))+ROUNDDOWN(AA94,0)*3</f>
        <v>3.1515510968273901</v>
      </c>
      <c r="AI94" s="22">
        <f t="shared" ref="AI94:AI104" si="159">IF(MOD(AA94,1)&lt;0.34,1,IF(AND(MOD(AA94,1)&gt;0.33,MOD(AA94,1)&lt;0.67),2,3))*MOD(AA94,1)+ROUNDDOWN(AA94,0)*3</f>
        <v>3.1515510968273901</v>
      </c>
      <c r="AJ94" s="22">
        <f>3+0.15*1</f>
        <v>3.15</v>
      </c>
      <c r="AK94" s="130"/>
      <c r="AL94" s="130"/>
      <c r="AM94" s="907"/>
      <c r="AN94" s="614"/>
      <c r="AO94" s="614"/>
      <c r="AP94" s="614"/>
      <c r="AQ94" s="853"/>
      <c r="AR94" s="853"/>
      <c r="AS94" s="853"/>
      <c r="BO94" s="39"/>
      <c r="BP94" s="40"/>
      <c r="BQ94" s="41"/>
    </row>
    <row r="95" spans="1:69">
      <c r="A95" s="32" t="s">
        <v>24</v>
      </c>
      <c r="B95" s="1071" t="s">
        <v>505</v>
      </c>
      <c r="C95" s="5">
        <v>46174</v>
      </c>
      <c r="D95" s="328">
        <f>'YN01'!$K$362</f>
        <v>399.99999999999989</v>
      </c>
      <c r="E95" s="1313">
        <f>'YN01'!$F$362</f>
        <v>2423.6343569217202</v>
      </c>
      <c r="F95" s="1313">
        <f>'YN01'!$L$362</f>
        <v>83.999999999999986</v>
      </c>
      <c r="G95" s="34">
        <f>'YN01'!$I$362</f>
        <v>0.83193277310924374</v>
      </c>
      <c r="H95" s="8">
        <f>'YN01'!$J$362</f>
        <v>0.79999999999999993</v>
      </c>
      <c r="I95" s="841">
        <f t="shared" si="148"/>
        <v>8671.7067023751606</v>
      </c>
      <c r="J95" s="10">
        <f>(BP!$G$49)/DAY(EOMONTH(C95,0))</f>
        <v>1543.1192726018523</v>
      </c>
      <c r="K95" s="612"/>
      <c r="L95" s="35">
        <f t="shared" si="149"/>
        <v>0.17794873899265937</v>
      </c>
      <c r="M95" s="38">
        <f t="shared" si="150"/>
        <v>14.947694075383385</v>
      </c>
      <c r="N95" s="36">
        <f t="shared" si="151"/>
        <v>0.17794873899265934</v>
      </c>
      <c r="O95" s="1362">
        <f t="shared" si="152"/>
        <v>1</v>
      </c>
      <c r="P95" s="36">
        <f>4</f>
        <v>4</v>
      </c>
      <c r="Q95" s="36">
        <f t="shared" si="153"/>
        <v>4</v>
      </c>
      <c r="R95" s="37">
        <f t="shared" si="154"/>
        <v>4</v>
      </c>
      <c r="S95" s="13">
        <v>0</v>
      </c>
      <c r="T95" s="30">
        <f t="shared" si="155"/>
        <v>4</v>
      </c>
      <c r="U95" s="1327">
        <f t="shared" si="144"/>
        <v>8671.7067023751606</v>
      </c>
      <c r="V95" s="22">
        <v>1</v>
      </c>
      <c r="W95" s="22">
        <v>84</v>
      </c>
      <c r="X95" s="21">
        <f t="shared" si="145"/>
        <v>0.17794873899265937</v>
      </c>
      <c r="Y95" s="1325">
        <f t="shared" si="156"/>
        <v>14.947694075383387</v>
      </c>
      <c r="Z95" s="22">
        <v>4</v>
      </c>
      <c r="AA95" s="21">
        <f t="shared" si="146"/>
        <v>0.71179495597063747</v>
      </c>
      <c r="AB95" s="1325">
        <f t="shared" si="147"/>
        <v>1</v>
      </c>
      <c r="AC95" s="1329">
        <f>Z95*AF94</f>
        <v>4</v>
      </c>
      <c r="AD95" s="22"/>
      <c r="AE95" s="22" t="s">
        <v>1567</v>
      </c>
      <c r="AF95" s="1325">
        <v>2</v>
      </c>
      <c r="AG95" s="22" t="s">
        <v>1565</v>
      </c>
      <c r="AH95" s="22">
        <f t="shared" si="158"/>
        <v>2.1353848679119123</v>
      </c>
      <c r="AI95" s="22">
        <f t="shared" si="159"/>
        <v>2.1353848679119123</v>
      </c>
      <c r="AJ95" s="130"/>
      <c r="AK95" s="130"/>
      <c r="AL95" s="130"/>
      <c r="AM95" s="907"/>
      <c r="AN95" s="614"/>
      <c r="AO95" s="614"/>
      <c r="AP95" s="614"/>
      <c r="AQ95" s="853"/>
      <c r="AR95" s="853"/>
      <c r="AS95" s="853"/>
      <c r="BO95" s="39"/>
      <c r="BP95" s="40"/>
      <c r="BQ95" s="41"/>
    </row>
    <row r="96" spans="1:69">
      <c r="A96" s="32" t="s">
        <v>24</v>
      </c>
      <c r="B96" s="1071" t="s">
        <v>505</v>
      </c>
      <c r="C96" s="5">
        <v>46204</v>
      </c>
      <c r="D96" s="328">
        <f>'YN01'!$K$362</f>
        <v>399.99999999999989</v>
      </c>
      <c r="E96" s="1313">
        <f>'YN01'!$F$362</f>
        <v>2423.6343569217202</v>
      </c>
      <c r="F96" s="1313">
        <f>'YN01'!$L$362</f>
        <v>83.999999999999986</v>
      </c>
      <c r="G96" s="34">
        <f>'YN01'!$I$362</f>
        <v>0.83193277310924374</v>
      </c>
      <c r="H96" s="8">
        <f>'YN01'!$J$362</f>
        <v>0.79999999999999993</v>
      </c>
      <c r="I96" s="841">
        <f t="shared" si="148"/>
        <v>8671.7067023751606</v>
      </c>
      <c r="J96" s="10">
        <f>(BP!$H$49)/DAY(EOMONTH(C96,0))</f>
        <v>2356.2427665722334</v>
      </c>
      <c r="K96" s="612"/>
      <c r="L96" s="35">
        <f t="shared" si="149"/>
        <v>0.27171615086184409</v>
      </c>
      <c r="M96" s="38">
        <f t="shared" si="150"/>
        <v>22.824156672394899</v>
      </c>
      <c r="N96" s="36">
        <f t="shared" si="151"/>
        <v>0.27171615086184403</v>
      </c>
      <c r="O96" s="1362">
        <f t="shared" si="152"/>
        <v>1</v>
      </c>
      <c r="P96" s="36">
        <f>4</f>
        <v>4</v>
      </c>
      <c r="Q96" s="36">
        <f t="shared" si="153"/>
        <v>4</v>
      </c>
      <c r="R96" s="37">
        <f t="shared" si="154"/>
        <v>4</v>
      </c>
      <c r="S96" s="13">
        <v>0</v>
      </c>
      <c r="T96" s="30">
        <f t="shared" si="155"/>
        <v>4</v>
      </c>
      <c r="U96" s="1327">
        <f t="shared" si="144"/>
        <v>8671.7067023751606</v>
      </c>
      <c r="V96" s="22">
        <v>1</v>
      </c>
      <c r="W96" s="22">
        <v>84</v>
      </c>
      <c r="X96" s="21">
        <f t="shared" si="145"/>
        <v>0.27171615086184409</v>
      </c>
      <c r="Y96" s="1325">
        <f t="shared" si="156"/>
        <v>22.824156672394903</v>
      </c>
      <c r="Z96" s="22">
        <v>4</v>
      </c>
      <c r="AA96" s="21">
        <f t="shared" si="146"/>
        <v>1.0868646034473763</v>
      </c>
      <c r="AB96" s="1325">
        <f t="shared" si="147"/>
        <v>2</v>
      </c>
      <c r="AC96" s="1329">
        <f t="shared" ref="AC96:AC97" si="160">ROUNDUP(AA96*3,0)</f>
        <v>4</v>
      </c>
      <c r="AD96" s="22"/>
      <c r="AE96" s="22" t="s">
        <v>1568</v>
      </c>
      <c r="AF96" s="1325">
        <v>3</v>
      </c>
      <c r="AG96" s="22" t="s">
        <v>1565</v>
      </c>
      <c r="AH96" s="22">
        <f t="shared" si="158"/>
        <v>3.0868646034473763</v>
      </c>
      <c r="AI96" s="22">
        <f t="shared" si="159"/>
        <v>3.0868646034473763</v>
      </c>
      <c r="AJ96" s="130"/>
      <c r="AK96" s="130"/>
      <c r="AL96" s="130"/>
      <c r="AM96" s="907"/>
      <c r="AN96" s="614"/>
      <c r="AO96" s="614"/>
      <c r="AP96" s="614"/>
      <c r="AQ96" s="853"/>
      <c r="AR96" s="853"/>
      <c r="AS96" s="853"/>
      <c r="BO96" s="39"/>
      <c r="BP96" s="40"/>
      <c r="BQ96" s="41"/>
    </row>
    <row r="97" spans="1:76">
      <c r="A97" s="32" t="s">
        <v>24</v>
      </c>
      <c r="B97" s="1071" t="s">
        <v>505</v>
      </c>
      <c r="C97" s="5">
        <v>46235</v>
      </c>
      <c r="D97" s="328">
        <f>'YN01'!$K$362</f>
        <v>399.99999999999989</v>
      </c>
      <c r="E97" s="1313">
        <f>'YN01'!$F$362</f>
        <v>2423.6343569217202</v>
      </c>
      <c r="F97" s="1313">
        <f>'YN01'!$L$362</f>
        <v>83.999999999999986</v>
      </c>
      <c r="G97" s="34">
        <f>'YN01'!$I$362</f>
        <v>0.83193277310924374</v>
      </c>
      <c r="H97" s="8">
        <f>'YN01'!$J$362</f>
        <v>0.79999999999999993</v>
      </c>
      <c r="I97" s="841">
        <f t="shared" si="148"/>
        <v>8671.7067023751606</v>
      </c>
      <c r="J97" s="10">
        <f>(BP!$I$49)/DAY(EOMONTH(C97,0))</f>
        <v>2497.9630292209613</v>
      </c>
      <c r="K97" s="612"/>
      <c r="L97" s="35">
        <f t="shared" si="149"/>
        <v>0.28805898480592923</v>
      </c>
      <c r="M97" s="38">
        <f t="shared" si="150"/>
        <v>24.196954723698052</v>
      </c>
      <c r="N97" s="36">
        <f t="shared" si="151"/>
        <v>0.28805898480592917</v>
      </c>
      <c r="O97" s="1362">
        <f t="shared" si="152"/>
        <v>1</v>
      </c>
      <c r="P97" s="36">
        <f>4</f>
        <v>4</v>
      </c>
      <c r="Q97" s="36">
        <f t="shared" si="153"/>
        <v>4</v>
      </c>
      <c r="R97" s="37">
        <f t="shared" si="154"/>
        <v>4</v>
      </c>
      <c r="S97" s="13">
        <v>0</v>
      </c>
      <c r="T97" s="30">
        <f t="shared" si="155"/>
        <v>4</v>
      </c>
      <c r="U97" s="1327">
        <f t="shared" si="144"/>
        <v>8671.7067023751606</v>
      </c>
      <c r="V97" s="22">
        <v>1</v>
      </c>
      <c r="W97" s="22">
        <v>84</v>
      </c>
      <c r="X97" s="21">
        <f t="shared" si="145"/>
        <v>0.28805898480592923</v>
      </c>
      <c r="Y97" s="1325">
        <f t="shared" si="156"/>
        <v>24.196954723698056</v>
      </c>
      <c r="Z97" s="22">
        <v>4</v>
      </c>
      <c r="AA97" s="21">
        <f t="shared" si="146"/>
        <v>1.1522359392237169</v>
      </c>
      <c r="AB97" s="1325">
        <f t="shared" si="147"/>
        <v>2</v>
      </c>
      <c r="AC97" s="1329">
        <f t="shared" si="160"/>
        <v>4</v>
      </c>
      <c r="AD97" s="22"/>
      <c r="AE97" s="22"/>
      <c r="AF97" s="1325"/>
      <c r="AG97" s="22"/>
      <c r="AH97" s="22">
        <f t="shared" si="158"/>
        <v>3.1522359392237167</v>
      </c>
      <c r="AI97" s="22">
        <f t="shared" si="159"/>
        <v>3.1522359392237167</v>
      </c>
      <c r="AJ97" s="130"/>
      <c r="AK97" s="130"/>
      <c r="AL97" s="130"/>
      <c r="AM97" s="907"/>
      <c r="AN97" s="614"/>
      <c r="AO97" s="614"/>
      <c r="AP97" s="614"/>
      <c r="AQ97" s="853"/>
      <c r="AR97" s="853"/>
      <c r="AS97" s="853"/>
      <c r="BO97" s="39"/>
      <c r="BP97" s="40"/>
      <c r="BQ97" s="41"/>
    </row>
    <row r="98" spans="1:76">
      <c r="A98" s="32" t="s">
        <v>24</v>
      </c>
      <c r="B98" s="1071" t="s">
        <v>505</v>
      </c>
      <c r="C98" s="5">
        <v>46266</v>
      </c>
      <c r="D98" s="328">
        <f>'YN01'!$K$362</f>
        <v>399.99999999999989</v>
      </c>
      <c r="E98" s="1313">
        <f>'YN01'!$F$362</f>
        <v>2423.6343569217202</v>
      </c>
      <c r="F98" s="1313">
        <f>'YN01'!$L$362</f>
        <v>83.999999999999986</v>
      </c>
      <c r="G98" s="34">
        <f>'YN01'!$I$362</f>
        <v>0.83193277310924374</v>
      </c>
      <c r="H98" s="8">
        <f>'YN01'!$J$362</f>
        <v>0.79999999999999993</v>
      </c>
      <c r="I98" s="841">
        <f t="shared" si="148"/>
        <v>8671.7067023751606</v>
      </c>
      <c r="J98" s="10">
        <f>(BP!$J$49)/DAY(EOMONTH(C98,0))</f>
        <v>2883.1570921601592</v>
      </c>
      <c r="K98" s="612"/>
      <c r="L98" s="35">
        <f t="shared" si="149"/>
        <v>0.33247862169628833</v>
      </c>
      <c r="M98" s="38">
        <f t="shared" si="150"/>
        <v>27.928204222488215</v>
      </c>
      <c r="N98" s="36">
        <f t="shared" si="151"/>
        <v>0.33247862169628828</v>
      </c>
      <c r="O98" s="1362">
        <f t="shared" si="152"/>
        <v>1</v>
      </c>
      <c r="P98" s="36">
        <f>4</f>
        <v>4</v>
      </c>
      <c r="Q98" s="36">
        <f t="shared" si="153"/>
        <v>4</v>
      </c>
      <c r="R98" s="37">
        <f t="shared" si="154"/>
        <v>4</v>
      </c>
      <c r="S98" s="13">
        <v>0</v>
      </c>
      <c r="T98" s="30">
        <f t="shared" si="155"/>
        <v>4</v>
      </c>
      <c r="U98" s="1327">
        <f t="shared" si="144"/>
        <v>8671.7067023751606</v>
      </c>
      <c r="V98" s="22">
        <v>1</v>
      </c>
      <c r="W98" s="22">
        <v>84</v>
      </c>
      <c r="X98" s="21">
        <f t="shared" si="145"/>
        <v>0.33247862169628833</v>
      </c>
      <c r="Y98" s="1325">
        <f t="shared" si="156"/>
        <v>27.928204222488219</v>
      </c>
      <c r="Z98" s="22">
        <v>4</v>
      </c>
      <c r="AA98" s="21">
        <f t="shared" si="146"/>
        <v>1.3299144867851533</v>
      </c>
      <c r="AB98" s="1325">
        <f t="shared" si="147"/>
        <v>2</v>
      </c>
      <c r="AC98" s="1329">
        <f>Z98*AF94</f>
        <v>4</v>
      </c>
      <c r="AD98" s="22"/>
      <c r="AE98" s="22"/>
      <c r="AF98" s="1325"/>
      <c r="AG98" s="22"/>
      <c r="AH98" s="22">
        <f t="shared" si="158"/>
        <v>3.3299144867851531</v>
      </c>
      <c r="AI98" s="22">
        <f t="shared" si="159"/>
        <v>3.3299144867851531</v>
      </c>
      <c r="AJ98" s="130"/>
      <c r="AK98" s="130"/>
      <c r="AL98" s="130"/>
      <c r="AM98" s="907"/>
      <c r="AN98" s="614"/>
      <c r="AO98" s="614"/>
      <c r="AP98" s="614"/>
      <c r="AQ98" s="853"/>
      <c r="AR98" s="853"/>
      <c r="AS98" s="853"/>
      <c r="BO98" s="39"/>
      <c r="BP98" s="40"/>
      <c r="BQ98" s="41"/>
    </row>
    <row r="99" spans="1:76">
      <c r="A99" s="32" t="s">
        <v>24</v>
      </c>
      <c r="B99" s="1071" t="s">
        <v>505</v>
      </c>
      <c r="C99" s="5">
        <v>46296</v>
      </c>
      <c r="D99" s="328">
        <f>'YN01'!$K$362</f>
        <v>399.99999999999989</v>
      </c>
      <c r="E99" s="1313">
        <f>'YN01'!$F$362</f>
        <v>2423.6343569217202</v>
      </c>
      <c r="F99" s="1313">
        <f>'YN01'!$L$362</f>
        <v>83.999999999999986</v>
      </c>
      <c r="G99" s="34">
        <f>'YN01'!$I$362</f>
        <v>0.83193277310924374</v>
      </c>
      <c r="H99" s="8">
        <f>'YN01'!$J$362</f>
        <v>0.79999999999999993</v>
      </c>
      <c r="I99" s="841">
        <f t="shared" si="148"/>
        <v>8671.7067023751606</v>
      </c>
      <c r="J99" s="10">
        <f>(BP!$K$49)/DAY(EOMONTH(C99,0))</f>
        <v>2578.8493704006619</v>
      </c>
      <c r="K99" s="612"/>
      <c r="L99" s="35">
        <f t="shared" si="149"/>
        <v>0.29738659976753146</v>
      </c>
      <c r="M99" s="38">
        <f t="shared" si="150"/>
        <v>24.980474380472639</v>
      </c>
      <c r="N99" s="36">
        <f t="shared" si="151"/>
        <v>0.2973865997675314</v>
      </c>
      <c r="O99" s="1362">
        <f t="shared" si="152"/>
        <v>1</v>
      </c>
      <c r="P99" s="36">
        <f>4</f>
        <v>4</v>
      </c>
      <c r="Q99" s="36">
        <f t="shared" si="153"/>
        <v>4</v>
      </c>
      <c r="R99" s="37">
        <f t="shared" si="154"/>
        <v>4</v>
      </c>
      <c r="S99" s="13">
        <v>0</v>
      </c>
      <c r="T99" s="30">
        <f t="shared" si="155"/>
        <v>4</v>
      </c>
      <c r="U99" s="1327">
        <f t="shared" si="144"/>
        <v>8671.7067023751606</v>
      </c>
      <c r="V99" s="22">
        <v>1</v>
      </c>
      <c r="W99" s="22">
        <v>84</v>
      </c>
      <c r="X99" s="21">
        <f t="shared" si="145"/>
        <v>0.29738659976753146</v>
      </c>
      <c r="Y99" s="1325">
        <f t="shared" si="156"/>
        <v>24.980474380472643</v>
      </c>
      <c r="Z99" s="22">
        <v>4</v>
      </c>
      <c r="AA99" s="21">
        <f t="shared" si="146"/>
        <v>1.1895463990701258</v>
      </c>
      <c r="AB99" s="1325">
        <f t="shared" si="147"/>
        <v>2</v>
      </c>
      <c r="AC99" s="1329">
        <f t="shared" ref="AC99" si="161">ROUNDUP(AA99*3,0)</f>
        <v>4</v>
      </c>
      <c r="AD99" s="22"/>
      <c r="AE99" s="22"/>
      <c r="AF99" s="1325"/>
      <c r="AG99" s="22"/>
      <c r="AH99" s="22">
        <f t="shared" si="158"/>
        <v>3.1895463990701258</v>
      </c>
      <c r="AI99" s="22">
        <f t="shared" si="159"/>
        <v>3.1895463990701258</v>
      </c>
      <c r="AJ99" s="130"/>
      <c r="AK99" s="130"/>
      <c r="AL99" s="130"/>
      <c r="AM99" s="907"/>
      <c r="AN99" s="614"/>
      <c r="AO99" s="614"/>
      <c r="AP99" s="614"/>
      <c r="AQ99" s="853"/>
      <c r="AR99" s="853"/>
      <c r="AS99" s="853"/>
      <c r="BO99" s="39"/>
      <c r="BP99" s="40"/>
      <c r="BQ99" s="41"/>
    </row>
    <row r="100" spans="1:76">
      <c r="A100" s="32" t="s">
        <v>24</v>
      </c>
      <c r="B100" s="1071" t="s">
        <v>505</v>
      </c>
      <c r="C100" s="5">
        <v>46327</v>
      </c>
      <c r="D100" s="328">
        <f>'YN01'!$K$362</f>
        <v>399.99999999999989</v>
      </c>
      <c r="E100" s="1313">
        <f>'YN01'!$F$362</f>
        <v>2423.6343569217202</v>
      </c>
      <c r="F100" s="1313">
        <f>'YN01'!$L$362</f>
        <v>83.999999999999986</v>
      </c>
      <c r="G100" s="34">
        <f>'YN01'!$I$362</f>
        <v>0.83193277310924374</v>
      </c>
      <c r="H100" s="8">
        <f>'YN01'!$J$362</f>
        <v>0.79999999999999993</v>
      </c>
      <c r="I100" s="841">
        <f t="shared" si="148"/>
        <v>8671.7067023751606</v>
      </c>
      <c r="J100" s="10">
        <f>(BP!$L$49)/DAY(EOMONTH(C100,0))</f>
        <v>4199.5936830045639</v>
      </c>
      <c r="K100" s="612"/>
      <c r="L100" s="35">
        <f t="shared" si="149"/>
        <v>0.48428686844935664</v>
      </c>
      <c r="M100" s="38">
        <f t="shared" si="150"/>
        <v>40.680096949745952</v>
      </c>
      <c r="N100" s="36">
        <f t="shared" si="151"/>
        <v>0.48428686844935659</v>
      </c>
      <c r="O100" s="1362">
        <f t="shared" si="152"/>
        <v>1</v>
      </c>
      <c r="P100" s="36">
        <f>4</f>
        <v>4</v>
      </c>
      <c r="Q100" s="36">
        <f t="shared" si="153"/>
        <v>4</v>
      </c>
      <c r="R100" s="37">
        <f t="shared" si="154"/>
        <v>4</v>
      </c>
      <c r="S100" s="13">
        <v>0</v>
      </c>
      <c r="T100" s="30">
        <f t="shared" si="155"/>
        <v>4</v>
      </c>
      <c r="U100" s="1327">
        <f t="shared" si="144"/>
        <v>8671.7067023751606</v>
      </c>
      <c r="V100" s="22">
        <v>1</v>
      </c>
      <c r="W100" s="22">
        <v>84</v>
      </c>
      <c r="X100" s="21">
        <f t="shared" si="145"/>
        <v>0.48428686844935664</v>
      </c>
      <c r="Y100" s="1325">
        <f t="shared" si="156"/>
        <v>40.680096949745959</v>
      </c>
      <c r="Z100" s="22">
        <v>4</v>
      </c>
      <c r="AA100" s="21">
        <f t="shared" si="146"/>
        <v>1.9371474737974266</v>
      </c>
      <c r="AB100" s="1325">
        <f t="shared" si="147"/>
        <v>2</v>
      </c>
      <c r="AC100" s="1328">
        <f>Z100*AF95</f>
        <v>8</v>
      </c>
      <c r="AD100" s="22"/>
      <c r="AE100" s="22"/>
      <c r="AF100" s="1325"/>
      <c r="AG100" s="22"/>
      <c r="AH100" s="22">
        <f t="shared" si="158"/>
        <v>5.8114424213922797</v>
      </c>
      <c r="AI100" s="22">
        <f t="shared" si="159"/>
        <v>5.8114424213922797</v>
      </c>
      <c r="AJ100" s="130"/>
      <c r="AK100" s="130"/>
      <c r="AL100" s="130"/>
      <c r="AM100" s="907"/>
      <c r="AN100" s="614"/>
      <c r="AO100" s="614"/>
      <c r="AP100" s="614"/>
      <c r="AQ100" s="853"/>
      <c r="AR100" s="853"/>
      <c r="AS100" s="853"/>
      <c r="BO100" s="39"/>
      <c r="BP100" s="40"/>
      <c r="BQ100" s="41"/>
    </row>
    <row r="101" spans="1:76">
      <c r="A101" s="32" t="s">
        <v>24</v>
      </c>
      <c r="B101" s="1071" t="s">
        <v>505</v>
      </c>
      <c r="C101" s="5">
        <v>46357</v>
      </c>
      <c r="D101" s="328">
        <f>'YN01'!$K$362</f>
        <v>399.99999999999989</v>
      </c>
      <c r="E101" s="1313">
        <f>'YN01'!$F$362</f>
        <v>2423.6343569217202</v>
      </c>
      <c r="F101" s="1313">
        <f>'YN01'!$L$362</f>
        <v>83.999999999999986</v>
      </c>
      <c r="G101" s="34">
        <f>'YN01'!$I$362</f>
        <v>0.83193277310924374</v>
      </c>
      <c r="H101" s="8">
        <f>'YN01'!$J$362</f>
        <v>0.79999999999999993</v>
      </c>
      <c r="I101" s="841">
        <f t="shared" si="148"/>
        <v>8671.7067023751606</v>
      </c>
      <c r="J101" s="10">
        <f>(BP!$M$49)/DAY(EOMONTH(C101,0))</f>
        <v>4024.0521847229456</v>
      </c>
      <c r="K101" s="612"/>
      <c r="L101" s="35">
        <f t="shared" si="149"/>
        <v>0.46404385236193091</v>
      </c>
      <c r="M101" s="38">
        <f t="shared" si="150"/>
        <v>38.97968359840219</v>
      </c>
      <c r="N101" s="36">
        <f t="shared" si="151"/>
        <v>0.46404385236193085</v>
      </c>
      <c r="O101" s="1362">
        <f t="shared" si="152"/>
        <v>1</v>
      </c>
      <c r="P101" s="36">
        <f>4</f>
        <v>4</v>
      </c>
      <c r="Q101" s="36">
        <f t="shared" si="153"/>
        <v>4</v>
      </c>
      <c r="R101" s="37">
        <f t="shared" si="154"/>
        <v>4</v>
      </c>
      <c r="S101" s="13">
        <v>0</v>
      </c>
      <c r="T101" s="30">
        <f t="shared" si="155"/>
        <v>4</v>
      </c>
      <c r="U101" s="1327">
        <f t="shared" si="144"/>
        <v>8671.7067023751606</v>
      </c>
      <c r="V101" s="22">
        <v>1</v>
      </c>
      <c r="W101" s="22">
        <v>84</v>
      </c>
      <c r="X101" s="21">
        <f t="shared" si="145"/>
        <v>0.46404385236193091</v>
      </c>
      <c r="Y101" s="1325">
        <f t="shared" si="156"/>
        <v>38.979683598402197</v>
      </c>
      <c r="Z101" s="22">
        <v>4</v>
      </c>
      <c r="AA101" s="21">
        <f t="shared" si="146"/>
        <v>1.8561754094477236</v>
      </c>
      <c r="AB101" s="1325">
        <f t="shared" si="147"/>
        <v>2</v>
      </c>
      <c r="AC101" s="1328">
        <f>Z101*AF95</f>
        <v>8</v>
      </c>
      <c r="AD101" s="22"/>
      <c r="AE101" s="22"/>
      <c r="AF101" s="1325"/>
      <c r="AG101" s="22"/>
      <c r="AH101" s="22">
        <f t="shared" si="158"/>
        <v>5.5685262283431705</v>
      </c>
      <c r="AI101" s="22">
        <f t="shared" si="159"/>
        <v>5.5685262283431705</v>
      </c>
      <c r="AJ101" s="130">
        <f>1*3+0.86*3</f>
        <v>5.58</v>
      </c>
      <c r="AK101" s="130"/>
      <c r="AL101" s="130"/>
      <c r="AM101" s="907"/>
      <c r="AN101" s="614"/>
      <c r="AO101" s="614"/>
      <c r="AP101" s="614"/>
      <c r="AQ101" s="853"/>
      <c r="AR101" s="853"/>
      <c r="AS101" s="853"/>
      <c r="BO101" s="39"/>
      <c r="BP101" s="40"/>
      <c r="BQ101" s="41"/>
    </row>
    <row r="102" spans="1:76">
      <c r="A102" s="32" t="s">
        <v>24</v>
      </c>
      <c r="B102" s="1071" t="s">
        <v>505</v>
      </c>
      <c r="C102" s="5">
        <v>46388</v>
      </c>
      <c r="D102" s="328">
        <f>'YN01'!$K$362</f>
        <v>399.99999999999989</v>
      </c>
      <c r="E102" s="1313">
        <f>'YN01'!$F$362</f>
        <v>2423.6343569217202</v>
      </c>
      <c r="F102" s="1313">
        <f>'YN01'!$L$362</f>
        <v>83.999999999999986</v>
      </c>
      <c r="G102" s="34">
        <f>'YN01'!$I$362</f>
        <v>0.83193277310924374</v>
      </c>
      <c r="H102" s="8">
        <f>'YN01'!$J$362</f>
        <v>0.79999999999999993</v>
      </c>
      <c r="I102" s="841">
        <f t="shared" si="148"/>
        <v>8671.7067023751606</v>
      </c>
      <c r="J102" s="10">
        <f>(BP!$N$49)/DAY(EOMONTH(C102,0))</f>
        <v>4427.9416215630999</v>
      </c>
      <c r="K102" s="612"/>
      <c r="L102" s="35">
        <f t="shared" si="149"/>
        <v>0.51061939402889367</v>
      </c>
      <c r="M102" s="38">
        <f t="shared" si="150"/>
        <v>42.892029098427059</v>
      </c>
      <c r="N102" s="36">
        <f t="shared" si="151"/>
        <v>0.51061939402889356</v>
      </c>
      <c r="O102" s="1362">
        <f t="shared" si="152"/>
        <v>2</v>
      </c>
      <c r="P102" s="36">
        <f>4</f>
        <v>4</v>
      </c>
      <c r="Q102" s="36">
        <f t="shared" si="153"/>
        <v>8</v>
      </c>
      <c r="R102" s="37">
        <f t="shared" si="154"/>
        <v>8</v>
      </c>
      <c r="S102" s="13">
        <v>0</v>
      </c>
      <c r="T102" s="30">
        <f t="shared" si="155"/>
        <v>8</v>
      </c>
      <c r="U102" s="1327">
        <f t="shared" si="144"/>
        <v>8671.7067023751606</v>
      </c>
      <c r="V102" s="22">
        <v>1</v>
      </c>
      <c r="W102" s="22">
        <v>84</v>
      </c>
      <c r="X102" s="21">
        <f t="shared" si="145"/>
        <v>0.51061939402889367</v>
      </c>
      <c r="Y102" s="1325">
        <f t="shared" si="156"/>
        <v>42.892029098427066</v>
      </c>
      <c r="Z102" s="22">
        <v>4</v>
      </c>
      <c r="AA102" s="21">
        <f t="shared" si="146"/>
        <v>2.0424775761155747</v>
      </c>
      <c r="AB102" s="1325">
        <f t="shared" si="147"/>
        <v>3</v>
      </c>
      <c r="AC102" s="1328">
        <f t="shared" ref="AC102:AC103" si="162">ROUNDUP(AA102*3,0)</f>
        <v>7</v>
      </c>
      <c r="AD102" s="22"/>
      <c r="AE102" s="22"/>
      <c r="AF102" s="1325"/>
      <c r="AG102" s="22"/>
      <c r="AH102" s="22">
        <f t="shared" si="158"/>
        <v>6.0424775761155747</v>
      </c>
      <c r="AI102" s="22">
        <f t="shared" si="159"/>
        <v>6.0424775761155747</v>
      </c>
      <c r="AJ102" s="130"/>
      <c r="AK102" s="130"/>
      <c r="AL102" s="130"/>
      <c r="AM102" s="907"/>
      <c r="AN102" s="614"/>
      <c r="AO102" s="614"/>
      <c r="AP102" s="614"/>
      <c r="AQ102" s="853"/>
      <c r="AR102" s="853"/>
      <c r="AS102" s="853"/>
      <c r="BO102" s="39"/>
      <c r="BP102" s="40"/>
      <c r="BQ102" s="41"/>
    </row>
    <row r="103" spans="1:76">
      <c r="A103" s="32" t="s">
        <v>24</v>
      </c>
      <c r="B103" s="1071" t="s">
        <v>505</v>
      </c>
      <c r="C103" s="5">
        <v>46419</v>
      </c>
      <c r="D103" s="328">
        <f>'YN01'!$K$362</f>
        <v>399.99999999999989</v>
      </c>
      <c r="E103" s="1313">
        <f>'YN01'!$F$362</f>
        <v>2423.6343569217202</v>
      </c>
      <c r="F103" s="1313">
        <f>'YN01'!$L$362</f>
        <v>83.999999999999986</v>
      </c>
      <c r="G103" s="34">
        <f>'YN01'!$I$362</f>
        <v>0.83193277310924374</v>
      </c>
      <c r="H103" s="8">
        <f>'YN01'!$J$362</f>
        <v>0.79999999999999993</v>
      </c>
      <c r="I103" s="841">
        <f t="shared" si="148"/>
        <v>8671.7067023751606</v>
      </c>
      <c r="J103" s="10">
        <f>(BP!$O$49)/DAY(EOMONTH(C103,0))</f>
        <v>4698.5491436073071</v>
      </c>
      <c r="K103" s="612"/>
      <c r="L103" s="35">
        <f t="shared" si="149"/>
        <v>0.54182519138019103</v>
      </c>
      <c r="M103" s="38">
        <f t="shared" si="150"/>
        <v>45.513316075936039</v>
      </c>
      <c r="N103" s="36">
        <f t="shared" si="151"/>
        <v>0.54182519138019092</v>
      </c>
      <c r="O103" s="1362">
        <f t="shared" si="152"/>
        <v>2</v>
      </c>
      <c r="P103" s="36">
        <f>4</f>
        <v>4</v>
      </c>
      <c r="Q103" s="36">
        <f t="shared" si="153"/>
        <v>8</v>
      </c>
      <c r="R103" s="37">
        <f t="shared" si="154"/>
        <v>8</v>
      </c>
      <c r="S103" s="13">
        <v>0</v>
      </c>
      <c r="T103" s="30">
        <f t="shared" si="155"/>
        <v>8</v>
      </c>
      <c r="U103" s="1327">
        <f t="shared" si="144"/>
        <v>8671.7067023751606</v>
      </c>
      <c r="V103" s="22">
        <v>1</v>
      </c>
      <c r="W103" s="22">
        <v>84</v>
      </c>
      <c r="X103" s="21">
        <f t="shared" si="145"/>
        <v>0.54182519138019103</v>
      </c>
      <c r="Y103" s="1325">
        <f t="shared" si="156"/>
        <v>45.513316075936046</v>
      </c>
      <c r="Z103" s="22">
        <v>4</v>
      </c>
      <c r="AA103" s="21">
        <f t="shared" si="146"/>
        <v>2.1673007655207641</v>
      </c>
      <c r="AB103" s="1325">
        <f t="shared" si="147"/>
        <v>3</v>
      </c>
      <c r="AC103" s="1328">
        <f t="shared" si="162"/>
        <v>7</v>
      </c>
      <c r="AD103" s="22"/>
      <c r="AE103" s="22"/>
      <c r="AF103" s="1325"/>
      <c r="AG103" s="22"/>
      <c r="AH103" s="22">
        <f t="shared" si="158"/>
        <v>6.1673007655207641</v>
      </c>
      <c r="AI103" s="22">
        <f t="shared" si="159"/>
        <v>6.1673007655207641</v>
      </c>
      <c r="AJ103" s="130"/>
      <c r="AK103" s="130"/>
      <c r="AL103" s="130"/>
      <c r="AM103" s="907"/>
      <c r="AN103" s="614"/>
      <c r="AO103" s="614"/>
      <c r="AP103" s="614"/>
      <c r="AQ103" s="853"/>
      <c r="AR103" s="853"/>
      <c r="AS103" s="853"/>
      <c r="BO103" s="39"/>
      <c r="BP103" s="40"/>
      <c r="BQ103" s="41"/>
    </row>
    <row r="104" spans="1:76">
      <c r="A104" s="32" t="s">
        <v>24</v>
      </c>
      <c r="B104" s="1071" t="s">
        <v>505</v>
      </c>
      <c r="C104" s="5">
        <v>46447</v>
      </c>
      <c r="D104" s="328">
        <f>'YN01'!$K$362</f>
        <v>399.99999999999989</v>
      </c>
      <c r="E104" s="1313">
        <f>'YN01'!$F$362</f>
        <v>2423.6343569217202</v>
      </c>
      <c r="F104" s="1313">
        <f>'YN01'!$L$362</f>
        <v>83.999999999999986</v>
      </c>
      <c r="G104" s="34">
        <f>'YN01'!$I$362</f>
        <v>0.83193277310924374</v>
      </c>
      <c r="H104" s="8">
        <f>'YN01'!$J$362</f>
        <v>0.79999999999999993</v>
      </c>
      <c r="I104" s="841">
        <f t="shared" si="148"/>
        <v>8671.7067023751606</v>
      </c>
      <c r="J104" s="10">
        <f>(BP!$P$49)/DAY(EOMONTH(C104,0))</f>
        <v>4162.9381693231899</v>
      </c>
      <c r="K104" s="612"/>
      <c r="L104" s="35">
        <f t="shared" si="149"/>
        <v>0.48005984429604504</v>
      </c>
      <c r="M104" s="38">
        <f t="shared" si="150"/>
        <v>40.325026920867778</v>
      </c>
      <c r="N104" s="36">
        <f t="shared" si="151"/>
        <v>0.48005984429604498</v>
      </c>
      <c r="O104" s="1362">
        <f t="shared" si="152"/>
        <v>1</v>
      </c>
      <c r="P104" s="36">
        <f>4</f>
        <v>4</v>
      </c>
      <c r="Q104" s="36">
        <f t="shared" si="153"/>
        <v>4</v>
      </c>
      <c r="R104" s="37">
        <f t="shared" si="154"/>
        <v>4</v>
      </c>
      <c r="S104" s="13">
        <v>0</v>
      </c>
      <c r="T104" s="30">
        <f t="shared" si="155"/>
        <v>4</v>
      </c>
      <c r="U104" s="1327">
        <f t="shared" si="144"/>
        <v>8671.7067023751606</v>
      </c>
      <c r="V104" s="22">
        <v>1</v>
      </c>
      <c r="W104" s="22">
        <v>84</v>
      </c>
      <c r="X104" s="21">
        <f t="shared" si="145"/>
        <v>0.48005984429604504</v>
      </c>
      <c r="Y104" s="1325">
        <f t="shared" si="156"/>
        <v>40.325026920867785</v>
      </c>
      <c r="Z104" s="22">
        <v>4</v>
      </c>
      <c r="AA104" s="21">
        <f t="shared" si="146"/>
        <v>1.9202393771841801</v>
      </c>
      <c r="AB104" s="1325">
        <f t="shared" si="147"/>
        <v>2</v>
      </c>
      <c r="AC104" s="1331">
        <f>Z104*AF95</f>
        <v>8</v>
      </c>
      <c r="AD104" s="22"/>
      <c r="AE104" s="22"/>
      <c r="AF104" s="1325"/>
      <c r="AG104" s="22"/>
      <c r="AH104" s="22">
        <f t="shared" si="158"/>
        <v>5.7607181315525402</v>
      </c>
      <c r="AI104" s="22">
        <f t="shared" si="159"/>
        <v>5.7607181315525402</v>
      </c>
      <c r="AJ104" s="907">
        <f>1*3+0.92*3</f>
        <v>5.76</v>
      </c>
      <c r="AK104" s="907"/>
      <c r="AL104" s="907"/>
      <c r="AM104" s="907"/>
      <c r="AN104" s="614"/>
      <c r="AO104" s="614"/>
      <c r="AP104" s="614"/>
      <c r="AQ104" s="614"/>
      <c r="AR104" s="614"/>
      <c r="AS104" s="614"/>
      <c r="BO104" s="39"/>
      <c r="BP104" s="40"/>
      <c r="BQ104" s="41"/>
    </row>
    <row r="105" spans="1:76">
      <c r="R105" s="318">
        <f>AVERAGE(R79:R90)</f>
        <v>47.916666666666664</v>
      </c>
      <c r="S105" s="130"/>
      <c r="AV105" s="40"/>
      <c r="AW105" s="40"/>
    </row>
    <row r="106" spans="1:76" ht="44.25" customHeight="1">
      <c r="A106" s="1" t="s">
        <v>0</v>
      </c>
      <c r="B106" s="1" t="s">
        <v>1</v>
      </c>
      <c r="C106" s="1" t="s">
        <v>2</v>
      </c>
      <c r="D106" s="799" t="s">
        <v>3</v>
      </c>
      <c r="E106" s="1" t="s">
        <v>4</v>
      </c>
      <c r="F106" s="1" t="s">
        <v>5</v>
      </c>
      <c r="G106" s="1" t="s">
        <v>6</v>
      </c>
      <c r="H106" s="1" t="s">
        <v>7</v>
      </c>
      <c r="I106" s="1" t="s">
        <v>8</v>
      </c>
      <c r="J106" s="1" t="s">
        <v>9</v>
      </c>
      <c r="K106" s="1"/>
      <c r="L106" s="1" t="s">
        <v>604</v>
      </c>
      <c r="M106" s="1" t="s">
        <v>604</v>
      </c>
      <c r="N106" s="1" t="s">
        <v>604</v>
      </c>
      <c r="O106" s="1" t="s">
        <v>395</v>
      </c>
      <c r="P106" s="1" t="s">
        <v>12</v>
      </c>
      <c r="Q106" s="1" t="s">
        <v>13</v>
      </c>
      <c r="R106" s="1" t="s">
        <v>13</v>
      </c>
      <c r="S106" s="1" t="s">
        <v>1251</v>
      </c>
      <c r="T106" s="1" t="s">
        <v>14</v>
      </c>
      <c r="U106" s="851" t="s">
        <v>1561</v>
      </c>
      <c r="V106" s="851" t="s">
        <v>1517</v>
      </c>
      <c r="W106" s="851" t="s">
        <v>1518</v>
      </c>
      <c r="X106" s="851" t="s">
        <v>873</v>
      </c>
      <c r="Y106" s="851" t="s">
        <v>1519</v>
      </c>
      <c r="Z106" s="851" t="s">
        <v>1520</v>
      </c>
      <c r="AA106" s="851" t="s">
        <v>1521</v>
      </c>
      <c r="AB106" s="851" t="s">
        <v>1521</v>
      </c>
      <c r="AC106" s="851" t="s">
        <v>1562</v>
      </c>
      <c r="AD106" s="851"/>
      <c r="AE106" s="851"/>
      <c r="AF106" s="1337"/>
      <c r="AG106" s="851"/>
      <c r="AH106" s="851"/>
      <c r="AI106" s="851"/>
      <c r="AJ106" s="969" t="s">
        <v>428</v>
      </c>
      <c r="AK106" s="969" t="s">
        <v>1094</v>
      </c>
      <c r="AL106" s="969" t="s">
        <v>1095</v>
      </c>
      <c r="AM106" s="969" t="s">
        <v>1096</v>
      </c>
      <c r="AN106" s="851"/>
      <c r="AO106" s="851"/>
      <c r="AP106" s="851"/>
      <c r="AQ106" s="851"/>
      <c r="AR106" s="851"/>
      <c r="AS106" s="851"/>
      <c r="AV106" t="s">
        <v>936</v>
      </c>
      <c r="AW106" s="395" t="s">
        <v>521</v>
      </c>
      <c r="AX106" s="395"/>
      <c r="AY106" s="5">
        <v>45748</v>
      </c>
      <c r="AZ106" s="5">
        <v>45778</v>
      </c>
      <c r="BA106" s="5">
        <v>45809</v>
      </c>
      <c r="BB106" s="5">
        <v>45839</v>
      </c>
      <c r="BC106" s="5">
        <v>45870</v>
      </c>
      <c r="BD106" s="5">
        <v>45901</v>
      </c>
      <c r="BE106" s="5">
        <v>45931</v>
      </c>
      <c r="BF106" s="5">
        <v>45962</v>
      </c>
      <c r="BG106" s="5">
        <v>45992</v>
      </c>
      <c r="BH106" s="5">
        <v>46023</v>
      </c>
      <c r="BI106" s="5">
        <v>46054</v>
      </c>
      <c r="BJ106" s="5">
        <v>46082</v>
      </c>
    </row>
    <row r="107" spans="1:76">
      <c r="A107" s="13" t="s">
        <v>26</v>
      </c>
      <c r="B107" s="13" t="s">
        <v>958</v>
      </c>
      <c r="C107" s="5">
        <v>46113</v>
      </c>
      <c r="D107" s="38"/>
      <c r="E107" s="13"/>
      <c r="F107" s="13"/>
      <c r="G107" s="42">
        <f>Tufting!$G$23</f>
        <v>0.60821917808219206</v>
      </c>
      <c r="H107" s="42">
        <f>Tufting!$F$23</f>
        <v>0.55549999999999999</v>
      </c>
      <c r="I107" s="1050">
        <f>'Tufting 2'!$N$17</f>
        <v>63542.337619479593</v>
      </c>
      <c r="J107" s="43">
        <f>'Tufting 2'!$B$17</f>
        <v>52035.401610658977</v>
      </c>
      <c r="K107" s="43"/>
      <c r="L107" s="11">
        <f t="shared" ref="L107:L118" si="163">J107/I107</f>
        <v>0.81890914876740328</v>
      </c>
      <c r="M107" s="12">
        <f>'Tufting 2'!$Q$17</f>
        <v>15.975789335800911</v>
      </c>
      <c r="N107" s="12">
        <f>ROUND(M107,0)</f>
        <v>16</v>
      </c>
      <c r="O107" s="13"/>
      <c r="P107" s="13"/>
      <c r="Q107" s="38"/>
      <c r="R107" s="38">
        <f>'Tufting 2'!$AQ$16</f>
        <v>108.5</v>
      </c>
      <c r="S107" s="38">
        <f>'Manpower Allocation'!$D$69</f>
        <v>59</v>
      </c>
      <c r="T107" s="36">
        <f>R107+S107</f>
        <v>167.5</v>
      </c>
      <c r="U107" s="1327">
        <f t="shared" ref="U107:U118" si="164">I107/V107</f>
        <v>63542.337619479593</v>
      </c>
      <c r="V107" s="614">
        <v>1</v>
      </c>
      <c r="W107" s="614"/>
      <c r="X107" s="614"/>
      <c r="Y107" s="614"/>
      <c r="Z107" s="614">
        <v>1</v>
      </c>
      <c r="AA107" s="614"/>
      <c r="AB107" s="614"/>
      <c r="AC107" s="614"/>
      <c r="AD107" s="614"/>
      <c r="AE107" s="614"/>
      <c r="AF107" s="1325"/>
      <c r="AG107" s="614"/>
      <c r="AH107" s="614"/>
      <c r="AI107" s="614"/>
      <c r="AJ107" s="970">
        <v>60</v>
      </c>
      <c r="AK107" s="970">
        <v>66</v>
      </c>
      <c r="AL107" s="970">
        <f>T107-(AJ107+AK107+AM107)</f>
        <v>29.5</v>
      </c>
      <c r="AM107" s="970">
        <v>12</v>
      </c>
      <c r="AN107" s="614"/>
      <c r="AO107" s="614"/>
      <c r="AP107" s="614"/>
      <c r="AQ107" s="614"/>
      <c r="AR107" s="614"/>
      <c r="AS107" s="614"/>
      <c r="AT107" s="40" t="e">
        <f>SUM('Manpower Allocation'!#REF!)+Q107</f>
        <v>#REF!</v>
      </c>
      <c r="AU107" s="203" t="s">
        <v>142</v>
      </c>
      <c r="AV107" s="249">
        <f>R120</f>
        <v>106</v>
      </c>
      <c r="AW107" s="33">
        <f>14*2.5*3</f>
        <v>105</v>
      </c>
      <c r="AX107" t="s">
        <v>935</v>
      </c>
      <c r="AY107" s="33">
        <f t="shared" ref="AY107:BK107" si="165">AY119*2.5*3</f>
        <v>90</v>
      </c>
      <c r="AZ107" s="328">
        <f t="shared" si="165"/>
        <v>97.5</v>
      </c>
      <c r="BA107" s="328">
        <f t="shared" si="165"/>
        <v>97.5</v>
      </c>
      <c r="BB107" s="328">
        <f t="shared" si="165"/>
        <v>97.5</v>
      </c>
      <c r="BC107" s="328">
        <f t="shared" si="165"/>
        <v>105</v>
      </c>
      <c r="BD107" s="328">
        <f t="shared" si="165"/>
        <v>120</v>
      </c>
      <c r="BE107" s="328">
        <f t="shared" si="165"/>
        <v>97.5</v>
      </c>
      <c r="BF107" s="328">
        <f t="shared" si="165"/>
        <v>112.5</v>
      </c>
      <c r="BG107" s="328">
        <f t="shared" si="165"/>
        <v>112.5</v>
      </c>
      <c r="BH107" s="328">
        <f t="shared" si="165"/>
        <v>105</v>
      </c>
      <c r="BI107" s="328">
        <f t="shared" si="165"/>
        <v>105</v>
      </c>
      <c r="BJ107" s="328">
        <f t="shared" si="165"/>
        <v>112.5</v>
      </c>
      <c r="BK107" s="328">
        <f t="shared" si="165"/>
        <v>75</v>
      </c>
      <c r="BP107" s="39">
        <f t="shared" ref="BP107:BP118" si="166">J107/T107</f>
        <v>310.65911409348644</v>
      </c>
      <c r="BX107" s="44"/>
    </row>
    <row r="108" spans="1:76">
      <c r="A108" s="13" t="s">
        <v>26</v>
      </c>
      <c r="B108" s="13" t="s">
        <v>958</v>
      </c>
      <c r="C108" s="5">
        <v>46143</v>
      </c>
      <c r="D108" s="38"/>
      <c r="E108" s="13"/>
      <c r="F108" s="13"/>
      <c r="G108" s="42">
        <f>Tufting!$G$23</f>
        <v>0.60821917808219206</v>
      </c>
      <c r="H108" s="42">
        <f>Tufting!$F$23</f>
        <v>0.55549999999999999</v>
      </c>
      <c r="I108" s="1050">
        <f>'Tufting 2'!$N$17</f>
        <v>63542.337619479593</v>
      </c>
      <c r="J108" s="43">
        <f>'Tufting 2'!$C$17</f>
        <v>45259.705235970294</v>
      </c>
      <c r="K108" s="43"/>
      <c r="L108" s="11">
        <f t="shared" si="163"/>
        <v>0.7122763645713821</v>
      </c>
      <c r="M108" s="12">
        <f>'Tufting 2'!$R$17</f>
        <v>13.267004512057138</v>
      </c>
      <c r="N108" s="12">
        <f t="shared" ref="N108:N118" si="167">ROUND(M108,0)</f>
        <v>13</v>
      </c>
      <c r="O108" s="13"/>
      <c r="P108" s="13"/>
      <c r="Q108" s="38"/>
      <c r="R108" s="38">
        <f>'Tufting 2'!$AR$16</f>
        <v>106</v>
      </c>
      <c r="S108" s="38">
        <f>'Manpower Allocation'!$D$69</f>
        <v>59</v>
      </c>
      <c r="T108" s="36">
        <f t="shared" ref="T108:T118" si="168">R108+S108</f>
        <v>165</v>
      </c>
      <c r="U108" s="1327" t="e">
        <f t="shared" si="164"/>
        <v>#DIV/0!</v>
      </c>
      <c r="V108" s="614"/>
      <c r="W108" s="614"/>
      <c r="X108" s="614"/>
      <c r="Y108" s="614"/>
      <c r="Z108" s="614"/>
      <c r="AA108" s="614"/>
      <c r="AB108" s="614"/>
      <c r="AC108" s="614"/>
      <c r="AD108" s="614"/>
      <c r="AE108" s="614"/>
      <c r="AF108" s="1325"/>
      <c r="AG108" s="614"/>
      <c r="AH108" s="614"/>
      <c r="AI108" s="614"/>
      <c r="AJ108" s="970">
        <v>60</v>
      </c>
      <c r="AK108" s="970">
        <v>66</v>
      </c>
      <c r="AL108" s="970">
        <f t="shared" ref="AL108:AL118" si="169">T108-(AJ108+AK108+AM108)</f>
        <v>27</v>
      </c>
      <c r="AM108" s="970">
        <v>12</v>
      </c>
      <c r="AN108" s="614"/>
      <c r="AO108" s="614"/>
      <c r="AP108" s="614"/>
      <c r="AQ108" s="614"/>
      <c r="AR108" s="614"/>
      <c r="AS108" s="614"/>
      <c r="AT108" s="40" t="e">
        <f>SUM('Manpower Allocation'!#REF!)+Q108</f>
        <v>#REF!</v>
      </c>
      <c r="AU108" s="367" t="s">
        <v>122</v>
      </c>
      <c r="AV108" s="368">
        <v>4</v>
      </c>
      <c r="AW108" s="368">
        <v>3</v>
      </c>
      <c r="AY108" s="395">
        <v>3</v>
      </c>
      <c r="AZ108" s="395">
        <v>3</v>
      </c>
      <c r="BA108" s="395">
        <v>3</v>
      </c>
      <c r="BB108" s="395">
        <v>3</v>
      </c>
      <c r="BC108" s="395">
        <v>3</v>
      </c>
      <c r="BD108" s="395">
        <v>3</v>
      </c>
      <c r="BE108" s="395">
        <v>3</v>
      </c>
      <c r="BF108" s="395">
        <v>3</v>
      </c>
      <c r="BG108" s="395">
        <v>3</v>
      </c>
      <c r="BH108" s="395">
        <v>3</v>
      </c>
      <c r="BI108" s="395">
        <v>3</v>
      </c>
      <c r="BJ108" s="395">
        <v>3</v>
      </c>
      <c r="BK108" s="395">
        <v>3</v>
      </c>
      <c r="BO108">
        <f>14*2.5*3</f>
        <v>105</v>
      </c>
      <c r="BP108" s="39">
        <f t="shared" si="166"/>
        <v>274.3012438543654</v>
      </c>
    </row>
    <row r="109" spans="1:76">
      <c r="A109" s="13" t="s">
        <v>26</v>
      </c>
      <c r="B109" s="13" t="s">
        <v>958</v>
      </c>
      <c r="C109" s="5">
        <v>46174</v>
      </c>
      <c r="D109" s="38"/>
      <c r="E109" s="13"/>
      <c r="F109" s="13"/>
      <c r="G109" s="42">
        <f>Tufting!$G$23</f>
        <v>0.60821917808219206</v>
      </c>
      <c r="H109" s="42">
        <f>Tufting!$F$23</f>
        <v>0.55549999999999999</v>
      </c>
      <c r="I109" s="1050">
        <f>'Tufting 2'!$N$17</f>
        <v>63542.337619479593</v>
      </c>
      <c r="J109" s="43">
        <f>'Tufting 2'!$D$17</f>
        <v>41963.46711804418</v>
      </c>
      <c r="K109" s="43"/>
      <c r="L109" s="11">
        <f t="shared" si="163"/>
        <v>0.66040168948993505</v>
      </c>
      <c r="M109" s="12">
        <f>'Tufting 2'!$S$17</f>
        <v>12.423889826533353</v>
      </c>
      <c r="N109" s="12">
        <f t="shared" si="167"/>
        <v>12</v>
      </c>
      <c r="O109" s="13"/>
      <c r="P109" s="13"/>
      <c r="Q109" s="38"/>
      <c r="R109" s="38">
        <f>'Tufting 2'!$AS$16</f>
        <v>98.5</v>
      </c>
      <c r="S109" s="38">
        <f>'Manpower Allocation'!$D$69</f>
        <v>59</v>
      </c>
      <c r="T109" s="36">
        <f t="shared" si="168"/>
        <v>157.5</v>
      </c>
      <c r="U109" s="1327" t="e">
        <f t="shared" si="164"/>
        <v>#DIV/0!</v>
      </c>
      <c r="V109" s="614"/>
      <c r="W109" s="614"/>
      <c r="X109" s="614"/>
      <c r="Y109" s="614"/>
      <c r="Z109" s="614"/>
      <c r="AA109" s="614"/>
      <c r="AB109" s="614"/>
      <c r="AC109" s="614"/>
      <c r="AD109" s="614"/>
      <c r="AE109" s="614"/>
      <c r="AF109" s="1325"/>
      <c r="AG109" s="614"/>
      <c r="AH109" s="614"/>
      <c r="AI109" s="614"/>
      <c r="AJ109" s="970">
        <v>60</v>
      </c>
      <c r="AK109" s="970">
        <v>66</v>
      </c>
      <c r="AL109" s="970">
        <f t="shared" si="169"/>
        <v>19.5</v>
      </c>
      <c r="AM109" s="970">
        <v>12</v>
      </c>
      <c r="AN109" s="614"/>
      <c r="AO109" s="614"/>
      <c r="AP109" s="614"/>
      <c r="AQ109" s="614"/>
      <c r="AR109" s="614"/>
      <c r="AS109" s="614"/>
      <c r="AT109" s="40" t="e">
        <f>SUM('Manpower Allocation'!#REF!)+Q109</f>
        <v>#REF!</v>
      </c>
      <c r="AU109" s="367" t="s">
        <v>152</v>
      </c>
      <c r="AV109" s="368">
        <v>5</v>
      </c>
      <c r="AW109" s="368">
        <v>5</v>
      </c>
      <c r="AY109" s="395">
        <v>5</v>
      </c>
      <c r="AZ109" s="395">
        <v>5</v>
      </c>
      <c r="BA109" s="395">
        <v>5</v>
      </c>
      <c r="BB109" s="395">
        <v>5</v>
      </c>
      <c r="BC109" s="395">
        <v>5</v>
      </c>
      <c r="BD109" s="395">
        <v>5</v>
      </c>
      <c r="BE109" s="395">
        <v>5</v>
      </c>
      <c r="BF109" s="395">
        <v>5</v>
      </c>
      <c r="BG109" s="395">
        <v>5</v>
      </c>
      <c r="BH109" s="395">
        <v>5</v>
      </c>
      <c r="BI109" s="395">
        <v>5</v>
      </c>
      <c r="BJ109" s="395">
        <v>5</v>
      </c>
      <c r="BK109" s="395">
        <v>5</v>
      </c>
      <c r="BO109">
        <f>59+BO108</f>
        <v>164</v>
      </c>
      <c r="BP109" s="39">
        <f t="shared" si="166"/>
        <v>266.43471186059799</v>
      </c>
    </row>
    <row r="110" spans="1:76">
      <c r="A110" s="13" t="s">
        <v>26</v>
      </c>
      <c r="B110" s="13" t="s">
        <v>958</v>
      </c>
      <c r="C110" s="5">
        <v>46204</v>
      </c>
      <c r="D110" s="38"/>
      <c r="E110" s="13"/>
      <c r="F110" s="13"/>
      <c r="G110" s="42">
        <f>Tufting!$G$23</f>
        <v>0.60821917808219206</v>
      </c>
      <c r="H110" s="42">
        <f>Tufting!$F$23</f>
        <v>0.55549999999999999</v>
      </c>
      <c r="I110" s="1050">
        <f>'Tufting 2'!$N$17</f>
        <v>63542.337619479593</v>
      </c>
      <c r="J110" s="43">
        <f>'Tufting 2'!$E$17</f>
        <v>45149.462615836208</v>
      </c>
      <c r="K110" s="43"/>
      <c r="L110" s="11">
        <f t="shared" si="163"/>
        <v>0.71054141706607832</v>
      </c>
      <c r="M110" s="12">
        <f>'Tufting 2'!$T$17</f>
        <v>13.266657593344938</v>
      </c>
      <c r="N110" s="12">
        <f t="shared" si="167"/>
        <v>13</v>
      </c>
      <c r="O110" s="13"/>
      <c r="P110" s="13"/>
      <c r="Q110" s="38"/>
      <c r="R110" s="38">
        <f>'Tufting 2'!$AT$16</f>
        <v>103.5</v>
      </c>
      <c r="S110" s="38">
        <f>'Manpower Allocation'!$D$69</f>
        <v>59</v>
      </c>
      <c r="T110" s="36">
        <f t="shared" si="168"/>
        <v>162.5</v>
      </c>
      <c r="U110" s="1327" t="e">
        <f t="shared" si="164"/>
        <v>#DIV/0!</v>
      </c>
      <c r="V110" s="614"/>
      <c r="W110" s="614"/>
      <c r="X110" s="614"/>
      <c r="Y110" s="614"/>
      <c r="Z110" s="614"/>
      <c r="AA110" s="614"/>
      <c r="AB110" s="614"/>
      <c r="AC110" s="614"/>
      <c r="AD110" s="614"/>
      <c r="AE110" s="614"/>
      <c r="AF110" s="1325"/>
      <c r="AG110" s="614"/>
      <c r="AH110" s="614"/>
      <c r="AI110" s="614"/>
      <c r="AJ110" s="970">
        <v>60</v>
      </c>
      <c r="AK110" s="970">
        <v>66</v>
      </c>
      <c r="AL110" s="970">
        <f t="shared" si="169"/>
        <v>24.5</v>
      </c>
      <c r="AM110" s="970">
        <v>12</v>
      </c>
      <c r="AN110" s="614"/>
      <c r="AO110" s="614"/>
      <c r="AP110" s="614"/>
      <c r="AQ110" s="614"/>
      <c r="AR110" s="614"/>
      <c r="AS110" s="614"/>
      <c r="AT110" s="40" t="e">
        <f>SUM('Manpower Allocation'!#REF!)+Q110</f>
        <v>#REF!</v>
      </c>
      <c r="AU110" s="367" t="s">
        <v>144</v>
      </c>
      <c r="AV110" s="368">
        <v>3</v>
      </c>
      <c r="AW110" s="368">
        <v>0</v>
      </c>
      <c r="AX110" t="s">
        <v>937</v>
      </c>
      <c r="AY110" s="395">
        <v>0</v>
      </c>
      <c r="AZ110" s="395">
        <v>0</v>
      </c>
      <c r="BA110" s="395">
        <v>0</v>
      </c>
      <c r="BB110" s="395">
        <v>0</v>
      </c>
      <c r="BC110" s="395">
        <v>0</v>
      </c>
      <c r="BD110" s="395">
        <v>0</v>
      </c>
      <c r="BE110" s="395">
        <v>0</v>
      </c>
      <c r="BF110" s="395">
        <v>0</v>
      </c>
      <c r="BG110" s="395">
        <v>0</v>
      </c>
      <c r="BH110" s="395">
        <v>0</v>
      </c>
      <c r="BI110" s="395">
        <v>0</v>
      </c>
      <c r="BJ110" s="395">
        <v>0</v>
      </c>
      <c r="BK110" s="395">
        <v>0</v>
      </c>
      <c r="BP110" s="39">
        <f t="shared" si="166"/>
        <v>277.84284686668434</v>
      </c>
    </row>
    <row r="111" spans="1:76">
      <c r="A111" s="13" t="s">
        <v>26</v>
      </c>
      <c r="B111" s="13" t="s">
        <v>958</v>
      </c>
      <c r="C111" s="5">
        <v>46235</v>
      </c>
      <c r="D111" s="38"/>
      <c r="E111" s="13"/>
      <c r="F111" s="13"/>
      <c r="G111" s="42">
        <f>Tufting!$G$23</f>
        <v>0.60821917808219206</v>
      </c>
      <c r="H111" s="42">
        <f>Tufting!$F$23</f>
        <v>0.55549999999999999</v>
      </c>
      <c r="I111" s="1050">
        <f>'Tufting 2'!$N$17</f>
        <v>63542.337619479593</v>
      </c>
      <c r="J111" s="43">
        <f>'Tufting 2'!$F$17</f>
        <v>55734.102763651492</v>
      </c>
      <c r="K111" s="43"/>
      <c r="L111" s="11">
        <f t="shared" si="163"/>
        <v>0.87711760145515327</v>
      </c>
      <c r="M111" s="12">
        <f>'Tufting 2'!$U$17</f>
        <v>17.058722789220905</v>
      </c>
      <c r="N111" s="12">
        <f t="shared" si="167"/>
        <v>17</v>
      </c>
      <c r="O111" s="13"/>
      <c r="P111" s="13"/>
      <c r="Q111" s="38"/>
      <c r="R111" s="38">
        <f>'Tufting 2'!$AU$16</f>
        <v>103.5</v>
      </c>
      <c r="S111" s="38">
        <f>'Manpower Allocation'!$D$69</f>
        <v>59</v>
      </c>
      <c r="T111" s="36">
        <f t="shared" si="168"/>
        <v>162.5</v>
      </c>
      <c r="U111" s="1327" t="e">
        <f t="shared" si="164"/>
        <v>#DIV/0!</v>
      </c>
      <c r="V111" s="614"/>
      <c r="W111" s="614"/>
      <c r="X111" s="614"/>
      <c r="Y111" s="614"/>
      <c r="Z111" s="614"/>
      <c r="AA111" s="614"/>
      <c r="AB111" s="614"/>
      <c r="AC111" s="614"/>
      <c r="AD111" s="614"/>
      <c r="AE111" s="614"/>
      <c r="AF111" s="1325"/>
      <c r="AG111" s="614"/>
      <c r="AH111" s="614"/>
      <c r="AI111" s="614"/>
      <c r="AJ111" s="970">
        <v>60</v>
      </c>
      <c r="AK111" s="970">
        <v>66</v>
      </c>
      <c r="AL111" s="970">
        <f t="shared" si="169"/>
        <v>24.5</v>
      </c>
      <c r="AM111" s="970">
        <v>12</v>
      </c>
      <c r="AN111" s="614"/>
      <c r="AO111" s="614"/>
      <c r="AP111" s="614"/>
      <c r="AQ111" s="614"/>
      <c r="AR111" s="614"/>
      <c r="AS111" s="614"/>
      <c r="AT111" s="40" t="e">
        <f>SUM('Manpower Allocation'!#REF!)+Q111</f>
        <v>#REF!</v>
      </c>
      <c r="AU111" s="367" t="s">
        <v>153</v>
      </c>
      <c r="AV111" s="368">
        <v>3</v>
      </c>
      <c r="AW111" s="368">
        <v>3</v>
      </c>
      <c r="AY111" s="395">
        <v>3</v>
      </c>
      <c r="AZ111" s="395">
        <v>3</v>
      </c>
      <c r="BA111" s="395">
        <v>3</v>
      </c>
      <c r="BB111" s="395">
        <v>3</v>
      </c>
      <c r="BC111" s="395">
        <v>3</v>
      </c>
      <c r="BD111" s="395">
        <v>3</v>
      </c>
      <c r="BE111" s="395">
        <v>3</v>
      </c>
      <c r="BF111" s="395">
        <v>3</v>
      </c>
      <c r="BG111" s="395">
        <v>3</v>
      </c>
      <c r="BH111" s="395">
        <v>3</v>
      </c>
      <c r="BI111" s="395">
        <v>3</v>
      </c>
      <c r="BJ111" s="395">
        <v>3</v>
      </c>
      <c r="BK111" s="395">
        <v>3</v>
      </c>
      <c r="BP111" s="39">
        <f t="shared" si="166"/>
        <v>342.979093930163</v>
      </c>
    </row>
    <row r="112" spans="1:76">
      <c r="A112" s="13" t="s">
        <v>26</v>
      </c>
      <c r="B112" s="13" t="s">
        <v>958</v>
      </c>
      <c r="C112" s="5">
        <v>46266</v>
      </c>
      <c r="D112" s="38"/>
      <c r="E112" s="13"/>
      <c r="F112" s="13"/>
      <c r="G112" s="42">
        <f>Tufting!$G$23</f>
        <v>0.60821917808219206</v>
      </c>
      <c r="H112" s="42">
        <f>Tufting!$F$23</f>
        <v>0.55549999999999999</v>
      </c>
      <c r="I112" s="1050">
        <f>'Tufting 2'!$N$17</f>
        <v>63542.337619479593</v>
      </c>
      <c r="J112" s="43">
        <f>'Tufting 2'!$G$17</f>
        <v>48188.250467753955</v>
      </c>
      <c r="K112" s="43"/>
      <c r="L112" s="11">
        <f t="shared" si="163"/>
        <v>0.75836445861225799</v>
      </c>
      <c r="M112" s="12">
        <f>'Tufting 2'!$V$17</f>
        <v>13.934451332970553</v>
      </c>
      <c r="N112" s="12">
        <f t="shared" si="167"/>
        <v>14</v>
      </c>
      <c r="O112" s="13"/>
      <c r="P112" s="13"/>
      <c r="Q112" s="38"/>
      <c r="R112" s="38">
        <f>'Tufting 2'!$AV$16</f>
        <v>108.5</v>
      </c>
      <c r="S112" s="38">
        <f>'Manpower Allocation'!$D$69</f>
        <v>59</v>
      </c>
      <c r="T112" s="36">
        <f t="shared" si="168"/>
        <v>167.5</v>
      </c>
      <c r="U112" s="1327" t="e">
        <f t="shared" si="164"/>
        <v>#DIV/0!</v>
      </c>
      <c r="V112" s="614"/>
      <c r="W112" s="614"/>
      <c r="X112" s="614"/>
      <c r="Y112" s="614"/>
      <c r="Z112" s="614"/>
      <c r="AA112" s="614"/>
      <c r="AB112" s="614"/>
      <c r="AC112" s="614"/>
      <c r="AD112" s="614"/>
      <c r="AE112" s="614"/>
      <c r="AF112" s="1325"/>
      <c r="AG112" s="614"/>
      <c r="AH112" s="614"/>
      <c r="AI112" s="614"/>
      <c r="AJ112" s="970">
        <v>60</v>
      </c>
      <c r="AK112" s="970">
        <v>66</v>
      </c>
      <c r="AL112" s="970">
        <f t="shared" si="169"/>
        <v>29.5</v>
      </c>
      <c r="AM112" s="970">
        <v>12</v>
      </c>
      <c r="AN112" s="852"/>
      <c r="AO112" s="852"/>
      <c r="AP112" s="852"/>
      <c r="AQ112" s="852"/>
      <c r="AR112" s="852"/>
      <c r="AS112" s="852"/>
      <c r="AT112" s="40" t="e">
        <f>SUM('Manpower Allocation'!#REF!)+Q112</f>
        <v>#REF!</v>
      </c>
      <c r="AU112" s="367" t="s">
        <v>154</v>
      </c>
      <c r="AV112" s="368">
        <v>6</v>
      </c>
      <c r="AW112" s="368">
        <v>6</v>
      </c>
      <c r="AY112" s="395">
        <v>6</v>
      </c>
      <c r="AZ112" s="395">
        <v>6</v>
      </c>
      <c r="BA112" s="395">
        <v>6</v>
      </c>
      <c r="BB112" s="395">
        <v>6</v>
      </c>
      <c r="BC112" s="395">
        <v>6</v>
      </c>
      <c r="BD112" s="395">
        <v>6</v>
      </c>
      <c r="BE112" s="395">
        <v>6</v>
      </c>
      <c r="BF112" s="395">
        <v>6</v>
      </c>
      <c r="BG112" s="395">
        <v>6</v>
      </c>
      <c r="BH112" s="395">
        <v>6</v>
      </c>
      <c r="BI112" s="395">
        <v>6</v>
      </c>
      <c r="BJ112" s="395">
        <v>6</v>
      </c>
      <c r="BK112" s="395">
        <v>6</v>
      </c>
      <c r="BP112" s="39">
        <f t="shared" si="166"/>
        <v>287.69104756868035</v>
      </c>
    </row>
    <row r="113" spans="1:68">
      <c r="A113" s="13" t="s">
        <v>26</v>
      </c>
      <c r="B113" s="13" t="s">
        <v>958</v>
      </c>
      <c r="C113" s="5">
        <v>46296</v>
      </c>
      <c r="D113" s="38"/>
      <c r="E113" s="13"/>
      <c r="F113" s="13"/>
      <c r="G113" s="42">
        <f>Tufting!$G$23</f>
        <v>0.60821917808219206</v>
      </c>
      <c r="H113" s="42">
        <f>Tufting!$F$23</f>
        <v>0.55549999999999999</v>
      </c>
      <c r="I113" s="1050">
        <f>'Tufting 2'!$N$17</f>
        <v>63542.337619479593</v>
      </c>
      <c r="J113" s="43">
        <f>'Tufting 2'!$H$17</f>
        <v>45314.78605616017</v>
      </c>
      <c r="K113" s="43"/>
      <c r="L113" s="11">
        <f t="shared" si="163"/>
        <v>0.71314320111302343</v>
      </c>
      <c r="M113" s="12">
        <f>'Tufting 2'!$W$17</f>
        <v>13.015224440372675</v>
      </c>
      <c r="N113" s="12">
        <f t="shared" si="167"/>
        <v>13</v>
      </c>
      <c r="O113" s="13"/>
      <c r="P113" s="13"/>
      <c r="Q113" s="38"/>
      <c r="R113" s="38">
        <f>'Tufting 2'!$AW$16</f>
        <v>103.5</v>
      </c>
      <c r="S113" s="38">
        <f>'Manpower Allocation'!$D$69</f>
        <v>59</v>
      </c>
      <c r="T113" s="36">
        <f t="shared" si="168"/>
        <v>162.5</v>
      </c>
      <c r="U113" s="1327" t="e">
        <f t="shared" si="164"/>
        <v>#DIV/0!</v>
      </c>
      <c r="V113" s="614"/>
      <c r="W113" s="614"/>
      <c r="X113" s="614"/>
      <c r="Y113" s="614"/>
      <c r="Z113" s="614"/>
      <c r="AA113" s="614"/>
      <c r="AB113" s="614"/>
      <c r="AC113" s="614"/>
      <c r="AD113" s="614"/>
      <c r="AE113" s="614"/>
      <c r="AF113" s="1325"/>
      <c r="AG113" s="614"/>
      <c r="AH113" s="614"/>
      <c r="AI113" s="614"/>
      <c r="AJ113" s="970">
        <v>60</v>
      </c>
      <c r="AK113" s="970">
        <v>66</v>
      </c>
      <c r="AL113" s="970">
        <f t="shared" si="169"/>
        <v>24.5</v>
      </c>
      <c r="AM113" s="970">
        <v>12</v>
      </c>
      <c r="AN113" s="614"/>
      <c r="AO113" s="614"/>
      <c r="AP113" s="614"/>
      <c r="AQ113" s="614"/>
      <c r="AR113" s="614"/>
      <c r="AS113" s="614"/>
      <c r="AT113" s="40" t="e">
        <f>SUM('Manpower Allocation'!#REF!)+Q113</f>
        <v>#REF!</v>
      </c>
      <c r="AU113" s="367" t="s">
        <v>155</v>
      </c>
      <c r="AV113" s="368">
        <v>21</v>
      </c>
      <c r="AW113" s="368">
        <v>21</v>
      </c>
      <c r="AY113" s="395">
        <v>21</v>
      </c>
      <c r="AZ113" s="395">
        <v>21</v>
      </c>
      <c r="BA113" s="395">
        <v>21</v>
      </c>
      <c r="BB113" s="395">
        <v>21</v>
      </c>
      <c r="BC113" s="395">
        <v>21</v>
      </c>
      <c r="BD113" s="395">
        <v>21</v>
      </c>
      <c r="BE113" s="395">
        <v>21</v>
      </c>
      <c r="BF113" s="395">
        <v>21</v>
      </c>
      <c r="BG113" s="395">
        <v>21</v>
      </c>
      <c r="BH113" s="395">
        <v>21</v>
      </c>
      <c r="BI113" s="395">
        <v>21</v>
      </c>
      <c r="BJ113" s="395">
        <v>21</v>
      </c>
      <c r="BK113" s="395">
        <v>21</v>
      </c>
      <c r="BP113" s="39">
        <f t="shared" si="166"/>
        <v>278.86022188406258</v>
      </c>
    </row>
    <row r="114" spans="1:68">
      <c r="A114" s="13" t="s">
        <v>26</v>
      </c>
      <c r="B114" s="13" t="s">
        <v>958</v>
      </c>
      <c r="C114" s="5">
        <v>46327</v>
      </c>
      <c r="D114" s="38"/>
      <c r="E114" s="13"/>
      <c r="F114" s="13"/>
      <c r="G114" s="42">
        <f>Tufting!$G$23</f>
        <v>0.60821917808219206</v>
      </c>
      <c r="H114" s="42">
        <f>Tufting!$F$23</f>
        <v>0.55549999999999999</v>
      </c>
      <c r="I114" s="1050">
        <f>'Tufting 2'!$N$17</f>
        <v>63542.337619479593</v>
      </c>
      <c r="J114" s="43">
        <f>'Tufting 2'!$I$17</f>
        <v>39960.989807301987</v>
      </c>
      <c r="K114" s="43"/>
      <c r="L114" s="11">
        <f t="shared" si="163"/>
        <v>0.62888762523353425</v>
      </c>
      <c r="M114" s="12">
        <f>'Tufting 2'!$X$17</f>
        <v>12.018150603921791</v>
      </c>
      <c r="N114" s="12">
        <f t="shared" si="167"/>
        <v>12</v>
      </c>
      <c r="O114" s="13"/>
      <c r="P114" s="13"/>
      <c r="Q114" s="38"/>
      <c r="R114" s="38">
        <f>'Tufting 2'!$AX$16</f>
        <v>101</v>
      </c>
      <c r="S114" s="38">
        <f>'Manpower Allocation'!$D$69</f>
        <v>59</v>
      </c>
      <c r="T114" s="36">
        <f t="shared" si="168"/>
        <v>160</v>
      </c>
      <c r="U114" s="1327" t="e">
        <f t="shared" si="164"/>
        <v>#DIV/0!</v>
      </c>
      <c r="V114" s="614"/>
      <c r="W114" s="614"/>
      <c r="X114" s="614"/>
      <c r="Y114" s="614"/>
      <c r="Z114" s="614"/>
      <c r="AA114" s="614"/>
      <c r="AB114" s="614"/>
      <c r="AC114" s="614"/>
      <c r="AD114" s="614"/>
      <c r="AE114" s="614"/>
      <c r="AF114" s="1325"/>
      <c r="AG114" s="614"/>
      <c r="AH114" s="614"/>
      <c r="AI114" s="614"/>
      <c r="AJ114" s="970">
        <v>60</v>
      </c>
      <c r="AK114" s="970">
        <v>66</v>
      </c>
      <c r="AL114" s="970">
        <f t="shared" si="169"/>
        <v>22</v>
      </c>
      <c r="AM114" s="970">
        <v>12</v>
      </c>
      <c r="AN114" s="614"/>
      <c r="AO114" s="614"/>
      <c r="AP114" s="614"/>
      <c r="AQ114" s="614"/>
      <c r="AR114" s="614"/>
      <c r="AS114" s="614"/>
      <c r="AT114" s="40" t="e">
        <f>SUM('Manpower Allocation'!#REF!)+Q114</f>
        <v>#REF!</v>
      </c>
      <c r="AU114" s="387" t="s">
        <v>156</v>
      </c>
      <c r="AV114" s="368">
        <v>11</v>
      </c>
      <c r="AW114" s="368">
        <v>6</v>
      </c>
      <c r="AX114" t="s">
        <v>938</v>
      </c>
      <c r="AY114" s="395">
        <v>6</v>
      </c>
      <c r="AZ114" s="395">
        <v>6</v>
      </c>
      <c r="BA114" s="395">
        <v>6</v>
      </c>
      <c r="BB114" s="395">
        <v>6</v>
      </c>
      <c r="BC114" s="395">
        <v>6</v>
      </c>
      <c r="BD114" s="395">
        <v>6</v>
      </c>
      <c r="BE114" s="395">
        <v>6</v>
      </c>
      <c r="BF114" s="395">
        <v>6</v>
      </c>
      <c r="BG114" s="395">
        <v>6</v>
      </c>
      <c r="BH114" s="395">
        <v>6</v>
      </c>
      <c r="BI114" s="395">
        <v>6</v>
      </c>
      <c r="BJ114" s="395">
        <v>6</v>
      </c>
      <c r="BK114" s="395">
        <v>6</v>
      </c>
      <c r="BP114" s="39">
        <f t="shared" si="166"/>
        <v>249.75618629563741</v>
      </c>
    </row>
    <row r="115" spans="1:68">
      <c r="A115" s="13" t="s">
        <v>26</v>
      </c>
      <c r="B115" s="13" t="s">
        <v>958</v>
      </c>
      <c r="C115" s="5">
        <v>46357</v>
      </c>
      <c r="D115" s="38"/>
      <c r="E115" s="13"/>
      <c r="F115" s="13"/>
      <c r="G115" s="42">
        <f>Tufting!$G$23</f>
        <v>0.60821917808219206</v>
      </c>
      <c r="H115" s="42">
        <f>Tufting!$F$23</f>
        <v>0.55549999999999999</v>
      </c>
      <c r="I115" s="1050">
        <f>'Tufting 2'!$N$17</f>
        <v>63542.337619479593</v>
      </c>
      <c r="J115" s="43">
        <f>'Tufting 2'!$J$17</f>
        <v>44315.176480305301</v>
      </c>
      <c r="K115" s="43"/>
      <c r="L115" s="11">
        <f t="shared" si="163"/>
        <v>0.69741180668682234</v>
      </c>
      <c r="M115" s="12">
        <f>'Tufting 2'!$Y$17</f>
        <v>13.211417194091281</v>
      </c>
      <c r="N115" s="12">
        <f t="shared" si="167"/>
        <v>13</v>
      </c>
      <c r="O115" s="13"/>
      <c r="P115" s="13"/>
      <c r="Q115" s="38"/>
      <c r="R115" s="38">
        <f>'Tufting 2'!$AY$16</f>
        <v>111</v>
      </c>
      <c r="S115" s="38">
        <f>'Manpower Allocation'!$D$69</f>
        <v>59</v>
      </c>
      <c r="T115" s="36">
        <f t="shared" si="168"/>
        <v>170</v>
      </c>
      <c r="U115" s="1327" t="e">
        <f t="shared" si="164"/>
        <v>#DIV/0!</v>
      </c>
      <c r="V115" s="614"/>
      <c r="W115" s="614"/>
      <c r="X115" s="614"/>
      <c r="Y115" s="614"/>
      <c r="Z115" s="614"/>
      <c r="AA115" s="614"/>
      <c r="AB115" s="614"/>
      <c r="AC115" s="614"/>
      <c r="AD115" s="614"/>
      <c r="AE115" s="614"/>
      <c r="AF115" s="1325"/>
      <c r="AG115" s="614"/>
      <c r="AH115" s="614"/>
      <c r="AI115" s="614"/>
      <c r="AJ115" s="970">
        <v>60</v>
      </c>
      <c r="AK115" s="970">
        <v>66</v>
      </c>
      <c r="AL115" s="970">
        <f t="shared" si="169"/>
        <v>32</v>
      </c>
      <c r="AM115" s="970">
        <v>12</v>
      </c>
      <c r="AN115" s="614"/>
      <c r="AO115" s="614"/>
      <c r="AP115" s="614"/>
      <c r="AQ115" s="614"/>
      <c r="AR115" s="614"/>
      <c r="AS115" s="614"/>
      <c r="AT115" s="40" t="e">
        <f>SUM('Manpower Allocation'!#REF!)+Q115</f>
        <v>#REF!</v>
      </c>
      <c r="AU115" s="367" t="s">
        <v>157</v>
      </c>
      <c r="AV115" s="368">
        <v>3</v>
      </c>
      <c r="AW115" s="368">
        <v>3</v>
      </c>
      <c r="AY115" s="395">
        <v>3</v>
      </c>
      <c r="AZ115" s="395">
        <v>3</v>
      </c>
      <c r="BA115" s="395">
        <v>3</v>
      </c>
      <c r="BB115" s="395">
        <v>3</v>
      </c>
      <c r="BC115" s="395">
        <v>3</v>
      </c>
      <c r="BD115" s="395">
        <v>3</v>
      </c>
      <c r="BE115" s="395">
        <v>3</v>
      </c>
      <c r="BF115" s="395">
        <v>3</v>
      </c>
      <c r="BG115" s="395">
        <v>3</v>
      </c>
      <c r="BH115" s="395">
        <v>3</v>
      </c>
      <c r="BI115" s="395">
        <v>3</v>
      </c>
      <c r="BJ115" s="395">
        <v>3</v>
      </c>
      <c r="BK115" s="395">
        <v>3</v>
      </c>
      <c r="BP115" s="39">
        <f t="shared" si="166"/>
        <v>260.67750870767821</v>
      </c>
    </row>
    <row r="116" spans="1:68">
      <c r="A116" s="13" t="s">
        <v>26</v>
      </c>
      <c r="B116" s="13" t="s">
        <v>958</v>
      </c>
      <c r="C116" s="5">
        <v>46388</v>
      </c>
      <c r="D116" s="38"/>
      <c r="E116" s="13"/>
      <c r="F116" s="13"/>
      <c r="G116" s="42">
        <f>Tufting!$G$23</f>
        <v>0.60821917808219206</v>
      </c>
      <c r="H116" s="42">
        <f>Tufting!$F$23</f>
        <v>0.55549999999999999</v>
      </c>
      <c r="I116" s="1050">
        <f>'Tufting 2'!$N$17</f>
        <v>63542.337619479593</v>
      </c>
      <c r="J116" s="43">
        <f>'Tufting 2'!$K$17</f>
        <v>44457.686927837909</v>
      </c>
      <c r="K116" s="43"/>
      <c r="L116" s="11">
        <f t="shared" si="163"/>
        <v>0.69965457037590828</v>
      </c>
      <c r="M116" s="12">
        <f>'Tufting 2'!$Z$17</f>
        <v>13.207131762382971</v>
      </c>
      <c r="N116" s="12">
        <f t="shared" si="167"/>
        <v>13</v>
      </c>
      <c r="O116" s="13"/>
      <c r="P116" s="13"/>
      <c r="Q116" s="38"/>
      <c r="R116" s="38">
        <f>'Tufting 2'!$AZ$16</f>
        <v>111</v>
      </c>
      <c r="S116" s="38">
        <f>'Manpower Allocation'!$D$69</f>
        <v>59</v>
      </c>
      <c r="T116" s="36">
        <f t="shared" si="168"/>
        <v>170</v>
      </c>
      <c r="U116" s="1327" t="e">
        <f t="shared" si="164"/>
        <v>#DIV/0!</v>
      </c>
      <c r="V116" s="614"/>
      <c r="W116" s="614"/>
      <c r="X116" s="614"/>
      <c r="Y116" s="614"/>
      <c r="Z116" s="614"/>
      <c r="AA116" s="614"/>
      <c r="AB116" s="614"/>
      <c r="AC116" s="614"/>
      <c r="AD116" s="614"/>
      <c r="AE116" s="614"/>
      <c r="AF116" s="1325"/>
      <c r="AG116" s="614"/>
      <c r="AH116" s="614"/>
      <c r="AI116" s="614"/>
      <c r="AJ116" s="970">
        <v>60</v>
      </c>
      <c r="AK116" s="970">
        <v>66</v>
      </c>
      <c r="AL116" s="970">
        <f t="shared" si="169"/>
        <v>32</v>
      </c>
      <c r="AM116" s="970">
        <v>12</v>
      </c>
      <c r="AN116" s="614"/>
      <c r="AO116" s="614"/>
      <c r="AP116" s="614"/>
      <c r="AQ116" s="614"/>
      <c r="AR116" s="614"/>
      <c r="AS116" s="614"/>
      <c r="AT116" s="40" t="e">
        <f>SUM('Manpower Allocation'!#REF!)+Q116</f>
        <v>#REF!</v>
      </c>
      <c r="AU116" s="367" t="s">
        <v>158</v>
      </c>
      <c r="AV116" s="368">
        <v>12</v>
      </c>
      <c r="AW116" s="368">
        <v>12</v>
      </c>
      <c r="AY116" s="395">
        <v>12</v>
      </c>
      <c r="AZ116" s="395">
        <v>12</v>
      </c>
      <c r="BA116" s="395">
        <v>12</v>
      </c>
      <c r="BB116" s="395">
        <v>12</v>
      </c>
      <c r="BC116" s="395">
        <v>12</v>
      </c>
      <c r="BD116" s="395">
        <v>12</v>
      </c>
      <c r="BE116" s="395">
        <v>12</v>
      </c>
      <c r="BF116" s="395">
        <v>12</v>
      </c>
      <c r="BG116" s="395">
        <v>12</v>
      </c>
      <c r="BH116" s="395">
        <v>12</v>
      </c>
      <c r="BI116" s="395">
        <v>12</v>
      </c>
      <c r="BJ116" s="395">
        <v>12</v>
      </c>
      <c r="BK116" s="395">
        <v>12</v>
      </c>
      <c r="BP116" s="39">
        <f t="shared" si="166"/>
        <v>261.51580545787004</v>
      </c>
    </row>
    <row r="117" spans="1:68">
      <c r="A117" s="13" t="s">
        <v>26</v>
      </c>
      <c r="B117" s="13" t="s">
        <v>958</v>
      </c>
      <c r="C117" s="5">
        <v>46419</v>
      </c>
      <c r="D117" s="38"/>
      <c r="E117" s="13"/>
      <c r="F117" s="13"/>
      <c r="G117" s="42">
        <f>Tufting!$G$23</f>
        <v>0.60821917808219206</v>
      </c>
      <c r="H117" s="42">
        <f>Tufting!$F$23</f>
        <v>0.55549999999999999</v>
      </c>
      <c r="I117" s="1050">
        <f>'Tufting 2'!$N$17</f>
        <v>63542.337619479593</v>
      </c>
      <c r="J117" s="43">
        <f>'Tufting 2'!$L$17</f>
        <v>48053.759492729456</v>
      </c>
      <c r="K117" s="43"/>
      <c r="L117" s="11">
        <f t="shared" si="163"/>
        <v>0.75624790168245326</v>
      </c>
      <c r="M117" s="12">
        <f>'Tufting 2'!$AA$17</f>
        <v>14.402424133482285</v>
      </c>
      <c r="N117" s="12">
        <f t="shared" si="167"/>
        <v>14</v>
      </c>
      <c r="O117" s="13"/>
      <c r="P117" s="13"/>
      <c r="Q117" s="38"/>
      <c r="R117" s="38">
        <f>'Tufting 2'!$BA$16</f>
        <v>111</v>
      </c>
      <c r="S117" s="38">
        <f>'Manpower Allocation'!$D$69</f>
        <v>59</v>
      </c>
      <c r="T117" s="36">
        <f t="shared" si="168"/>
        <v>170</v>
      </c>
      <c r="U117" s="1327" t="e">
        <f t="shared" si="164"/>
        <v>#DIV/0!</v>
      </c>
      <c r="V117" s="614"/>
      <c r="W117" s="614"/>
      <c r="X117" s="614"/>
      <c r="Y117" s="614"/>
      <c r="Z117" s="614"/>
      <c r="AA117" s="614"/>
      <c r="AB117" s="614"/>
      <c r="AC117" s="614"/>
      <c r="AD117" s="614"/>
      <c r="AE117" s="614"/>
      <c r="AF117" s="1325"/>
      <c r="AG117" s="614"/>
      <c r="AH117" s="614"/>
      <c r="AI117" s="614"/>
      <c r="AJ117" s="970">
        <v>60</v>
      </c>
      <c r="AK117" s="970">
        <v>66</v>
      </c>
      <c r="AL117" s="970">
        <f t="shared" si="169"/>
        <v>32</v>
      </c>
      <c r="AM117" s="970">
        <v>12</v>
      </c>
      <c r="AN117" s="614"/>
      <c r="AO117" s="614"/>
      <c r="AP117" s="614"/>
      <c r="AQ117" s="614"/>
      <c r="AR117" s="614"/>
      <c r="AS117" s="614"/>
      <c r="AT117" s="40" t="e">
        <f>SUM('Manpower Allocation'!#REF!)+Q117</f>
        <v>#REF!</v>
      </c>
      <c r="AU117" s="210" t="s">
        <v>159</v>
      </c>
      <c r="AV117" s="368">
        <v>3</v>
      </c>
      <c r="AW117" s="368">
        <v>0</v>
      </c>
      <c r="AX117" t="s">
        <v>939</v>
      </c>
      <c r="AY117" s="395">
        <v>0</v>
      </c>
      <c r="AZ117" s="395">
        <v>0</v>
      </c>
      <c r="BA117" s="395">
        <v>0</v>
      </c>
      <c r="BB117" s="395">
        <v>0</v>
      </c>
      <c r="BC117" s="395">
        <v>0</v>
      </c>
      <c r="BD117" s="395">
        <v>0</v>
      </c>
      <c r="BE117" s="395">
        <v>0</v>
      </c>
      <c r="BF117" s="395">
        <v>0</v>
      </c>
      <c r="BG117" s="395">
        <v>0</v>
      </c>
      <c r="BH117" s="395">
        <v>0</v>
      </c>
      <c r="BI117" s="395">
        <v>0</v>
      </c>
      <c r="BJ117" s="395">
        <v>0</v>
      </c>
      <c r="BK117" s="395">
        <v>0</v>
      </c>
      <c r="BP117" s="39">
        <f t="shared" si="166"/>
        <v>282.66917348664384</v>
      </c>
    </row>
    <row r="118" spans="1:68">
      <c r="A118" s="13" t="s">
        <v>26</v>
      </c>
      <c r="B118" s="13" t="s">
        <v>958</v>
      </c>
      <c r="C118" s="5">
        <v>46447</v>
      </c>
      <c r="D118" s="38"/>
      <c r="E118" s="13"/>
      <c r="F118" s="13"/>
      <c r="G118" s="42">
        <f>Tufting!$G$23</f>
        <v>0.60821917808219206</v>
      </c>
      <c r="H118" s="42">
        <f>Tufting!$F$23</f>
        <v>0.55549999999999999</v>
      </c>
      <c r="I118" s="1050">
        <f>'Tufting 2'!$N$17</f>
        <v>63542.337619479593</v>
      </c>
      <c r="J118" s="43">
        <f>'Tufting 2'!$M$17</f>
        <v>43018.721668305654</v>
      </c>
      <c r="K118" s="43"/>
      <c r="L118" s="11">
        <f t="shared" si="163"/>
        <v>0.67700879885661935</v>
      </c>
      <c r="M118" s="12">
        <f>'Tufting 2'!$AB$17</f>
        <v>12.701460618519022</v>
      </c>
      <c r="N118" s="12">
        <f t="shared" si="167"/>
        <v>13</v>
      </c>
      <c r="O118" s="13"/>
      <c r="P118" s="13"/>
      <c r="Q118" s="38"/>
      <c r="R118" s="38">
        <f>'Tufting 2'!$BB$16</f>
        <v>106</v>
      </c>
      <c r="S118" s="38">
        <f>'Manpower Allocation'!$D$69</f>
        <v>59</v>
      </c>
      <c r="T118" s="36">
        <f t="shared" si="168"/>
        <v>165</v>
      </c>
      <c r="U118" s="1327" t="e">
        <f t="shared" si="164"/>
        <v>#DIV/0!</v>
      </c>
      <c r="V118" s="614"/>
      <c r="W118" s="614"/>
      <c r="X118" s="614"/>
      <c r="Y118" s="614"/>
      <c r="Z118" s="614"/>
      <c r="AA118" s="614"/>
      <c r="AB118" s="614"/>
      <c r="AC118" s="614"/>
      <c r="AD118" s="614"/>
      <c r="AE118" s="614"/>
      <c r="AF118" s="1325"/>
      <c r="AG118" s="614"/>
      <c r="AH118" s="614"/>
      <c r="AI118" s="614"/>
      <c r="AJ118" s="970">
        <v>60</v>
      </c>
      <c r="AK118" s="970">
        <v>66</v>
      </c>
      <c r="AL118" s="970">
        <f t="shared" si="169"/>
        <v>27</v>
      </c>
      <c r="AM118" s="970">
        <v>12</v>
      </c>
      <c r="AN118" s="614"/>
      <c r="AO118" s="614"/>
      <c r="AP118" s="614"/>
      <c r="AQ118" s="614"/>
      <c r="AR118" s="614"/>
      <c r="AS118" s="614"/>
      <c r="AT118" s="40" t="e">
        <f>SUM('Manpower Allocation'!#REF!)+Q118</f>
        <v>#REF!</v>
      </c>
      <c r="AU118" s="133" t="s">
        <v>561</v>
      </c>
      <c r="AV118" s="328">
        <f>SUM(AV107:AV117)</f>
        <v>177</v>
      </c>
      <c r="AW118" s="33">
        <f>SUM(AW107:AW117)</f>
        <v>164</v>
      </c>
      <c r="AY118" s="33">
        <f>SUM(AY107:AY117)</f>
        <v>149</v>
      </c>
      <c r="AZ118" s="328">
        <f t="shared" ref="AZ118:BK118" si="170">SUM(AZ107:AZ117)</f>
        <v>156.5</v>
      </c>
      <c r="BA118" s="328">
        <f t="shared" si="170"/>
        <v>156.5</v>
      </c>
      <c r="BB118" s="328">
        <f t="shared" si="170"/>
        <v>156.5</v>
      </c>
      <c r="BC118" s="328">
        <f t="shared" si="170"/>
        <v>164</v>
      </c>
      <c r="BD118" s="328">
        <f t="shared" si="170"/>
        <v>179</v>
      </c>
      <c r="BE118" s="328">
        <f t="shared" si="170"/>
        <v>156.5</v>
      </c>
      <c r="BF118" s="328">
        <f t="shared" si="170"/>
        <v>171.5</v>
      </c>
      <c r="BG118" s="328">
        <f t="shared" si="170"/>
        <v>171.5</v>
      </c>
      <c r="BH118" s="328">
        <f t="shared" si="170"/>
        <v>164</v>
      </c>
      <c r="BI118" s="328">
        <f t="shared" si="170"/>
        <v>164</v>
      </c>
      <c r="BJ118" s="328">
        <f t="shared" si="170"/>
        <v>171.5</v>
      </c>
      <c r="BK118" s="328">
        <f t="shared" si="170"/>
        <v>134</v>
      </c>
      <c r="BO118">
        <f>149-BO120</f>
        <v>90</v>
      </c>
      <c r="BP118" s="39">
        <f t="shared" si="166"/>
        <v>260.71952526245849</v>
      </c>
    </row>
    <row r="119" spans="1:68">
      <c r="A119" s="22"/>
      <c r="B119" s="22"/>
      <c r="C119" s="611"/>
      <c r="D119" s="614"/>
      <c r="E119" s="22"/>
      <c r="F119" s="22"/>
      <c r="G119" s="42"/>
      <c r="H119" s="42"/>
      <c r="I119" s="10"/>
      <c r="J119" s="43"/>
      <c r="K119" s="43"/>
      <c r="L119" s="11"/>
      <c r="M119" s="12"/>
      <c r="N119" s="12"/>
      <c r="O119" s="13"/>
      <c r="P119" s="13"/>
      <c r="Q119" s="13"/>
      <c r="R119" s="38"/>
      <c r="S119" s="38"/>
      <c r="T119" s="38"/>
      <c r="U119" s="614"/>
      <c r="V119" s="614"/>
      <c r="W119" s="614"/>
      <c r="X119" s="614"/>
      <c r="Y119" s="614"/>
      <c r="Z119" s="614"/>
      <c r="AA119" s="614"/>
      <c r="AB119" s="614"/>
      <c r="AC119" s="614"/>
      <c r="AD119" s="614"/>
      <c r="AE119" s="614"/>
      <c r="AF119" s="1325"/>
      <c r="AG119" s="614"/>
      <c r="AH119" s="614"/>
      <c r="AI119" s="614"/>
      <c r="AJ119" s="907"/>
      <c r="AK119" s="907"/>
      <c r="AL119" s="907"/>
      <c r="AM119" s="907"/>
      <c r="AN119" s="614"/>
      <c r="AO119" s="614"/>
      <c r="AP119" s="614"/>
      <c r="AQ119" s="614"/>
      <c r="AR119" s="614"/>
      <c r="AS119" s="614"/>
      <c r="AU119" s="615"/>
      <c r="AV119" s="616"/>
      <c r="AW119" s="40">
        <f>AVERAGE(AY119:BJ119)</f>
        <v>13.916666666666666</v>
      </c>
      <c r="AY119" s="602">
        <f t="shared" ref="AY119:BJ119" si="171">ROUND(AY120,0)+2</f>
        <v>12</v>
      </c>
      <c r="AZ119">
        <f t="shared" si="171"/>
        <v>13</v>
      </c>
      <c r="BA119">
        <f t="shared" si="171"/>
        <v>13</v>
      </c>
      <c r="BB119">
        <f t="shared" si="171"/>
        <v>13</v>
      </c>
      <c r="BC119">
        <f t="shared" si="171"/>
        <v>14</v>
      </c>
      <c r="BD119">
        <f t="shared" si="171"/>
        <v>16</v>
      </c>
      <c r="BE119">
        <f t="shared" si="171"/>
        <v>13</v>
      </c>
      <c r="BF119">
        <f t="shared" si="171"/>
        <v>15</v>
      </c>
      <c r="BG119">
        <f t="shared" si="171"/>
        <v>15</v>
      </c>
      <c r="BH119">
        <f t="shared" si="171"/>
        <v>14</v>
      </c>
      <c r="BI119">
        <f t="shared" si="171"/>
        <v>14</v>
      </c>
      <c r="BJ119">
        <f t="shared" si="171"/>
        <v>15</v>
      </c>
      <c r="BK119">
        <v>10</v>
      </c>
      <c r="BP119" s="39"/>
    </row>
    <row r="120" spans="1:68">
      <c r="F120" t="s">
        <v>27</v>
      </c>
      <c r="M120" s="44">
        <f>AVERAGE(M107:M118)</f>
        <v>13.70686034522482</v>
      </c>
      <c r="R120" s="40">
        <f>AVERAGE(R107:R118)</f>
        <v>106</v>
      </c>
      <c r="S120" s="40"/>
      <c r="AY120" s="602">
        <v>10.357992592845946</v>
      </c>
      <c r="AZ120" s="602">
        <v>11.162585533366224</v>
      </c>
      <c r="BA120" s="602">
        <v>11.181357509074138</v>
      </c>
      <c r="BB120" s="602">
        <v>11.109471292793549</v>
      </c>
      <c r="BC120" s="602">
        <v>12.272106055428921</v>
      </c>
      <c r="BD120" s="602">
        <v>14.343995862454204</v>
      </c>
      <c r="BE120" s="602">
        <v>11.210714159495287</v>
      </c>
      <c r="BF120" s="602">
        <v>13.26657343072425</v>
      </c>
      <c r="BG120" s="602">
        <v>13.174221464896593</v>
      </c>
      <c r="BH120" s="602">
        <v>12.032757052248</v>
      </c>
      <c r="BI120" s="602">
        <v>11.577039349448153</v>
      </c>
      <c r="BJ120" s="602">
        <v>12.822628532549505</v>
      </c>
      <c r="BO120">
        <f>SUM(AW108:AW117)</f>
        <v>59</v>
      </c>
    </row>
    <row r="121" spans="1:68">
      <c r="M121" s="44"/>
      <c r="R121" s="40"/>
      <c r="S121" s="40"/>
      <c r="AY121" s="602"/>
      <c r="AZ121" s="602"/>
      <c r="BA121" s="602"/>
      <c r="BB121" s="602"/>
      <c r="BC121" s="602"/>
      <c r="BD121" s="602"/>
      <c r="BE121" s="602"/>
      <c r="BF121" s="602"/>
      <c r="BG121" s="602"/>
      <c r="BH121" s="602"/>
      <c r="BI121" s="602"/>
      <c r="BJ121" s="602"/>
    </row>
    <row r="122" spans="1:68" ht="75" hidden="1" customHeight="1">
      <c r="A122" s="1" t="s">
        <v>0</v>
      </c>
      <c r="B122" s="1" t="s">
        <v>1</v>
      </c>
      <c r="C122" s="1" t="s">
        <v>2</v>
      </c>
      <c r="D122" s="799" t="s">
        <v>3</v>
      </c>
      <c r="E122" s="1" t="s">
        <v>4</v>
      </c>
      <c r="F122" s="1" t="s">
        <v>5</v>
      </c>
      <c r="G122" s="1" t="s">
        <v>6</v>
      </c>
      <c r="H122" s="1" t="s">
        <v>7</v>
      </c>
      <c r="I122" s="1" t="s">
        <v>8</v>
      </c>
      <c r="J122" s="1" t="s">
        <v>9</v>
      </c>
      <c r="K122" s="1"/>
      <c r="L122" s="1" t="s">
        <v>604</v>
      </c>
      <c r="M122" s="1" t="s">
        <v>604</v>
      </c>
      <c r="N122" s="1" t="s">
        <v>604</v>
      </c>
      <c r="O122" s="1" t="s">
        <v>395</v>
      </c>
      <c r="P122" s="1" t="s">
        <v>12</v>
      </c>
      <c r="Q122" s="1" t="s">
        <v>13</v>
      </c>
      <c r="R122" s="1" t="s">
        <v>13</v>
      </c>
      <c r="S122" s="1"/>
      <c r="T122" s="1" t="s">
        <v>14</v>
      </c>
      <c r="U122" s="851"/>
      <c r="V122" s="851"/>
      <c r="W122" s="851"/>
      <c r="X122" s="851"/>
      <c r="Y122" s="851"/>
      <c r="Z122" s="851"/>
      <c r="AA122" s="851"/>
      <c r="AB122" s="851"/>
      <c r="AC122" s="851"/>
      <c r="AD122" s="851"/>
      <c r="AE122" s="851"/>
      <c r="AF122" s="1337"/>
      <c r="AG122" s="851"/>
      <c r="AH122" s="851"/>
      <c r="AI122" s="851"/>
      <c r="AJ122" s="935"/>
      <c r="AK122" s="935"/>
      <c r="AL122" s="935"/>
      <c r="AM122" s="935"/>
      <c r="AN122" s="851"/>
      <c r="AO122" s="851"/>
      <c r="AP122" s="851"/>
      <c r="AQ122" s="851"/>
      <c r="AR122" s="851"/>
      <c r="AS122" s="851"/>
      <c r="AY122" s="602"/>
      <c r="AZ122" s="602"/>
      <c r="BA122" s="602"/>
      <c r="BB122" s="602"/>
      <c r="BC122" s="602"/>
      <c r="BD122" s="602"/>
      <c r="BE122" s="602"/>
      <c r="BF122" s="602"/>
      <c r="BG122" s="602"/>
      <c r="BH122" s="602"/>
      <c r="BI122" s="602"/>
      <c r="BJ122" s="602"/>
    </row>
    <row r="123" spans="1:68" hidden="1">
      <c r="A123" s="13" t="s">
        <v>26</v>
      </c>
      <c r="B123" s="13" t="s">
        <v>357</v>
      </c>
      <c r="C123" s="5">
        <v>45748</v>
      </c>
      <c r="D123" s="38"/>
      <c r="E123" s="13"/>
      <c r="F123" s="13"/>
      <c r="G123" s="42">
        <f>Tufting!$G$23</f>
        <v>0.60821917808219206</v>
      </c>
      <c r="H123" s="42">
        <f>Tufting!$F$23</f>
        <v>0.55549999999999999</v>
      </c>
      <c r="I123" s="10">
        <f>Tufting!$M$23</f>
        <v>63821.499910078048</v>
      </c>
      <c r="J123" s="38">
        <f>BP!B178</f>
        <v>45044.115759698136</v>
      </c>
      <c r="K123" s="38">
        <f>J123*30</f>
        <v>1351323.4727909442</v>
      </c>
      <c r="L123" s="11">
        <f t="shared" ref="L123:L134" si="172">J123/I123</f>
        <v>0.70578278202742806</v>
      </c>
      <c r="M123" s="12">
        <f>L123*18</f>
        <v>12.704090076493705</v>
      </c>
      <c r="N123" s="12">
        <f>ROUNDUP(M123,0)</f>
        <v>13</v>
      </c>
      <c r="O123" s="13"/>
      <c r="P123" s="13"/>
      <c r="Q123" s="12">
        <f>(((((J123/I123)*18)+2)*3))*'Manpower Allocation'!$D$56</f>
        <v>115.18203893253401</v>
      </c>
      <c r="R123" s="38">
        <f>ROUNDUP(Q123,0)</f>
        <v>116</v>
      </c>
      <c r="S123" s="38"/>
      <c r="T123" s="38">
        <f>SUM('Manpower Allocation'!$D$57:$D$68)+R123</f>
        <v>175</v>
      </c>
      <c r="U123" s="614"/>
      <c r="V123" s="614"/>
      <c r="W123" s="614"/>
      <c r="X123" s="614"/>
      <c r="Y123" s="614"/>
      <c r="Z123" s="614"/>
      <c r="AA123" s="614"/>
      <c r="AB123" s="614"/>
      <c r="AC123" s="614"/>
      <c r="AD123" s="614"/>
      <c r="AE123" s="614"/>
      <c r="AF123" s="1325"/>
      <c r="AG123" s="614"/>
      <c r="AH123" s="614"/>
      <c r="AI123" s="614"/>
      <c r="AJ123" s="907"/>
      <c r="AK123" s="907"/>
      <c r="AL123" s="907"/>
      <c r="AM123" s="907"/>
      <c r="AN123" s="614"/>
      <c r="AO123" s="614"/>
      <c r="AP123" s="614"/>
      <c r="AQ123" s="614"/>
      <c r="AR123" s="614"/>
      <c r="AS123" s="614"/>
      <c r="AY123" s="602"/>
      <c r="AZ123" s="602"/>
      <c r="BA123" s="602"/>
      <c r="BB123" s="602"/>
      <c r="BC123" s="602"/>
      <c r="BD123" s="602"/>
      <c r="BE123" s="602"/>
      <c r="BF123" s="602"/>
      <c r="BG123" s="602"/>
      <c r="BH123" s="602"/>
      <c r="BI123" s="602"/>
      <c r="BJ123" s="602"/>
    </row>
    <row r="124" spans="1:68" hidden="1">
      <c r="A124" s="13" t="s">
        <v>26</v>
      </c>
      <c r="B124" s="13" t="s">
        <v>357</v>
      </c>
      <c r="C124" s="5">
        <v>45778</v>
      </c>
      <c r="D124" s="38"/>
      <c r="E124" s="13"/>
      <c r="F124" s="13"/>
      <c r="G124" s="42">
        <f>Tufting!$G$23</f>
        <v>0.60821917808219206</v>
      </c>
      <c r="H124" s="42">
        <f>Tufting!$F$23</f>
        <v>0.55549999999999999</v>
      </c>
      <c r="I124" s="10">
        <f>Tufting!$M$23</f>
        <v>63821.499910078048</v>
      </c>
      <c r="J124" s="38">
        <f>BP!C178</f>
        <v>43719.912713424477</v>
      </c>
      <c r="K124" s="38">
        <f t="shared" ref="K124:K125" si="173">J124*30</f>
        <v>1311597.3814027342</v>
      </c>
      <c r="L124" s="11">
        <f t="shared" si="172"/>
        <v>0.68503424042092542</v>
      </c>
      <c r="M124" s="12">
        <f t="shared" ref="M124:M134" si="174">L124*18</f>
        <v>12.330616327576658</v>
      </c>
      <c r="N124" s="12">
        <f t="shared" ref="N124:N134" si="175">ROUNDUP(M124,0)</f>
        <v>13</v>
      </c>
      <c r="O124" s="13"/>
      <c r="P124" s="13"/>
      <c r="Q124" s="12">
        <f>(((((J124/I124)*18)+2)*3))*'Manpower Allocation'!$D$56</f>
        <v>112.25649456601717</v>
      </c>
      <c r="R124" s="38">
        <f t="shared" ref="R124:R134" si="176">ROUNDUP(Q124,0)</f>
        <v>113</v>
      </c>
      <c r="S124" s="38"/>
      <c r="T124" s="38">
        <f>SUM('Manpower Allocation'!$D$57:$D$68)+R124</f>
        <v>172</v>
      </c>
      <c r="U124" s="614"/>
      <c r="V124" s="614"/>
      <c r="W124" s="614"/>
      <c r="X124" s="614"/>
      <c r="Y124" s="614"/>
      <c r="Z124" s="614"/>
      <c r="AA124" s="614"/>
      <c r="AB124" s="614"/>
      <c r="AC124" s="614"/>
      <c r="AD124" s="614"/>
      <c r="AE124" s="614"/>
      <c r="AF124" s="1325"/>
      <c r="AG124" s="614"/>
      <c r="AH124" s="614"/>
      <c r="AI124" s="614"/>
      <c r="AJ124" s="907"/>
      <c r="AK124" s="907"/>
      <c r="AL124" s="907"/>
      <c r="AM124" s="907"/>
      <c r="AN124" s="614"/>
      <c r="AO124" s="614"/>
      <c r="AP124" s="614"/>
      <c r="AQ124" s="614"/>
      <c r="AR124" s="614"/>
      <c r="AS124" s="614"/>
      <c r="AY124" s="602"/>
      <c r="AZ124" s="602"/>
      <c r="BA124" s="602"/>
      <c r="BB124" s="602"/>
      <c r="BC124" s="602"/>
      <c r="BD124" s="602"/>
      <c r="BE124" s="602"/>
      <c r="BF124" s="602"/>
      <c r="BG124" s="602"/>
      <c r="BH124" s="602"/>
      <c r="BI124" s="602"/>
      <c r="BJ124" s="602"/>
    </row>
    <row r="125" spans="1:68" hidden="1">
      <c r="A125" s="13" t="s">
        <v>26</v>
      </c>
      <c r="B125" s="13" t="s">
        <v>357</v>
      </c>
      <c r="C125" s="5">
        <v>45809</v>
      </c>
      <c r="D125" s="38"/>
      <c r="E125" s="13"/>
      <c r="F125" s="13"/>
      <c r="G125" s="42">
        <f>Tufting!$G$23</f>
        <v>0.60821917808219206</v>
      </c>
      <c r="H125" s="42">
        <f>Tufting!$F$23</f>
        <v>0.55549999999999999</v>
      </c>
      <c r="I125" s="10">
        <f>Tufting!$M$23</f>
        <v>63821.499910078048</v>
      </c>
      <c r="J125" s="38">
        <f>BP!D178</f>
        <v>46624.802774168253</v>
      </c>
      <c r="K125" s="38">
        <f t="shared" si="173"/>
        <v>1398744.0832250477</v>
      </c>
      <c r="L125" s="11">
        <f t="shared" si="172"/>
        <v>0.73055009424505446</v>
      </c>
      <c r="M125" s="12">
        <f t="shared" si="174"/>
        <v>13.14990169641098</v>
      </c>
      <c r="N125" s="12">
        <f t="shared" si="175"/>
        <v>14</v>
      </c>
      <c r="O125" s="13"/>
      <c r="P125" s="13"/>
      <c r="Q125" s="12">
        <f>(((((J125/I125)*18)+2)*3))*'Manpower Allocation'!$D$56</f>
        <v>118.67422995521935</v>
      </c>
      <c r="R125" s="38">
        <f t="shared" si="176"/>
        <v>119</v>
      </c>
      <c r="S125" s="38"/>
      <c r="T125" s="38">
        <f>SUM('Manpower Allocation'!$D$57:$D$68)+R125</f>
        <v>178</v>
      </c>
      <c r="U125" s="614"/>
      <c r="V125" s="614"/>
      <c r="W125" s="614"/>
      <c r="X125" s="614"/>
      <c r="Y125" s="614"/>
      <c r="Z125" s="614"/>
      <c r="AA125" s="614"/>
      <c r="AB125" s="614"/>
      <c r="AC125" s="614"/>
      <c r="AD125" s="614"/>
      <c r="AE125" s="614"/>
      <c r="AF125" s="1325"/>
      <c r="AG125" s="614"/>
      <c r="AH125" s="614"/>
      <c r="AI125" s="614"/>
      <c r="AJ125" s="907"/>
      <c r="AK125" s="907"/>
      <c r="AL125" s="907"/>
      <c r="AM125" s="907"/>
      <c r="AN125" s="614"/>
      <c r="AO125" s="614"/>
      <c r="AP125" s="614"/>
      <c r="AQ125" s="614"/>
      <c r="AR125" s="614"/>
      <c r="AS125" s="614"/>
      <c r="AY125" s="602"/>
      <c r="AZ125" s="602"/>
      <c r="BA125" s="602"/>
      <c r="BB125" s="602"/>
      <c r="BC125" s="602"/>
      <c r="BD125" s="602"/>
      <c r="BE125" s="602"/>
      <c r="BF125" s="602"/>
      <c r="BG125" s="602"/>
      <c r="BH125" s="602"/>
      <c r="BI125" s="602"/>
      <c r="BJ125" s="602"/>
    </row>
    <row r="126" spans="1:68" hidden="1">
      <c r="A126" s="13" t="s">
        <v>26</v>
      </c>
      <c r="B126" s="13" t="s">
        <v>357</v>
      </c>
      <c r="C126" s="5">
        <v>45839</v>
      </c>
      <c r="D126" s="38"/>
      <c r="E126" s="13"/>
      <c r="F126" s="13"/>
      <c r="G126" s="42">
        <f>Tufting!$G$23</f>
        <v>0.60821917808219206</v>
      </c>
      <c r="H126" s="42">
        <f>Tufting!$F$23</f>
        <v>0.55549999999999999</v>
      </c>
      <c r="I126" s="10">
        <f>Tufting!$M$23</f>
        <v>63821.499910078048</v>
      </c>
      <c r="J126" s="38">
        <f>BP!E178</f>
        <v>47867.938023280767</v>
      </c>
      <c r="K126" s="38"/>
      <c r="L126" s="11">
        <f t="shared" si="172"/>
        <v>0.75002840877642774</v>
      </c>
      <c r="M126" s="12">
        <f t="shared" si="174"/>
        <v>13.5005113579757</v>
      </c>
      <c r="N126" s="12">
        <f t="shared" si="175"/>
        <v>14</v>
      </c>
      <c r="O126" s="13"/>
      <c r="P126" s="13"/>
      <c r="Q126" s="12">
        <f>(((((J126/I126)*18)+2)*3))*'Manpower Allocation'!$D$56</f>
        <v>121.420672304143</v>
      </c>
      <c r="R126" s="38">
        <f t="shared" si="176"/>
        <v>122</v>
      </c>
      <c r="S126" s="38"/>
      <c r="T126" s="38">
        <f>SUM('Manpower Allocation'!$D$57:$D$68)+R126</f>
        <v>181</v>
      </c>
      <c r="U126" s="614"/>
      <c r="V126" s="614"/>
      <c r="W126" s="614"/>
      <c r="X126" s="614"/>
      <c r="Y126" s="614"/>
      <c r="Z126" s="614"/>
      <c r="AA126" s="614"/>
      <c r="AB126" s="614"/>
      <c r="AC126" s="614"/>
      <c r="AD126" s="614"/>
      <c r="AE126" s="614"/>
      <c r="AF126" s="1325"/>
      <c r="AG126" s="614"/>
      <c r="AH126" s="614"/>
      <c r="AI126" s="614"/>
      <c r="AJ126" s="907"/>
      <c r="AK126" s="907"/>
      <c r="AL126" s="907"/>
      <c r="AM126" s="907"/>
      <c r="AN126" s="614"/>
      <c r="AO126" s="614"/>
      <c r="AP126" s="614"/>
      <c r="AQ126" s="614"/>
      <c r="AR126" s="614"/>
      <c r="AS126" s="614"/>
      <c r="AY126" s="602"/>
      <c r="AZ126" s="602"/>
      <c r="BA126" s="602"/>
      <c r="BB126" s="602"/>
      <c r="BC126" s="602"/>
      <c r="BD126" s="602"/>
      <c r="BE126" s="602"/>
      <c r="BF126" s="602"/>
      <c r="BG126" s="602"/>
      <c r="BH126" s="602"/>
      <c r="BI126" s="602"/>
      <c r="BJ126" s="602"/>
    </row>
    <row r="127" spans="1:68" hidden="1">
      <c r="A127" s="13" t="s">
        <v>26</v>
      </c>
      <c r="B127" s="13" t="s">
        <v>357</v>
      </c>
      <c r="C127" s="5">
        <v>45870</v>
      </c>
      <c r="D127" s="38"/>
      <c r="E127" s="13"/>
      <c r="F127" s="13"/>
      <c r="G127" s="42">
        <f>Tufting!$G$23</f>
        <v>0.60821917808219206</v>
      </c>
      <c r="H127" s="42">
        <f>Tufting!$F$23</f>
        <v>0.55549999999999999</v>
      </c>
      <c r="I127" s="10">
        <f>Tufting!$M$23</f>
        <v>63821.499910078048</v>
      </c>
      <c r="J127" s="38">
        <f>BP!F178</f>
        <v>40299.829257861471</v>
      </c>
      <c r="K127" s="38"/>
      <c r="L127" s="11">
        <f t="shared" si="172"/>
        <v>0.63144597533186031</v>
      </c>
      <c r="M127" s="12">
        <f t="shared" si="174"/>
        <v>11.366027555973485</v>
      </c>
      <c r="N127" s="12">
        <f t="shared" si="175"/>
        <v>12</v>
      </c>
      <c r="O127" s="13"/>
      <c r="P127" s="13"/>
      <c r="Q127" s="12">
        <f>(((((J127/I127)*18)+2)*3))*'Manpower Allocation'!$D$56</f>
        <v>104.70054918845896</v>
      </c>
      <c r="R127" s="38">
        <f t="shared" si="176"/>
        <v>105</v>
      </c>
      <c r="S127" s="38"/>
      <c r="T127" s="38">
        <f>SUM('Manpower Allocation'!$D$57:$D$68)+R127</f>
        <v>164</v>
      </c>
      <c r="U127" s="614"/>
      <c r="V127" s="614"/>
      <c r="W127" s="614"/>
      <c r="X127" s="614"/>
      <c r="Y127" s="614"/>
      <c r="Z127" s="614"/>
      <c r="AA127" s="614"/>
      <c r="AB127" s="614"/>
      <c r="AC127" s="614"/>
      <c r="AD127" s="614"/>
      <c r="AE127" s="614"/>
      <c r="AF127" s="1325"/>
      <c r="AG127" s="614"/>
      <c r="AH127" s="614"/>
      <c r="AI127" s="614"/>
      <c r="AJ127" s="907"/>
      <c r="AK127" s="907"/>
      <c r="AL127" s="907"/>
      <c r="AM127" s="907"/>
      <c r="AN127" s="614"/>
      <c r="AO127" s="614"/>
      <c r="AP127" s="614"/>
      <c r="AQ127" s="614"/>
      <c r="AR127" s="614"/>
      <c r="AS127" s="614"/>
      <c r="AY127" s="602"/>
      <c r="AZ127" s="602"/>
      <c r="BA127" s="602"/>
      <c r="BB127" s="602"/>
      <c r="BC127" s="602"/>
      <c r="BD127" s="602"/>
      <c r="BE127" s="602"/>
      <c r="BF127" s="602"/>
      <c r="BG127" s="602"/>
      <c r="BH127" s="602"/>
      <c r="BI127" s="602"/>
      <c r="BJ127" s="602"/>
    </row>
    <row r="128" spans="1:68" hidden="1">
      <c r="A128" s="13" t="s">
        <v>26</v>
      </c>
      <c r="B128" s="13" t="s">
        <v>357</v>
      </c>
      <c r="C128" s="5">
        <v>45901</v>
      </c>
      <c r="D128" s="38"/>
      <c r="E128" s="13"/>
      <c r="F128" s="13"/>
      <c r="G128" s="42">
        <f>Tufting!$G$23</f>
        <v>0.60821917808219206</v>
      </c>
      <c r="H128" s="42">
        <f>Tufting!$F$23</f>
        <v>0.55549999999999999</v>
      </c>
      <c r="I128" s="10">
        <f>Tufting!$M$23</f>
        <v>63821.499910078048</v>
      </c>
      <c r="J128" s="38">
        <f>BP!G178</f>
        <v>47801.10124660116</v>
      </c>
      <c r="K128" s="38"/>
      <c r="L128" s="11">
        <f t="shared" si="172"/>
        <v>0.7489811633062684</v>
      </c>
      <c r="M128" s="12">
        <f t="shared" si="174"/>
        <v>13.481660939512832</v>
      </c>
      <c r="N128" s="12">
        <f t="shared" si="175"/>
        <v>14</v>
      </c>
      <c r="O128" s="13"/>
      <c r="P128" s="13"/>
      <c r="Q128" s="12">
        <f>(((((J128/I128)*18)+2)*3))*'Manpower Allocation'!$D$56</f>
        <v>121.27301069285051</v>
      </c>
      <c r="R128" s="38">
        <f t="shared" si="176"/>
        <v>122</v>
      </c>
      <c r="S128" s="38"/>
      <c r="T128" s="38">
        <f>SUM('Manpower Allocation'!$D$57:$D$68)+R128</f>
        <v>181</v>
      </c>
      <c r="U128" s="614"/>
      <c r="V128" s="614"/>
      <c r="W128" s="614"/>
      <c r="X128" s="614"/>
      <c r="Y128" s="614"/>
      <c r="Z128" s="614"/>
      <c r="AA128" s="614"/>
      <c r="AB128" s="614"/>
      <c r="AC128" s="614"/>
      <c r="AD128" s="614"/>
      <c r="AE128" s="614"/>
      <c r="AF128" s="1325"/>
      <c r="AG128" s="614"/>
      <c r="AH128" s="614"/>
      <c r="AI128" s="614"/>
      <c r="AJ128" s="907"/>
      <c r="AK128" s="907"/>
      <c r="AL128" s="907"/>
      <c r="AM128" s="907"/>
      <c r="AN128" s="614"/>
      <c r="AO128" s="614"/>
      <c r="AP128" s="614"/>
      <c r="AQ128" s="614"/>
      <c r="AR128" s="614"/>
      <c r="AS128" s="614"/>
      <c r="AY128" s="602"/>
      <c r="AZ128" s="602"/>
      <c r="BA128" s="602"/>
      <c r="BB128" s="602"/>
      <c r="BC128" s="602"/>
      <c r="BD128" s="602"/>
      <c r="BE128" s="602"/>
      <c r="BF128" s="602"/>
      <c r="BG128" s="602"/>
      <c r="BH128" s="602"/>
      <c r="BI128" s="602"/>
      <c r="BJ128" s="602"/>
    </row>
    <row r="129" spans="1:69" hidden="1">
      <c r="A129" s="13" t="s">
        <v>26</v>
      </c>
      <c r="B129" s="13" t="s">
        <v>357</v>
      </c>
      <c r="C129" s="5">
        <v>45931</v>
      </c>
      <c r="D129" s="38"/>
      <c r="E129" s="13"/>
      <c r="F129" s="13"/>
      <c r="G129" s="42">
        <f>Tufting!$G$23</f>
        <v>0.60821917808219206</v>
      </c>
      <c r="H129" s="42">
        <f>Tufting!$F$23</f>
        <v>0.55549999999999999</v>
      </c>
      <c r="I129" s="10">
        <f>Tufting!$M$23</f>
        <v>63821.499910078048</v>
      </c>
      <c r="J129" s="38">
        <f>BP!H178</f>
        <v>43047.793049164145</v>
      </c>
      <c r="K129" s="38"/>
      <c r="L129" s="11">
        <f t="shared" si="172"/>
        <v>0.67450299835974981</v>
      </c>
      <c r="M129" s="12">
        <f t="shared" si="174"/>
        <v>12.141053970475497</v>
      </c>
      <c r="N129" s="12">
        <f t="shared" si="175"/>
        <v>13</v>
      </c>
      <c r="O129" s="13"/>
      <c r="P129" s="13"/>
      <c r="Q129" s="12">
        <f>(((((J129/I129)*18)+2)*3))*'Manpower Allocation'!$D$56</f>
        <v>110.77158943539139</v>
      </c>
      <c r="R129" s="38">
        <f t="shared" si="176"/>
        <v>111</v>
      </c>
      <c r="S129" s="38"/>
      <c r="T129" s="38">
        <f>SUM('Manpower Allocation'!$D$57:$D$68)+R129</f>
        <v>170</v>
      </c>
      <c r="U129" s="614"/>
      <c r="V129" s="614"/>
      <c r="W129" s="614"/>
      <c r="X129" s="614"/>
      <c r="Y129" s="614"/>
      <c r="Z129" s="614"/>
      <c r="AA129" s="614"/>
      <c r="AB129" s="614"/>
      <c r="AC129" s="614"/>
      <c r="AD129" s="614"/>
      <c r="AE129" s="614"/>
      <c r="AF129" s="1325"/>
      <c r="AG129" s="614"/>
      <c r="AH129" s="614"/>
      <c r="AI129" s="614"/>
      <c r="AJ129" s="907"/>
      <c r="AK129" s="907"/>
      <c r="AL129" s="907"/>
      <c r="AM129" s="907"/>
      <c r="AN129" s="614"/>
      <c r="AO129" s="614"/>
      <c r="AP129" s="614"/>
      <c r="AQ129" s="614"/>
      <c r="AR129" s="614"/>
      <c r="AS129" s="614"/>
      <c r="AY129" s="602"/>
      <c r="AZ129" s="602"/>
      <c r="BA129" s="602"/>
      <c r="BB129" s="602"/>
      <c r="BC129" s="602"/>
      <c r="BD129" s="602"/>
      <c r="BE129" s="602"/>
      <c r="BF129" s="602"/>
      <c r="BG129" s="602"/>
      <c r="BH129" s="602"/>
      <c r="BI129" s="602"/>
      <c r="BJ129" s="602"/>
    </row>
    <row r="130" spans="1:69" hidden="1">
      <c r="A130" s="13" t="s">
        <v>26</v>
      </c>
      <c r="B130" s="13" t="s">
        <v>357</v>
      </c>
      <c r="C130" s="5">
        <v>45962</v>
      </c>
      <c r="D130" s="38"/>
      <c r="E130" s="13"/>
      <c r="F130" s="13"/>
      <c r="G130" s="42">
        <f>Tufting!$G$23</f>
        <v>0.60821917808219206</v>
      </c>
      <c r="H130" s="42">
        <f>Tufting!$F$23</f>
        <v>0.55549999999999999</v>
      </c>
      <c r="I130" s="10">
        <f>Tufting!$M$23</f>
        <v>63821.499910078048</v>
      </c>
      <c r="J130" s="38">
        <f>BP!I178</f>
        <v>41791.317414037148</v>
      </c>
      <c r="K130" s="38"/>
      <c r="L130" s="11">
        <f t="shared" si="172"/>
        <v>0.6548156573085786</v>
      </c>
      <c r="M130" s="12">
        <f t="shared" si="174"/>
        <v>11.786681831554414</v>
      </c>
      <c r="N130" s="12">
        <f t="shared" si="175"/>
        <v>12</v>
      </c>
      <c r="O130" s="13"/>
      <c r="P130" s="13"/>
      <c r="Q130" s="12">
        <f>(((((J130/I130)*18)+2)*3))*'Manpower Allocation'!$D$56</f>
        <v>107.99567434717623</v>
      </c>
      <c r="R130" s="38">
        <f t="shared" si="176"/>
        <v>108</v>
      </c>
      <c r="S130" s="38"/>
      <c r="T130" s="38">
        <f>SUM('Manpower Allocation'!$D$57:$D$68)+R130</f>
        <v>167</v>
      </c>
      <c r="U130" s="614"/>
      <c r="V130" s="614"/>
      <c r="W130" s="614"/>
      <c r="X130" s="614"/>
      <c r="Y130" s="614"/>
      <c r="Z130" s="614"/>
      <c r="AA130" s="614"/>
      <c r="AB130" s="614"/>
      <c r="AC130" s="614"/>
      <c r="AD130" s="614"/>
      <c r="AE130" s="614"/>
      <c r="AF130" s="1325"/>
      <c r="AG130" s="614"/>
      <c r="AH130" s="614"/>
      <c r="AI130" s="614"/>
      <c r="AJ130" s="907"/>
      <c r="AK130" s="907"/>
      <c r="AL130" s="907"/>
      <c r="AM130" s="907"/>
      <c r="AN130" s="614"/>
      <c r="AO130" s="614"/>
      <c r="AP130" s="614"/>
      <c r="AQ130" s="614"/>
      <c r="AR130" s="614"/>
      <c r="AS130" s="614"/>
      <c r="AY130" s="602"/>
      <c r="AZ130" s="602"/>
      <c r="BA130" s="602"/>
      <c r="BB130" s="602"/>
      <c r="BC130" s="602"/>
      <c r="BD130" s="602"/>
      <c r="BE130" s="602"/>
      <c r="BF130" s="602"/>
      <c r="BG130" s="602"/>
      <c r="BH130" s="602"/>
      <c r="BI130" s="602"/>
      <c r="BJ130" s="602"/>
    </row>
    <row r="131" spans="1:69" hidden="1">
      <c r="A131" s="13" t="s">
        <v>26</v>
      </c>
      <c r="B131" s="13" t="s">
        <v>357</v>
      </c>
      <c r="C131" s="5">
        <v>45992</v>
      </c>
      <c r="D131" s="38"/>
      <c r="E131" s="13"/>
      <c r="F131" s="13"/>
      <c r="G131" s="42">
        <f>Tufting!$G$23</f>
        <v>0.60821917808219206</v>
      </c>
      <c r="H131" s="42">
        <f>Tufting!$F$23</f>
        <v>0.55549999999999999</v>
      </c>
      <c r="I131" s="10">
        <f>Tufting!$M$23</f>
        <v>63821.499910078048</v>
      </c>
      <c r="J131" s="38">
        <f>BP!J178</f>
        <v>43057.212512255232</v>
      </c>
      <c r="K131" s="38"/>
      <c r="L131" s="11">
        <f t="shared" si="172"/>
        <v>0.67465058911058384</v>
      </c>
      <c r="M131" s="12">
        <f t="shared" si="174"/>
        <v>12.14371060399051</v>
      </c>
      <c r="N131" s="12">
        <f t="shared" si="175"/>
        <v>13</v>
      </c>
      <c r="O131" s="13"/>
      <c r="P131" s="13"/>
      <c r="Q131" s="12">
        <f>(((((J131/I131)*18)+2)*3))*'Manpower Allocation'!$D$56</f>
        <v>110.79239973125898</v>
      </c>
      <c r="R131" s="38">
        <f t="shared" si="176"/>
        <v>111</v>
      </c>
      <c r="S131" s="38"/>
      <c r="T131" s="38">
        <f>SUM('Manpower Allocation'!$D$57:$D$68)+R131</f>
        <v>170</v>
      </c>
      <c r="U131" s="614"/>
      <c r="V131" s="614"/>
      <c r="W131" s="614"/>
      <c r="X131" s="614"/>
      <c r="Y131" s="614"/>
      <c r="Z131" s="614"/>
      <c r="AA131" s="614"/>
      <c r="AB131" s="614"/>
      <c r="AC131" s="614"/>
      <c r="AD131" s="614"/>
      <c r="AE131" s="614"/>
      <c r="AF131" s="1325"/>
      <c r="AG131" s="614"/>
      <c r="AH131" s="614"/>
      <c r="AI131" s="614"/>
      <c r="AJ131" s="907"/>
      <c r="AK131" s="907"/>
      <c r="AL131" s="907"/>
      <c r="AM131" s="907"/>
      <c r="AN131" s="614"/>
      <c r="AO131" s="614"/>
      <c r="AP131" s="614"/>
      <c r="AQ131" s="614"/>
      <c r="AR131" s="614"/>
      <c r="AS131" s="614"/>
      <c r="AY131" s="602"/>
      <c r="AZ131" s="602"/>
      <c r="BA131" s="602"/>
      <c r="BB131" s="602"/>
      <c r="BC131" s="602"/>
      <c r="BD131" s="602"/>
      <c r="BE131" s="602"/>
      <c r="BF131" s="602"/>
      <c r="BG131" s="602"/>
      <c r="BH131" s="602"/>
      <c r="BI131" s="602"/>
      <c r="BJ131" s="602"/>
    </row>
    <row r="132" spans="1:69" hidden="1">
      <c r="A132" s="13" t="s">
        <v>26</v>
      </c>
      <c r="B132" s="13" t="s">
        <v>357</v>
      </c>
      <c r="C132" s="5">
        <v>46023</v>
      </c>
      <c r="D132" s="38"/>
      <c r="E132" s="13"/>
      <c r="F132" s="13"/>
      <c r="G132" s="42">
        <f>Tufting!$G$23</f>
        <v>0.60821917808219206</v>
      </c>
      <c r="H132" s="42">
        <f>Tufting!$F$23</f>
        <v>0.55549999999999999</v>
      </c>
      <c r="I132" s="10">
        <f>Tufting!$M$23</f>
        <v>63821.499910078048</v>
      </c>
      <c r="J132" s="38">
        <f>BP!K178</f>
        <v>40199.623554945356</v>
      </c>
      <c r="K132" s="38"/>
      <c r="L132" s="11">
        <f t="shared" si="172"/>
        <v>0.62987588213352907</v>
      </c>
      <c r="M132" s="12">
        <f t="shared" si="174"/>
        <v>11.337765878403523</v>
      </c>
      <c r="N132" s="12">
        <f t="shared" si="175"/>
        <v>12</v>
      </c>
      <c r="O132" s="13"/>
      <c r="P132" s="13"/>
      <c r="Q132" s="12">
        <f>(((((J132/I132)*18)+2)*3))*'Manpower Allocation'!$D$56</f>
        <v>104.47916604749427</v>
      </c>
      <c r="R132" s="38">
        <f t="shared" si="176"/>
        <v>105</v>
      </c>
      <c r="S132" s="38"/>
      <c r="T132" s="38">
        <f>SUM('Manpower Allocation'!$D$57:$D$68)+R132</f>
        <v>164</v>
      </c>
      <c r="U132" s="614"/>
      <c r="V132" s="614"/>
      <c r="W132" s="614"/>
      <c r="X132" s="614"/>
      <c r="Y132" s="614"/>
      <c r="Z132" s="614"/>
      <c r="AA132" s="614"/>
      <c r="AB132" s="614"/>
      <c r="AC132" s="614"/>
      <c r="AD132" s="614"/>
      <c r="AE132" s="614"/>
      <c r="AF132" s="1325"/>
      <c r="AG132" s="614"/>
      <c r="AH132" s="614"/>
      <c r="AI132" s="614"/>
      <c r="AJ132" s="907"/>
      <c r="AK132" s="907"/>
      <c r="AL132" s="907"/>
      <c r="AM132" s="907"/>
      <c r="AN132" s="614"/>
      <c r="AO132" s="614"/>
      <c r="AP132" s="614"/>
      <c r="AQ132" s="614"/>
      <c r="AR132" s="614"/>
      <c r="AS132" s="614"/>
      <c r="AY132" s="602"/>
      <c r="AZ132" s="602"/>
      <c r="BA132" s="602"/>
      <c r="BB132" s="602"/>
      <c r="BC132" s="602"/>
      <c r="BD132" s="602"/>
      <c r="BE132" s="602"/>
      <c r="BF132" s="602"/>
      <c r="BG132" s="602"/>
      <c r="BH132" s="602"/>
      <c r="BI132" s="602"/>
      <c r="BJ132" s="602"/>
    </row>
    <row r="133" spans="1:69" hidden="1">
      <c r="A133" s="13" t="s">
        <v>26</v>
      </c>
      <c r="B133" s="13" t="s">
        <v>357</v>
      </c>
      <c r="C133" s="5">
        <v>46054</v>
      </c>
      <c r="D133" s="38"/>
      <c r="E133" s="13"/>
      <c r="F133" s="13"/>
      <c r="G133" s="42">
        <f>Tufting!$G$23</f>
        <v>0.60821917808219206</v>
      </c>
      <c r="H133" s="42">
        <f>Tufting!$F$23</f>
        <v>0.55549999999999999</v>
      </c>
      <c r="I133" s="10">
        <f>Tufting!$M$23</f>
        <v>63821.499910078048</v>
      </c>
      <c r="J133" s="38">
        <f>BP!L178</f>
        <v>45196.393198300626</v>
      </c>
      <c r="K133" s="38"/>
      <c r="L133" s="11">
        <f t="shared" si="172"/>
        <v>0.70816877168321868</v>
      </c>
      <c r="M133" s="12">
        <f t="shared" si="174"/>
        <v>12.747037890297936</v>
      </c>
      <c r="N133" s="12">
        <f t="shared" si="175"/>
        <v>13</v>
      </c>
      <c r="O133" s="13"/>
      <c r="P133" s="13"/>
      <c r="Q133" s="12">
        <f>(((((J133/I133)*18)+2)*3))*'Manpower Allocation'!$D$56</f>
        <v>115.51846347400051</v>
      </c>
      <c r="R133" s="38">
        <f t="shared" si="176"/>
        <v>116</v>
      </c>
      <c r="S133" s="38"/>
      <c r="T133" s="38">
        <f>SUM('Manpower Allocation'!$D$57:$D$68)+R133</f>
        <v>175</v>
      </c>
      <c r="U133" s="614"/>
      <c r="V133" s="614"/>
      <c r="W133" s="614"/>
      <c r="X133" s="614"/>
      <c r="Y133" s="614"/>
      <c r="Z133" s="614"/>
      <c r="AA133" s="614"/>
      <c r="AB133" s="614"/>
      <c r="AC133" s="614"/>
      <c r="AD133" s="614"/>
      <c r="AE133" s="614"/>
      <c r="AF133" s="1325"/>
      <c r="AG133" s="614"/>
      <c r="AH133" s="614"/>
      <c r="AI133" s="614"/>
      <c r="AJ133" s="907"/>
      <c r="AK133" s="907"/>
      <c r="AL133" s="907"/>
      <c r="AM133" s="907"/>
      <c r="AN133" s="614"/>
      <c r="AO133" s="614"/>
      <c r="AP133" s="614"/>
      <c r="AQ133" s="614"/>
      <c r="AR133" s="614"/>
      <c r="AS133" s="614"/>
      <c r="AY133" s="602"/>
      <c r="AZ133" s="602"/>
      <c r="BA133" s="602"/>
      <c r="BB133" s="602"/>
      <c r="BC133" s="602"/>
      <c r="BD133" s="602"/>
      <c r="BE133" s="602"/>
      <c r="BF133" s="602"/>
      <c r="BG133" s="602"/>
      <c r="BH133" s="602"/>
      <c r="BI133" s="602"/>
      <c r="BJ133" s="602"/>
    </row>
    <row r="134" spans="1:69" hidden="1">
      <c r="A134" s="13" t="s">
        <v>26</v>
      </c>
      <c r="B134" s="13" t="s">
        <v>357</v>
      </c>
      <c r="C134" s="5">
        <v>46082</v>
      </c>
      <c r="D134" s="38"/>
      <c r="E134" s="13"/>
      <c r="F134" s="13"/>
      <c r="G134" s="42">
        <f>Tufting!$G$23</f>
        <v>0.60821917808219206</v>
      </c>
      <c r="H134" s="42">
        <f>Tufting!$F$23</f>
        <v>0.55549999999999999</v>
      </c>
      <c r="I134" s="10">
        <f>Tufting!$M$23</f>
        <v>63821.499910078048</v>
      </c>
      <c r="J134" s="38">
        <f>BP!M178</f>
        <v>41559.180659145983</v>
      </c>
      <c r="K134" s="38"/>
      <c r="L134" s="11">
        <f t="shared" si="172"/>
        <v>0.65117837590312377</v>
      </c>
      <c r="M134" s="12">
        <f t="shared" si="174"/>
        <v>11.721210766256227</v>
      </c>
      <c r="N134" s="12">
        <f t="shared" si="175"/>
        <v>12</v>
      </c>
      <c r="O134" s="13"/>
      <c r="P134" s="13"/>
      <c r="Q134" s="12">
        <f>(((((J134/I134)*18)+2)*3))*'Manpower Allocation'!$D$56</f>
        <v>107.48281766900712</v>
      </c>
      <c r="R134" s="38">
        <f t="shared" si="176"/>
        <v>108</v>
      </c>
      <c r="S134" s="38"/>
      <c r="T134" s="38">
        <f>SUM('Manpower Allocation'!$D$57:$D$68)+R134</f>
        <v>167</v>
      </c>
      <c r="U134" s="614"/>
      <c r="V134" s="614"/>
      <c r="W134" s="614"/>
      <c r="X134" s="614"/>
      <c r="Y134" s="614"/>
      <c r="Z134" s="614"/>
      <c r="AA134" s="614"/>
      <c r="AB134" s="614"/>
      <c r="AC134" s="614"/>
      <c r="AD134" s="614"/>
      <c r="AE134" s="614"/>
      <c r="AF134" s="1325"/>
      <c r="AG134" s="614"/>
      <c r="AH134" s="614"/>
      <c r="AI134" s="614"/>
      <c r="AJ134" s="907"/>
      <c r="AK134" s="907"/>
      <c r="AL134" s="907"/>
      <c r="AM134" s="907"/>
      <c r="AN134" s="614"/>
      <c r="AO134" s="614"/>
      <c r="AP134" s="614"/>
      <c r="AQ134" s="614"/>
      <c r="AR134" s="614"/>
      <c r="AS134" s="614"/>
      <c r="AY134" s="602"/>
      <c r="AZ134" s="602"/>
      <c r="BA134" s="602"/>
      <c r="BB134" s="602"/>
      <c r="BC134" s="602"/>
      <c r="BD134" s="602"/>
      <c r="BE134" s="602"/>
      <c r="BF134" s="602"/>
      <c r="BG134" s="602"/>
      <c r="BH134" s="602"/>
      <c r="BI134" s="602"/>
      <c r="BJ134" s="602"/>
    </row>
    <row r="135" spans="1:69">
      <c r="M135" s="44"/>
      <c r="R135" s="40"/>
      <c r="S135" s="40"/>
      <c r="AY135" s="602"/>
      <c r="AZ135" s="602"/>
      <c r="BA135" s="602"/>
      <c r="BB135" s="602"/>
      <c r="BC135" s="602"/>
      <c r="BD135" s="602"/>
      <c r="BE135" s="602"/>
      <c r="BF135" s="602"/>
      <c r="BG135" s="602"/>
      <c r="BH135" s="602"/>
      <c r="BI135" s="602"/>
      <c r="BJ135" s="602"/>
    </row>
    <row r="136" spans="1:69">
      <c r="M136" s="44"/>
      <c r="R136" s="40"/>
      <c r="S136" s="40"/>
      <c r="AY136" s="602"/>
      <c r="AZ136" s="602"/>
      <c r="BA136" s="602"/>
      <c r="BB136" s="602"/>
      <c r="BC136" s="602"/>
      <c r="BD136" s="602"/>
      <c r="BE136" s="602"/>
      <c r="BF136" s="602"/>
      <c r="BG136" s="602"/>
      <c r="BH136" s="602"/>
      <c r="BI136" s="602"/>
      <c r="BJ136" s="602"/>
    </row>
    <row r="137" spans="1:69">
      <c r="M137" s="44"/>
      <c r="R137" s="40"/>
      <c r="S137" s="40"/>
      <c r="AY137" s="602"/>
      <c r="AZ137" s="602"/>
      <c r="BA137" s="602"/>
      <c r="BB137" s="602"/>
      <c r="BC137" s="602"/>
      <c r="BD137" s="602"/>
      <c r="BE137" s="602"/>
      <c r="BF137" s="602"/>
      <c r="BG137" s="602"/>
      <c r="BH137" s="602"/>
      <c r="BI137" s="602"/>
      <c r="BJ137" s="602"/>
    </row>
    <row r="138" spans="1:69" ht="42.75" customHeight="1">
      <c r="A138" s="1" t="s">
        <v>0</v>
      </c>
      <c r="B138" s="1" t="s">
        <v>1</v>
      </c>
      <c r="C138" s="1" t="s">
        <v>2</v>
      </c>
      <c r="D138" s="799" t="s">
        <v>3</v>
      </c>
      <c r="E138" s="1" t="s">
        <v>29</v>
      </c>
      <c r="F138" s="1" t="s">
        <v>27</v>
      </c>
      <c r="G138" s="1" t="s">
        <v>6</v>
      </c>
      <c r="H138" s="1" t="s">
        <v>7</v>
      </c>
      <c r="I138" s="1" t="s">
        <v>8</v>
      </c>
      <c r="J138" s="1" t="s">
        <v>9</v>
      </c>
      <c r="K138" s="1"/>
      <c r="L138" s="1" t="s">
        <v>30</v>
      </c>
      <c r="M138" s="1" t="s">
        <v>30</v>
      </c>
      <c r="N138" s="1" t="s">
        <v>28</v>
      </c>
      <c r="O138" s="1" t="s">
        <v>28</v>
      </c>
      <c r="P138" s="1" t="s">
        <v>12</v>
      </c>
      <c r="Q138" s="1" t="s">
        <v>13</v>
      </c>
      <c r="R138" s="1" t="s">
        <v>13</v>
      </c>
      <c r="S138" s="1" t="s">
        <v>1251</v>
      </c>
      <c r="T138" s="1" t="s">
        <v>14</v>
      </c>
      <c r="U138" s="851" t="s">
        <v>1561</v>
      </c>
      <c r="V138" s="851" t="s">
        <v>1517</v>
      </c>
      <c r="W138" s="851" t="s">
        <v>1518</v>
      </c>
      <c r="X138" s="851" t="s">
        <v>873</v>
      </c>
      <c r="Y138" s="851" t="s">
        <v>1519</v>
      </c>
      <c r="Z138" s="851" t="s">
        <v>1520</v>
      </c>
      <c r="AA138" s="851" t="s">
        <v>1521</v>
      </c>
      <c r="AB138" s="851" t="s">
        <v>1521</v>
      </c>
      <c r="AC138" s="851" t="s">
        <v>1562</v>
      </c>
      <c r="AD138" s="851"/>
      <c r="AE138" s="851"/>
      <c r="AF138" s="1337"/>
      <c r="AG138" s="851"/>
      <c r="AH138" s="851"/>
      <c r="AI138" s="851"/>
      <c r="AJ138" s="969" t="s">
        <v>428</v>
      </c>
      <c r="AK138" s="969" t="s">
        <v>1094</v>
      </c>
      <c r="AL138" s="969" t="s">
        <v>1095</v>
      </c>
      <c r="AM138" s="935"/>
      <c r="AN138" s="851"/>
      <c r="AO138" s="851"/>
      <c r="AP138" s="851"/>
      <c r="AQ138" s="851"/>
      <c r="AR138" s="851"/>
      <c r="AS138" s="851"/>
    </row>
    <row r="139" spans="1:69">
      <c r="A139" s="45" t="s">
        <v>31</v>
      </c>
      <c r="B139" s="45" t="s">
        <v>358</v>
      </c>
      <c r="C139" s="5">
        <v>46113</v>
      </c>
      <c r="D139" s="854">
        <v>1.08</v>
      </c>
      <c r="E139" s="13">
        <f>24*60</f>
        <v>1440</v>
      </c>
      <c r="F139" s="13">
        <v>3.6</v>
      </c>
      <c r="G139" s="42">
        <v>0.74</v>
      </c>
      <c r="H139" s="42">
        <v>0.8</v>
      </c>
      <c r="I139" s="839">
        <f>H139*G139*F139*E139*D139</f>
        <v>3314.4422400000003</v>
      </c>
      <c r="J139" s="10">
        <f>BP!D256/DAY(EOMONTH(C139,0))</f>
        <v>3741.7637127995558</v>
      </c>
      <c r="K139" s="10"/>
      <c r="L139" s="11">
        <f t="shared" ref="L139:L163" si="177">J139/I139</f>
        <v>1.1289271140834711</v>
      </c>
      <c r="M139" s="12">
        <f>J139/I139</f>
        <v>1.1289271140834711</v>
      </c>
      <c r="N139" s="12">
        <f>M139/0.33</f>
        <v>3.4209912547983974</v>
      </c>
      <c r="O139" s="1350" t="str">
        <f t="shared" ref="O139:O163" si="178">IF(N139&gt;3,"3",ROUNDUP(N139,0))</f>
        <v>3</v>
      </c>
      <c r="P139" s="13">
        <f>'Manpower Allocation'!$D$85</f>
        <v>9</v>
      </c>
      <c r="Q139" s="13"/>
      <c r="R139" s="13">
        <f>P139*O139</f>
        <v>27</v>
      </c>
      <c r="S139" s="312">
        <f>'Manpower Allocation'!$D$95</f>
        <v>6</v>
      </c>
      <c r="T139" s="1345">
        <f>R139+S139</f>
        <v>33</v>
      </c>
      <c r="U139" s="1327">
        <f t="shared" ref="U139:U163" si="179">I139/V139</f>
        <v>3314.4422400000003</v>
      </c>
      <c r="V139" s="614">
        <v>1</v>
      </c>
      <c r="W139" s="614"/>
      <c r="X139" s="21">
        <f t="shared" ref="X139:X163" si="180">IF(J139&gt;I139,V139,J139/U139)</f>
        <v>1</v>
      </c>
      <c r="Y139" s="614"/>
      <c r="Z139" s="614">
        <v>9</v>
      </c>
      <c r="AA139" s="22">
        <f t="shared" ref="AA139:AA150" si="181">Z139*X139</f>
        <v>9</v>
      </c>
      <c r="AB139" s="1325">
        <f t="shared" ref="AB139:AB150" si="182">ROUNDUP(AA139,0)</f>
        <v>9</v>
      </c>
      <c r="AC139">
        <f t="shared" ref="AC139:AC150" si="183">IF(X139&lt;=0.33,1,(IF(X139&lt;=0.66,2,3)))*Z139</f>
        <v>27</v>
      </c>
      <c r="AD139" s="614"/>
      <c r="AE139" s="614"/>
      <c r="AF139" s="1325"/>
      <c r="AG139" s="614"/>
      <c r="AH139" s="614"/>
      <c r="AI139" s="614"/>
      <c r="AJ139" s="970">
        <v>24</v>
      </c>
      <c r="AK139" s="970">
        <v>9</v>
      </c>
      <c r="AL139" s="970"/>
      <c r="AM139" s="130"/>
      <c r="AN139" s="22"/>
      <c r="AO139" s="22"/>
      <c r="AP139" s="22"/>
      <c r="AQ139" s="22"/>
      <c r="AR139" s="22"/>
      <c r="AS139" s="22"/>
      <c r="AT139">
        <f t="shared" ref="AT139:AT150" si="184">T139+T152</f>
        <v>42</v>
      </c>
      <c r="AU139" t="s">
        <v>142</v>
      </c>
      <c r="AV139">
        <f>R139</f>
        <v>27</v>
      </c>
      <c r="AW139">
        <f>8*3</f>
        <v>24</v>
      </c>
      <c r="BO139" s="39">
        <f t="shared" ref="BO139:BO150" si="185">J139+J152</f>
        <v>4567.6435314662222</v>
      </c>
      <c r="BP139">
        <f t="shared" ref="BP139:BP150" si="186">T139+T152</f>
        <v>42</v>
      </c>
      <c r="BQ139" s="46">
        <f>BO139/BP139</f>
        <v>108.75341741586243</v>
      </c>
    </row>
    <row r="140" spans="1:69">
      <c r="A140" s="45" t="s">
        <v>31</v>
      </c>
      <c r="B140" s="45" t="s">
        <v>358</v>
      </c>
      <c r="C140" s="5">
        <v>46143</v>
      </c>
      <c r="D140" s="854">
        <v>1.08</v>
      </c>
      <c r="E140" s="13">
        <f t="shared" ref="E140:E150" si="187">24*60</f>
        <v>1440</v>
      </c>
      <c r="F140" s="13">
        <v>3.6</v>
      </c>
      <c r="G140" s="42">
        <v>0.74</v>
      </c>
      <c r="H140" s="42">
        <v>0.8</v>
      </c>
      <c r="I140" s="10">
        <f t="shared" ref="I140:I163" si="188">H140*G140*F140*E140*D140</f>
        <v>3314.4422400000003</v>
      </c>
      <c r="J140" s="10">
        <f>BP!E256/DAY(EOMONTH(C140,0))</f>
        <v>5344.9177693834981</v>
      </c>
      <c r="K140" s="10"/>
      <c r="L140" s="11">
        <f t="shared" si="177"/>
        <v>1.6126145463869956</v>
      </c>
      <c r="M140" s="12">
        <f t="shared" ref="M140:M163" si="189">J140/I140</f>
        <v>1.6126145463869956</v>
      </c>
      <c r="N140" s="12">
        <f t="shared" ref="N140:N163" si="190">M140/0.33</f>
        <v>4.8867107466272595</v>
      </c>
      <c r="O140" s="1350" t="str">
        <f t="shared" si="178"/>
        <v>3</v>
      </c>
      <c r="P140" s="13">
        <f>'Manpower Allocation'!$D$85</f>
        <v>9</v>
      </c>
      <c r="Q140" s="13"/>
      <c r="R140" s="13">
        <f t="shared" ref="R140:R163" si="191">P140*O140</f>
        <v>27</v>
      </c>
      <c r="S140" s="312">
        <f>'Manpower Allocation'!$D$95</f>
        <v>6</v>
      </c>
      <c r="T140" s="1345">
        <f t="shared" ref="T140:T150" si="192">R140+S140</f>
        <v>33</v>
      </c>
      <c r="U140" s="1327">
        <f t="shared" si="179"/>
        <v>3314.4422400000003</v>
      </c>
      <c r="V140" s="614">
        <v>1</v>
      </c>
      <c r="W140" s="614"/>
      <c r="X140" s="21">
        <f t="shared" si="180"/>
        <v>1</v>
      </c>
      <c r="Y140" s="614"/>
      <c r="Z140" s="614">
        <v>9</v>
      </c>
      <c r="AA140" s="22">
        <f t="shared" si="181"/>
        <v>9</v>
      </c>
      <c r="AB140" s="1325">
        <f t="shared" si="182"/>
        <v>9</v>
      </c>
      <c r="AC140">
        <f t="shared" si="183"/>
        <v>27</v>
      </c>
      <c r="AD140" s="614"/>
      <c r="AE140" s="614"/>
      <c r="AF140" s="1325"/>
      <c r="AG140" s="614"/>
      <c r="AH140" s="614"/>
      <c r="AI140" s="614"/>
      <c r="AJ140" s="970">
        <v>24</v>
      </c>
      <c r="AK140" s="970">
        <v>9</v>
      </c>
      <c r="AL140" s="970"/>
      <c r="AM140" s="130"/>
      <c r="AN140" s="22"/>
      <c r="AO140" s="22"/>
      <c r="AP140" s="22"/>
      <c r="AQ140" s="22"/>
      <c r="AR140" s="22"/>
      <c r="AS140" s="22"/>
      <c r="AT140">
        <f t="shared" si="184"/>
        <v>42</v>
      </c>
      <c r="AU140" s="388" t="s">
        <v>162</v>
      </c>
      <c r="AV140" s="13">
        <v>2</v>
      </c>
      <c r="AW140" s="13">
        <v>2</v>
      </c>
      <c r="BO140" s="39">
        <f t="shared" si="185"/>
        <v>5903.3838524480143</v>
      </c>
      <c r="BP140">
        <f t="shared" si="186"/>
        <v>42</v>
      </c>
      <c r="BQ140" s="46">
        <f t="shared" ref="BQ140:BQ150" si="193">BO140/BP140</f>
        <v>140.55675839161938</v>
      </c>
    </row>
    <row r="141" spans="1:69">
      <c r="A141" s="45" t="s">
        <v>31</v>
      </c>
      <c r="B141" s="45" t="s">
        <v>358</v>
      </c>
      <c r="C141" s="5">
        <v>46174</v>
      </c>
      <c r="D141" s="854">
        <v>1.08</v>
      </c>
      <c r="E141" s="13">
        <f t="shared" si="187"/>
        <v>1440</v>
      </c>
      <c r="F141" s="13">
        <v>3.6</v>
      </c>
      <c r="G141" s="42">
        <v>0.74</v>
      </c>
      <c r="H141" s="42">
        <v>0.8</v>
      </c>
      <c r="I141" s="10">
        <f t="shared" si="188"/>
        <v>3314.4422400000003</v>
      </c>
      <c r="J141" s="10">
        <f>BP!F256/DAY(EOMONTH(C141,0))</f>
        <v>3803.4603111559059</v>
      </c>
      <c r="K141" s="10"/>
      <c r="L141" s="11">
        <f t="shared" si="177"/>
        <v>1.1475415879191504</v>
      </c>
      <c r="M141" s="12">
        <f t="shared" si="189"/>
        <v>1.1475415879191504</v>
      </c>
      <c r="N141" s="12">
        <f t="shared" si="190"/>
        <v>3.4773987512701527</v>
      </c>
      <c r="O141" s="1350" t="str">
        <f t="shared" si="178"/>
        <v>3</v>
      </c>
      <c r="P141" s="13">
        <f>'Manpower Allocation'!$D$85</f>
        <v>9</v>
      </c>
      <c r="Q141" s="13"/>
      <c r="R141" s="13">
        <f t="shared" si="191"/>
        <v>27</v>
      </c>
      <c r="S141" s="312">
        <f>'Manpower Allocation'!$D$95</f>
        <v>6</v>
      </c>
      <c r="T141" s="1345">
        <f t="shared" si="192"/>
        <v>33</v>
      </c>
      <c r="U141" s="1327">
        <f t="shared" si="179"/>
        <v>3314.4422400000003</v>
      </c>
      <c r="V141" s="614">
        <v>1</v>
      </c>
      <c r="W141" s="614"/>
      <c r="X141" s="21">
        <f t="shared" si="180"/>
        <v>1</v>
      </c>
      <c r="Y141" s="614"/>
      <c r="Z141" s="614">
        <v>9</v>
      </c>
      <c r="AA141" s="22">
        <f t="shared" si="181"/>
        <v>9</v>
      </c>
      <c r="AB141" s="1325">
        <f t="shared" si="182"/>
        <v>9</v>
      </c>
      <c r="AC141">
        <f t="shared" si="183"/>
        <v>27</v>
      </c>
      <c r="AD141" s="614"/>
      <c r="AE141" s="614"/>
      <c r="AF141" s="1325"/>
      <c r="AG141" s="614"/>
      <c r="AH141" s="614"/>
      <c r="AI141" s="614"/>
      <c r="AJ141" s="970">
        <v>24</v>
      </c>
      <c r="AK141" s="970">
        <v>9</v>
      </c>
      <c r="AL141" s="970"/>
      <c r="AM141" s="130"/>
      <c r="AN141" s="22"/>
      <c r="AO141" s="22"/>
      <c r="AP141" s="22"/>
      <c r="AQ141" s="22"/>
      <c r="AR141" s="22"/>
      <c r="AS141" s="22"/>
      <c r="AT141">
        <f t="shared" si="184"/>
        <v>42</v>
      </c>
      <c r="AU141" s="388" t="s">
        <v>163</v>
      </c>
      <c r="AV141" s="13">
        <v>2</v>
      </c>
      <c r="AW141" s="13">
        <v>2</v>
      </c>
      <c r="BO141" s="39">
        <f t="shared" si="185"/>
        <v>4402.0631108225725</v>
      </c>
      <c r="BP141">
        <f t="shared" si="186"/>
        <v>42</v>
      </c>
      <c r="BQ141" s="46">
        <f t="shared" si="193"/>
        <v>104.81102644815648</v>
      </c>
    </row>
    <row r="142" spans="1:69">
      <c r="A142" s="45" t="s">
        <v>31</v>
      </c>
      <c r="B142" s="45" t="s">
        <v>358</v>
      </c>
      <c r="C142" s="5">
        <v>46204</v>
      </c>
      <c r="D142" s="854">
        <v>1.08</v>
      </c>
      <c r="E142" s="13">
        <f t="shared" si="187"/>
        <v>1440</v>
      </c>
      <c r="F142" s="13">
        <v>3.6</v>
      </c>
      <c r="G142" s="42">
        <v>0.74</v>
      </c>
      <c r="H142" s="42">
        <v>0.8</v>
      </c>
      <c r="I142" s="10">
        <f t="shared" si="188"/>
        <v>3314.4422400000003</v>
      </c>
      <c r="J142" s="10">
        <f>BP!G256/DAY(EOMONTH(C142,0))</f>
        <v>4207.6172253198538</v>
      </c>
      <c r="K142" s="10"/>
      <c r="L142" s="11">
        <f t="shared" si="177"/>
        <v>1.2694797255902259</v>
      </c>
      <c r="M142" s="12">
        <f t="shared" si="189"/>
        <v>1.2694797255902259</v>
      </c>
      <c r="N142" s="12">
        <f t="shared" si="190"/>
        <v>3.8469082593643207</v>
      </c>
      <c r="O142" s="1350" t="str">
        <f t="shared" si="178"/>
        <v>3</v>
      </c>
      <c r="P142" s="13">
        <f>'Manpower Allocation'!$D$85</f>
        <v>9</v>
      </c>
      <c r="Q142" s="13"/>
      <c r="R142" s="13">
        <f t="shared" si="191"/>
        <v>27</v>
      </c>
      <c r="S142" s="312">
        <f>'Manpower Allocation'!$D$95</f>
        <v>6</v>
      </c>
      <c r="T142" s="1345">
        <f t="shared" si="192"/>
        <v>33</v>
      </c>
      <c r="U142" s="1327">
        <f t="shared" si="179"/>
        <v>3314.4422400000003</v>
      </c>
      <c r="V142" s="614">
        <v>1</v>
      </c>
      <c r="W142" s="614"/>
      <c r="X142" s="21">
        <f t="shared" si="180"/>
        <v>1</v>
      </c>
      <c r="Y142" s="614"/>
      <c r="Z142" s="614">
        <v>9</v>
      </c>
      <c r="AA142" s="22">
        <f t="shared" si="181"/>
        <v>9</v>
      </c>
      <c r="AB142" s="1325">
        <f t="shared" si="182"/>
        <v>9</v>
      </c>
      <c r="AC142">
        <f t="shared" si="183"/>
        <v>27</v>
      </c>
      <c r="AD142" s="614"/>
      <c r="AE142" s="614"/>
      <c r="AF142" s="1325"/>
      <c r="AG142" s="614"/>
      <c r="AH142" s="614"/>
      <c r="AI142" s="614"/>
      <c r="AJ142" s="970">
        <v>24</v>
      </c>
      <c r="AK142" s="970">
        <v>9</v>
      </c>
      <c r="AL142" s="970"/>
      <c r="AM142" s="130"/>
      <c r="AN142" s="22"/>
      <c r="AO142" s="22"/>
      <c r="AP142" s="22"/>
      <c r="AQ142" s="22"/>
      <c r="AR142" s="22"/>
      <c r="AS142" s="22"/>
      <c r="AT142">
        <f t="shared" si="184"/>
        <v>48</v>
      </c>
      <c r="AU142" s="388" t="s">
        <v>136</v>
      </c>
      <c r="AV142" s="13">
        <v>1</v>
      </c>
      <c r="AW142" s="13">
        <v>1</v>
      </c>
      <c r="BO142" s="39">
        <f t="shared" si="185"/>
        <v>5215.6911169327568</v>
      </c>
      <c r="BP142">
        <f t="shared" si="186"/>
        <v>48</v>
      </c>
      <c r="BQ142" s="46">
        <f t="shared" si="193"/>
        <v>108.66023160276576</v>
      </c>
    </row>
    <row r="143" spans="1:69">
      <c r="A143" s="45" t="s">
        <v>31</v>
      </c>
      <c r="B143" s="45" t="s">
        <v>358</v>
      </c>
      <c r="C143" s="5">
        <v>46235</v>
      </c>
      <c r="D143" s="854">
        <v>1.08</v>
      </c>
      <c r="E143" s="13">
        <f t="shared" si="187"/>
        <v>1440</v>
      </c>
      <c r="F143" s="13">
        <v>3.6</v>
      </c>
      <c r="G143" s="42">
        <v>0.74</v>
      </c>
      <c r="H143" s="42">
        <v>0.8</v>
      </c>
      <c r="I143" s="10">
        <f t="shared" si="188"/>
        <v>3314.4422400000003</v>
      </c>
      <c r="J143" s="10">
        <f>BP!H256/DAY(EOMONTH(C143,0))</f>
        <v>3706.956053581232</v>
      </c>
      <c r="K143" s="10"/>
      <c r="L143" s="11">
        <f t="shared" si="177"/>
        <v>1.1184252990877981</v>
      </c>
      <c r="M143" s="12">
        <f t="shared" si="189"/>
        <v>1.1184252990877981</v>
      </c>
      <c r="N143" s="12">
        <f t="shared" si="190"/>
        <v>3.3891675729933275</v>
      </c>
      <c r="O143" s="1350" t="str">
        <f t="shared" si="178"/>
        <v>3</v>
      </c>
      <c r="P143" s="13">
        <f>'Manpower Allocation'!$D$85</f>
        <v>9</v>
      </c>
      <c r="Q143" s="13"/>
      <c r="R143" s="13">
        <f t="shared" si="191"/>
        <v>27</v>
      </c>
      <c r="S143" s="312">
        <f>'Manpower Allocation'!$D$95</f>
        <v>6</v>
      </c>
      <c r="T143" s="1345">
        <f t="shared" si="192"/>
        <v>33</v>
      </c>
      <c r="U143" s="1327">
        <f t="shared" si="179"/>
        <v>3314.4422400000003</v>
      </c>
      <c r="V143" s="614">
        <v>1</v>
      </c>
      <c r="W143" s="614"/>
      <c r="X143" s="21">
        <f t="shared" si="180"/>
        <v>1</v>
      </c>
      <c r="Y143" s="614"/>
      <c r="Z143" s="614">
        <v>9</v>
      </c>
      <c r="AA143" s="22">
        <f t="shared" si="181"/>
        <v>9</v>
      </c>
      <c r="AB143" s="1325">
        <f t="shared" si="182"/>
        <v>9</v>
      </c>
      <c r="AC143">
        <f t="shared" si="183"/>
        <v>27</v>
      </c>
      <c r="AD143" s="614"/>
      <c r="AE143" s="614"/>
      <c r="AF143" s="1325"/>
      <c r="AG143" s="614"/>
      <c r="AH143" s="614"/>
      <c r="AI143" s="614"/>
      <c r="AJ143" s="970">
        <v>16</v>
      </c>
      <c r="AK143" s="970">
        <v>8</v>
      </c>
      <c r="AL143" s="970"/>
      <c r="AM143" s="130"/>
      <c r="AN143" s="22"/>
      <c r="AO143" s="22"/>
      <c r="AP143" s="22"/>
      <c r="AQ143" s="22"/>
      <c r="AR143" s="22"/>
      <c r="AS143" s="22"/>
      <c r="AT143">
        <f t="shared" si="184"/>
        <v>54</v>
      </c>
      <c r="AU143" s="389" t="s">
        <v>164</v>
      </c>
      <c r="AV143" s="13">
        <v>1</v>
      </c>
      <c r="AW143" s="13">
        <v>1</v>
      </c>
      <c r="BO143" s="39">
        <f t="shared" si="185"/>
        <v>5594.1075339038125</v>
      </c>
      <c r="BP143">
        <f t="shared" si="186"/>
        <v>54</v>
      </c>
      <c r="BQ143" s="46">
        <f t="shared" si="193"/>
        <v>103.59458396118171</v>
      </c>
    </row>
    <row r="144" spans="1:69">
      <c r="A144" s="45" t="s">
        <v>31</v>
      </c>
      <c r="B144" s="45" t="s">
        <v>358</v>
      </c>
      <c r="C144" s="5">
        <v>46266</v>
      </c>
      <c r="D144" s="854">
        <v>1.08</v>
      </c>
      <c r="E144" s="13">
        <f t="shared" si="187"/>
        <v>1440</v>
      </c>
      <c r="F144" s="13">
        <v>3.6</v>
      </c>
      <c r="G144" s="42">
        <v>0.74</v>
      </c>
      <c r="H144" s="42">
        <v>0.8</v>
      </c>
      <c r="I144" s="10">
        <f t="shared" si="188"/>
        <v>3314.4422400000003</v>
      </c>
      <c r="J144" s="10">
        <f>BP!I256/DAY(EOMONTH(C144,0))</f>
        <v>4102.8094415862224</v>
      </c>
      <c r="K144" s="10"/>
      <c r="L144" s="11">
        <f t="shared" si="177"/>
        <v>1.2378581808039659</v>
      </c>
      <c r="M144" s="12">
        <f t="shared" si="189"/>
        <v>1.2378581808039659</v>
      </c>
      <c r="N144" s="12">
        <f t="shared" si="190"/>
        <v>3.7510853963756543</v>
      </c>
      <c r="O144" s="1350" t="str">
        <f t="shared" si="178"/>
        <v>3</v>
      </c>
      <c r="P144" s="13">
        <f>'Manpower Allocation'!$D$85</f>
        <v>9</v>
      </c>
      <c r="Q144" s="13"/>
      <c r="R144" s="13">
        <f t="shared" si="191"/>
        <v>27</v>
      </c>
      <c r="S144" s="312">
        <f>'Manpower Allocation'!$D$95</f>
        <v>6</v>
      </c>
      <c r="T144" s="1345">
        <f t="shared" si="192"/>
        <v>33</v>
      </c>
      <c r="U144" s="1327">
        <f t="shared" si="179"/>
        <v>3314.4422400000003</v>
      </c>
      <c r="V144" s="614">
        <v>1</v>
      </c>
      <c r="W144" s="614"/>
      <c r="X144" s="21">
        <f t="shared" si="180"/>
        <v>1</v>
      </c>
      <c r="Y144" s="614"/>
      <c r="Z144" s="614">
        <v>9</v>
      </c>
      <c r="AA144" s="22">
        <f t="shared" si="181"/>
        <v>9</v>
      </c>
      <c r="AB144" s="1325">
        <f t="shared" si="182"/>
        <v>9</v>
      </c>
      <c r="AC144">
        <f t="shared" si="183"/>
        <v>27</v>
      </c>
      <c r="AD144" s="614"/>
      <c r="AE144" s="614"/>
      <c r="AF144" s="1325"/>
      <c r="AG144" s="614"/>
      <c r="AH144" s="614"/>
      <c r="AI144" s="614"/>
      <c r="AJ144" s="970">
        <v>24</v>
      </c>
      <c r="AK144" s="970">
        <v>9</v>
      </c>
      <c r="AL144" s="970"/>
      <c r="AM144" s="130"/>
      <c r="AN144" s="22"/>
      <c r="AO144" s="22"/>
      <c r="AP144" s="22"/>
      <c r="AQ144" s="22"/>
      <c r="AR144" s="22"/>
      <c r="AS144" s="22"/>
      <c r="AT144">
        <f t="shared" si="184"/>
        <v>48</v>
      </c>
      <c r="AU144" s="389" t="s">
        <v>165</v>
      </c>
      <c r="AV144" s="13">
        <v>2</v>
      </c>
      <c r="AW144" s="13">
        <v>2</v>
      </c>
      <c r="BO144" s="39">
        <f t="shared" si="185"/>
        <v>5089.8927749195554</v>
      </c>
      <c r="BP144">
        <f t="shared" si="186"/>
        <v>48</v>
      </c>
      <c r="BQ144" s="46">
        <f t="shared" si="193"/>
        <v>106.03943281082407</v>
      </c>
    </row>
    <row r="145" spans="1:69">
      <c r="A145" s="45" t="s">
        <v>31</v>
      </c>
      <c r="B145" s="45" t="s">
        <v>358</v>
      </c>
      <c r="C145" s="5">
        <v>46296</v>
      </c>
      <c r="D145" s="854">
        <v>1.08</v>
      </c>
      <c r="E145" s="13">
        <f t="shared" si="187"/>
        <v>1440</v>
      </c>
      <c r="F145" s="13">
        <v>3.6</v>
      </c>
      <c r="G145" s="42">
        <v>0.74</v>
      </c>
      <c r="H145" s="42">
        <v>0.8</v>
      </c>
      <c r="I145" s="10">
        <f t="shared" si="188"/>
        <v>3314.4422400000003</v>
      </c>
      <c r="J145" s="10">
        <f>BP!J256/DAY(EOMONTH(C145,0))</f>
        <v>3534.5520076242337</v>
      </c>
      <c r="K145" s="10"/>
      <c r="L145" s="11">
        <f t="shared" si="177"/>
        <v>1.0664092935359868</v>
      </c>
      <c r="M145" s="12">
        <f t="shared" si="189"/>
        <v>1.0664092935359868</v>
      </c>
      <c r="N145" s="12">
        <f t="shared" si="190"/>
        <v>3.2315433137454144</v>
      </c>
      <c r="O145" s="1350" t="str">
        <f t="shared" si="178"/>
        <v>3</v>
      </c>
      <c r="P145" s="13">
        <f>'Manpower Allocation'!$D$85</f>
        <v>9</v>
      </c>
      <c r="Q145" s="13"/>
      <c r="R145" s="13">
        <f t="shared" si="191"/>
        <v>27</v>
      </c>
      <c r="S145" s="312">
        <f>'Manpower Allocation'!$D$95</f>
        <v>6</v>
      </c>
      <c r="T145" s="1345">
        <f t="shared" si="192"/>
        <v>33</v>
      </c>
      <c r="U145" s="1327">
        <f t="shared" si="179"/>
        <v>3314.4422400000003</v>
      </c>
      <c r="V145" s="614">
        <v>1</v>
      </c>
      <c r="W145" s="614"/>
      <c r="X145" s="21">
        <f t="shared" si="180"/>
        <v>1</v>
      </c>
      <c r="Y145" s="614"/>
      <c r="Z145" s="614">
        <v>9</v>
      </c>
      <c r="AA145" s="22">
        <f t="shared" si="181"/>
        <v>9</v>
      </c>
      <c r="AB145" s="1325">
        <f t="shared" si="182"/>
        <v>9</v>
      </c>
      <c r="AC145">
        <f t="shared" si="183"/>
        <v>27</v>
      </c>
      <c r="AD145" s="614"/>
      <c r="AE145" s="614"/>
      <c r="AF145" s="1325"/>
      <c r="AG145" s="614"/>
      <c r="AH145" s="614"/>
      <c r="AI145" s="614"/>
      <c r="AJ145" s="970">
        <v>24</v>
      </c>
      <c r="AK145" s="970">
        <v>9</v>
      </c>
      <c r="AL145" s="970"/>
      <c r="AM145" s="130"/>
      <c r="AN145" s="22"/>
      <c r="AO145" s="22"/>
      <c r="AP145" s="22"/>
      <c r="AQ145" s="22"/>
      <c r="AR145" s="22"/>
      <c r="AS145" s="22"/>
      <c r="AT145">
        <f t="shared" si="184"/>
        <v>48</v>
      </c>
      <c r="AU145" s="392" t="s">
        <v>561</v>
      </c>
      <c r="AV145" s="13">
        <f>SUM(AV139:AV144)</f>
        <v>35</v>
      </c>
      <c r="AW145" s="13">
        <f>SUM(AW139:AW144)</f>
        <v>32</v>
      </c>
      <c r="BO145" s="39">
        <f t="shared" si="185"/>
        <v>4979.8745882693947</v>
      </c>
      <c r="BP145">
        <f t="shared" si="186"/>
        <v>48</v>
      </c>
      <c r="BQ145" s="46">
        <f t="shared" si="193"/>
        <v>103.7473872556124</v>
      </c>
    </row>
    <row r="146" spans="1:69">
      <c r="A146" s="45" t="s">
        <v>31</v>
      </c>
      <c r="B146" s="45" t="s">
        <v>358</v>
      </c>
      <c r="C146" s="5">
        <v>46327</v>
      </c>
      <c r="D146" s="854">
        <v>1.08</v>
      </c>
      <c r="E146" s="13">
        <f t="shared" si="187"/>
        <v>1440</v>
      </c>
      <c r="F146" s="13">
        <v>3.6</v>
      </c>
      <c r="G146" s="42">
        <v>0.74</v>
      </c>
      <c r="H146" s="42">
        <v>0.8</v>
      </c>
      <c r="I146" s="10">
        <f t="shared" si="188"/>
        <v>3314.4422400000003</v>
      </c>
      <c r="J146" s="10">
        <f>BP!K256/DAY(EOMONTH(C146,0))</f>
        <v>4363.4885856845258</v>
      </c>
      <c r="K146" s="10"/>
      <c r="L146" s="11">
        <f t="shared" si="177"/>
        <v>1.3165076564087372</v>
      </c>
      <c r="M146" s="12">
        <f t="shared" si="189"/>
        <v>1.3165076564087372</v>
      </c>
      <c r="N146" s="12">
        <f t="shared" si="190"/>
        <v>3.9894171406325367</v>
      </c>
      <c r="O146" s="1350" t="str">
        <f t="shared" si="178"/>
        <v>3</v>
      </c>
      <c r="P146" s="13">
        <f>'Manpower Allocation'!$D$85</f>
        <v>9</v>
      </c>
      <c r="Q146" s="13"/>
      <c r="R146" s="13">
        <f t="shared" si="191"/>
        <v>27</v>
      </c>
      <c r="S146" s="312">
        <f>'Manpower Allocation'!$D$95</f>
        <v>6</v>
      </c>
      <c r="T146" s="1345">
        <f t="shared" si="192"/>
        <v>33</v>
      </c>
      <c r="U146" s="1327">
        <f t="shared" si="179"/>
        <v>3314.4422400000003</v>
      </c>
      <c r="V146" s="614">
        <v>1</v>
      </c>
      <c r="W146" s="614"/>
      <c r="X146" s="21">
        <f t="shared" si="180"/>
        <v>1</v>
      </c>
      <c r="Y146" s="614"/>
      <c r="Z146" s="614">
        <v>9</v>
      </c>
      <c r="AA146" s="22">
        <f t="shared" si="181"/>
        <v>9</v>
      </c>
      <c r="AB146" s="1325">
        <f t="shared" si="182"/>
        <v>9</v>
      </c>
      <c r="AC146">
        <f t="shared" si="183"/>
        <v>27</v>
      </c>
      <c r="AD146" s="614"/>
      <c r="AE146" s="614"/>
      <c r="AF146" s="1325"/>
      <c r="AG146" s="614"/>
      <c r="AH146" s="614"/>
      <c r="AI146" s="614"/>
      <c r="AJ146" s="970">
        <v>24</v>
      </c>
      <c r="AK146" s="970">
        <v>9</v>
      </c>
      <c r="AL146" s="970"/>
      <c r="AM146" s="130"/>
      <c r="AN146" s="22"/>
      <c r="AO146" s="22"/>
      <c r="AP146" s="22"/>
      <c r="AQ146" s="22"/>
      <c r="AR146" s="22"/>
      <c r="AS146" s="22"/>
      <c r="AT146">
        <f t="shared" si="184"/>
        <v>48</v>
      </c>
      <c r="AU146" s="390"/>
      <c r="BO146" s="39">
        <f t="shared" si="185"/>
        <v>5747.121919017859</v>
      </c>
      <c r="BP146">
        <f t="shared" si="186"/>
        <v>48</v>
      </c>
      <c r="BQ146" s="46">
        <f t="shared" si="193"/>
        <v>119.7317066462054</v>
      </c>
    </row>
    <row r="147" spans="1:69">
      <c r="A147" s="45" t="s">
        <v>31</v>
      </c>
      <c r="B147" s="45" t="s">
        <v>358</v>
      </c>
      <c r="C147" s="5">
        <v>46357</v>
      </c>
      <c r="D147" s="854">
        <v>1.08</v>
      </c>
      <c r="E147" s="13">
        <f t="shared" si="187"/>
        <v>1440</v>
      </c>
      <c r="F147" s="13">
        <v>3.6</v>
      </c>
      <c r="G147" s="42">
        <v>0.74</v>
      </c>
      <c r="H147" s="42">
        <v>0.8</v>
      </c>
      <c r="I147" s="10">
        <f t="shared" si="188"/>
        <v>3314.4422400000003</v>
      </c>
      <c r="J147" s="10">
        <f>BP!L256/DAY(EOMONTH(C147,0))</f>
        <v>5239.3986324082889</v>
      </c>
      <c r="K147" s="10"/>
      <c r="L147" s="11">
        <f t="shared" si="177"/>
        <v>1.5807783792932497</v>
      </c>
      <c r="M147" s="12">
        <f t="shared" si="189"/>
        <v>1.5807783792932497</v>
      </c>
      <c r="N147" s="12">
        <f t="shared" si="190"/>
        <v>4.7902375130098473</v>
      </c>
      <c r="O147" s="1350" t="str">
        <f t="shared" si="178"/>
        <v>3</v>
      </c>
      <c r="P147" s="13">
        <f>'Manpower Allocation'!$D$85</f>
        <v>9</v>
      </c>
      <c r="Q147" s="13"/>
      <c r="R147" s="13">
        <f t="shared" si="191"/>
        <v>27</v>
      </c>
      <c r="S147" s="312">
        <f>'Manpower Allocation'!$D$95</f>
        <v>6</v>
      </c>
      <c r="T147" s="1345">
        <f t="shared" si="192"/>
        <v>33</v>
      </c>
      <c r="U147" s="1327">
        <f t="shared" si="179"/>
        <v>3314.4422400000003</v>
      </c>
      <c r="V147" s="614">
        <v>1</v>
      </c>
      <c r="W147" s="614"/>
      <c r="X147" s="21">
        <f t="shared" si="180"/>
        <v>1</v>
      </c>
      <c r="Y147" s="614"/>
      <c r="Z147" s="614">
        <v>9</v>
      </c>
      <c r="AA147" s="22">
        <f t="shared" si="181"/>
        <v>9</v>
      </c>
      <c r="AB147" s="1325">
        <f t="shared" si="182"/>
        <v>9</v>
      </c>
      <c r="AC147">
        <f t="shared" si="183"/>
        <v>27</v>
      </c>
      <c r="AD147" s="614"/>
      <c r="AE147" s="614"/>
      <c r="AF147" s="1325"/>
      <c r="AG147" s="614"/>
      <c r="AH147" s="614"/>
      <c r="AI147" s="614"/>
      <c r="AJ147" s="970">
        <v>24</v>
      </c>
      <c r="AK147" s="970">
        <v>9</v>
      </c>
      <c r="AL147" s="970"/>
      <c r="AM147" s="130"/>
      <c r="AN147" s="22"/>
      <c r="AO147" s="22"/>
      <c r="AP147" s="22"/>
      <c r="AQ147" s="22"/>
      <c r="AR147" s="22"/>
      <c r="AS147" s="22"/>
      <c r="AT147">
        <f t="shared" si="184"/>
        <v>54</v>
      </c>
      <c r="AU147" s="390"/>
      <c r="AV147">
        <v>42</v>
      </c>
      <c r="AW147">
        <v>42</v>
      </c>
      <c r="AX147">
        <v>42</v>
      </c>
      <c r="AY147">
        <v>42</v>
      </c>
      <c r="AZ147">
        <v>42</v>
      </c>
      <c r="BA147">
        <v>34</v>
      </c>
      <c r="BB147">
        <v>48</v>
      </c>
      <c r="BC147">
        <v>42</v>
      </c>
      <c r="BD147">
        <v>42</v>
      </c>
      <c r="BE147">
        <v>48</v>
      </c>
      <c r="BF147">
        <v>42</v>
      </c>
      <c r="BG147">
        <v>42</v>
      </c>
      <c r="BO147" s="39">
        <f t="shared" si="185"/>
        <v>7322.9391162792563</v>
      </c>
      <c r="BP147">
        <f t="shared" si="186"/>
        <v>54</v>
      </c>
      <c r="BQ147" s="46">
        <f t="shared" si="193"/>
        <v>135.60998363480104</v>
      </c>
    </row>
    <row r="148" spans="1:69">
      <c r="A148" s="45" t="s">
        <v>31</v>
      </c>
      <c r="B148" s="45" t="s">
        <v>358</v>
      </c>
      <c r="C148" s="5">
        <v>46388</v>
      </c>
      <c r="D148" s="854">
        <v>1.08</v>
      </c>
      <c r="E148" s="13">
        <f t="shared" si="187"/>
        <v>1440</v>
      </c>
      <c r="F148" s="13">
        <v>3.6</v>
      </c>
      <c r="G148" s="42">
        <v>0.74</v>
      </c>
      <c r="H148" s="42">
        <v>0.8</v>
      </c>
      <c r="I148" s="10">
        <f t="shared" si="188"/>
        <v>3314.4422400000003</v>
      </c>
      <c r="J148" s="10">
        <f>BP!M256/DAY(EOMONTH(C148,0))</f>
        <v>5357.3058326215059</v>
      </c>
      <c r="K148" s="10"/>
      <c r="L148" s="11">
        <f t="shared" si="177"/>
        <v>1.6163521475702365</v>
      </c>
      <c r="M148" s="12">
        <f t="shared" si="189"/>
        <v>1.6163521475702365</v>
      </c>
      <c r="N148" s="12">
        <f t="shared" si="190"/>
        <v>4.8980368108188985</v>
      </c>
      <c r="O148" s="1350" t="str">
        <f t="shared" si="178"/>
        <v>3</v>
      </c>
      <c r="P148" s="13">
        <f>'Manpower Allocation'!$D$85</f>
        <v>9</v>
      </c>
      <c r="Q148" s="13"/>
      <c r="R148" s="13">
        <f t="shared" si="191"/>
        <v>27</v>
      </c>
      <c r="S148" s="312">
        <f>'Manpower Allocation'!$D$95</f>
        <v>6</v>
      </c>
      <c r="T148" s="1345">
        <f t="shared" si="192"/>
        <v>33</v>
      </c>
      <c r="U148" s="1327">
        <f t="shared" si="179"/>
        <v>3314.4422400000003</v>
      </c>
      <c r="V148" s="614">
        <v>1</v>
      </c>
      <c r="W148" s="614"/>
      <c r="X148" s="21">
        <f t="shared" si="180"/>
        <v>1</v>
      </c>
      <c r="Y148" s="614"/>
      <c r="Z148" s="614">
        <v>9</v>
      </c>
      <c r="AA148" s="22">
        <f t="shared" si="181"/>
        <v>9</v>
      </c>
      <c r="AB148" s="1325">
        <f t="shared" si="182"/>
        <v>9</v>
      </c>
      <c r="AC148">
        <f t="shared" si="183"/>
        <v>27</v>
      </c>
      <c r="AD148" s="614"/>
      <c r="AE148" s="614"/>
      <c r="AF148" s="1325"/>
      <c r="AG148" s="614"/>
      <c r="AH148" s="614"/>
      <c r="AI148" s="614"/>
      <c r="AJ148" s="970">
        <v>24</v>
      </c>
      <c r="AK148" s="970">
        <v>9</v>
      </c>
      <c r="AL148" s="970"/>
      <c r="AM148" s="130"/>
      <c r="AN148" s="22"/>
      <c r="AO148" s="22"/>
      <c r="AP148" s="22"/>
      <c r="AQ148" s="22"/>
      <c r="AR148" s="22"/>
      <c r="AS148" s="22"/>
      <c r="AT148">
        <f t="shared" si="184"/>
        <v>54</v>
      </c>
      <c r="AU148" s="390"/>
      <c r="BO148" s="39">
        <f t="shared" si="185"/>
        <v>8558.9124395247309</v>
      </c>
      <c r="BP148">
        <f t="shared" si="186"/>
        <v>54</v>
      </c>
      <c r="BQ148" s="46">
        <f t="shared" si="193"/>
        <v>158.49837850971724</v>
      </c>
    </row>
    <row r="149" spans="1:69">
      <c r="A149" s="45" t="s">
        <v>31</v>
      </c>
      <c r="B149" s="45" t="s">
        <v>358</v>
      </c>
      <c r="C149" s="5">
        <v>46419</v>
      </c>
      <c r="D149" s="854">
        <v>1.08</v>
      </c>
      <c r="E149" s="13">
        <f t="shared" si="187"/>
        <v>1440</v>
      </c>
      <c r="F149" s="13">
        <v>3.6</v>
      </c>
      <c r="G149" s="42">
        <v>0.74</v>
      </c>
      <c r="H149" s="42">
        <v>0.8</v>
      </c>
      <c r="I149" s="10">
        <f t="shared" si="188"/>
        <v>3314.4422400000003</v>
      </c>
      <c r="J149" s="10">
        <f>BP!N256/DAY(EOMONTH(C149,0))</f>
        <v>6099.9454000023816</v>
      </c>
      <c r="K149" s="10"/>
      <c r="L149" s="11">
        <f t="shared" si="177"/>
        <v>1.8404138489383906</v>
      </c>
      <c r="M149" s="12">
        <f t="shared" si="189"/>
        <v>1.8404138489383906</v>
      </c>
      <c r="N149" s="12">
        <f t="shared" si="190"/>
        <v>5.5770116634496683</v>
      </c>
      <c r="O149" s="1350" t="str">
        <f t="shared" si="178"/>
        <v>3</v>
      </c>
      <c r="P149" s="13">
        <f>'Manpower Allocation'!$D$85</f>
        <v>9</v>
      </c>
      <c r="Q149" s="13"/>
      <c r="R149" s="13">
        <f t="shared" si="191"/>
        <v>27</v>
      </c>
      <c r="S149" s="312">
        <f>'Manpower Allocation'!$D$95</f>
        <v>6</v>
      </c>
      <c r="T149" s="1345">
        <f t="shared" si="192"/>
        <v>33</v>
      </c>
      <c r="U149" s="1327">
        <f t="shared" si="179"/>
        <v>3314.4422400000003</v>
      </c>
      <c r="V149" s="614">
        <v>1</v>
      </c>
      <c r="W149" s="614"/>
      <c r="X149" s="21">
        <f t="shared" si="180"/>
        <v>1</v>
      </c>
      <c r="Y149" s="614"/>
      <c r="Z149" s="614">
        <v>9</v>
      </c>
      <c r="AA149" s="22">
        <f t="shared" si="181"/>
        <v>9</v>
      </c>
      <c r="AB149" s="1325">
        <f t="shared" si="182"/>
        <v>9</v>
      </c>
      <c r="AC149">
        <f t="shared" si="183"/>
        <v>27</v>
      </c>
      <c r="AD149" s="614"/>
      <c r="AE149" s="614"/>
      <c r="AF149" s="1325"/>
      <c r="AG149" s="614"/>
      <c r="AH149" s="614"/>
      <c r="AI149" s="614"/>
      <c r="AJ149" s="970">
        <v>24</v>
      </c>
      <c r="AK149" s="970">
        <v>9</v>
      </c>
      <c r="AL149" s="970"/>
      <c r="AM149" s="130"/>
      <c r="AN149" s="22"/>
      <c r="AO149" s="22"/>
      <c r="AP149" s="22"/>
      <c r="AQ149" s="22"/>
      <c r="AR149" s="22"/>
      <c r="AS149" s="22"/>
      <c r="AT149">
        <f t="shared" si="184"/>
        <v>54</v>
      </c>
      <c r="AU149" s="390"/>
      <c r="BO149" s="39">
        <f t="shared" si="185"/>
        <v>7941.0704000023816</v>
      </c>
      <c r="BP149">
        <f t="shared" si="186"/>
        <v>54</v>
      </c>
      <c r="BQ149" s="46">
        <f t="shared" si="193"/>
        <v>147.05685925930337</v>
      </c>
    </row>
    <row r="150" spans="1:69">
      <c r="A150" s="45" t="s">
        <v>31</v>
      </c>
      <c r="B150" s="45" t="s">
        <v>358</v>
      </c>
      <c r="C150" s="5">
        <v>46447</v>
      </c>
      <c r="D150" s="854">
        <v>1.08</v>
      </c>
      <c r="E150" s="13">
        <f t="shared" si="187"/>
        <v>1440</v>
      </c>
      <c r="F150" s="13">
        <v>3.6</v>
      </c>
      <c r="G150" s="42">
        <v>0.74</v>
      </c>
      <c r="H150" s="42">
        <v>0.8</v>
      </c>
      <c r="I150" s="10">
        <f t="shared" si="188"/>
        <v>3314.4422400000003</v>
      </c>
      <c r="J150" s="10">
        <f>BP!O256/DAY(EOMONTH(C150,0))</f>
        <v>6795.0093290344075</v>
      </c>
      <c r="K150" s="10"/>
      <c r="L150" s="11">
        <f t="shared" si="177"/>
        <v>2.0501215097459071</v>
      </c>
      <c r="M150" s="12">
        <f t="shared" si="189"/>
        <v>2.0501215097459071</v>
      </c>
      <c r="N150" s="12">
        <f t="shared" si="190"/>
        <v>6.2124894234724453</v>
      </c>
      <c r="O150" s="1350" t="str">
        <f t="shared" si="178"/>
        <v>3</v>
      </c>
      <c r="P150" s="13">
        <f>'Manpower Allocation'!$D$85</f>
        <v>9</v>
      </c>
      <c r="Q150" s="13"/>
      <c r="R150" s="13">
        <f t="shared" si="191"/>
        <v>27</v>
      </c>
      <c r="S150" s="312">
        <f>'Manpower Allocation'!$D$95</f>
        <v>6</v>
      </c>
      <c r="T150" s="1345">
        <f t="shared" si="192"/>
        <v>33</v>
      </c>
      <c r="U150" s="1327">
        <f>I150/V150</f>
        <v>3314.4422400000003</v>
      </c>
      <c r="V150" s="614">
        <v>1</v>
      </c>
      <c r="W150" s="614"/>
      <c r="X150" s="21">
        <f t="shared" si="180"/>
        <v>1</v>
      </c>
      <c r="Y150" s="614"/>
      <c r="Z150" s="614">
        <v>9</v>
      </c>
      <c r="AA150" s="22">
        <f t="shared" si="181"/>
        <v>9</v>
      </c>
      <c r="AB150" s="1325">
        <f t="shared" si="182"/>
        <v>9</v>
      </c>
      <c r="AC150">
        <f t="shared" si="183"/>
        <v>27</v>
      </c>
      <c r="AD150" s="614"/>
      <c r="AE150" s="614"/>
      <c r="AF150" s="1325"/>
      <c r="AG150" s="614"/>
      <c r="AH150" s="614"/>
      <c r="AI150" s="614"/>
      <c r="AJ150" s="970">
        <v>24</v>
      </c>
      <c r="AK150" s="970">
        <v>9</v>
      </c>
      <c r="AL150" s="970"/>
      <c r="AM150" s="130"/>
      <c r="AN150" s="22"/>
      <c r="AO150" s="22"/>
      <c r="AP150" s="22"/>
      <c r="AQ150" s="22"/>
      <c r="AR150" s="22"/>
      <c r="AS150" s="22"/>
      <c r="AT150">
        <f t="shared" si="184"/>
        <v>48</v>
      </c>
      <c r="AU150" s="390"/>
      <c r="BO150" s="39">
        <f t="shared" si="185"/>
        <v>7956.2512645182787</v>
      </c>
      <c r="BP150">
        <f t="shared" si="186"/>
        <v>48</v>
      </c>
      <c r="BQ150" s="46">
        <f t="shared" si="193"/>
        <v>165.75523467746413</v>
      </c>
    </row>
    <row r="151" spans="1:69">
      <c r="A151" s="45"/>
      <c r="B151" s="45"/>
      <c r="C151" s="5"/>
      <c r="D151" s="38"/>
      <c r="E151" s="13"/>
      <c r="F151" s="13"/>
      <c r="G151" s="42"/>
      <c r="H151" s="42"/>
      <c r="I151" s="10"/>
      <c r="J151" s="10"/>
      <c r="K151" s="10"/>
      <c r="L151" s="11"/>
      <c r="M151" s="12"/>
      <c r="N151" s="12"/>
      <c r="O151" s="1350"/>
      <c r="P151" s="13"/>
      <c r="Q151" s="13"/>
      <c r="R151" s="13"/>
      <c r="S151" s="13"/>
      <c r="T151" s="13"/>
      <c r="U151" s="22"/>
      <c r="V151" s="22"/>
      <c r="W151" s="22"/>
      <c r="X151" s="22"/>
      <c r="Y151" s="22"/>
      <c r="Z151" s="22"/>
      <c r="AA151" s="22"/>
      <c r="AB151" s="22"/>
      <c r="AC151" s="22"/>
      <c r="AD151" s="22"/>
      <c r="AE151" s="22"/>
      <c r="AF151" s="1325"/>
      <c r="AG151" s="22"/>
      <c r="AH151" s="22"/>
      <c r="AI151" s="22"/>
      <c r="AJ151" s="971"/>
      <c r="AK151" s="971"/>
      <c r="AL151" s="971"/>
      <c r="AM151" s="130"/>
      <c r="AN151" s="22"/>
      <c r="AO151" s="22"/>
      <c r="AP151" s="22"/>
      <c r="AQ151" s="22"/>
      <c r="AR151" s="22"/>
      <c r="AS151" s="22"/>
      <c r="AU151" s="390"/>
      <c r="BO151" s="39"/>
      <c r="BQ151" s="46"/>
    </row>
    <row r="152" spans="1:69">
      <c r="A152" s="45" t="s">
        <v>31</v>
      </c>
      <c r="B152" s="45" t="s">
        <v>359</v>
      </c>
      <c r="C152" s="5">
        <v>46113</v>
      </c>
      <c r="D152" s="12">
        <v>0.8</v>
      </c>
      <c r="E152" s="13">
        <f t="shared" ref="E152:E163" si="194">24*60</f>
        <v>1440</v>
      </c>
      <c r="F152" s="13">
        <v>3.9</v>
      </c>
      <c r="G152" s="42">
        <v>0.69</v>
      </c>
      <c r="H152" s="42">
        <v>0.8</v>
      </c>
      <c r="I152" s="839">
        <f t="shared" si="188"/>
        <v>2480.0255999999995</v>
      </c>
      <c r="J152" s="47">
        <f>BP!D248/DAY(EOMONTH(C152,0))</f>
        <v>825.87981866666667</v>
      </c>
      <c r="K152" s="47"/>
      <c r="L152" s="11">
        <f t="shared" si="177"/>
        <v>0.33301261836436963</v>
      </c>
      <c r="M152" s="12">
        <f t="shared" si="189"/>
        <v>0.33301261836436963</v>
      </c>
      <c r="N152" s="12">
        <f>M152/0.34</f>
        <v>0.97944887754226351</v>
      </c>
      <c r="O152" s="1350">
        <f t="shared" si="178"/>
        <v>1</v>
      </c>
      <c r="P152" s="13">
        <f>SUM('Manpower Allocation'!$D$88:$D$92)</f>
        <v>6</v>
      </c>
      <c r="Q152" s="13" t="s">
        <v>1093</v>
      </c>
      <c r="R152" s="13">
        <f t="shared" si="191"/>
        <v>6</v>
      </c>
      <c r="S152" s="13">
        <f>'Manpower Allocation'!$D$99</f>
        <v>3</v>
      </c>
      <c r="T152" s="36">
        <f t="shared" ref="T152:T163" si="195">R152+S152</f>
        <v>9</v>
      </c>
      <c r="U152" s="1327">
        <f t="shared" si="179"/>
        <v>2480.0255999999995</v>
      </c>
      <c r="V152" s="614">
        <v>1</v>
      </c>
      <c r="W152" s="614"/>
      <c r="X152" s="21">
        <f t="shared" si="180"/>
        <v>0.33301261836436963</v>
      </c>
      <c r="Y152" s="614"/>
      <c r="Z152" s="614">
        <v>6</v>
      </c>
      <c r="AA152" s="22"/>
      <c r="AB152" s="1325"/>
      <c r="AC152" s="157">
        <f t="shared" ref="AC152:AC163" si="196">IF(X152&lt;=0.33,1,(IF(X152&lt;=0.66,2,3)))*Z152</f>
        <v>12</v>
      </c>
      <c r="AD152" s="1334"/>
      <c r="AE152" s="614"/>
      <c r="AF152" s="1325"/>
      <c r="AG152" s="614"/>
      <c r="AH152" s="614"/>
      <c r="AI152" s="614"/>
      <c r="AJ152" s="970">
        <v>6</v>
      </c>
      <c r="AK152" s="970">
        <v>6</v>
      </c>
      <c r="AL152" s="970">
        <v>3</v>
      </c>
      <c r="AM152" s="977">
        <f>AJ152+AJ139</f>
        <v>30</v>
      </c>
      <c r="AN152" s="936">
        <f>AK152+AK139</f>
        <v>15</v>
      </c>
      <c r="AO152" s="936">
        <f>AL152+AL139</f>
        <v>3</v>
      </c>
      <c r="AP152" s="22"/>
      <c r="AQ152" s="22"/>
      <c r="AR152" s="22"/>
      <c r="AS152" s="22"/>
      <c r="AU152" s="391" t="s">
        <v>168</v>
      </c>
      <c r="AV152" s="13">
        <v>2</v>
      </c>
      <c r="AW152" s="13">
        <v>2</v>
      </c>
    </row>
    <row r="153" spans="1:69">
      <c r="A153" s="45" t="s">
        <v>31</v>
      </c>
      <c r="B153" s="45" t="s">
        <v>359</v>
      </c>
      <c r="C153" s="5">
        <v>46143</v>
      </c>
      <c r="D153" s="12">
        <v>0.8</v>
      </c>
      <c r="E153" s="13">
        <f t="shared" si="194"/>
        <v>1440</v>
      </c>
      <c r="F153" s="13">
        <v>3.9</v>
      </c>
      <c r="G153" s="42">
        <v>0.69</v>
      </c>
      <c r="H153" s="42">
        <v>0.8</v>
      </c>
      <c r="I153" s="10">
        <f t="shared" si="188"/>
        <v>2480.0255999999995</v>
      </c>
      <c r="J153" s="47">
        <f>BP!E248/DAY(EOMONTH(C153,0))</f>
        <v>558.46608306451617</v>
      </c>
      <c r="K153" s="47"/>
      <c r="L153" s="11">
        <f t="shared" si="177"/>
        <v>0.22518561222292072</v>
      </c>
      <c r="M153" s="12">
        <f t="shared" si="189"/>
        <v>0.22518561222292072</v>
      </c>
      <c r="N153" s="12">
        <f t="shared" si="190"/>
        <v>0.68238064309975976</v>
      </c>
      <c r="O153" s="1350">
        <f t="shared" si="178"/>
        <v>1</v>
      </c>
      <c r="P153" s="13">
        <f>SUM('Manpower Allocation'!$D$88:$D$92)</f>
        <v>6</v>
      </c>
      <c r="Q153" s="13"/>
      <c r="R153" s="13">
        <f t="shared" si="191"/>
        <v>6</v>
      </c>
      <c r="S153" s="13">
        <f>'Manpower Allocation'!$D$99</f>
        <v>3</v>
      </c>
      <c r="T153" s="36">
        <f t="shared" si="195"/>
        <v>9</v>
      </c>
      <c r="U153" s="1327">
        <f t="shared" si="179"/>
        <v>2480.0255999999995</v>
      </c>
      <c r="V153" s="614">
        <v>1</v>
      </c>
      <c r="W153" s="614"/>
      <c r="X153" s="21">
        <f t="shared" si="180"/>
        <v>0.22518561222292072</v>
      </c>
      <c r="Y153" s="614"/>
      <c r="Z153" s="614">
        <v>6</v>
      </c>
      <c r="AA153" s="22"/>
      <c r="AB153" s="1325"/>
      <c r="AC153">
        <f t="shared" si="196"/>
        <v>6</v>
      </c>
      <c r="AD153" s="1334"/>
      <c r="AE153" s="614"/>
      <c r="AF153" s="1325"/>
      <c r="AG153" s="614"/>
      <c r="AH153" s="614"/>
      <c r="AI153" s="614"/>
      <c r="AJ153" s="970">
        <v>3</v>
      </c>
      <c r="AK153" s="970">
        <v>3</v>
      </c>
      <c r="AL153" s="970">
        <v>3</v>
      </c>
      <c r="AM153" s="977">
        <f t="shared" ref="AM153:AO153" si="197">AJ153+AJ140</f>
        <v>27</v>
      </c>
      <c r="AN153" s="936">
        <f t="shared" si="197"/>
        <v>12</v>
      </c>
      <c r="AO153" s="936">
        <f t="shared" si="197"/>
        <v>3</v>
      </c>
      <c r="AP153" s="22"/>
      <c r="AQ153" s="22"/>
      <c r="AR153" s="22"/>
      <c r="AS153" s="22"/>
      <c r="AU153" s="391" t="s">
        <v>169</v>
      </c>
      <c r="AV153" s="13">
        <v>2</v>
      </c>
      <c r="AW153" s="13">
        <v>2</v>
      </c>
    </row>
    <row r="154" spans="1:69">
      <c r="A154" s="45" t="s">
        <v>31</v>
      </c>
      <c r="B154" s="45" t="s">
        <v>359</v>
      </c>
      <c r="C154" s="5">
        <v>46174</v>
      </c>
      <c r="D154" s="12">
        <v>0.8</v>
      </c>
      <c r="E154" s="13">
        <f t="shared" si="194"/>
        <v>1440</v>
      </c>
      <c r="F154" s="13">
        <v>3.9</v>
      </c>
      <c r="G154" s="42">
        <v>0.69</v>
      </c>
      <c r="H154" s="42">
        <v>0.8</v>
      </c>
      <c r="I154" s="10">
        <f t="shared" si="188"/>
        <v>2480.0255999999995</v>
      </c>
      <c r="J154" s="47">
        <f>BP!F248/DAY(EOMONTH(C154,0))</f>
        <v>598.60279966666667</v>
      </c>
      <c r="K154" s="47"/>
      <c r="L154" s="11">
        <f t="shared" si="177"/>
        <v>0.24136960508257124</v>
      </c>
      <c r="M154" s="12">
        <f t="shared" si="189"/>
        <v>0.24136960508257124</v>
      </c>
      <c r="N154" s="12">
        <f t="shared" si="190"/>
        <v>0.73142304570476135</v>
      </c>
      <c r="O154" s="1350">
        <f t="shared" si="178"/>
        <v>1</v>
      </c>
      <c r="P154" s="13">
        <f>SUM('Manpower Allocation'!$D$88:$D$92)</f>
        <v>6</v>
      </c>
      <c r="Q154" s="13"/>
      <c r="R154" s="13">
        <f t="shared" si="191"/>
        <v>6</v>
      </c>
      <c r="S154" s="13">
        <f>'Manpower Allocation'!$D$99</f>
        <v>3</v>
      </c>
      <c r="T154" s="36">
        <f t="shared" si="195"/>
        <v>9</v>
      </c>
      <c r="U154" s="1327">
        <f t="shared" si="179"/>
        <v>2480.0255999999995</v>
      </c>
      <c r="V154" s="614">
        <v>1</v>
      </c>
      <c r="W154" s="614"/>
      <c r="X154" s="21">
        <f t="shared" si="180"/>
        <v>0.24136960508257124</v>
      </c>
      <c r="Y154" s="614"/>
      <c r="Z154" s="614">
        <v>6</v>
      </c>
      <c r="AA154" s="22"/>
      <c r="AB154" s="1325"/>
      <c r="AC154">
        <f t="shared" si="196"/>
        <v>6</v>
      </c>
      <c r="AD154" s="1334"/>
      <c r="AE154" s="614">
        <v>1</v>
      </c>
      <c r="AF154" s="1325">
        <f>AE154/3</f>
        <v>0.33333333333333331</v>
      </c>
      <c r="AG154" s="614"/>
      <c r="AH154" s="614"/>
      <c r="AI154" s="614"/>
      <c r="AJ154" s="970">
        <v>9</v>
      </c>
      <c r="AK154" s="970">
        <v>9</v>
      </c>
      <c r="AL154" s="970">
        <v>3</v>
      </c>
      <c r="AM154" s="977">
        <f t="shared" ref="AM154:AO154" si="198">AJ154+AJ141</f>
        <v>33</v>
      </c>
      <c r="AN154" s="936">
        <f t="shared" si="198"/>
        <v>18</v>
      </c>
      <c r="AO154" s="936">
        <f t="shared" si="198"/>
        <v>3</v>
      </c>
      <c r="AP154" s="22"/>
      <c r="AQ154" s="22"/>
      <c r="AR154" s="22"/>
      <c r="AS154" s="22"/>
      <c r="AU154" s="391" t="s">
        <v>136</v>
      </c>
      <c r="AV154" s="13">
        <v>1</v>
      </c>
      <c r="AW154" s="13">
        <v>1</v>
      </c>
    </row>
    <row r="155" spans="1:69">
      <c r="A155" s="45" t="s">
        <v>31</v>
      </c>
      <c r="B155" s="45" t="s">
        <v>359</v>
      </c>
      <c r="C155" s="5">
        <v>46204</v>
      </c>
      <c r="D155" s="12">
        <v>0.8</v>
      </c>
      <c r="E155" s="13">
        <f t="shared" si="194"/>
        <v>1440</v>
      </c>
      <c r="F155" s="13">
        <v>3.9</v>
      </c>
      <c r="G155" s="42">
        <v>0.69</v>
      </c>
      <c r="H155" s="42">
        <v>0.8</v>
      </c>
      <c r="I155" s="10">
        <f t="shared" si="188"/>
        <v>2480.0255999999995</v>
      </c>
      <c r="J155" s="47">
        <f>BP!G248/DAY(EOMONTH(C155,0))</f>
        <v>1008.0738916129031</v>
      </c>
      <c r="K155" s="47"/>
      <c r="L155" s="11">
        <f t="shared" si="177"/>
        <v>0.40647721201462733</v>
      </c>
      <c r="M155" s="12">
        <f t="shared" si="189"/>
        <v>0.40647721201462733</v>
      </c>
      <c r="N155" s="12">
        <f t="shared" si="190"/>
        <v>1.2317491273170524</v>
      </c>
      <c r="O155" s="1350">
        <f t="shared" si="178"/>
        <v>2</v>
      </c>
      <c r="P155" s="13">
        <f>SUM('Manpower Allocation'!$D$88:$D$92)</f>
        <v>6</v>
      </c>
      <c r="Q155" s="13"/>
      <c r="R155" s="13">
        <f t="shared" si="191"/>
        <v>12</v>
      </c>
      <c r="S155" s="13">
        <f>'Manpower Allocation'!$D$99</f>
        <v>3</v>
      </c>
      <c r="T155" s="36">
        <f t="shared" si="195"/>
        <v>15</v>
      </c>
      <c r="U155" s="1327">
        <f t="shared" si="179"/>
        <v>2480.0255999999995</v>
      </c>
      <c r="V155" s="614">
        <v>1</v>
      </c>
      <c r="W155" s="614"/>
      <c r="X155" s="21">
        <f t="shared" si="180"/>
        <v>0.40647721201462733</v>
      </c>
      <c r="Y155" s="614"/>
      <c r="Z155" s="614">
        <v>6</v>
      </c>
      <c r="AA155" s="22"/>
      <c r="AB155" s="1325"/>
      <c r="AC155">
        <f t="shared" si="196"/>
        <v>12</v>
      </c>
      <c r="AD155" s="1334"/>
      <c r="AE155" s="614"/>
      <c r="AF155" s="1325">
        <f>AF154*2</f>
        <v>0.66666666666666663</v>
      </c>
      <c r="AG155" s="614"/>
      <c r="AH155" s="614"/>
      <c r="AI155" s="614"/>
      <c r="AJ155" s="970">
        <v>3</v>
      </c>
      <c r="AK155" s="970">
        <v>3</v>
      </c>
      <c r="AL155" s="970">
        <v>3</v>
      </c>
      <c r="AM155" s="978">
        <f t="shared" ref="AM155:AO155" si="199">AJ155+AJ142</f>
        <v>27</v>
      </c>
      <c r="AN155" s="907">
        <f t="shared" si="199"/>
        <v>12</v>
      </c>
      <c r="AO155" s="907">
        <f t="shared" si="199"/>
        <v>3</v>
      </c>
      <c r="AP155" s="22"/>
      <c r="AQ155" s="22"/>
      <c r="AR155" s="22"/>
      <c r="AS155" s="22"/>
      <c r="AU155" s="391" t="s">
        <v>164</v>
      </c>
      <c r="AV155" s="13">
        <v>1</v>
      </c>
      <c r="AW155" s="13">
        <v>1</v>
      </c>
    </row>
    <row r="156" spans="1:69">
      <c r="A156" s="45" t="s">
        <v>31</v>
      </c>
      <c r="B156" s="45" t="s">
        <v>359</v>
      </c>
      <c r="C156" s="5">
        <v>46235</v>
      </c>
      <c r="D156" s="12">
        <v>0.8</v>
      </c>
      <c r="E156" s="13">
        <f t="shared" si="194"/>
        <v>1440</v>
      </c>
      <c r="F156" s="13">
        <v>3.9</v>
      </c>
      <c r="G156" s="42">
        <v>0.69</v>
      </c>
      <c r="H156" s="42">
        <v>0.8</v>
      </c>
      <c r="I156" s="10">
        <f t="shared" si="188"/>
        <v>2480.0255999999995</v>
      </c>
      <c r="J156" s="47">
        <f>BP!H248/DAY(EOMONTH(C156,0))</f>
        <v>1887.1514803225807</v>
      </c>
      <c r="K156" s="47"/>
      <c r="L156" s="11">
        <f t="shared" si="177"/>
        <v>0.76094032268158085</v>
      </c>
      <c r="M156" s="12">
        <f t="shared" si="189"/>
        <v>0.76094032268158085</v>
      </c>
      <c r="N156" s="12">
        <f t="shared" si="190"/>
        <v>2.3058797657017602</v>
      </c>
      <c r="O156" s="1350">
        <f t="shared" si="178"/>
        <v>3</v>
      </c>
      <c r="P156" s="13">
        <f>SUM('Manpower Allocation'!$D$88:$D$92)</f>
        <v>6</v>
      </c>
      <c r="Q156" s="13"/>
      <c r="R156" s="13">
        <f t="shared" si="191"/>
        <v>18</v>
      </c>
      <c r="S156" s="13">
        <f>'Manpower Allocation'!$D$99</f>
        <v>3</v>
      </c>
      <c r="T156" s="36">
        <f t="shared" si="195"/>
        <v>21</v>
      </c>
      <c r="U156" s="1327">
        <f t="shared" si="179"/>
        <v>2480.0255999999995</v>
      </c>
      <c r="V156" s="614">
        <v>1</v>
      </c>
      <c r="W156" s="614"/>
      <c r="X156" s="21">
        <f t="shared" si="180"/>
        <v>0.76094032268158085</v>
      </c>
      <c r="Y156" s="614"/>
      <c r="Z156" s="614">
        <v>6</v>
      </c>
      <c r="AA156" s="22"/>
      <c r="AB156" s="1325"/>
      <c r="AC156">
        <f t="shared" si="196"/>
        <v>18</v>
      </c>
      <c r="AD156" s="1334"/>
      <c r="AE156" s="614" t="s">
        <v>1572</v>
      </c>
      <c r="AF156" s="1325">
        <f>AF154*3</f>
        <v>1</v>
      </c>
      <c r="AG156" s="614"/>
      <c r="AH156" s="614"/>
      <c r="AI156" s="614"/>
      <c r="AJ156" s="970">
        <v>9</v>
      </c>
      <c r="AK156" s="970">
        <v>9</v>
      </c>
      <c r="AL156" s="970">
        <v>3</v>
      </c>
      <c r="AM156" s="978">
        <f t="shared" ref="AM156:AO156" si="200">AJ156+AJ143</f>
        <v>25</v>
      </c>
      <c r="AN156" s="907">
        <f t="shared" si="200"/>
        <v>17</v>
      </c>
      <c r="AO156" s="907">
        <f t="shared" si="200"/>
        <v>3</v>
      </c>
      <c r="AP156" s="22"/>
      <c r="AQ156" s="22"/>
      <c r="AR156" s="22"/>
      <c r="AS156" s="22"/>
      <c r="AU156" s="390"/>
      <c r="AV156" s="13">
        <f>SUM(AV152:AV155)</f>
        <v>6</v>
      </c>
      <c r="AW156" s="13">
        <f>SUM(AW152:AW155)</f>
        <v>6</v>
      </c>
    </row>
    <row r="157" spans="1:69">
      <c r="A157" s="45" t="s">
        <v>31</v>
      </c>
      <c r="B157" s="45" t="s">
        <v>359</v>
      </c>
      <c r="C157" s="5">
        <v>46266</v>
      </c>
      <c r="D157" s="12">
        <v>0.8</v>
      </c>
      <c r="E157" s="13">
        <f t="shared" si="194"/>
        <v>1440</v>
      </c>
      <c r="F157" s="13">
        <v>3.9</v>
      </c>
      <c r="G157" s="42">
        <v>0.69</v>
      </c>
      <c r="H157" s="42">
        <v>0.8</v>
      </c>
      <c r="I157" s="10">
        <f t="shared" si="188"/>
        <v>2480.0255999999995</v>
      </c>
      <c r="J157" s="47">
        <f>BP!I248/DAY(EOMONTH(C157,0))</f>
        <v>987.08333333333337</v>
      </c>
      <c r="K157" s="47"/>
      <c r="L157" s="11">
        <f t="shared" si="177"/>
        <v>0.39801336459322578</v>
      </c>
      <c r="M157" s="12">
        <f t="shared" si="189"/>
        <v>0.39801336459322578</v>
      </c>
      <c r="N157" s="12">
        <f t="shared" si="190"/>
        <v>1.2061011048279568</v>
      </c>
      <c r="O157" s="1350">
        <f t="shared" si="178"/>
        <v>2</v>
      </c>
      <c r="P157" s="13">
        <f>SUM('Manpower Allocation'!$D$88:$D$92)</f>
        <v>6</v>
      </c>
      <c r="Q157" s="13"/>
      <c r="R157" s="13">
        <f t="shared" si="191"/>
        <v>12</v>
      </c>
      <c r="S157" s="13">
        <f>'Manpower Allocation'!$D$99</f>
        <v>3</v>
      </c>
      <c r="T157" s="36">
        <f t="shared" si="195"/>
        <v>15</v>
      </c>
      <c r="U157" s="1327">
        <f t="shared" si="179"/>
        <v>2480.0255999999995</v>
      </c>
      <c r="V157" s="614">
        <v>1</v>
      </c>
      <c r="W157" s="614"/>
      <c r="X157" s="21">
        <f t="shared" si="180"/>
        <v>0.39801336459322578</v>
      </c>
      <c r="Y157" s="614"/>
      <c r="Z157" s="614">
        <v>6</v>
      </c>
      <c r="AA157" s="22"/>
      <c r="AB157" s="1325"/>
      <c r="AC157">
        <f t="shared" si="196"/>
        <v>12</v>
      </c>
      <c r="AD157" s="1334"/>
      <c r="AE157" s="614" t="s">
        <v>1573</v>
      </c>
      <c r="AF157" s="1325"/>
      <c r="AG157" s="614"/>
      <c r="AH157" s="614"/>
      <c r="AI157" s="614"/>
      <c r="AJ157" s="970">
        <v>6</v>
      </c>
      <c r="AK157" s="970">
        <v>6</v>
      </c>
      <c r="AL157" s="970">
        <v>3</v>
      </c>
      <c r="AM157" s="977">
        <f t="shared" ref="AM157:AO157" si="201">AJ157+AJ144</f>
        <v>30</v>
      </c>
      <c r="AN157" s="936">
        <f t="shared" si="201"/>
        <v>15</v>
      </c>
      <c r="AO157" s="936">
        <f t="shared" si="201"/>
        <v>3</v>
      </c>
      <c r="AP157" s="22"/>
      <c r="AQ157" s="22"/>
      <c r="AR157" s="22"/>
      <c r="AS157" s="22"/>
      <c r="AU157" s="390"/>
    </row>
    <row r="158" spans="1:69">
      <c r="A158" s="45" t="s">
        <v>31</v>
      </c>
      <c r="B158" s="45" t="s">
        <v>359</v>
      </c>
      <c r="C158" s="5">
        <v>46296</v>
      </c>
      <c r="D158" s="12">
        <v>0.8</v>
      </c>
      <c r="E158" s="13">
        <f t="shared" si="194"/>
        <v>1440</v>
      </c>
      <c r="F158" s="13">
        <v>3.9</v>
      </c>
      <c r="G158" s="42">
        <v>0.69</v>
      </c>
      <c r="H158" s="42">
        <v>0.8</v>
      </c>
      <c r="I158" s="10">
        <f t="shared" si="188"/>
        <v>2480.0255999999995</v>
      </c>
      <c r="J158" s="47">
        <f>BP!J248/DAY(EOMONTH(C158,0))</f>
        <v>1445.3225806451612</v>
      </c>
      <c r="K158" s="47"/>
      <c r="L158" s="11">
        <f t="shared" si="177"/>
        <v>0.58278534731462506</v>
      </c>
      <c r="M158" s="12">
        <f t="shared" si="189"/>
        <v>0.58278534731462506</v>
      </c>
      <c r="N158" s="12">
        <f t="shared" si="190"/>
        <v>1.7660162039837122</v>
      </c>
      <c r="O158" s="1350">
        <f t="shared" si="178"/>
        <v>2</v>
      </c>
      <c r="P158" s="13">
        <f>SUM('Manpower Allocation'!$D$88:$D$92)</f>
        <v>6</v>
      </c>
      <c r="Q158" s="13"/>
      <c r="R158" s="13">
        <f t="shared" si="191"/>
        <v>12</v>
      </c>
      <c r="S158" s="13">
        <f>'Manpower Allocation'!$D$99</f>
        <v>3</v>
      </c>
      <c r="T158" s="36">
        <f t="shared" si="195"/>
        <v>15</v>
      </c>
      <c r="U158" s="1327">
        <f t="shared" si="179"/>
        <v>2480.0255999999995</v>
      </c>
      <c r="V158" s="614">
        <v>1</v>
      </c>
      <c r="W158" s="614"/>
      <c r="X158" s="21">
        <f t="shared" si="180"/>
        <v>0.58278534731462506</v>
      </c>
      <c r="Y158" s="614"/>
      <c r="Z158" s="614">
        <v>6</v>
      </c>
      <c r="AA158" s="22"/>
      <c r="AB158" s="1325"/>
      <c r="AC158">
        <f t="shared" si="196"/>
        <v>12</v>
      </c>
      <c r="AD158" s="1334"/>
      <c r="AE158" s="614"/>
      <c r="AF158" s="1325"/>
      <c r="AG158" s="614"/>
      <c r="AH158" s="614"/>
      <c r="AI158" s="614"/>
      <c r="AJ158" s="970">
        <v>6</v>
      </c>
      <c r="AK158" s="970">
        <v>6</v>
      </c>
      <c r="AL158" s="970">
        <v>3</v>
      </c>
      <c r="AM158" s="977">
        <f t="shared" ref="AM158:AO158" si="202">AJ158+AJ145</f>
        <v>30</v>
      </c>
      <c r="AN158" s="936">
        <f t="shared" si="202"/>
        <v>15</v>
      </c>
      <c r="AO158" s="936">
        <f t="shared" si="202"/>
        <v>3</v>
      </c>
      <c r="AP158" s="22"/>
      <c r="AQ158" s="22"/>
      <c r="AR158" s="22"/>
      <c r="AS158" s="22"/>
      <c r="AU158" s="367" t="s">
        <v>170</v>
      </c>
      <c r="AV158" s="13">
        <v>6</v>
      </c>
      <c r="AW158" s="13">
        <v>6</v>
      </c>
    </row>
    <row r="159" spans="1:69">
      <c r="A159" s="45" t="s">
        <v>31</v>
      </c>
      <c r="B159" s="45" t="s">
        <v>359</v>
      </c>
      <c r="C159" s="5">
        <v>46327</v>
      </c>
      <c r="D159" s="12">
        <v>0.8</v>
      </c>
      <c r="E159" s="13">
        <f t="shared" si="194"/>
        <v>1440</v>
      </c>
      <c r="F159" s="13">
        <v>3.9</v>
      </c>
      <c r="G159" s="42">
        <v>0.69</v>
      </c>
      <c r="H159" s="42">
        <v>0.8</v>
      </c>
      <c r="I159" s="10">
        <f t="shared" si="188"/>
        <v>2480.0255999999995</v>
      </c>
      <c r="J159" s="47">
        <f>BP!K248/DAY(EOMONTH(C159,0))</f>
        <v>1383.6333333333334</v>
      </c>
      <c r="K159" s="47"/>
      <c r="L159" s="11">
        <f t="shared" si="177"/>
        <v>0.55791090758633044</v>
      </c>
      <c r="M159" s="12">
        <f t="shared" si="189"/>
        <v>0.55791090758633044</v>
      </c>
      <c r="N159" s="12">
        <f t="shared" si="190"/>
        <v>1.6906391138979711</v>
      </c>
      <c r="O159" s="1350">
        <f t="shared" si="178"/>
        <v>2</v>
      </c>
      <c r="P159" s="13">
        <f>SUM('Manpower Allocation'!$D$88:$D$92)</f>
        <v>6</v>
      </c>
      <c r="Q159" s="13"/>
      <c r="R159" s="13">
        <f t="shared" si="191"/>
        <v>12</v>
      </c>
      <c r="S159" s="13">
        <f>'Manpower Allocation'!$D$99</f>
        <v>3</v>
      </c>
      <c r="T159" s="36">
        <f t="shared" si="195"/>
        <v>15</v>
      </c>
      <c r="U159" s="1327">
        <f t="shared" si="179"/>
        <v>2480.0255999999995</v>
      </c>
      <c r="V159" s="614">
        <v>1</v>
      </c>
      <c r="W159" s="614"/>
      <c r="X159" s="21">
        <f t="shared" si="180"/>
        <v>0.55791090758633044</v>
      </c>
      <c r="Y159" s="614"/>
      <c r="Z159" s="614">
        <v>6</v>
      </c>
      <c r="AA159" s="22"/>
      <c r="AB159" s="1325"/>
      <c r="AC159">
        <f t="shared" si="196"/>
        <v>12</v>
      </c>
      <c r="AD159" s="1334"/>
      <c r="AE159" s="614"/>
      <c r="AF159" s="1325"/>
      <c r="AG159" s="614"/>
      <c r="AH159" s="614"/>
      <c r="AI159" s="614"/>
      <c r="AJ159" s="970">
        <v>6</v>
      </c>
      <c r="AK159" s="970">
        <v>6</v>
      </c>
      <c r="AL159" s="970">
        <v>3</v>
      </c>
      <c r="AM159" s="977">
        <f t="shared" ref="AM159:AO159" si="203">AJ159+AJ146</f>
        <v>30</v>
      </c>
      <c r="AN159" s="936">
        <f t="shared" si="203"/>
        <v>15</v>
      </c>
      <c r="AO159" s="936">
        <f t="shared" si="203"/>
        <v>3</v>
      </c>
      <c r="AP159" s="22"/>
      <c r="AQ159" s="22"/>
      <c r="AR159" s="22"/>
      <c r="AS159" s="22"/>
      <c r="AU159" s="369" t="s">
        <v>171</v>
      </c>
      <c r="AV159" s="13">
        <v>3</v>
      </c>
      <c r="AW159" s="13">
        <v>3</v>
      </c>
    </row>
    <row r="160" spans="1:69">
      <c r="A160" s="45" t="s">
        <v>31</v>
      </c>
      <c r="B160" s="45" t="s">
        <v>359</v>
      </c>
      <c r="C160" s="5">
        <v>46357</v>
      </c>
      <c r="D160" s="12">
        <v>0.8</v>
      </c>
      <c r="E160" s="13">
        <f t="shared" si="194"/>
        <v>1440</v>
      </c>
      <c r="F160" s="13">
        <v>3.9</v>
      </c>
      <c r="G160" s="42">
        <v>0.69</v>
      </c>
      <c r="H160" s="42">
        <v>0.8</v>
      </c>
      <c r="I160" s="10">
        <f t="shared" si="188"/>
        <v>2480.0255999999995</v>
      </c>
      <c r="J160" s="47">
        <f>BP!L248/DAY(EOMONTH(C160,0))</f>
        <v>2083.5404838709678</v>
      </c>
      <c r="K160" s="47"/>
      <c r="L160" s="11">
        <f t="shared" si="177"/>
        <v>0.84012861958802698</v>
      </c>
      <c r="M160" s="12">
        <f t="shared" si="189"/>
        <v>0.84012861958802698</v>
      </c>
      <c r="N160" s="12">
        <f t="shared" si="190"/>
        <v>2.5458443017818997</v>
      </c>
      <c r="O160" s="1350">
        <f t="shared" si="178"/>
        <v>3</v>
      </c>
      <c r="P160" s="13">
        <f>SUM('Manpower Allocation'!$D$88:$D$92)</f>
        <v>6</v>
      </c>
      <c r="Q160" s="13"/>
      <c r="R160" s="13">
        <f t="shared" si="191"/>
        <v>18</v>
      </c>
      <c r="S160" s="13">
        <f>'Manpower Allocation'!$D$99</f>
        <v>3</v>
      </c>
      <c r="T160" s="36">
        <f t="shared" si="195"/>
        <v>21</v>
      </c>
      <c r="U160" s="1327">
        <f t="shared" si="179"/>
        <v>2480.0255999999995</v>
      </c>
      <c r="V160" s="614">
        <v>1</v>
      </c>
      <c r="W160" s="614"/>
      <c r="X160" s="21">
        <f t="shared" si="180"/>
        <v>0.84012861958802698</v>
      </c>
      <c r="Y160" s="614"/>
      <c r="Z160" s="614">
        <v>6</v>
      </c>
      <c r="AA160" s="22"/>
      <c r="AB160" s="1325"/>
      <c r="AC160">
        <f t="shared" si="196"/>
        <v>18</v>
      </c>
      <c r="AD160" s="1334"/>
      <c r="AE160" s="614"/>
      <c r="AF160" s="1325"/>
      <c r="AG160" s="614"/>
      <c r="AH160" s="614"/>
      <c r="AI160" s="614"/>
      <c r="AJ160" s="970">
        <v>9</v>
      </c>
      <c r="AK160" s="970">
        <v>9</v>
      </c>
      <c r="AL160" s="970">
        <v>3</v>
      </c>
      <c r="AM160" s="977">
        <f t="shared" ref="AM160:AO160" si="204">AJ160+AJ147</f>
        <v>33</v>
      </c>
      <c r="AN160" s="936">
        <f t="shared" si="204"/>
        <v>18</v>
      </c>
      <c r="AO160" s="936">
        <f t="shared" si="204"/>
        <v>3</v>
      </c>
      <c r="AP160" s="22"/>
      <c r="AQ160" s="22"/>
      <c r="AR160" s="22"/>
      <c r="AS160" s="22"/>
      <c r="AU160" s="369" t="s">
        <v>172</v>
      </c>
      <c r="AV160" s="13">
        <v>3</v>
      </c>
      <c r="AW160" s="13">
        <v>3</v>
      </c>
    </row>
    <row r="161" spans="1:69">
      <c r="A161" s="45" t="s">
        <v>31</v>
      </c>
      <c r="B161" s="45" t="s">
        <v>359</v>
      </c>
      <c r="C161" s="5">
        <v>46388</v>
      </c>
      <c r="D161" s="12">
        <v>0.8</v>
      </c>
      <c r="E161" s="13">
        <f t="shared" si="194"/>
        <v>1440</v>
      </c>
      <c r="F161" s="13">
        <v>3.9</v>
      </c>
      <c r="G161" s="42">
        <v>0.69</v>
      </c>
      <c r="H161" s="42">
        <v>0.8</v>
      </c>
      <c r="I161" s="10">
        <f t="shared" si="188"/>
        <v>2480.0255999999995</v>
      </c>
      <c r="J161" s="47">
        <f>BP!M248/DAY(EOMONTH(C161,0))</f>
        <v>3201.6066069032258</v>
      </c>
      <c r="K161" s="47"/>
      <c r="L161" s="11">
        <f t="shared" si="177"/>
        <v>1.2909570800007977</v>
      </c>
      <c r="M161" s="12">
        <f t="shared" si="189"/>
        <v>1.2909570800007977</v>
      </c>
      <c r="N161" s="12">
        <f t="shared" si="190"/>
        <v>3.9119911515175687</v>
      </c>
      <c r="O161" s="1350" t="str">
        <f t="shared" si="178"/>
        <v>3</v>
      </c>
      <c r="P161" s="13">
        <f>SUM('Manpower Allocation'!$D$88:$D$92)</f>
        <v>6</v>
      </c>
      <c r="Q161" s="13"/>
      <c r="R161" s="13">
        <f t="shared" si="191"/>
        <v>18</v>
      </c>
      <c r="S161" s="13">
        <f>'Manpower Allocation'!$D$99</f>
        <v>3</v>
      </c>
      <c r="T161" s="36">
        <f t="shared" si="195"/>
        <v>21</v>
      </c>
      <c r="U161" s="1327">
        <f t="shared" si="179"/>
        <v>2480.0255999999995</v>
      </c>
      <c r="V161" s="614">
        <v>1</v>
      </c>
      <c r="W161" s="614"/>
      <c r="X161" s="21">
        <f t="shared" si="180"/>
        <v>1</v>
      </c>
      <c r="Y161" s="614"/>
      <c r="Z161" s="614">
        <v>6</v>
      </c>
      <c r="AA161" s="22"/>
      <c r="AB161" s="1325"/>
      <c r="AC161">
        <f t="shared" si="196"/>
        <v>18</v>
      </c>
      <c r="AD161" s="1334"/>
      <c r="AE161" s="614"/>
      <c r="AF161" s="1325"/>
      <c r="AG161" s="614"/>
      <c r="AH161" s="614"/>
      <c r="AI161" s="614"/>
      <c r="AJ161" s="970">
        <v>9</v>
      </c>
      <c r="AK161" s="970">
        <v>9</v>
      </c>
      <c r="AL161" s="970">
        <v>3</v>
      </c>
      <c r="AM161" s="977">
        <f t="shared" ref="AM161:AO161" si="205">AJ161+AJ148</f>
        <v>33</v>
      </c>
      <c r="AN161" s="936">
        <f t="shared" si="205"/>
        <v>18</v>
      </c>
      <c r="AO161" s="936">
        <f t="shared" si="205"/>
        <v>3</v>
      </c>
      <c r="AP161" s="22"/>
      <c r="AQ161" s="22"/>
      <c r="AR161" s="22"/>
      <c r="AS161" s="22"/>
      <c r="AV161" s="13">
        <f>SUM(AV158:AV160)</f>
        <v>12</v>
      </c>
      <c r="AW161" s="13">
        <f>SUM(AW158:AW160)</f>
        <v>12</v>
      </c>
    </row>
    <row r="162" spans="1:69">
      <c r="A162" s="45" t="s">
        <v>31</v>
      </c>
      <c r="B162" s="45" t="s">
        <v>359</v>
      </c>
      <c r="C162" s="5">
        <v>46419</v>
      </c>
      <c r="D162" s="12">
        <v>0.8</v>
      </c>
      <c r="E162" s="13">
        <f t="shared" si="194"/>
        <v>1440</v>
      </c>
      <c r="F162" s="13">
        <v>3.9</v>
      </c>
      <c r="G162" s="42">
        <v>0.69</v>
      </c>
      <c r="H162" s="42">
        <v>0.8</v>
      </c>
      <c r="I162" s="10">
        <f t="shared" si="188"/>
        <v>2480.0255999999995</v>
      </c>
      <c r="J162" s="47">
        <f>BP!N248/DAY(EOMONTH(C162,0))</f>
        <v>1841.125</v>
      </c>
      <c r="K162" s="47"/>
      <c r="L162" s="11">
        <f t="shared" si="177"/>
        <v>0.74238144961084285</v>
      </c>
      <c r="M162" s="12">
        <f t="shared" si="189"/>
        <v>0.74238144961084285</v>
      </c>
      <c r="N162" s="12">
        <f t="shared" si="190"/>
        <v>2.2496407563964933</v>
      </c>
      <c r="O162" s="1350">
        <f t="shared" si="178"/>
        <v>3</v>
      </c>
      <c r="P162" s="13">
        <f>SUM('Manpower Allocation'!$D$88:$D$92)</f>
        <v>6</v>
      </c>
      <c r="Q162" s="13"/>
      <c r="R162" s="13">
        <f t="shared" si="191"/>
        <v>18</v>
      </c>
      <c r="S162" s="13">
        <f>'Manpower Allocation'!$D$99</f>
        <v>3</v>
      </c>
      <c r="T162" s="36">
        <f t="shared" si="195"/>
        <v>21</v>
      </c>
      <c r="U162" s="1327">
        <f t="shared" si="179"/>
        <v>2480.0255999999995</v>
      </c>
      <c r="V162" s="614">
        <v>1</v>
      </c>
      <c r="W162" s="614"/>
      <c r="X162" s="21">
        <f t="shared" si="180"/>
        <v>0.74238144961084285</v>
      </c>
      <c r="Y162" s="614"/>
      <c r="Z162" s="614">
        <v>6</v>
      </c>
      <c r="AA162" s="22"/>
      <c r="AB162" s="1325"/>
      <c r="AC162">
        <f t="shared" si="196"/>
        <v>18</v>
      </c>
      <c r="AD162" s="1334"/>
      <c r="AE162" s="614"/>
      <c r="AF162" s="1325"/>
      <c r="AG162" s="614"/>
      <c r="AH162" s="614"/>
      <c r="AI162" s="614"/>
      <c r="AJ162" s="970">
        <v>6</v>
      </c>
      <c r="AK162" s="970">
        <v>6</v>
      </c>
      <c r="AL162" s="970">
        <v>3</v>
      </c>
      <c r="AM162" s="977">
        <f t="shared" ref="AM162:AO162" si="206">AJ162+AJ149</f>
        <v>30</v>
      </c>
      <c r="AN162" s="936">
        <f t="shared" si="206"/>
        <v>15</v>
      </c>
      <c r="AO162" s="936">
        <f t="shared" si="206"/>
        <v>3</v>
      </c>
      <c r="AP162" s="22"/>
      <c r="AQ162" s="22"/>
      <c r="AR162" s="22"/>
      <c r="AS162" s="22"/>
    </row>
    <row r="163" spans="1:69">
      <c r="A163" s="45" t="s">
        <v>31</v>
      </c>
      <c r="B163" s="45" t="s">
        <v>359</v>
      </c>
      <c r="C163" s="5">
        <v>46447</v>
      </c>
      <c r="D163" s="12">
        <v>0.8</v>
      </c>
      <c r="E163" s="13">
        <f t="shared" si="194"/>
        <v>1440</v>
      </c>
      <c r="F163" s="13">
        <v>3.9</v>
      </c>
      <c r="G163" s="42">
        <v>0.69</v>
      </c>
      <c r="H163" s="42">
        <v>0.8</v>
      </c>
      <c r="I163" s="10">
        <f t="shared" si="188"/>
        <v>2480.0255999999995</v>
      </c>
      <c r="J163" s="47">
        <f>BP!O248/DAY(EOMONTH(C163,0))</f>
        <v>1161.241935483871</v>
      </c>
      <c r="K163" s="47"/>
      <c r="L163" s="11">
        <f t="shared" si="177"/>
        <v>0.46823788249761261</v>
      </c>
      <c r="M163" s="12">
        <f t="shared" si="189"/>
        <v>0.46823788249761261</v>
      </c>
      <c r="N163" s="12">
        <f t="shared" si="190"/>
        <v>1.4189026742351896</v>
      </c>
      <c r="O163" s="1350">
        <f t="shared" si="178"/>
        <v>2</v>
      </c>
      <c r="P163" s="13">
        <f>SUM('Manpower Allocation'!$D$88:$D$92)</f>
        <v>6</v>
      </c>
      <c r="Q163" s="13"/>
      <c r="R163" s="13">
        <f t="shared" si="191"/>
        <v>12</v>
      </c>
      <c r="S163" s="13">
        <f>'Manpower Allocation'!$D$99</f>
        <v>3</v>
      </c>
      <c r="T163" s="36">
        <f t="shared" si="195"/>
        <v>15</v>
      </c>
      <c r="U163" s="1327">
        <f t="shared" si="179"/>
        <v>2480.0255999999995</v>
      </c>
      <c r="V163" s="614">
        <v>1</v>
      </c>
      <c r="W163" s="614"/>
      <c r="X163" s="21">
        <f t="shared" si="180"/>
        <v>0.46823788249761261</v>
      </c>
      <c r="Y163" s="614"/>
      <c r="Z163" s="614">
        <v>6</v>
      </c>
      <c r="AA163" s="22"/>
      <c r="AB163" s="1325"/>
      <c r="AC163">
        <f t="shared" si="196"/>
        <v>12</v>
      </c>
      <c r="AD163" s="1334"/>
      <c r="AE163" s="614"/>
      <c r="AF163" s="1325"/>
      <c r="AG163" s="614"/>
      <c r="AH163" s="614"/>
      <c r="AI163" s="614"/>
      <c r="AJ163" s="970">
        <v>6</v>
      </c>
      <c r="AK163" s="970">
        <v>6</v>
      </c>
      <c r="AL163" s="970">
        <v>3</v>
      </c>
      <c r="AM163" s="977">
        <f t="shared" ref="AM163:AO163" si="207">AJ163+AJ150</f>
        <v>30</v>
      </c>
      <c r="AN163" s="936">
        <f t="shared" si="207"/>
        <v>15</v>
      </c>
      <c r="AO163" s="936">
        <f t="shared" si="207"/>
        <v>3</v>
      </c>
      <c r="AP163" s="22"/>
      <c r="AQ163" s="22"/>
      <c r="AR163" s="22"/>
      <c r="AS163" s="22"/>
      <c r="AU163" t="s">
        <v>561</v>
      </c>
      <c r="AV163">
        <f>AV145+AV156+AV161</f>
        <v>53</v>
      </c>
      <c r="AW163">
        <f>AW145+AW156+AW161</f>
        <v>50</v>
      </c>
    </row>
    <row r="164" spans="1:69">
      <c r="A164" s="130"/>
      <c r="B164" s="130"/>
      <c r="C164" s="611"/>
      <c r="D164" s="38"/>
      <c r="E164" s="13"/>
      <c r="F164" s="13"/>
      <c r="G164" s="42"/>
      <c r="H164" s="42"/>
      <c r="I164" s="10"/>
      <c r="J164" s="47"/>
      <c r="K164" s="47"/>
      <c r="L164" s="11"/>
      <c r="M164" s="12"/>
      <c r="N164" s="12"/>
      <c r="O164" s="395"/>
      <c r="P164" s="13"/>
      <c r="Q164" s="13"/>
      <c r="R164" s="13"/>
      <c r="S164" s="13"/>
      <c r="T164" s="13"/>
      <c r="U164" s="22"/>
      <c r="V164" s="614"/>
      <c r="W164" s="22"/>
      <c r="X164" s="22"/>
      <c r="Y164" s="22"/>
      <c r="Z164" s="22"/>
      <c r="AA164" s="22"/>
      <c r="AB164" s="22"/>
      <c r="AC164" s="22"/>
      <c r="AD164" s="22"/>
      <c r="AE164" s="22"/>
      <c r="AF164" s="1325"/>
      <c r="AG164" s="22"/>
      <c r="AH164" s="22"/>
      <c r="AI164" s="22"/>
      <c r="AJ164" s="971"/>
      <c r="AK164" s="971"/>
      <c r="AL164" s="971"/>
      <c r="AM164" s="936">
        <f>AVERAGE(AM152:AM163)</f>
        <v>29.833333333333332</v>
      </c>
      <c r="AN164" s="936">
        <f t="shared" ref="AN164:AO164" si="208">AVERAGE(AN152:AN163)</f>
        <v>15.416666666666666</v>
      </c>
      <c r="AO164" s="936">
        <f t="shared" si="208"/>
        <v>3</v>
      </c>
      <c r="AP164" s="22"/>
      <c r="AQ164" s="22"/>
      <c r="AR164" s="22"/>
      <c r="AS164" s="22"/>
    </row>
    <row r="165" spans="1:69">
      <c r="V165" s="614"/>
      <c r="AM165" s="972">
        <f>AM164/48</f>
        <v>0.62152777777777779</v>
      </c>
      <c r="AN165" s="972">
        <f>AN164/48</f>
        <v>0.32118055555555552</v>
      </c>
      <c r="AO165" s="972">
        <f>AO164/48</f>
        <v>6.25E-2</v>
      </c>
    </row>
    <row r="166" spans="1:69">
      <c r="V166" s="614"/>
    </row>
    <row r="167" spans="1:69" ht="43.5">
      <c r="A167" s="1" t="s">
        <v>0</v>
      </c>
      <c r="B167" s="1" t="s">
        <v>1</v>
      </c>
      <c r="C167" s="1" t="s">
        <v>2</v>
      </c>
      <c r="D167" s="799" t="s">
        <v>3</v>
      </c>
      <c r="E167" s="1" t="s">
        <v>29</v>
      </c>
      <c r="F167" s="1" t="s">
        <v>27</v>
      </c>
      <c r="G167" s="1" t="s">
        <v>6</v>
      </c>
      <c r="H167" s="1" t="s">
        <v>7</v>
      </c>
      <c r="I167" s="1" t="s">
        <v>8</v>
      </c>
      <c r="J167" s="1" t="s">
        <v>9</v>
      </c>
      <c r="K167" s="1"/>
      <c r="L167" s="1" t="s">
        <v>30</v>
      </c>
      <c r="M167" s="1" t="s">
        <v>30</v>
      </c>
      <c r="N167" s="1" t="s">
        <v>28</v>
      </c>
      <c r="O167" s="1" t="s">
        <v>28</v>
      </c>
      <c r="P167" s="1" t="s">
        <v>12</v>
      </c>
      <c r="Q167" s="1" t="s">
        <v>13</v>
      </c>
      <c r="R167" s="1" t="s">
        <v>13</v>
      </c>
      <c r="S167" s="1" t="s">
        <v>1251</v>
      </c>
      <c r="T167" s="1" t="s">
        <v>14</v>
      </c>
      <c r="U167" s="851" t="s">
        <v>1561</v>
      </c>
      <c r="V167" s="851" t="s">
        <v>1517</v>
      </c>
      <c r="W167" s="851" t="s">
        <v>1518</v>
      </c>
      <c r="X167" s="851" t="s">
        <v>873</v>
      </c>
      <c r="Y167" s="851" t="s">
        <v>1519</v>
      </c>
      <c r="Z167" s="851" t="s">
        <v>1520</v>
      </c>
      <c r="AA167" s="851" t="s">
        <v>1521</v>
      </c>
      <c r="AB167" s="851" t="s">
        <v>1521</v>
      </c>
      <c r="AC167" s="851" t="s">
        <v>1562</v>
      </c>
      <c r="AD167" s="851"/>
      <c r="AE167" s="851"/>
      <c r="AF167" s="1337"/>
      <c r="AG167" s="851"/>
      <c r="AH167" s="851"/>
      <c r="AI167" s="851"/>
      <c r="AJ167" s="935"/>
      <c r="AK167" s="935"/>
      <c r="AL167" s="935"/>
      <c r="AM167" s="935"/>
      <c r="AN167" s="851"/>
      <c r="AO167" s="851"/>
      <c r="AP167" s="851"/>
      <c r="AQ167" s="851"/>
      <c r="AR167" s="851"/>
      <c r="AS167" s="851"/>
    </row>
    <row r="168" spans="1:69">
      <c r="A168" s="13" t="s">
        <v>32</v>
      </c>
      <c r="B168" s="13" t="s">
        <v>360</v>
      </c>
      <c r="C168" s="5">
        <v>46113</v>
      </c>
      <c r="D168" s="38">
        <f>'T&amp;C01'!$D$74</f>
        <v>7</v>
      </c>
      <c r="E168" s="13">
        <v>1440</v>
      </c>
      <c r="F168" s="1320">
        <f>'T&amp;C01'!$G$72</f>
        <v>2</v>
      </c>
      <c r="G168" s="42">
        <f>'T&amp;C01'!$E$72</f>
        <v>0.91506849315068495</v>
      </c>
      <c r="H168" s="42">
        <f>'T&amp;C01'!$F$72</f>
        <v>0.8</v>
      </c>
      <c r="I168" s="10">
        <f t="shared" ref="I168" si="209">H168*G168*F168*E168*D168</f>
        <v>14758.224657534249</v>
      </c>
      <c r="J168" s="10">
        <f>BP!D182/DAY(EOMONTH(C168,0))</f>
        <v>3210.8762807017538</v>
      </c>
      <c r="K168" s="10"/>
      <c r="L168" s="11">
        <f t="shared" ref="L168:L193" si="210">J168/I168</f>
        <v>0.21756521229418765</v>
      </c>
      <c r="M168" s="12">
        <f t="shared" ref="M168:M179" si="211">J168/I168</f>
        <v>0.21756521229418765</v>
      </c>
      <c r="N168" s="12">
        <f t="shared" ref="N168:N193" si="212">M168/0.33</f>
        <v>0.6592885221035989</v>
      </c>
      <c r="O168" s="1350">
        <f t="shared" ref="O168:O193" si="213">IF(N168&gt;3,"3",ROUNDUP(N168,0))</f>
        <v>1</v>
      </c>
      <c r="P168" s="13">
        <f>'Manpower Allocation'!$D$101</f>
        <v>21</v>
      </c>
      <c r="Q168" s="13"/>
      <c r="R168" s="13">
        <f t="shared" ref="R168:R179" si="214">P168*O168</f>
        <v>21</v>
      </c>
      <c r="S168" s="312">
        <f>SUM('Manpower Allocation'!$D$122:$D$124)</f>
        <v>12</v>
      </c>
      <c r="T168" s="36">
        <f t="shared" ref="T168:T179" si="215">R168+S168</f>
        <v>33</v>
      </c>
      <c r="U168" s="1327">
        <f t="shared" ref="U168:U179" si="216">I168/V168</f>
        <v>14758.224657534249</v>
      </c>
      <c r="V168" s="614">
        <v>1</v>
      </c>
      <c r="W168" s="614"/>
      <c r="X168" s="21">
        <f t="shared" ref="X168:X179" si="217">IF(J168&gt;I168,V168,J168/U168)</f>
        <v>0.21756521229418765</v>
      </c>
      <c r="Y168" s="614"/>
      <c r="Z168" s="614">
        <v>21</v>
      </c>
      <c r="AA168" s="614"/>
      <c r="AB168" s="614"/>
      <c r="AC168">
        <f>IF(X168&lt;=0.33,1,(IF(X168&lt;=0.66,2,3)))*Z168</f>
        <v>21</v>
      </c>
      <c r="AD168" s="614"/>
      <c r="AE168" s="614"/>
      <c r="AF168" s="1325"/>
      <c r="AG168" s="614"/>
      <c r="AH168" s="614"/>
      <c r="AI168" s="614"/>
      <c r="AJ168" s="1016">
        <v>1</v>
      </c>
      <c r="AK168" s="907">
        <f>AJ168*P168</f>
        <v>21</v>
      </c>
      <c r="AL168" s="907">
        <f>AK168+S168</f>
        <v>33</v>
      </c>
      <c r="AM168" s="907">
        <f>T168+T182</f>
        <v>98</v>
      </c>
      <c r="AN168" s="22">
        <f t="shared" ref="AN168:AN179" si="218">T168+T182</f>
        <v>98</v>
      </c>
      <c r="AO168" s="22">
        <f>21*3*15</f>
        <v>945</v>
      </c>
      <c r="AP168" s="22"/>
      <c r="AQ168" s="22"/>
      <c r="AR168" s="22"/>
      <c r="AS168" s="22"/>
      <c r="BO168" s="39">
        <f>J168+J182</f>
        <v>26081.475318111465</v>
      </c>
      <c r="BP168">
        <f t="shared" ref="BP168:BP179" si="219">T168+T182</f>
        <v>98</v>
      </c>
      <c r="BQ168" s="46">
        <f>BO168/BP168</f>
        <v>266.13750324603535</v>
      </c>
    </row>
    <row r="169" spans="1:69">
      <c r="A169" s="13" t="s">
        <v>32</v>
      </c>
      <c r="B169" s="13" t="s">
        <v>360</v>
      </c>
      <c r="C169" s="5">
        <v>46143</v>
      </c>
      <c r="D169" s="38">
        <f>'T&amp;C01'!$D$74</f>
        <v>7</v>
      </c>
      <c r="E169" s="13">
        <v>1440</v>
      </c>
      <c r="F169" s="1320">
        <f>'T&amp;C01'!$G$72</f>
        <v>2</v>
      </c>
      <c r="G169" s="42">
        <f>'T&amp;C01'!$E$72</f>
        <v>0.91506849315068495</v>
      </c>
      <c r="H169" s="42">
        <f>'T&amp;C01'!$F$72</f>
        <v>0.8</v>
      </c>
      <c r="I169" s="10">
        <f t="shared" ref="I169:I179" si="220">H169*G169*F169*E169*D169</f>
        <v>14758.224657534249</v>
      </c>
      <c r="J169" s="10">
        <f>BP!E182/DAY(EOMONTH(C169,0))</f>
        <v>2681.0287775891352</v>
      </c>
      <c r="K169" s="10"/>
      <c r="L169" s="11">
        <f t="shared" si="210"/>
        <v>0.18166336668553409</v>
      </c>
      <c r="M169" s="12">
        <f t="shared" si="211"/>
        <v>0.18166336668553409</v>
      </c>
      <c r="N169" s="12">
        <f t="shared" si="212"/>
        <v>0.55049505056222447</v>
      </c>
      <c r="O169" s="1350">
        <f t="shared" si="213"/>
        <v>1</v>
      </c>
      <c r="P169" s="13">
        <f>'Manpower Allocation'!$D$101</f>
        <v>21</v>
      </c>
      <c r="Q169" s="13"/>
      <c r="R169" s="13">
        <f t="shared" si="214"/>
        <v>21</v>
      </c>
      <c r="S169" s="312">
        <f>SUM('Manpower Allocation'!$D$122:$D$124)</f>
        <v>12</v>
      </c>
      <c r="T169" s="36">
        <f t="shared" si="215"/>
        <v>33</v>
      </c>
      <c r="U169" s="1327">
        <f t="shared" si="216"/>
        <v>14758.224657534249</v>
      </c>
      <c r="V169" s="614">
        <v>1</v>
      </c>
      <c r="W169" s="614"/>
      <c r="X169" s="21">
        <f t="shared" si="217"/>
        <v>0.18166336668553409</v>
      </c>
      <c r="Y169" s="614"/>
      <c r="Z169" s="614">
        <v>21</v>
      </c>
      <c r="AA169" s="614"/>
      <c r="AB169" s="614"/>
      <c r="AC169">
        <f t="shared" ref="AC169:AC179" si="221">IF(X169&lt;=0.33,1,(IF(X169&lt;=0.66,2,3)))*Z169</f>
        <v>21</v>
      </c>
      <c r="AD169" s="614"/>
      <c r="AE169" s="614"/>
      <c r="AF169" s="1325"/>
      <c r="AG169" s="614"/>
      <c r="AH169" s="614"/>
      <c r="AI169" s="614"/>
      <c r="AJ169" s="1016">
        <v>1</v>
      </c>
      <c r="AK169" s="907">
        <f t="shared" ref="AK169:AK179" si="222">AJ169*P169</f>
        <v>21</v>
      </c>
      <c r="AL169" s="907">
        <f t="shared" ref="AL169:AL179" si="223">AK169+S169</f>
        <v>33</v>
      </c>
      <c r="AM169" s="907">
        <f t="shared" ref="AM169:AM179" si="224">T169+T183</f>
        <v>98</v>
      </c>
      <c r="AN169" s="22">
        <f t="shared" si="218"/>
        <v>98</v>
      </c>
      <c r="AO169" s="22">
        <f>36.7*30</f>
        <v>1101</v>
      </c>
      <c r="AP169" s="22"/>
      <c r="AQ169" s="22"/>
      <c r="AR169" s="22"/>
      <c r="AS169" s="22"/>
      <c r="BO169" s="39">
        <f t="shared" ref="BO169:BO179" si="225">J169+J182</f>
        <v>25551.627814998843</v>
      </c>
      <c r="BP169">
        <f t="shared" si="219"/>
        <v>98</v>
      </c>
      <c r="BQ169" s="46">
        <f t="shared" ref="BQ169:BQ179" si="226">BO169/BP169</f>
        <v>260.73089607141674</v>
      </c>
    </row>
    <row r="170" spans="1:69">
      <c r="A170" s="13" t="s">
        <v>32</v>
      </c>
      <c r="B170" s="13" t="s">
        <v>360</v>
      </c>
      <c r="C170" s="5">
        <v>46174</v>
      </c>
      <c r="D170" s="38">
        <f>'T&amp;C01'!$D$74</f>
        <v>7</v>
      </c>
      <c r="E170" s="13">
        <v>1440</v>
      </c>
      <c r="F170" s="1320">
        <f>'T&amp;C01'!$G$72</f>
        <v>2</v>
      </c>
      <c r="G170" s="42">
        <f>'T&amp;C01'!$E$72</f>
        <v>0.91506849315068495</v>
      </c>
      <c r="H170" s="42">
        <f>'T&amp;C01'!$F$72</f>
        <v>0.8</v>
      </c>
      <c r="I170" s="10">
        <f t="shared" si="220"/>
        <v>14758.224657534249</v>
      </c>
      <c r="J170" s="10">
        <f>BP!F182/DAY(EOMONTH(C170,0))</f>
        <v>2879.8178245614022</v>
      </c>
      <c r="K170" s="10"/>
      <c r="L170" s="11">
        <f t="shared" si="210"/>
        <v>0.19513307944470279</v>
      </c>
      <c r="M170" s="12">
        <f t="shared" si="211"/>
        <v>0.19513307944470279</v>
      </c>
      <c r="N170" s="12">
        <f t="shared" si="212"/>
        <v>0.59131236195364478</v>
      </c>
      <c r="O170" s="1350">
        <f t="shared" si="213"/>
        <v>1</v>
      </c>
      <c r="P170" s="13">
        <f>'Manpower Allocation'!$D$101</f>
        <v>21</v>
      </c>
      <c r="Q170" s="13"/>
      <c r="R170" s="13">
        <f t="shared" si="214"/>
        <v>21</v>
      </c>
      <c r="S170" s="312">
        <f>SUM('Manpower Allocation'!$D$122:$D$124)</f>
        <v>12</v>
      </c>
      <c r="T170" s="36">
        <f t="shared" si="215"/>
        <v>33</v>
      </c>
      <c r="U170" s="1327">
        <f t="shared" si="216"/>
        <v>14758.224657534249</v>
      </c>
      <c r="V170" s="614">
        <v>1</v>
      </c>
      <c r="W170" s="614"/>
      <c r="X170" s="21">
        <f t="shared" si="217"/>
        <v>0.19513307944470279</v>
      </c>
      <c r="Y170" s="614"/>
      <c r="Z170" s="614">
        <v>21</v>
      </c>
      <c r="AA170" s="614"/>
      <c r="AB170" s="614"/>
      <c r="AC170">
        <f t="shared" si="221"/>
        <v>21</v>
      </c>
      <c r="AD170" s="614"/>
      <c r="AE170" s="614"/>
      <c r="AF170" s="1325"/>
      <c r="AG170" s="614"/>
      <c r="AH170" s="614"/>
      <c r="AI170" s="614"/>
      <c r="AJ170" s="1016">
        <v>1</v>
      </c>
      <c r="AK170" s="907">
        <f t="shared" si="222"/>
        <v>21</v>
      </c>
      <c r="AL170" s="907">
        <f t="shared" si="223"/>
        <v>33</v>
      </c>
      <c r="AM170" s="907">
        <f t="shared" si="224"/>
        <v>98</v>
      </c>
      <c r="AN170" s="22">
        <f t="shared" si="218"/>
        <v>98</v>
      </c>
      <c r="AO170" s="22"/>
      <c r="AP170" s="22"/>
      <c r="AQ170" s="22"/>
      <c r="AR170" s="22"/>
      <c r="AS170" s="22"/>
      <c r="BO170" s="39">
        <f t="shared" si="225"/>
        <v>21132.624752633878</v>
      </c>
      <c r="BP170">
        <f t="shared" si="219"/>
        <v>98</v>
      </c>
      <c r="BQ170" s="46">
        <f t="shared" si="226"/>
        <v>215.63902808810079</v>
      </c>
    </row>
    <row r="171" spans="1:69">
      <c r="A171" s="13" t="s">
        <v>32</v>
      </c>
      <c r="B171" s="13" t="s">
        <v>360</v>
      </c>
      <c r="C171" s="5">
        <v>46204</v>
      </c>
      <c r="D171" s="38">
        <f>'T&amp;C01'!$D$74</f>
        <v>7</v>
      </c>
      <c r="E171" s="13">
        <v>1440</v>
      </c>
      <c r="F171" s="1320">
        <f>'T&amp;C01'!$G$72</f>
        <v>2</v>
      </c>
      <c r="G171" s="42">
        <f>'T&amp;C01'!$E$72</f>
        <v>0.91506849315068495</v>
      </c>
      <c r="H171" s="42">
        <f>'T&amp;C01'!$F$72</f>
        <v>0.8</v>
      </c>
      <c r="I171" s="10">
        <f t="shared" si="220"/>
        <v>14758.224657534249</v>
      </c>
      <c r="J171" s="10">
        <f>BP!G182/DAY(EOMONTH(C171,0))</f>
        <v>2513.5465534804766</v>
      </c>
      <c r="K171" s="10"/>
      <c r="L171" s="11">
        <f t="shared" si="210"/>
        <v>0.17031496753894998</v>
      </c>
      <c r="M171" s="12">
        <f t="shared" si="211"/>
        <v>0.17031496753894998</v>
      </c>
      <c r="N171" s="12">
        <f t="shared" si="212"/>
        <v>0.51610596223924232</v>
      </c>
      <c r="O171" s="1350">
        <f t="shared" si="213"/>
        <v>1</v>
      </c>
      <c r="P171" s="13">
        <f>'Manpower Allocation'!$D$101</f>
        <v>21</v>
      </c>
      <c r="Q171" s="13"/>
      <c r="R171" s="13">
        <f t="shared" si="214"/>
        <v>21</v>
      </c>
      <c r="S171" s="312">
        <f>SUM('Manpower Allocation'!$D$122:$D$124)</f>
        <v>12</v>
      </c>
      <c r="T171" s="36">
        <f t="shared" si="215"/>
        <v>33</v>
      </c>
      <c r="U171" s="1327">
        <f t="shared" si="216"/>
        <v>14758.224657534249</v>
      </c>
      <c r="V171" s="614">
        <v>1</v>
      </c>
      <c r="W171" s="614"/>
      <c r="X171" s="21">
        <f t="shared" si="217"/>
        <v>0.17031496753894998</v>
      </c>
      <c r="Y171" s="614"/>
      <c r="Z171" s="614">
        <v>21</v>
      </c>
      <c r="AA171" s="614"/>
      <c r="AB171" s="614"/>
      <c r="AC171">
        <f t="shared" si="221"/>
        <v>21</v>
      </c>
      <c r="AD171" s="614"/>
      <c r="AE171" s="614"/>
      <c r="AF171" s="1325"/>
      <c r="AG171" s="614"/>
      <c r="AH171" s="614"/>
      <c r="AI171" s="614"/>
      <c r="AJ171" s="1016">
        <v>1</v>
      </c>
      <c r="AK171" s="907">
        <f t="shared" si="222"/>
        <v>21</v>
      </c>
      <c r="AL171" s="907">
        <f t="shared" si="223"/>
        <v>33</v>
      </c>
      <c r="AM171" s="907">
        <f t="shared" si="224"/>
        <v>98</v>
      </c>
      <c r="AN171" s="22">
        <f t="shared" si="218"/>
        <v>98</v>
      </c>
      <c r="AO171" s="22"/>
      <c r="AP171" s="22"/>
      <c r="AQ171" s="22"/>
      <c r="AR171" s="22"/>
      <c r="AS171" s="22"/>
      <c r="BO171" s="39">
        <f t="shared" si="225"/>
        <v>18692.400087315389</v>
      </c>
      <c r="BP171">
        <f t="shared" si="219"/>
        <v>98</v>
      </c>
      <c r="BQ171" s="46">
        <f t="shared" si="226"/>
        <v>190.73877640117743</v>
      </c>
    </row>
    <row r="172" spans="1:69">
      <c r="A172" s="13" t="s">
        <v>32</v>
      </c>
      <c r="B172" s="13" t="s">
        <v>360</v>
      </c>
      <c r="C172" s="5">
        <v>46235</v>
      </c>
      <c r="D172" s="38">
        <f>'T&amp;C01'!$D$74</f>
        <v>7</v>
      </c>
      <c r="E172" s="13">
        <v>1440</v>
      </c>
      <c r="F172" s="1320">
        <f>'T&amp;C01'!$G$72</f>
        <v>2</v>
      </c>
      <c r="G172" s="42">
        <f>'T&amp;C01'!$E$72</f>
        <v>0.91506849315068495</v>
      </c>
      <c r="H172" s="42">
        <f>'T&amp;C01'!$F$72</f>
        <v>0.8</v>
      </c>
      <c r="I172" s="10">
        <f t="shared" si="220"/>
        <v>14758.224657534249</v>
      </c>
      <c r="J172" s="10">
        <f>BP!H182/DAY(EOMONTH(C172,0))</f>
        <v>4220.4073344651979</v>
      </c>
      <c r="K172" s="10"/>
      <c r="L172" s="11">
        <f t="shared" si="210"/>
        <v>0.28596985290575788</v>
      </c>
      <c r="M172" s="12">
        <f t="shared" si="211"/>
        <v>0.28596985290575788</v>
      </c>
      <c r="N172" s="12">
        <f t="shared" si="212"/>
        <v>0.86657531183562986</v>
      </c>
      <c r="O172" s="1350">
        <f t="shared" si="213"/>
        <v>1</v>
      </c>
      <c r="P172" s="13">
        <f>'Manpower Allocation'!$D$101</f>
        <v>21</v>
      </c>
      <c r="Q172" s="13"/>
      <c r="R172" s="13">
        <f t="shared" si="214"/>
        <v>21</v>
      </c>
      <c r="S172" s="312">
        <f>SUM('Manpower Allocation'!$D$122:$D$124)</f>
        <v>12</v>
      </c>
      <c r="T172" s="36">
        <f t="shared" si="215"/>
        <v>33</v>
      </c>
      <c r="U172" s="1327">
        <f t="shared" si="216"/>
        <v>14758.224657534249</v>
      </c>
      <c r="V172" s="614">
        <v>1</v>
      </c>
      <c r="W172" s="614"/>
      <c r="X172" s="21">
        <f t="shared" si="217"/>
        <v>0.28596985290575788</v>
      </c>
      <c r="Y172" s="614"/>
      <c r="Z172" s="614">
        <v>21</v>
      </c>
      <c r="AA172" s="614"/>
      <c r="AB172" s="614"/>
      <c r="AC172">
        <f t="shared" si="221"/>
        <v>21</v>
      </c>
      <c r="AD172" s="614"/>
      <c r="AE172" s="614"/>
      <c r="AF172" s="1325"/>
      <c r="AG172" s="614"/>
      <c r="AH172" s="614"/>
      <c r="AI172" s="614"/>
      <c r="AJ172" s="1016">
        <v>1</v>
      </c>
      <c r="AK172" s="907">
        <f t="shared" si="222"/>
        <v>21</v>
      </c>
      <c r="AL172" s="907">
        <f t="shared" si="223"/>
        <v>33</v>
      </c>
      <c r="AM172" s="907">
        <f t="shared" si="224"/>
        <v>98</v>
      </c>
      <c r="AN172" s="22">
        <f t="shared" si="218"/>
        <v>98</v>
      </c>
      <c r="AO172" s="22"/>
      <c r="AP172" s="22"/>
      <c r="AQ172" s="22"/>
      <c r="AR172" s="22"/>
      <c r="AS172" s="22"/>
      <c r="BO172" s="39">
        <f t="shared" si="225"/>
        <v>23327.005259854799</v>
      </c>
      <c r="BP172">
        <f t="shared" si="219"/>
        <v>98</v>
      </c>
      <c r="BQ172" s="46">
        <f t="shared" si="226"/>
        <v>238.03066591688571</v>
      </c>
    </row>
    <row r="173" spans="1:69">
      <c r="A173" s="13" t="s">
        <v>32</v>
      </c>
      <c r="B173" s="13" t="s">
        <v>360</v>
      </c>
      <c r="C173" s="5">
        <v>46266</v>
      </c>
      <c r="D173" s="38">
        <f>'T&amp;C01'!$D$74</f>
        <v>7</v>
      </c>
      <c r="E173" s="13">
        <v>1440</v>
      </c>
      <c r="F173" s="1320">
        <f>'T&amp;C01'!$G$72</f>
        <v>2</v>
      </c>
      <c r="G173" s="42">
        <f>'T&amp;C01'!$E$72</f>
        <v>0.91506849315068495</v>
      </c>
      <c r="H173" s="42">
        <f>'T&amp;C01'!$F$72</f>
        <v>0.8</v>
      </c>
      <c r="I173" s="10">
        <f t="shared" si="220"/>
        <v>14758.224657534249</v>
      </c>
      <c r="J173" s="10">
        <f>BP!I182/DAY(EOMONTH(C173,0))</f>
        <v>5516.9802105263179</v>
      </c>
      <c r="K173" s="10"/>
      <c r="L173" s="11">
        <f t="shared" si="210"/>
        <v>0.37382411086348616</v>
      </c>
      <c r="M173" s="12">
        <f t="shared" si="211"/>
        <v>0.37382411086348616</v>
      </c>
      <c r="N173" s="12">
        <f>M173/0.33</f>
        <v>1.1328003359499581</v>
      </c>
      <c r="O173" s="1350">
        <f t="shared" si="213"/>
        <v>2</v>
      </c>
      <c r="P173" s="13">
        <f>'Manpower Allocation'!$D$101</f>
        <v>21</v>
      </c>
      <c r="Q173" s="13"/>
      <c r="R173" s="13">
        <f t="shared" si="214"/>
        <v>42</v>
      </c>
      <c r="S173" s="312">
        <f>SUM('Manpower Allocation'!$D$122:$D$124)</f>
        <v>12</v>
      </c>
      <c r="T173" s="36">
        <f t="shared" si="215"/>
        <v>54</v>
      </c>
      <c r="U173" s="1327">
        <f t="shared" si="216"/>
        <v>14758.224657534249</v>
      </c>
      <c r="V173" s="614">
        <v>1</v>
      </c>
      <c r="W173" s="614"/>
      <c r="X173" s="21">
        <f t="shared" si="217"/>
        <v>0.37382411086348616</v>
      </c>
      <c r="Y173" s="614"/>
      <c r="Z173" s="614">
        <v>21</v>
      </c>
      <c r="AA173" s="614"/>
      <c r="AB173" s="614"/>
      <c r="AC173">
        <f t="shared" si="221"/>
        <v>42</v>
      </c>
      <c r="AD173" s="614"/>
      <c r="AE173" s="614"/>
      <c r="AF173" s="1325"/>
      <c r="AG173" s="614"/>
      <c r="AH173" s="614"/>
      <c r="AI173" s="614"/>
      <c r="AJ173" s="1016">
        <v>1</v>
      </c>
      <c r="AK173" s="907">
        <f t="shared" si="222"/>
        <v>21</v>
      </c>
      <c r="AL173" s="907">
        <f t="shared" si="223"/>
        <v>33</v>
      </c>
      <c r="AM173" s="907">
        <f t="shared" si="224"/>
        <v>119</v>
      </c>
      <c r="AN173" s="22">
        <f t="shared" si="218"/>
        <v>119</v>
      </c>
      <c r="AO173" s="22"/>
      <c r="AP173" s="22"/>
      <c r="AQ173" s="22"/>
      <c r="AR173" s="22"/>
      <c r="AS173" s="22"/>
      <c r="BO173" s="39">
        <f t="shared" si="225"/>
        <v>33577.668583761813</v>
      </c>
      <c r="BP173">
        <f t="shared" si="219"/>
        <v>119</v>
      </c>
      <c r="BQ173" s="46">
        <f t="shared" si="226"/>
        <v>282.16528221648582</v>
      </c>
    </row>
    <row r="174" spans="1:69">
      <c r="A174" s="13" t="s">
        <v>32</v>
      </c>
      <c r="B174" s="13" t="s">
        <v>360</v>
      </c>
      <c r="C174" s="5">
        <v>46296</v>
      </c>
      <c r="D174" s="38">
        <f>'T&amp;C01'!$D$74</f>
        <v>7</v>
      </c>
      <c r="E174" s="13">
        <v>1440</v>
      </c>
      <c r="F174" s="1320">
        <f>'T&amp;C01'!$G$72</f>
        <v>2</v>
      </c>
      <c r="G174" s="42">
        <f>'T&amp;C01'!$E$72</f>
        <v>0.91506849315068495</v>
      </c>
      <c r="H174" s="42">
        <f>'T&amp;C01'!$F$72</f>
        <v>0.8</v>
      </c>
      <c r="I174" s="10">
        <f t="shared" si="220"/>
        <v>14758.224657534249</v>
      </c>
      <c r="J174" s="10">
        <f>BP!J182/DAY(EOMONTH(C174,0))</f>
        <v>6204.7226146010198</v>
      </c>
      <c r="K174" s="10"/>
      <c r="L174" s="11">
        <f t="shared" si="210"/>
        <v>0.42042472984265322</v>
      </c>
      <c r="M174" s="12">
        <f t="shared" si="211"/>
        <v>0.42042472984265322</v>
      </c>
      <c r="N174" s="12">
        <f t="shared" si="212"/>
        <v>1.2740143328565248</v>
      </c>
      <c r="O174" s="1350">
        <f t="shared" si="213"/>
        <v>2</v>
      </c>
      <c r="P174" s="13">
        <f>'Manpower Allocation'!$D$101</f>
        <v>21</v>
      </c>
      <c r="Q174" s="13"/>
      <c r="R174" s="13">
        <f t="shared" si="214"/>
        <v>42</v>
      </c>
      <c r="S174" s="312">
        <f>SUM('Manpower Allocation'!$D$122:$D$124)</f>
        <v>12</v>
      </c>
      <c r="T174" s="36">
        <f t="shared" si="215"/>
        <v>54</v>
      </c>
      <c r="U174" s="1327">
        <f t="shared" si="216"/>
        <v>14758.224657534249</v>
      </c>
      <c r="V174" s="614">
        <v>1</v>
      </c>
      <c r="W174" s="614"/>
      <c r="X174" s="21">
        <f t="shared" si="217"/>
        <v>0.42042472984265322</v>
      </c>
      <c r="Y174" s="614"/>
      <c r="Z174" s="614">
        <v>21</v>
      </c>
      <c r="AA174" s="614"/>
      <c r="AB174" s="614"/>
      <c r="AC174">
        <f t="shared" si="221"/>
        <v>42</v>
      </c>
      <c r="AD174" s="614"/>
      <c r="AE174" s="614"/>
      <c r="AF174" s="1325"/>
      <c r="AG174" s="614"/>
      <c r="AH174" s="614"/>
      <c r="AI174" s="614"/>
      <c r="AJ174" s="1016">
        <v>1.5</v>
      </c>
      <c r="AK174" s="907">
        <f t="shared" si="222"/>
        <v>31.5</v>
      </c>
      <c r="AL174" s="907">
        <f t="shared" si="223"/>
        <v>43.5</v>
      </c>
      <c r="AM174" s="907">
        <f t="shared" si="224"/>
        <v>119</v>
      </c>
      <c r="AN174" s="22">
        <f t="shared" si="218"/>
        <v>119</v>
      </c>
      <c r="AO174" s="22"/>
      <c r="AP174" s="22"/>
      <c r="AQ174" s="22"/>
      <c r="AR174" s="22"/>
      <c r="AS174" s="22"/>
      <c r="BO174" s="39">
        <f t="shared" si="225"/>
        <v>26311.421514337642</v>
      </c>
      <c r="BP174">
        <f t="shared" si="219"/>
        <v>119</v>
      </c>
      <c r="BQ174" s="46">
        <f t="shared" si="226"/>
        <v>221.10438247342557</v>
      </c>
    </row>
    <row r="175" spans="1:69">
      <c r="A175" s="13" t="s">
        <v>32</v>
      </c>
      <c r="B175" s="13" t="s">
        <v>360</v>
      </c>
      <c r="C175" s="5">
        <v>46327</v>
      </c>
      <c r="D175" s="38">
        <f>'T&amp;C01'!$D$74</f>
        <v>7</v>
      </c>
      <c r="E175" s="13">
        <v>1440</v>
      </c>
      <c r="F175" s="1320">
        <f>'T&amp;C01'!$G$72</f>
        <v>2</v>
      </c>
      <c r="G175" s="42">
        <f>'T&amp;C01'!$E$72</f>
        <v>0.91506849315068495</v>
      </c>
      <c r="H175" s="42">
        <f>'T&amp;C01'!$F$72</f>
        <v>0.8</v>
      </c>
      <c r="I175" s="10">
        <f t="shared" si="220"/>
        <v>14758.224657534249</v>
      </c>
      <c r="J175" s="10">
        <f>BP!K182/DAY(EOMONTH(C175,0))</f>
        <v>5051.5701578947383</v>
      </c>
      <c r="K175" s="10"/>
      <c r="L175" s="11">
        <f t="shared" si="210"/>
        <v>0.34228847135186086</v>
      </c>
      <c r="M175" s="12">
        <f t="shared" si="211"/>
        <v>0.34228847135186086</v>
      </c>
      <c r="N175" s="12">
        <f>M175/0.35</f>
        <v>0.97796706100531683</v>
      </c>
      <c r="O175" s="1350">
        <f t="shared" si="213"/>
        <v>1</v>
      </c>
      <c r="P175" s="13">
        <f>'Manpower Allocation'!$D$101</f>
        <v>21</v>
      </c>
      <c r="Q175" s="13"/>
      <c r="R175" s="13">
        <f t="shared" si="214"/>
        <v>21</v>
      </c>
      <c r="S175" s="312">
        <f>SUM('Manpower Allocation'!$D$122:$D$124)</f>
        <v>12</v>
      </c>
      <c r="T175" s="36">
        <f t="shared" si="215"/>
        <v>33</v>
      </c>
      <c r="U175" s="1327">
        <f t="shared" si="216"/>
        <v>14758.224657534249</v>
      </c>
      <c r="V175" s="614">
        <v>1</v>
      </c>
      <c r="W175" s="614"/>
      <c r="X175" s="21">
        <f t="shared" si="217"/>
        <v>0.34228847135186086</v>
      </c>
      <c r="Y175" s="614"/>
      <c r="Z175" s="614">
        <v>21</v>
      </c>
      <c r="AA175" s="614"/>
      <c r="AB175" s="614"/>
      <c r="AC175" s="157">
        <f t="shared" si="221"/>
        <v>42</v>
      </c>
      <c r="AD175" s="614"/>
      <c r="AE175" s="614"/>
      <c r="AF175" s="1325"/>
      <c r="AG175" s="614"/>
      <c r="AH175" s="614"/>
      <c r="AI175" s="614"/>
      <c r="AJ175" s="1016">
        <v>1</v>
      </c>
      <c r="AK175" s="907">
        <f t="shared" si="222"/>
        <v>21</v>
      </c>
      <c r="AL175" s="907">
        <f t="shared" si="223"/>
        <v>33</v>
      </c>
      <c r="AM175" s="907">
        <f t="shared" si="224"/>
        <v>98</v>
      </c>
      <c r="AN175" s="22">
        <f t="shared" si="218"/>
        <v>98</v>
      </c>
      <c r="AO175" s="22"/>
      <c r="AP175" s="22"/>
      <c r="AQ175" s="22"/>
      <c r="AR175" s="22"/>
      <c r="AS175" s="22"/>
      <c r="BO175" s="39">
        <f t="shared" si="225"/>
        <v>21454.576612422283</v>
      </c>
      <c r="BP175">
        <f t="shared" si="219"/>
        <v>98</v>
      </c>
      <c r="BQ175" s="46">
        <f t="shared" si="226"/>
        <v>218.92425114716616</v>
      </c>
    </row>
    <row r="176" spans="1:69">
      <c r="A176" s="13" t="s">
        <v>32</v>
      </c>
      <c r="B176" s="13" t="s">
        <v>360</v>
      </c>
      <c r="C176" s="5">
        <v>46357</v>
      </c>
      <c r="D176" s="38">
        <f>'T&amp;C01'!$D$74</f>
        <v>7</v>
      </c>
      <c r="E176" s="13">
        <v>1440</v>
      </c>
      <c r="F176" s="1320">
        <f>'T&amp;C01'!$G$72</f>
        <v>2</v>
      </c>
      <c r="G176" s="42">
        <f>'T&amp;C01'!$E$72</f>
        <v>0.91506849315068495</v>
      </c>
      <c r="H176" s="42">
        <f>'T&amp;C01'!$F$72</f>
        <v>0.8</v>
      </c>
      <c r="I176" s="10">
        <f t="shared" si="220"/>
        <v>14758.224657534249</v>
      </c>
      <c r="J176" s="10">
        <f>BP!L182/DAY(EOMONTH(C176,0))</f>
        <v>6250.0450594227495</v>
      </c>
      <c r="K176" s="10"/>
      <c r="L176" s="11">
        <f t="shared" si="210"/>
        <v>0.42349572556696563</v>
      </c>
      <c r="M176" s="12">
        <f t="shared" si="211"/>
        <v>0.42349572556696563</v>
      </c>
      <c r="N176" s="12">
        <f t="shared" si="212"/>
        <v>1.2833203805059563</v>
      </c>
      <c r="O176" s="1350">
        <f t="shared" si="213"/>
        <v>2</v>
      </c>
      <c r="P176" s="13">
        <f>'Manpower Allocation'!$D$101</f>
        <v>21</v>
      </c>
      <c r="Q176" s="13"/>
      <c r="R176" s="13">
        <f t="shared" si="214"/>
        <v>42</v>
      </c>
      <c r="S176" s="312">
        <f>SUM('Manpower Allocation'!$D$122:$D$124)</f>
        <v>12</v>
      </c>
      <c r="T176" s="36">
        <f t="shared" si="215"/>
        <v>54</v>
      </c>
      <c r="U176" s="1327">
        <f t="shared" si="216"/>
        <v>14758.224657534249</v>
      </c>
      <c r="V176" s="614">
        <v>1</v>
      </c>
      <c r="W176" s="614"/>
      <c r="X176" s="21">
        <f t="shared" si="217"/>
        <v>0.42349572556696563</v>
      </c>
      <c r="Y176" s="614"/>
      <c r="Z176" s="614">
        <v>21</v>
      </c>
      <c r="AA176" s="614"/>
      <c r="AB176" s="614"/>
      <c r="AC176">
        <f t="shared" si="221"/>
        <v>42</v>
      </c>
      <c r="AD176" s="614"/>
      <c r="AE176" s="614"/>
      <c r="AF176" s="1325"/>
      <c r="AG176" s="614"/>
      <c r="AH176" s="614"/>
      <c r="AI176" s="614"/>
      <c r="AJ176" s="1016">
        <v>1.5</v>
      </c>
      <c r="AK176" s="907">
        <f t="shared" si="222"/>
        <v>31.5</v>
      </c>
      <c r="AL176" s="907">
        <f t="shared" si="223"/>
        <v>43.5</v>
      </c>
      <c r="AM176" s="907">
        <f t="shared" si="224"/>
        <v>119</v>
      </c>
      <c r="AN176" s="22">
        <f t="shared" si="218"/>
        <v>119</v>
      </c>
      <c r="AO176" s="22"/>
      <c r="AP176" s="22"/>
      <c r="AQ176" s="22"/>
      <c r="AR176" s="22"/>
      <c r="AS176" s="22"/>
      <c r="BO176" s="39">
        <f t="shared" si="225"/>
        <v>23191.036884143286</v>
      </c>
      <c r="BP176">
        <f t="shared" si="219"/>
        <v>119</v>
      </c>
      <c r="BQ176" s="46">
        <f t="shared" si="226"/>
        <v>194.88266289196039</v>
      </c>
    </row>
    <row r="177" spans="1:78">
      <c r="A177" s="13" t="s">
        <v>32</v>
      </c>
      <c r="B177" s="13" t="s">
        <v>360</v>
      </c>
      <c r="C177" s="5">
        <v>46388</v>
      </c>
      <c r="D177" s="38">
        <f>'T&amp;C01'!$D$74</f>
        <v>7</v>
      </c>
      <c r="E177" s="13">
        <v>1440</v>
      </c>
      <c r="F177" s="1320">
        <f>'T&amp;C01'!$G$72</f>
        <v>2</v>
      </c>
      <c r="G177" s="42">
        <f>'T&amp;C01'!$E$72</f>
        <v>0.91506849315068495</v>
      </c>
      <c r="H177" s="42">
        <f>'T&amp;C01'!$F$72</f>
        <v>0.8</v>
      </c>
      <c r="I177" s="10">
        <f t="shared" si="220"/>
        <v>14758.224657534249</v>
      </c>
      <c r="J177" s="10">
        <f>BP!M182/DAY(EOMONTH(C177,0))</f>
        <v>7630.3789066213822</v>
      </c>
      <c r="K177" s="10"/>
      <c r="L177" s="11">
        <f t="shared" si="210"/>
        <v>0.51702552872617935</v>
      </c>
      <c r="M177" s="12">
        <f t="shared" si="211"/>
        <v>0.51702552872617935</v>
      </c>
      <c r="N177" s="12">
        <f t="shared" si="212"/>
        <v>1.5667440264429677</v>
      </c>
      <c r="O177" s="1350">
        <f t="shared" si="213"/>
        <v>2</v>
      </c>
      <c r="P177" s="13">
        <f>'Manpower Allocation'!$D$101</f>
        <v>21</v>
      </c>
      <c r="Q177" s="13"/>
      <c r="R177" s="13">
        <f t="shared" si="214"/>
        <v>42</v>
      </c>
      <c r="S177" s="312">
        <f>SUM('Manpower Allocation'!$D$122:$D$124)</f>
        <v>12</v>
      </c>
      <c r="T177" s="36">
        <f t="shared" si="215"/>
        <v>54</v>
      </c>
      <c r="U177" s="1327">
        <f t="shared" si="216"/>
        <v>14758.224657534249</v>
      </c>
      <c r="V177" s="614">
        <v>1</v>
      </c>
      <c r="W177" s="614"/>
      <c r="X177" s="21">
        <f t="shared" si="217"/>
        <v>0.51702552872617935</v>
      </c>
      <c r="Y177" s="614"/>
      <c r="Z177" s="614">
        <v>21</v>
      </c>
      <c r="AA177" s="614"/>
      <c r="AB177" s="614"/>
      <c r="AC177">
        <f t="shared" si="221"/>
        <v>42</v>
      </c>
      <c r="AD177" s="614"/>
      <c r="AE177" s="614"/>
      <c r="AF177" s="1325"/>
      <c r="AG177" s="614"/>
      <c r="AH177" s="614"/>
      <c r="AI177" s="614"/>
      <c r="AJ177" s="1016">
        <v>1.5</v>
      </c>
      <c r="AK177" s="907">
        <f t="shared" si="222"/>
        <v>31.5</v>
      </c>
      <c r="AL177" s="907">
        <f t="shared" si="223"/>
        <v>43.5</v>
      </c>
      <c r="AM177" s="907">
        <f t="shared" si="224"/>
        <v>119</v>
      </c>
      <c r="AN177" s="22">
        <f t="shared" si="218"/>
        <v>119</v>
      </c>
      <c r="AO177" s="22"/>
      <c r="AP177" s="22"/>
      <c r="AQ177" s="22"/>
      <c r="AR177" s="22"/>
      <c r="AS177" s="22"/>
      <c r="BO177" s="39">
        <f t="shared" si="225"/>
        <v>23582.330180426634</v>
      </c>
      <c r="BP177">
        <f t="shared" si="219"/>
        <v>119</v>
      </c>
      <c r="BQ177" s="46">
        <f t="shared" si="226"/>
        <v>198.17084185232466</v>
      </c>
    </row>
    <row r="178" spans="1:78">
      <c r="A178" s="13" t="s">
        <v>32</v>
      </c>
      <c r="B178" s="13" t="s">
        <v>360</v>
      </c>
      <c r="C178" s="5">
        <v>46419</v>
      </c>
      <c r="D178" s="38">
        <f>'T&amp;C01'!$D$74</f>
        <v>7</v>
      </c>
      <c r="E178" s="13">
        <v>1440</v>
      </c>
      <c r="F178" s="1320">
        <f>'T&amp;C01'!$G$72</f>
        <v>2</v>
      </c>
      <c r="G178" s="42">
        <f>'T&amp;C01'!$E$72</f>
        <v>0.91506849315068495</v>
      </c>
      <c r="H178" s="42">
        <f>'T&amp;C01'!$F$72</f>
        <v>0.8</v>
      </c>
      <c r="I178" s="10">
        <f t="shared" si="220"/>
        <v>14758.224657534249</v>
      </c>
      <c r="J178" s="10">
        <f>BP!N182/DAY(EOMONTH(C178,0))</f>
        <v>7716.4051796157091</v>
      </c>
      <c r="K178" s="10"/>
      <c r="L178" s="11">
        <f t="shared" si="210"/>
        <v>0.52285456812560394</v>
      </c>
      <c r="M178" s="12">
        <f t="shared" si="211"/>
        <v>0.52285456812560394</v>
      </c>
      <c r="N178" s="12">
        <f t="shared" si="212"/>
        <v>1.5844077821987996</v>
      </c>
      <c r="O178" s="1350">
        <f t="shared" si="213"/>
        <v>2</v>
      </c>
      <c r="P178" s="13">
        <f>'Manpower Allocation'!$D$101</f>
        <v>21</v>
      </c>
      <c r="Q178" s="13"/>
      <c r="R178" s="13">
        <f t="shared" si="214"/>
        <v>42</v>
      </c>
      <c r="S178" s="312">
        <f>SUM('Manpower Allocation'!$D$122:$D$124)</f>
        <v>12</v>
      </c>
      <c r="T178" s="36">
        <f t="shared" si="215"/>
        <v>54</v>
      </c>
      <c r="U178" s="1327">
        <f t="shared" si="216"/>
        <v>14758.224657534249</v>
      </c>
      <c r="V178" s="614">
        <v>1</v>
      </c>
      <c r="W178" s="614"/>
      <c r="X178" s="21">
        <f t="shared" si="217"/>
        <v>0.52285456812560394</v>
      </c>
      <c r="Y178" s="614"/>
      <c r="Z178" s="614">
        <v>21</v>
      </c>
      <c r="AA178" s="614"/>
      <c r="AB178" s="614"/>
      <c r="AC178">
        <f t="shared" si="221"/>
        <v>42</v>
      </c>
      <c r="AD178" s="614"/>
      <c r="AE178" s="614"/>
      <c r="AF178" s="1325"/>
      <c r="AG178" s="614"/>
      <c r="AH178" s="614"/>
      <c r="AI178" s="614"/>
      <c r="AJ178" s="1016">
        <v>2</v>
      </c>
      <c r="AK178" s="907">
        <f t="shared" si="222"/>
        <v>42</v>
      </c>
      <c r="AL178" s="907">
        <f t="shared" si="223"/>
        <v>54</v>
      </c>
      <c r="AM178" s="907">
        <f t="shared" si="224"/>
        <v>119</v>
      </c>
      <c r="AN178" s="22">
        <f t="shared" si="218"/>
        <v>119</v>
      </c>
      <c r="AO178" s="22"/>
      <c r="AP178" s="22"/>
      <c r="AQ178" s="22"/>
      <c r="AR178" s="22"/>
      <c r="AS178" s="22"/>
      <c r="BO178" s="39">
        <f t="shared" si="225"/>
        <v>23561.803323945664</v>
      </c>
      <c r="BP178">
        <f t="shared" si="219"/>
        <v>119</v>
      </c>
      <c r="BQ178" s="46">
        <f t="shared" si="226"/>
        <v>197.99834726004758</v>
      </c>
    </row>
    <row r="179" spans="1:78">
      <c r="A179" s="13" t="s">
        <v>32</v>
      </c>
      <c r="B179" s="13" t="s">
        <v>360</v>
      </c>
      <c r="C179" s="5">
        <v>46447</v>
      </c>
      <c r="D179" s="38">
        <f>'T&amp;C01'!$D$74</f>
        <v>7</v>
      </c>
      <c r="E179" s="13">
        <v>1440</v>
      </c>
      <c r="F179" s="1320">
        <f>'T&amp;C01'!$G$72</f>
        <v>2</v>
      </c>
      <c r="G179" s="42">
        <f>'T&amp;C01'!$E$72</f>
        <v>0.91506849315068495</v>
      </c>
      <c r="H179" s="42">
        <f>'T&amp;C01'!$F$72</f>
        <v>0.8</v>
      </c>
      <c r="I179" s="10">
        <f t="shared" si="220"/>
        <v>14758.224657534249</v>
      </c>
      <c r="J179" s="10">
        <f>BP!O182/DAY(EOMONTH(C179,0))</f>
        <v>6152.6783625731023</v>
      </c>
      <c r="K179" s="10"/>
      <c r="L179" s="11">
        <f t="shared" si="210"/>
        <v>0.41689827234281102</v>
      </c>
      <c r="M179" s="12">
        <f t="shared" si="211"/>
        <v>0.41689827234281102</v>
      </c>
      <c r="N179" s="12">
        <f t="shared" si="212"/>
        <v>1.2633280980085182</v>
      </c>
      <c r="O179" s="1350">
        <f t="shared" si="213"/>
        <v>2</v>
      </c>
      <c r="P179" s="13">
        <f>'Manpower Allocation'!$D$101</f>
        <v>21</v>
      </c>
      <c r="Q179" s="13"/>
      <c r="R179" s="13">
        <f t="shared" si="214"/>
        <v>42</v>
      </c>
      <c r="S179" s="312">
        <f>SUM('Manpower Allocation'!$D$122:$D$124)</f>
        <v>12</v>
      </c>
      <c r="T179" s="36">
        <f t="shared" si="215"/>
        <v>54</v>
      </c>
      <c r="U179" s="1327">
        <f t="shared" si="216"/>
        <v>14758.224657534249</v>
      </c>
      <c r="V179" s="614">
        <v>1</v>
      </c>
      <c r="W179" s="614"/>
      <c r="X179" s="21">
        <f t="shared" si="217"/>
        <v>0.41689827234281102</v>
      </c>
      <c r="Y179" s="614"/>
      <c r="Z179" s="614">
        <v>21</v>
      </c>
      <c r="AA179" s="614"/>
      <c r="AB179" s="614"/>
      <c r="AC179">
        <f t="shared" si="221"/>
        <v>42</v>
      </c>
      <c r="AD179" s="614"/>
      <c r="AE179" s="614"/>
      <c r="AF179" s="1325"/>
      <c r="AG179" s="614"/>
      <c r="AH179" s="614"/>
      <c r="AI179" s="614"/>
      <c r="AJ179" s="1016">
        <v>1.5</v>
      </c>
      <c r="AK179" s="907">
        <f t="shared" si="222"/>
        <v>31.5</v>
      </c>
      <c r="AL179" s="907">
        <f t="shared" si="223"/>
        <v>43.5</v>
      </c>
      <c r="AM179" s="907">
        <f t="shared" si="224"/>
        <v>119</v>
      </c>
      <c r="AN179" s="22">
        <f t="shared" si="218"/>
        <v>119</v>
      </c>
      <c r="AO179" s="22"/>
      <c r="AP179" s="22"/>
      <c r="AQ179" s="22"/>
      <c r="AR179" s="22"/>
      <c r="AS179" s="22"/>
      <c r="BO179" s="39">
        <f t="shared" si="225"/>
        <v>24403.065322086935</v>
      </c>
      <c r="BP179">
        <f t="shared" si="219"/>
        <v>119</v>
      </c>
      <c r="BQ179" s="46">
        <f t="shared" si="226"/>
        <v>205.06777581585661</v>
      </c>
    </row>
    <row r="180" spans="1:78">
      <c r="A180" s="22"/>
      <c r="B180" s="22"/>
      <c r="C180" s="611"/>
      <c r="D180" s="38"/>
      <c r="E180" s="13"/>
      <c r="F180" s="13"/>
      <c r="G180" s="42"/>
      <c r="H180" s="42"/>
      <c r="I180" s="10"/>
      <c r="J180" s="10"/>
      <c r="K180" s="10"/>
      <c r="L180" s="11"/>
      <c r="M180" s="12"/>
      <c r="N180" s="12"/>
      <c r="O180" s="1350"/>
      <c r="P180" s="13"/>
      <c r="Q180" s="13"/>
      <c r="R180" s="13"/>
      <c r="S180" s="13"/>
      <c r="T180" s="13"/>
      <c r="U180" s="22"/>
      <c r="V180" s="22"/>
      <c r="W180" s="22"/>
      <c r="X180" s="22"/>
      <c r="Y180" s="22"/>
      <c r="Z180" s="22"/>
      <c r="AA180" s="22"/>
      <c r="AB180" s="22"/>
      <c r="AC180" s="22"/>
      <c r="AD180" s="22"/>
      <c r="AE180" s="22"/>
      <c r="AF180" s="1325"/>
      <c r="AG180" s="22"/>
      <c r="AH180" s="22"/>
      <c r="AI180" s="22"/>
      <c r="AJ180" s="130"/>
      <c r="AK180" s="130"/>
      <c r="AL180" s="130"/>
      <c r="AM180" s="130"/>
      <c r="AN180" s="22"/>
      <c r="AO180" s="22"/>
      <c r="AP180" s="22"/>
      <c r="AQ180" s="22"/>
      <c r="AR180" s="22"/>
      <c r="AS180" s="22"/>
      <c r="BO180" s="39"/>
      <c r="BQ180" s="46"/>
    </row>
    <row r="181" spans="1:78">
      <c r="O181" s="1363">
        <f>AVERAGE(O168:O179)</f>
        <v>1.5</v>
      </c>
    </row>
    <row r="182" spans="1:78">
      <c r="A182" s="13" t="s">
        <v>32</v>
      </c>
      <c r="B182" s="13" t="s">
        <v>361</v>
      </c>
      <c r="C182" s="5">
        <v>46113</v>
      </c>
      <c r="D182" s="12">
        <f>'T&amp;C01'!$D$62</f>
        <v>4.9091770668167252</v>
      </c>
      <c r="E182" s="13">
        <v>1440</v>
      </c>
      <c r="F182" s="12">
        <f>'T&amp;C01'!$G$62</f>
        <v>3.8939451377877812</v>
      </c>
      <c r="G182" s="42">
        <f>'T&amp;C01'!$E$62</f>
        <v>0.89041095890410937</v>
      </c>
      <c r="H182" s="42">
        <f>'T&amp;C01'!$F$62</f>
        <v>0.79999999999999993</v>
      </c>
      <c r="I182" s="10">
        <f t="shared" ref="I182" si="227">H182*G182*F182*E182*D182</f>
        <v>19608.370339724454</v>
      </c>
      <c r="J182" s="47">
        <f>SUM(BP!D188,BP!D191,BP!D194)/DAY(EOMONTH(C182,0))</f>
        <v>22870.599037409709</v>
      </c>
      <c r="K182" s="47"/>
      <c r="L182" s="11">
        <f t="shared" si="210"/>
        <v>1.1663691903592992</v>
      </c>
      <c r="M182" s="12">
        <f t="shared" ref="M182:M193" si="228">J182/I182</f>
        <v>1.1663691903592992</v>
      </c>
      <c r="N182" s="12">
        <f t="shared" si="212"/>
        <v>3.5344520919978764</v>
      </c>
      <c r="O182" s="1350" t="str">
        <f t="shared" si="213"/>
        <v>3</v>
      </c>
      <c r="P182" s="13">
        <f>'Manpower Allocation'!$D$131</f>
        <v>10</v>
      </c>
      <c r="Q182" s="13"/>
      <c r="R182" s="13">
        <f>P182*O182</f>
        <v>30</v>
      </c>
      <c r="S182" s="13">
        <f>SUM('Manpower Allocation'!$D$125:$D$129)</f>
        <v>35</v>
      </c>
      <c r="T182" s="36">
        <f t="shared" ref="T182:T193" si="229">R182+S182</f>
        <v>65</v>
      </c>
      <c r="U182" s="1327">
        <f t="shared" ref="U182:U193" si="230">I182/V182</f>
        <v>19608.370339724454</v>
      </c>
      <c r="V182" s="614">
        <v>1</v>
      </c>
      <c r="W182" s="614"/>
      <c r="X182" s="21">
        <f t="shared" ref="X182:X193" si="231">IF(J182&gt;I182,V182,J182/U182)</f>
        <v>1</v>
      </c>
      <c r="Y182" s="614"/>
      <c r="Z182" s="614">
        <v>10</v>
      </c>
      <c r="AA182" s="614"/>
      <c r="AB182" s="614"/>
      <c r="AC182">
        <f t="shared" ref="AC182:AC193" si="232">IF(X182&lt;=0.33,1,(IF(X182&lt;=0.66,2,3)))*Z182</f>
        <v>30</v>
      </c>
      <c r="AD182" s="614"/>
      <c r="AE182" s="614"/>
      <c r="AF182" s="1325"/>
      <c r="AG182" s="614"/>
      <c r="AH182" s="614"/>
      <c r="AI182" s="614"/>
      <c r="AJ182" s="907">
        <v>3</v>
      </c>
      <c r="AK182" s="907">
        <f>AJ182*P182</f>
        <v>30</v>
      </c>
      <c r="AL182" s="907">
        <f>AK182+S182</f>
        <v>65</v>
      </c>
      <c r="AM182" s="907">
        <f>AL182+AL168</f>
        <v>98</v>
      </c>
      <c r="AN182" s="22"/>
      <c r="AO182" s="22"/>
      <c r="AP182" s="22"/>
      <c r="AQ182" s="22"/>
      <c r="AR182" s="22"/>
      <c r="AS182" s="22"/>
      <c r="AT182">
        <f t="shared" ref="AT182:AT193" si="233">T182+T168</f>
        <v>98</v>
      </c>
    </row>
    <row r="183" spans="1:78">
      <c r="A183" s="13" t="s">
        <v>32</v>
      </c>
      <c r="B183" s="13" t="s">
        <v>361</v>
      </c>
      <c r="C183" s="5">
        <v>46143</v>
      </c>
      <c r="D183" s="12">
        <f>'T&amp;C01'!$D$62</f>
        <v>4.9091770668167252</v>
      </c>
      <c r="E183" s="13">
        <v>1440</v>
      </c>
      <c r="F183" s="12">
        <f>'T&amp;C01'!$G$62</f>
        <v>3.8939451377877812</v>
      </c>
      <c r="G183" s="42">
        <f>'T&amp;C01'!$E$62</f>
        <v>0.89041095890410937</v>
      </c>
      <c r="H183" s="42">
        <f>'T&amp;C01'!$F$62</f>
        <v>0.79999999999999993</v>
      </c>
      <c r="I183" s="10">
        <f t="shared" ref="I183:I193" si="234">H183*G183*F183*E183*D183</f>
        <v>19608.370339724454</v>
      </c>
      <c r="J183" s="47">
        <f>SUM(BP!E188,BP!E191,BP!E194)/DAY(EOMONTH(C183,0))</f>
        <v>18252.806928072474</v>
      </c>
      <c r="K183" s="47"/>
      <c r="L183" s="11">
        <f t="shared" si="210"/>
        <v>0.93086812477701153</v>
      </c>
      <c r="M183" s="12">
        <f t="shared" si="228"/>
        <v>0.93086812477701153</v>
      </c>
      <c r="N183" s="12">
        <f t="shared" si="212"/>
        <v>2.8208124993242771</v>
      </c>
      <c r="O183" s="1350">
        <f t="shared" si="213"/>
        <v>3</v>
      </c>
      <c r="P183" s="13">
        <f>'Manpower Allocation'!$D$131</f>
        <v>10</v>
      </c>
      <c r="Q183" s="13"/>
      <c r="R183" s="13">
        <f t="shared" ref="R183:R193" si="235">P183*O183</f>
        <v>30</v>
      </c>
      <c r="S183" s="13">
        <f>SUM('Manpower Allocation'!$D$125:$D$129)</f>
        <v>35</v>
      </c>
      <c r="T183" s="36">
        <f t="shared" si="229"/>
        <v>65</v>
      </c>
      <c r="U183" s="1327">
        <f t="shared" si="230"/>
        <v>19608.370339724454</v>
      </c>
      <c r="V183" s="614">
        <v>1</v>
      </c>
      <c r="W183" s="614"/>
      <c r="X183" s="21">
        <f t="shared" si="231"/>
        <v>0.93086812477701153</v>
      </c>
      <c r="Y183" s="614"/>
      <c r="Z183" s="614">
        <v>10</v>
      </c>
      <c r="AA183" s="614"/>
      <c r="AB183" s="614"/>
      <c r="AC183">
        <f t="shared" si="232"/>
        <v>30</v>
      </c>
      <c r="AD183" s="614"/>
      <c r="AE183" s="614"/>
      <c r="AF183" s="1325"/>
      <c r="AG183" s="614"/>
      <c r="AH183" s="614"/>
      <c r="AI183" s="614"/>
      <c r="AJ183" s="907">
        <v>3</v>
      </c>
      <c r="AK183" s="907">
        <f t="shared" ref="AK183:AK193" si="236">AJ183*P183</f>
        <v>30</v>
      </c>
      <c r="AL183" s="907">
        <f t="shared" ref="AL183:AL193" si="237">AK183+S183</f>
        <v>65</v>
      </c>
      <c r="AM183" s="907">
        <f t="shared" ref="AM183:AM193" si="238">AL183+AL169</f>
        <v>98</v>
      </c>
      <c r="AN183" s="22"/>
      <c r="AO183" s="22"/>
      <c r="AP183" s="22"/>
      <c r="AQ183" s="22"/>
      <c r="AR183" s="22"/>
      <c r="AS183" s="22"/>
      <c r="AT183">
        <f t="shared" si="233"/>
        <v>98</v>
      </c>
      <c r="BQ183" s="763" t="s">
        <v>34</v>
      </c>
      <c r="BR183" s="763" t="s">
        <v>35</v>
      </c>
      <c r="BS183" s="764">
        <v>1</v>
      </c>
      <c r="BT183" s="765" t="s">
        <v>6</v>
      </c>
      <c r="BU183" s="765" t="s">
        <v>36</v>
      </c>
      <c r="BV183" s="763" t="s">
        <v>37</v>
      </c>
      <c r="BW183" s="766" t="s">
        <v>38</v>
      </c>
      <c r="BX183" s="765" t="s">
        <v>39</v>
      </c>
      <c r="BY183" s="765" t="s">
        <v>40</v>
      </c>
      <c r="BZ183" s="765" t="s">
        <v>41</v>
      </c>
    </row>
    <row r="184" spans="1:78">
      <c r="A184" s="13" t="s">
        <v>32</v>
      </c>
      <c r="B184" s="13" t="s">
        <v>361</v>
      </c>
      <c r="C184" s="5">
        <v>46174</v>
      </c>
      <c r="D184" s="12">
        <f>'T&amp;C01'!$D$62</f>
        <v>4.9091770668167252</v>
      </c>
      <c r="E184" s="13">
        <v>1440</v>
      </c>
      <c r="F184" s="12">
        <f>'T&amp;C01'!$G$62</f>
        <v>3.8939451377877812</v>
      </c>
      <c r="G184" s="42">
        <f>'T&amp;C01'!$E$62</f>
        <v>0.89041095890410937</v>
      </c>
      <c r="H184" s="42">
        <f>'T&amp;C01'!$F$62</f>
        <v>0.79999999999999993</v>
      </c>
      <c r="I184" s="10">
        <f t="shared" si="234"/>
        <v>19608.370339724454</v>
      </c>
      <c r="J184" s="47">
        <f>SUM(BP!F188,BP!F191,BP!F194)/DAY(EOMONTH(C184,0))</f>
        <v>16178.853533834912</v>
      </c>
      <c r="K184" s="47"/>
      <c r="L184" s="11">
        <f t="shared" si="210"/>
        <v>0.82509934551053898</v>
      </c>
      <c r="M184" s="12">
        <f t="shared" si="228"/>
        <v>0.82509934551053898</v>
      </c>
      <c r="N184" s="12">
        <f t="shared" si="212"/>
        <v>2.5003010470016331</v>
      </c>
      <c r="O184" s="1350">
        <f t="shared" si="213"/>
        <v>3</v>
      </c>
      <c r="P184" s="13">
        <f>'Manpower Allocation'!$D$131</f>
        <v>10</v>
      </c>
      <c r="Q184" s="13"/>
      <c r="R184" s="13">
        <f t="shared" si="235"/>
        <v>30</v>
      </c>
      <c r="S184" s="13">
        <f>SUM('Manpower Allocation'!$D$125:$D$129)</f>
        <v>35</v>
      </c>
      <c r="T184" s="36">
        <f t="shared" si="229"/>
        <v>65</v>
      </c>
      <c r="U184" s="1327">
        <f t="shared" si="230"/>
        <v>19608.370339724454</v>
      </c>
      <c r="V184" s="614">
        <v>1</v>
      </c>
      <c r="W184" s="614"/>
      <c r="X184" s="21">
        <f t="shared" si="231"/>
        <v>0.82509934551053898</v>
      </c>
      <c r="Y184" s="614"/>
      <c r="Z184" s="614">
        <v>10</v>
      </c>
      <c r="AA184" s="614"/>
      <c r="AB184" s="614"/>
      <c r="AC184">
        <f t="shared" si="232"/>
        <v>30</v>
      </c>
      <c r="AD184" s="614"/>
      <c r="AE184" s="614"/>
      <c r="AF184" s="1325"/>
      <c r="AG184" s="614"/>
      <c r="AH184" s="614"/>
      <c r="AI184" s="614"/>
      <c r="AJ184" s="907">
        <v>3</v>
      </c>
      <c r="AK184" s="907">
        <f t="shared" si="236"/>
        <v>30</v>
      </c>
      <c r="AL184" s="907">
        <f t="shared" si="237"/>
        <v>65</v>
      </c>
      <c r="AM184" s="907">
        <f t="shared" si="238"/>
        <v>98</v>
      </c>
      <c r="AN184" s="22"/>
      <c r="AO184" s="22"/>
      <c r="AP184" s="22"/>
      <c r="AQ184" s="22"/>
      <c r="AR184" s="22"/>
      <c r="AS184" s="22"/>
      <c r="AT184">
        <f t="shared" si="233"/>
        <v>98</v>
      </c>
      <c r="AW184">
        <v>86</v>
      </c>
      <c r="AX184">
        <v>86</v>
      </c>
      <c r="AY184">
        <v>86</v>
      </c>
      <c r="AZ184">
        <v>86</v>
      </c>
      <c r="BA184">
        <v>86</v>
      </c>
      <c r="BB184">
        <v>116</v>
      </c>
      <c r="BC184">
        <v>116</v>
      </c>
      <c r="BD184">
        <v>116</v>
      </c>
      <c r="BE184">
        <v>116</v>
      </c>
      <c r="BF184">
        <v>116</v>
      </c>
      <c r="BG184">
        <v>116</v>
      </c>
      <c r="BH184">
        <v>116</v>
      </c>
      <c r="BQ184" s="51" t="s">
        <v>33</v>
      </c>
      <c r="BR184" s="50">
        <v>6.5</v>
      </c>
      <c r="BS184" s="50">
        <f>BR184*24*60</f>
        <v>9360</v>
      </c>
      <c r="BT184" s="49">
        <v>0.8</v>
      </c>
      <c r="BU184" s="49">
        <v>0.85</v>
      </c>
      <c r="BV184" s="52">
        <f>BS184*BT184*BU184</f>
        <v>6364.8</v>
      </c>
      <c r="BW184" s="53">
        <f>BV184*4</f>
        <v>25459.200000000001</v>
      </c>
      <c r="BX184" s="77">
        <v>2146571</v>
      </c>
      <c r="BY184" s="54">
        <f>BX184/$BX$189</f>
        <v>0.36958763693338009</v>
      </c>
      <c r="BZ184" s="52">
        <f>BY184*BW184</f>
        <v>9409.405566214311</v>
      </c>
    </row>
    <row r="185" spans="1:78">
      <c r="A185" s="13" t="s">
        <v>32</v>
      </c>
      <c r="B185" s="13" t="s">
        <v>361</v>
      </c>
      <c r="C185" s="5">
        <v>46204</v>
      </c>
      <c r="D185" s="12">
        <f>'T&amp;C01'!$D$62</f>
        <v>4.9091770668167252</v>
      </c>
      <c r="E185" s="13">
        <v>1440</v>
      </c>
      <c r="F185" s="12">
        <f>'T&amp;C01'!$G$62</f>
        <v>3.8939451377877812</v>
      </c>
      <c r="G185" s="42">
        <f>'T&amp;C01'!$E$62</f>
        <v>0.89041095890410937</v>
      </c>
      <c r="H185" s="42">
        <f>'T&amp;C01'!$F$62</f>
        <v>0.79999999999999993</v>
      </c>
      <c r="I185" s="10">
        <f t="shared" si="234"/>
        <v>19608.370339724454</v>
      </c>
      <c r="J185" s="47">
        <f>SUM(BP!G188,BP!G191,BP!G194)/DAY(EOMONTH(C185,0))</f>
        <v>19106.5979253896</v>
      </c>
      <c r="K185" s="47"/>
      <c r="L185" s="11">
        <f t="shared" si="210"/>
        <v>0.97441029490766418</v>
      </c>
      <c r="M185" s="12">
        <f t="shared" si="228"/>
        <v>0.97441029490766418</v>
      </c>
      <c r="N185" s="12">
        <f t="shared" si="212"/>
        <v>2.952758469417164</v>
      </c>
      <c r="O185" s="1350">
        <f t="shared" si="213"/>
        <v>3</v>
      </c>
      <c r="P185" s="13">
        <f>'Manpower Allocation'!$D$131</f>
        <v>10</v>
      </c>
      <c r="Q185" s="13"/>
      <c r="R185" s="13">
        <f t="shared" si="235"/>
        <v>30</v>
      </c>
      <c r="S185" s="13">
        <f>SUM('Manpower Allocation'!$D$125:$D$129)</f>
        <v>35</v>
      </c>
      <c r="T185" s="36">
        <f t="shared" si="229"/>
        <v>65</v>
      </c>
      <c r="U185" s="1327">
        <f t="shared" si="230"/>
        <v>19608.370339724454</v>
      </c>
      <c r="V185" s="614">
        <v>1</v>
      </c>
      <c r="W185" s="614"/>
      <c r="X185" s="21">
        <f t="shared" si="231"/>
        <v>0.97441029490766418</v>
      </c>
      <c r="Y185" s="614"/>
      <c r="Z185" s="614">
        <v>10</v>
      </c>
      <c r="AA185" s="614"/>
      <c r="AB185" s="614"/>
      <c r="AC185">
        <f t="shared" si="232"/>
        <v>30</v>
      </c>
      <c r="AD185" s="614"/>
      <c r="AE185" s="614"/>
      <c r="AF185" s="1325"/>
      <c r="AG185" s="614"/>
      <c r="AH185" s="614"/>
      <c r="AI185" s="614"/>
      <c r="AJ185" s="907">
        <v>3</v>
      </c>
      <c r="AK185" s="907">
        <f t="shared" si="236"/>
        <v>30</v>
      </c>
      <c r="AL185" s="907">
        <f t="shared" si="237"/>
        <v>65</v>
      </c>
      <c r="AM185" s="907">
        <f t="shared" si="238"/>
        <v>98</v>
      </c>
      <c r="AN185" s="22"/>
      <c r="AO185" s="22"/>
      <c r="AP185" s="22"/>
      <c r="AQ185" s="22"/>
      <c r="AR185" s="22"/>
      <c r="AS185" s="22"/>
      <c r="AT185">
        <f t="shared" si="233"/>
        <v>98</v>
      </c>
      <c r="BQ185" s="51" t="s">
        <v>42</v>
      </c>
      <c r="BR185" s="50">
        <v>3.5</v>
      </c>
      <c r="BS185" s="50">
        <f t="shared" ref="BS185:BS188" si="239">BR185*24*60</f>
        <v>5040</v>
      </c>
      <c r="BT185" s="49">
        <v>0.8</v>
      </c>
      <c r="BU185" s="49">
        <v>0.85</v>
      </c>
      <c r="BV185" s="52">
        <f t="shared" ref="BV185:BV188" si="240">BS185*BT185*BU185</f>
        <v>3427.2</v>
      </c>
      <c r="BW185" s="53">
        <f t="shared" ref="BW185:BW188" si="241">BV185*4</f>
        <v>13708.8</v>
      </c>
      <c r="BX185" s="77">
        <v>3264245.2470016</v>
      </c>
      <c r="BY185" s="54">
        <f>BX185/$BX$189</f>
        <v>0.56202412462030793</v>
      </c>
      <c r="BZ185" s="52">
        <f t="shared" ref="BZ185:BZ188" si="242">BY185*BW185</f>
        <v>7704.676319594877</v>
      </c>
    </row>
    <row r="186" spans="1:78">
      <c r="A186" s="13" t="s">
        <v>32</v>
      </c>
      <c r="B186" s="13" t="s">
        <v>361</v>
      </c>
      <c r="C186" s="5">
        <v>46235</v>
      </c>
      <c r="D186" s="12">
        <f>'T&amp;C01'!$D$62</f>
        <v>4.9091770668167252</v>
      </c>
      <c r="E186" s="13">
        <v>1440</v>
      </c>
      <c r="F186" s="12">
        <f>'T&amp;C01'!$G$62</f>
        <v>3.8939451377877812</v>
      </c>
      <c r="G186" s="42">
        <f>'T&amp;C01'!$E$62</f>
        <v>0.89041095890410937</v>
      </c>
      <c r="H186" s="42">
        <f>'T&amp;C01'!$F$62</f>
        <v>0.79999999999999993</v>
      </c>
      <c r="I186" s="10">
        <f t="shared" si="234"/>
        <v>19608.370339724454</v>
      </c>
      <c r="J186" s="47">
        <f>SUM(BP!H188,BP!H191,BP!H194)/DAY(EOMONTH(C186,0))</f>
        <v>28060.688373235498</v>
      </c>
      <c r="K186" s="47"/>
      <c r="L186" s="11">
        <f t="shared" si="210"/>
        <v>1.4310566297489575</v>
      </c>
      <c r="M186" s="12">
        <f t="shared" si="228"/>
        <v>1.4310566297489575</v>
      </c>
      <c r="N186" s="12">
        <f t="shared" si="212"/>
        <v>4.3365352416635075</v>
      </c>
      <c r="O186" s="1350" t="str">
        <f t="shared" si="213"/>
        <v>3</v>
      </c>
      <c r="P186" s="13">
        <f>'Manpower Allocation'!$D$131</f>
        <v>10</v>
      </c>
      <c r="Q186" s="13"/>
      <c r="R186" s="13">
        <f t="shared" si="235"/>
        <v>30</v>
      </c>
      <c r="S186" s="13">
        <f>SUM('Manpower Allocation'!$D$125:$D$129)</f>
        <v>35</v>
      </c>
      <c r="T186" s="36">
        <f t="shared" si="229"/>
        <v>65</v>
      </c>
      <c r="U186" s="1327">
        <f t="shared" si="230"/>
        <v>19608.370339724454</v>
      </c>
      <c r="V186" s="614">
        <v>1</v>
      </c>
      <c r="W186" s="614"/>
      <c r="X186" s="21">
        <f t="shared" si="231"/>
        <v>1</v>
      </c>
      <c r="Y186" s="614"/>
      <c r="Z186" s="614">
        <v>10</v>
      </c>
      <c r="AA186" s="614"/>
      <c r="AB186" s="614"/>
      <c r="AC186">
        <f t="shared" si="232"/>
        <v>30</v>
      </c>
      <c r="AD186" s="614"/>
      <c r="AE186" s="614"/>
      <c r="AF186" s="1325"/>
      <c r="AG186" s="614"/>
      <c r="AH186" s="614"/>
      <c r="AI186" s="614"/>
      <c r="AJ186" s="907">
        <v>2</v>
      </c>
      <c r="AK186" s="907">
        <f t="shared" si="236"/>
        <v>20</v>
      </c>
      <c r="AL186" s="907">
        <f t="shared" si="237"/>
        <v>55</v>
      </c>
      <c r="AM186" s="907">
        <f t="shared" si="238"/>
        <v>88</v>
      </c>
      <c r="AN186" s="22"/>
      <c r="AO186" s="22"/>
      <c r="AP186" s="22"/>
      <c r="AQ186" s="22"/>
      <c r="AR186" s="22"/>
      <c r="AS186" s="22"/>
      <c r="AT186">
        <f t="shared" si="233"/>
        <v>98</v>
      </c>
      <c r="BQ186" s="51" t="s">
        <v>43</v>
      </c>
      <c r="BR186" s="50">
        <v>6.5</v>
      </c>
      <c r="BS186" s="50">
        <f t="shared" si="239"/>
        <v>9360</v>
      </c>
      <c r="BT186" s="49">
        <v>0.8</v>
      </c>
      <c r="BU186" s="49">
        <v>0.85</v>
      </c>
      <c r="BV186" s="52">
        <f t="shared" si="240"/>
        <v>6364.8</v>
      </c>
      <c r="BW186" s="53">
        <f t="shared" si="241"/>
        <v>25459.200000000001</v>
      </c>
      <c r="BX186" s="730"/>
      <c r="BY186" s="54">
        <f>BX186/$BX$189</f>
        <v>0</v>
      </c>
      <c r="BZ186" s="52">
        <f t="shared" si="242"/>
        <v>0</v>
      </c>
    </row>
    <row r="187" spans="1:78">
      <c r="A187" s="13" t="s">
        <v>32</v>
      </c>
      <c r="B187" s="13" t="s">
        <v>361</v>
      </c>
      <c r="C187" s="5">
        <v>46266</v>
      </c>
      <c r="D187" s="12">
        <f>'T&amp;C01'!$D$62</f>
        <v>4.9091770668167252</v>
      </c>
      <c r="E187" s="13">
        <v>1440</v>
      </c>
      <c r="F187" s="12">
        <f>'T&amp;C01'!$G$62</f>
        <v>3.8939451377877812</v>
      </c>
      <c r="G187" s="42">
        <f>'T&amp;C01'!$E$62</f>
        <v>0.89041095890410937</v>
      </c>
      <c r="H187" s="42">
        <f>'T&amp;C01'!$F$62</f>
        <v>0.79999999999999993</v>
      </c>
      <c r="I187" s="10">
        <f t="shared" si="234"/>
        <v>19608.370339724454</v>
      </c>
      <c r="J187" s="47">
        <f>SUM(BP!I188,BP!I191,BP!I194)/DAY(EOMONTH(C187,0))</f>
        <v>20106.698899736624</v>
      </c>
      <c r="K187" s="47"/>
      <c r="L187" s="11">
        <f t="shared" si="210"/>
        <v>1.0254140732441497</v>
      </c>
      <c r="M187" s="12">
        <f t="shared" si="228"/>
        <v>1.0254140732441497</v>
      </c>
      <c r="N187" s="12">
        <f t="shared" si="212"/>
        <v>3.1073153734671202</v>
      </c>
      <c r="O187" s="1350" t="str">
        <f t="shared" si="213"/>
        <v>3</v>
      </c>
      <c r="P187" s="13">
        <f>'Manpower Allocation'!$D$131</f>
        <v>10</v>
      </c>
      <c r="Q187" s="13"/>
      <c r="R187" s="13">
        <f t="shared" si="235"/>
        <v>30</v>
      </c>
      <c r="S187" s="13">
        <f>SUM('Manpower Allocation'!$D$125:$D$129)</f>
        <v>35</v>
      </c>
      <c r="T187" s="36">
        <f t="shared" si="229"/>
        <v>65</v>
      </c>
      <c r="U187" s="1327">
        <f t="shared" si="230"/>
        <v>19608.370339724454</v>
      </c>
      <c r="V187" s="614">
        <v>1</v>
      </c>
      <c r="W187" s="614"/>
      <c r="X187" s="21">
        <f t="shared" si="231"/>
        <v>1</v>
      </c>
      <c r="Y187" s="614"/>
      <c r="Z187" s="614">
        <v>10</v>
      </c>
      <c r="AA187" s="614"/>
      <c r="AB187" s="614"/>
      <c r="AC187">
        <f t="shared" si="232"/>
        <v>30</v>
      </c>
      <c r="AD187" s="614"/>
      <c r="AE187" s="614"/>
      <c r="AF187" s="1325"/>
      <c r="AG187" s="614"/>
      <c r="AH187" s="614"/>
      <c r="AI187" s="614"/>
      <c r="AJ187" s="907">
        <v>3</v>
      </c>
      <c r="AK187" s="907">
        <f t="shared" si="236"/>
        <v>30</v>
      </c>
      <c r="AL187" s="907">
        <f t="shared" si="237"/>
        <v>65</v>
      </c>
      <c r="AM187" s="907">
        <f t="shared" si="238"/>
        <v>98</v>
      </c>
      <c r="AN187" s="22"/>
      <c r="AO187" s="22"/>
      <c r="AP187" s="22"/>
      <c r="AQ187" s="22"/>
      <c r="AR187" s="22"/>
      <c r="AS187" s="22"/>
      <c r="AT187">
        <f t="shared" si="233"/>
        <v>119</v>
      </c>
      <c r="BQ187" s="51" t="s">
        <v>44</v>
      </c>
      <c r="BR187" s="50">
        <v>6.5</v>
      </c>
      <c r="BS187" s="50">
        <f t="shared" si="239"/>
        <v>9360</v>
      </c>
      <c r="BT187" s="49">
        <v>0.8</v>
      </c>
      <c r="BU187" s="49">
        <v>0.85</v>
      </c>
      <c r="BV187" s="52">
        <f t="shared" si="240"/>
        <v>6364.8</v>
      </c>
      <c r="BW187" s="53">
        <f t="shared" si="241"/>
        <v>25459.200000000001</v>
      </c>
      <c r="BX187" s="730">
        <v>0</v>
      </c>
      <c r="BY187" s="54">
        <f>BX187/$BX$189</f>
        <v>0</v>
      </c>
      <c r="BZ187" s="52">
        <f t="shared" si="242"/>
        <v>0</v>
      </c>
    </row>
    <row r="188" spans="1:78">
      <c r="A188" s="13" t="s">
        <v>32</v>
      </c>
      <c r="B188" s="13" t="s">
        <v>361</v>
      </c>
      <c r="C188" s="5">
        <v>46296</v>
      </c>
      <c r="D188" s="12">
        <f>'T&amp;C01'!$D$62</f>
        <v>4.9091770668167252</v>
      </c>
      <c r="E188" s="13">
        <v>1440</v>
      </c>
      <c r="F188" s="12">
        <f>'T&amp;C01'!$G$62</f>
        <v>3.8939451377877812</v>
      </c>
      <c r="G188" s="42">
        <f>'T&amp;C01'!$E$62</f>
        <v>0.89041095890410937</v>
      </c>
      <c r="H188" s="42">
        <f>'T&amp;C01'!$F$62</f>
        <v>0.79999999999999993</v>
      </c>
      <c r="I188" s="10">
        <f t="shared" si="234"/>
        <v>19608.370339724454</v>
      </c>
      <c r="J188" s="47">
        <f>SUM(BP!J188,BP!J191,BP!J194)/DAY(EOMONTH(C188,0))</f>
        <v>16403.006454527545</v>
      </c>
      <c r="K188" s="47"/>
      <c r="L188" s="11">
        <f t="shared" si="210"/>
        <v>0.83653083710362275</v>
      </c>
      <c r="M188" s="12">
        <f t="shared" si="228"/>
        <v>0.83653083710362275</v>
      </c>
      <c r="N188" s="12">
        <f t="shared" si="212"/>
        <v>2.5349419306170384</v>
      </c>
      <c r="O188" s="1350">
        <f t="shared" si="213"/>
        <v>3</v>
      </c>
      <c r="P188" s="13">
        <f>'Manpower Allocation'!$D$131</f>
        <v>10</v>
      </c>
      <c r="Q188" s="13"/>
      <c r="R188" s="13">
        <f t="shared" si="235"/>
        <v>30</v>
      </c>
      <c r="S188" s="13">
        <f>SUM('Manpower Allocation'!$D$125:$D$129)</f>
        <v>35</v>
      </c>
      <c r="T188" s="36">
        <f t="shared" si="229"/>
        <v>65</v>
      </c>
      <c r="U188" s="1327">
        <f t="shared" si="230"/>
        <v>19608.370339724454</v>
      </c>
      <c r="V188" s="614">
        <v>1</v>
      </c>
      <c r="W188" s="614"/>
      <c r="X188" s="21">
        <f t="shared" si="231"/>
        <v>0.83653083710362275</v>
      </c>
      <c r="Y188" s="614"/>
      <c r="Z188" s="614">
        <v>10</v>
      </c>
      <c r="AA188" s="614"/>
      <c r="AB188" s="614"/>
      <c r="AC188">
        <f t="shared" si="232"/>
        <v>30</v>
      </c>
      <c r="AD188" s="614"/>
      <c r="AE188" s="614"/>
      <c r="AF188" s="1325"/>
      <c r="AG188" s="614"/>
      <c r="AH188" s="614"/>
      <c r="AI188" s="614"/>
      <c r="AJ188" s="907">
        <v>2</v>
      </c>
      <c r="AK188" s="907">
        <f t="shared" si="236"/>
        <v>20</v>
      </c>
      <c r="AL188" s="907">
        <f t="shared" si="237"/>
        <v>55</v>
      </c>
      <c r="AM188" s="907">
        <f t="shared" si="238"/>
        <v>98.5</v>
      </c>
      <c r="AN188" s="22"/>
      <c r="AO188" s="22"/>
      <c r="AP188" s="22"/>
      <c r="AQ188" s="22"/>
      <c r="AR188" s="22"/>
      <c r="AS188" s="22"/>
      <c r="AT188">
        <f t="shared" si="233"/>
        <v>119</v>
      </c>
      <c r="BQ188" s="51" t="s">
        <v>45</v>
      </c>
      <c r="BR188" s="50">
        <v>6.5</v>
      </c>
      <c r="BS188" s="50">
        <f t="shared" si="239"/>
        <v>9360</v>
      </c>
      <c r="BT188" s="49">
        <v>0.8</v>
      </c>
      <c r="BU188" s="49">
        <v>0.85</v>
      </c>
      <c r="BV188" s="52">
        <f t="shared" si="240"/>
        <v>6364.8</v>
      </c>
      <c r="BW188" s="53">
        <f t="shared" si="241"/>
        <v>25459.200000000001</v>
      </c>
      <c r="BX188" s="730">
        <v>397200</v>
      </c>
      <c r="BY188" s="54">
        <f>BX188/$BX$189</f>
        <v>6.8388238446312088E-2</v>
      </c>
      <c r="BZ188" s="52">
        <f t="shared" si="242"/>
        <v>1741.1098402523487</v>
      </c>
    </row>
    <row r="189" spans="1:78">
      <c r="A189" s="13" t="s">
        <v>32</v>
      </c>
      <c r="B189" s="13" t="s">
        <v>361</v>
      </c>
      <c r="C189" s="5">
        <v>46327</v>
      </c>
      <c r="D189" s="12">
        <f>'T&amp;C01'!$D$62</f>
        <v>4.9091770668167252</v>
      </c>
      <c r="E189" s="13">
        <v>1440</v>
      </c>
      <c r="F189" s="12">
        <f>'T&amp;C01'!$G$62</f>
        <v>3.8939451377877812</v>
      </c>
      <c r="G189" s="42">
        <f>'T&amp;C01'!$E$62</f>
        <v>0.89041095890410937</v>
      </c>
      <c r="H189" s="42">
        <f>'T&amp;C01'!$F$62</f>
        <v>0.79999999999999993</v>
      </c>
      <c r="I189" s="10">
        <f t="shared" si="234"/>
        <v>19608.370339724454</v>
      </c>
      <c r="J189" s="47">
        <f>SUM(BP!K188,BP!K191,BP!K194)/DAY(EOMONTH(C189,0))</f>
        <v>16940.991824720535</v>
      </c>
      <c r="K189" s="47"/>
      <c r="L189" s="11">
        <f t="shared" si="210"/>
        <v>0.86396735328891172</v>
      </c>
      <c r="M189" s="12">
        <f t="shared" si="228"/>
        <v>0.86396735328891172</v>
      </c>
      <c r="N189" s="12">
        <f t="shared" si="212"/>
        <v>2.618082888754278</v>
      </c>
      <c r="O189" s="1350">
        <f t="shared" si="213"/>
        <v>3</v>
      </c>
      <c r="P189" s="13">
        <f>'Manpower Allocation'!$D$131</f>
        <v>10</v>
      </c>
      <c r="Q189" s="13"/>
      <c r="R189" s="13">
        <f t="shared" si="235"/>
        <v>30</v>
      </c>
      <c r="S189" s="13">
        <f>SUM('Manpower Allocation'!$D$125:$D$129)</f>
        <v>35</v>
      </c>
      <c r="T189" s="36">
        <f t="shared" si="229"/>
        <v>65</v>
      </c>
      <c r="U189" s="1327">
        <f t="shared" si="230"/>
        <v>19608.370339724454</v>
      </c>
      <c r="V189" s="614">
        <v>1</v>
      </c>
      <c r="W189" s="614"/>
      <c r="X189" s="21">
        <f t="shared" si="231"/>
        <v>0.86396735328891172</v>
      </c>
      <c r="Y189" s="614"/>
      <c r="Z189" s="614">
        <v>10</v>
      </c>
      <c r="AA189" s="614"/>
      <c r="AB189" s="614"/>
      <c r="AC189">
        <f t="shared" si="232"/>
        <v>30</v>
      </c>
      <c r="AD189" s="614"/>
      <c r="AE189" s="614"/>
      <c r="AF189" s="1325"/>
      <c r="AG189" s="614"/>
      <c r="AH189" s="614"/>
      <c r="AI189" s="614"/>
      <c r="AJ189" s="907">
        <v>2</v>
      </c>
      <c r="AK189" s="907">
        <f t="shared" si="236"/>
        <v>20</v>
      </c>
      <c r="AL189" s="907">
        <f t="shared" si="237"/>
        <v>55</v>
      </c>
      <c r="AM189" s="907">
        <f t="shared" si="238"/>
        <v>88</v>
      </c>
      <c r="AN189" s="22"/>
      <c r="AO189" s="22"/>
      <c r="AP189" s="22"/>
      <c r="AQ189" s="22"/>
      <c r="AR189" s="22"/>
      <c r="AS189" s="22"/>
      <c r="AT189">
        <f t="shared" si="233"/>
        <v>98</v>
      </c>
      <c r="BQ189" s="55"/>
      <c r="BR189">
        <f>SUMPRODUCT(BR184:BR188,BY184:BY188)</f>
        <v>4.8139276261390771</v>
      </c>
      <c r="BS189" s="55"/>
      <c r="BT189" s="55"/>
      <c r="BU189" s="55"/>
      <c r="BV189" s="55"/>
      <c r="BW189" s="55"/>
      <c r="BX189" s="56">
        <f>SUM(BX184:BX188)</f>
        <v>5808016.2470015995</v>
      </c>
      <c r="BY189" s="50"/>
      <c r="BZ189" s="57">
        <f>SUM(BZ184:BZ188)</f>
        <v>18855.191726061537</v>
      </c>
    </row>
    <row r="190" spans="1:78">
      <c r="A190" s="13" t="s">
        <v>32</v>
      </c>
      <c r="B190" s="13" t="s">
        <v>361</v>
      </c>
      <c r="C190" s="5">
        <v>46357</v>
      </c>
      <c r="D190" s="12">
        <f>'T&amp;C01'!$D$62</f>
        <v>4.9091770668167252</v>
      </c>
      <c r="E190" s="13">
        <v>1440</v>
      </c>
      <c r="F190" s="12">
        <f>'T&amp;C01'!$G$62</f>
        <v>3.8939451377877812</v>
      </c>
      <c r="G190" s="42">
        <f>'T&amp;C01'!$E$62</f>
        <v>0.89041095890410937</v>
      </c>
      <c r="H190" s="42">
        <f>'T&amp;C01'!$F$62</f>
        <v>0.79999999999999993</v>
      </c>
      <c r="I190" s="10">
        <f t="shared" si="234"/>
        <v>19608.370339724454</v>
      </c>
      <c r="J190" s="47">
        <f>SUM(BP!L188,BP!L191,BP!L194)/DAY(EOMONTH(C190,0))</f>
        <v>15951.951273805251</v>
      </c>
      <c r="K190" s="47"/>
      <c r="L190" s="11">
        <f t="shared" si="210"/>
        <v>0.81352764138120692</v>
      </c>
      <c r="M190" s="12">
        <f t="shared" si="228"/>
        <v>0.81352764138120692</v>
      </c>
      <c r="N190" s="12">
        <f t="shared" si="212"/>
        <v>2.4652352769127481</v>
      </c>
      <c r="O190" s="1350">
        <f t="shared" si="213"/>
        <v>3</v>
      </c>
      <c r="P190" s="13">
        <f>'Manpower Allocation'!$D$131</f>
        <v>10</v>
      </c>
      <c r="Q190" s="13"/>
      <c r="R190" s="13">
        <f t="shared" si="235"/>
        <v>30</v>
      </c>
      <c r="S190" s="13">
        <f>SUM('Manpower Allocation'!$D$125:$D$129)</f>
        <v>35</v>
      </c>
      <c r="T190" s="36">
        <f t="shared" si="229"/>
        <v>65</v>
      </c>
      <c r="U190" s="1327">
        <f t="shared" si="230"/>
        <v>19608.370339724454</v>
      </c>
      <c r="V190" s="614">
        <v>1</v>
      </c>
      <c r="W190" s="614"/>
      <c r="X190" s="21">
        <f t="shared" si="231"/>
        <v>0.81352764138120692</v>
      </c>
      <c r="Y190" s="614"/>
      <c r="Z190" s="614">
        <v>10</v>
      </c>
      <c r="AA190" s="614"/>
      <c r="AB190" s="614"/>
      <c r="AC190">
        <f t="shared" si="232"/>
        <v>30</v>
      </c>
      <c r="AD190" s="614"/>
      <c r="AE190" s="614"/>
      <c r="AF190" s="1325"/>
      <c r="AG190" s="614"/>
      <c r="AH190" s="614"/>
      <c r="AI190" s="614"/>
      <c r="AJ190" s="907">
        <v>2</v>
      </c>
      <c r="AK190" s="907">
        <f t="shared" si="236"/>
        <v>20</v>
      </c>
      <c r="AL190" s="907">
        <f t="shared" si="237"/>
        <v>55</v>
      </c>
      <c r="AM190" s="907">
        <f t="shared" si="238"/>
        <v>98.5</v>
      </c>
      <c r="AN190" s="22"/>
      <c r="AO190" s="22"/>
      <c r="AP190" s="22"/>
      <c r="AQ190" s="22"/>
      <c r="AR190" s="22"/>
      <c r="AS190" s="22"/>
      <c r="AT190">
        <f t="shared" si="233"/>
        <v>119</v>
      </c>
      <c r="BX190">
        <f>BX189/30</f>
        <v>193600.54156671997</v>
      </c>
    </row>
    <row r="191" spans="1:78">
      <c r="A191" s="13" t="s">
        <v>32</v>
      </c>
      <c r="B191" s="13" t="s">
        <v>361</v>
      </c>
      <c r="C191" s="5">
        <v>46388</v>
      </c>
      <c r="D191" s="12">
        <f>'T&amp;C01'!$D$62</f>
        <v>4.9091770668167252</v>
      </c>
      <c r="E191" s="13">
        <v>1440</v>
      </c>
      <c r="F191" s="12">
        <f>'T&amp;C01'!$G$62</f>
        <v>3.8939451377877812</v>
      </c>
      <c r="G191" s="42">
        <f>'T&amp;C01'!$E$62</f>
        <v>0.89041095890410937</v>
      </c>
      <c r="H191" s="42">
        <f>'T&amp;C01'!$F$62</f>
        <v>0.79999999999999993</v>
      </c>
      <c r="I191" s="10">
        <f t="shared" si="234"/>
        <v>19608.370339724454</v>
      </c>
      <c r="J191" s="47">
        <f>SUM(BP!M188,BP!M191,BP!M194)/DAY(EOMONTH(C191,0))</f>
        <v>15845.398144329953</v>
      </c>
      <c r="K191" s="47"/>
      <c r="L191" s="11">
        <f t="shared" si="210"/>
        <v>0.80809357788540315</v>
      </c>
      <c r="M191" s="12">
        <f t="shared" si="228"/>
        <v>0.80809357788540315</v>
      </c>
      <c r="N191" s="12">
        <f>M191/0.34</f>
        <v>2.3767458173100091</v>
      </c>
      <c r="O191" s="1350">
        <f t="shared" si="213"/>
        <v>3</v>
      </c>
      <c r="P191" s="13">
        <f>'Manpower Allocation'!$D$131</f>
        <v>10</v>
      </c>
      <c r="Q191" s="13"/>
      <c r="R191" s="13">
        <f t="shared" si="235"/>
        <v>30</v>
      </c>
      <c r="S191" s="13">
        <f>SUM('Manpower Allocation'!$D$125:$D$129)</f>
        <v>35</v>
      </c>
      <c r="T191" s="36">
        <f t="shared" si="229"/>
        <v>65</v>
      </c>
      <c r="U191" s="1327">
        <f t="shared" si="230"/>
        <v>19608.370339724454</v>
      </c>
      <c r="V191" s="614">
        <v>1</v>
      </c>
      <c r="W191" s="614"/>
      <c r="X191" s="21">
        <f t="shared" si="231"/>
        <v>0.80809357788540315</v>
      </c>
      <c r="Y191" s="614"/>
      <c r="Z191" s="614">
        <v>10</v>
      </c>
      <c r="AA191" s="614"/>
      <c r="AB191" s="614"/>
      <c r="AC191">
        <f t="shared" si="232"/>
        <v>30</v>
      </c>
      <c r="AD191" s="614"/>
      <c r="AE191" s="614"/>
      <c r="AF191" s="1325"/>
      <c r="AG191" s="614"/>
      <c r="AH191" s="614"/>
      <c r="AI191" s="614"/>
      <c r="AJ191" s="907">
        <v>2</v>
      </c>
      <c r="AK191" s="907">
        <f t="shared" si="236"/>
        <v>20</v>
      </c>
      <c r="AL191" s="907">
        <f t="shared" si="237"/>
        <v>55</v>
      </c>
      <c r="AM191" s="907">
        <f t="shared" si="238"/>
        <v>98.5</v>
      </c>
      <c r="AN191" s="22"/>
      <c r="AO191" s="22"/>
      <c r="AP191" s="22"/>
      <c r="AQ191" s="22"/>
      <c r="AR191" s="22"/>
      <c r="AS191" s="22"/>
      <c r="AT191">
        <f t="shared" si="233"/>
        <v>119</v>
      </c>
      <c r="BQ191" s="58" t="s">
        <v>32</v>
      </c>
      <c r="BR191" s="58" t="s">
        <v>35</v>
      </c>
      <c r="BS191" s="58" t="s">
        <v>46</v>
      </c>
      <c r="BT191" s="58" t="s">
        <v>36</v>
      </c>
      <c r="BU191" s="58" t="s">
        <v>27</v>
      </c>
      <c r="BV191" s="58" t="s">
        <v>47</v>
      </c>
    </row>
    <row r="192" spans="1:78">
      <c r="A192" s="13" t="s">
        <v>32</v>
      </c>
      <c r="B192" s="13" t="s">
        <v>361</v>
      </c>
      <c r="C192" s="5">
        <v>46419</v>
      </c>
      <c r="D192" s="12">
        <f>'T&amp;C01'!$D$62</f>
        <v>4.9091770668167252</v>
      </c>
      <c r="E192" s="13">
        <v>1440</v>
      </c>
      <c r="F192" s="12">
        <f>'T&amp;C01'!$G$62</f>
        <v>3.8939451377877812</v>
      </c>
      <c r="G192" s="42">
        <f>'T&amp;C01'!$E$62</f>
        <v>0.89041095890410937</v>
      </c>
      <c r="H192" s="42">
        <f>'T&amp;C01'!$F$62</f>
        <v>0.79999999999999993</v>
      </c>
      <c r="I192" s="10">
        <f t="shared" si="234"/>
        <v>19608.370339724454</v>
      </c>
      <c r="J192" s="47">
        <f>SUM(BP!N188,BP!N191,BP!N194)/DAY(EOMONTH(C192,0))</f>
        <v>18250.386959513835</v>
      </c>
      <c r="K192" s="47"/>
      <c r="L192" s="11">
        <f t="shared" si="210"/>
        <v>0.93074470969882239</v>
      </c>
      <c r="M192" s="12">
        <f t="shared" si="228"/>
        <v>0.93074470969882239</v>
      </c>
      <c r="N192" s="12">
        <f t="shared" si="212"/>
        <v>2.8204385142388557</v>
      </c>
      <c r="O192" s="1350">
        <f t="shared" si="213"/>
        <v>3</v>
      </c>
      <c r="P192" s="13">
        <f>'Manpower Allocation'!$D$131</f>
        <v>10</v>
      </c>
      <c r="Q192" s="13"/>
      <c r="R192" s="13">
        <f t="shared" si="235"/>
        <v>30</v>
      </c>
      <c r="S192" s="13">
        <f>SUM('Manpower Allocation'!$D$125:$D$129)</f>
        <v>35</v>
      </c>
      <c r="T192" s="36">
        <f t="shared" si="229"/>
        <v>65</v>
      </c>
      <c r="U192" s="1327">
        <f t="shared" si="230"/>
        <v>19608.370339724454</v>
      </c>
      <c r="V192" s="614">
        <v>1</v>
      </c>
      <c r="W192" s="614"/>
      <c r="X192" s="21">
        <f t="shared" si="231"/>
        <v>0.93074470969882239</v>
      </c>
      <c r="Y192" s="614"/>
      <c r="Z192" s="614">
        <v>10</v>
      </c>
      <c r="AA192" s="614"/>
      <c r="AB192" s="614"/>
      <c r="AC192">
        <f t="shared" si="232"/>
        <v>30</v>
      </c>
      <c r="AD192" s="614"/>
      <c r="AE192" s="614"/>
      <c r="AF192" s="1325"/>
      <c r="AG192" s="614"/>
      <c r="AH192" s="614"/>
      <c r="AI192" s="614"/>
      <c r="AJ192" s="907">
        <v>2</v>
      </c>
      <c r="AK192" s="907">
        <f t="shared" si="236"/>
        <v>20</v>
      </c>
      <c r="AL192" s="907">
        <f t="shared" si="237"/>
        <v>55</v>
      </c>
      <c r="AM192" s="907">
        <f t="shared" si="238"/>
        <v>109</v>
      </c>
      <c r="AN192" s="22"/>
      <c r="AO192" s="22"/>
      <c r="AP192" s="22"/>
      <c r="AQ192" s="22"/>
      <c r="AR192" s="22"/>
      <c r="AS192" s="22"/>
      <c r="AT192">
        <f t="shared" si="233"/>
        <v>119</v>
      </c>
      <c r="BQ192" s="59" t="s">
        <v>48</v>
      </c>
      <c r="BR192" s="59">
        <v>7</v>
      </c>
      <c r="BS192" s="60">
        <v>0.94</v>
      </c>
      <c r="BT192" s="60">
        <v>0.8</v>
      </c>
      <c r="BU192" s="59">
        <v>2</v>
      </c>
      <c r="BV192" s="61">
        <v>15200</v>
      </c>
    </row>
    <row r="193" spans="1:67">
      <c r="A193" s="13" t="s">
        <v>32</v>
      </c>
      <c r="B193" s="13" t="s">
        <v>361</v>
      </c>
      <c r="C193" s="5">
        <v>46447</v>
      </c>
      <c r="D193" s="12">
        <f>'T&amp;C01'!$D$62</f>
        <v>4.9091770668167252</v>
      </c>
      <c r="E193" s="13">
        <v>1440</v>
      </c>
      <c r="F193" s="12">
        <f>'T&amp;C01'!$G$62</f>
        <v>3.8939451377877812</v>
      </c>
      <c r="G193" s="42">
        <f>'T&amp;C01'!$E$62</f>
        <v>0.89041095890410937</v>
      </c>
      <c r="H193" s="42">
        <f>'T&amp;C01'!$F$62</f>
        <v>0.79999999999999993</v>
      </c>
      <c r="I193" s="10">
        <f t="shared" si="234"/>
        <v>19608.370339724454</v>
      </c>
      <c r="J193" s="47">
        <f>SUM(BP!O188,BP!O191,BP!O194)/DAY(EOMONTH(C193,0))</f>
        <v>17825.21273173378</v>
      </c>
      <c r="K193" s="47"/>
      <c r="L193" s="11">
        <f t="shared" si="210"/>
        <v>0.90906140708806449</v>
      </c>
      <c r="M193" s="12">
        <f t="shared" si="228"/>
        <v>0.90906140708806449</v>
      </c>
      <c r="N193" s="12">
        <f t="shared" si="212"/>
        <v>2.7547315366304983</v>
      </c>
      <c r="O193" s="1350">
        <f t="shared" si="213"/>
        <v>3</v>
      </c>
      <c r="P193" s="13">
        <f>'Manpower Allocation'!$D$131</f>
        <v>10</v>
      </c>
      <c r="Q193" s="13"/>
      <c r="R193" s="13">
        <f t="shared" si="235"/>
        <v>30</v>
      </c>
      <c r="S193" s="13">
        <f>SUM('Manpower Allocation'!$D$125:$D$129)</f>
        <v>35</v>
      </c>
      <c r="T193" s="36">
        <f t="shared" si="229"/>
        <v>65</v>
      </c>
      <c r="U193" s="1327">
        <f t="shared" si="230"/>
        <v>19608.370339724454</v>
      </c>
      <c r="V193" s="614">
        <v>1</v>
      </c>
      <c r="W193" s="614"/>
      <c r="X193" s="21">
        <f t="shared" si="231"/>
        <v>0.90906140708806449</v>
      </c>
      <c r="Y193" s="614"/>
      <c r="Z193" s="614">
        <v>10</v>
      </c>
      <c r="AA193" s="614"/>
      <c r="AB193" s="614"/>
      <c r="AC193">
        <f t="shared" si="232"/>
        <v>30</v>
      </c>
      <c r="AD193" s="614"/>
      <c r="AE193" s="614"/>
      <c r="AF193" s="1325"/>
      <c r="AG193" s="614"/>
      <c r="AH193" s="614"/>
      <c r="AI193" s="614"/>
      <c r="AJ193" s="907">
        <v>2</v>
      </c>
      <c r="AK193" s="907">
        <f t="shared" si="236"/>
        <v>20</v>
      </c>
      <c r="AL193" s="907">
        <f t="shared" si="237"/>
        <v>55</v>
      </c>
      <c r="AM193" s="907">
        <f t="shared" si="238"/>
        <v>98.5</v>
      </c>
      <c r="AN193" s="22"/>
      <c r="AO193" s="22"/>
      <c r="AP193" s="22"/>
      <c r="AQ193" s="22"/>
      <c r="AR193" s="22"/>
      <c r="AS193" s="22"/>
      <c r="AT193">
        <f t="shared" si="233"/>
        <v>119</v>
      </c>
    </row>
    <row r="194" spans="1:67">
      <c r="A194" s="22"/>
      <c r="B194" s="22"/>
      <c r="C194" s="611"/>
      <c r="D194" s="38"/>
      <c r="E194" s="13"/>
      <c r="F194" s="12"/>
      <c r="G194" s="42"/>
      <c r="H194" s="42"/>
      <c r="I194" s="10"/>
      <c r="J194" s="47"/>
      <c r="K194" s="47"/>
      <c r="L194" s="11"/>
      <c r="M194" s="12"/>
      <c r="N194" s="12"/>
      <c r="O194" s="395"/>
      <c r="P194" s="13"/>
      <c r="Q194" s="13"/>
      <c r="R194" s="13"/>
      <c r="S194" s="13"/>
      <c r="T194" s="13"/>
      <c r="U194" s="22"/>
      <c r="V194" s="22"/>
      <c r="W194" s="22"/>
      <c r="X194" s="22"/>
      <c r="Y194" s="22"/>
      <c r="Z194" s="22"/>
      <c r="AA194" s="22"/>
      <c r="AB194" s="22"/>
      <c r="AC194" s="22"/>
      <c r="AD194" s="22"/>
      <c r="AE194" s="22"/>
      <c r="AF194" s="1325"/>
      <c r="AG194" s="22"/>
      <c r="AH194" s="22"/>
      <c r="AI194" s="22"/>
      <c r="AJ194" s="130"/>
      <c r="AK194" s="130"/>
      <c r="AL194" s="130"/>
      <c r="AM194" s="130"/>
      <c r="AN194" s="22"/>
      <c r="AO194" s="22"/>
      <c r="AP194" s="22"/>
      <c r="AQ194" s="22"/>
      <c r="AR194" s="22"/>
      <c r="AS194" s="22"/>
    </row>
    <row r="195" spans="1:67">
      <c r="L195" s="62"/>
      <c r="O195" s="319">
        <f>AVERAGE(O182:O193)</f>
        <v>3</v>
      </c>
      <c r="AT195" s="40">
        <f>AVERAGE(AT182:AT193)</f>
        <v>108.5</v>
      </c>
      <c r="AU195" s="40"/>
      <c r="AV195" s="40"/>
      <c r="AW195" s="40"/>
      <c r="AX195" s="40"/>
      <c r="AY195" s="40"/>
      <c r="AZ195" s="40"/>
      <c r="BA195" s="40"/>
      <c r="BB195" s="40"/>
      <c r="BC195" s="40"/>
      <c r="BD195" s="40"/>
      <c r="BE195" s="40"/>
      <c r="BF195" s="40"/>
      <c r="BG195" s="40"/>
      <c r="BH195" s="40"/>
      <c r="BI195" s="40"/>
      <c r="BJ195" s="40"/>
      <c r="BK195" s="40"/>
      <c r="BL195" s="40"/>
      <c r="BM195" s="40"/>
      <c r="BN195" s="40"/>
    </row>
    <row r="196" spans="1:67" ht="43.5">
      <c r="A196" s="1" t="s">
        <v>0</v>
      </c>
      <c r="B196" s="1" t="s">
        <v>1</v>
      </c>
      <c r="C196" s="1" t="s">
        <v>2</v>
      </c>
      <c r="D196" s="799" t="s">
        <v>3</v>
      </c>
      <c r="E196" s="1" t="s">
        <v>4</v>
      </c>
      <c r="F196" s="1" t="s">
        <v>5</v>
      </c>
      <c r="G196" s="1" t="s">
        <v>6</v>
      </c>
      <c r="H196" s="1" t="s">
        <v>7</v>
      </c>
      <c r="I196" s="1" t="s">
        <v>8</v>
      </c>
      <c r="J196" s="1" t="s">
        <v>9</v>
      </c>
      <c r="K196" s="1"/>
      <c r="L196" s="1" t="s">
        <v>10</v>
      </c>
      <c r="M196" s="1" t="s">
        <v>10</v>
      </c>
      <c r="N196" s="1" t="s">
        <v>11</v>
      </c>
      <c r="O196" s="1" t="s">
        <v>11</v>
      </c>
      <c r="P196" s="1" t="s">
        <v>12</v>
      </c>
      <c r="Q196" s="1" t="s">
        <v>13</v>
      </c>
      <c r="R196" s="1" t="s">
        <v>13</v>
      </c>
      <c r="S196" s="1" t="s">
        <v>1251</v>
      </c>
      <c r="T196" s="1" t="s">
        <v>14</v>
      </c>
      <c r="U196" s="851" t="s">
        <v>1561</v>
      </c>
      <c r="V196" s="851" t="s">
        <v>1517</v>
      </c>
      <c r="W196" s="851" t="s">
        <v>1518</v>
      </c>
      <c r="X196" s="851" t="s">
        <v>873</v>
      </c>
      <c r="Y196" s="851" t="s">
        <v>1519</v>
      </c>
      <c r="Z196" s="851" t="s">
        <v>1520</v>
      </c>
      <c r="AA196" s="851" t="s">
        <v>1521</v>
      </c>
      <c r="AB196" s="851" t="s">
        <v>1521</v>
      </c>
      <c r="AC196" s="851" t="s">
        <v>1562</v>
      </c>
      <c r="AD196" s="851"/>
      <c r="AE196" s="851"/>
      <c r="AF196" s="1337"/>
      <c r="AG196" s="851"/>
      <c r="AH196" s="851"/>
      <c r="AI196" s="851"/>
      <c r="AJ196" s="935"/>
      <c r="AK196" s="935"/>
      <c r="AL196" s="935"/>
      <c r="AM196" s="935"/>
      <c r="AN196" s="851"/>
      <c r="AO196" s="851"/>
      <c r="AP196" s="851"/>
      <c r="AQ196" s="851"/>
      <c r="AR196" s="851"/>
      <c r="AS196" s="851"/>
    </row>
    <row r="197" spans="1:67">
      <c r="A197" s="13" t="s">
        <v>49</v>
      </c>
      <c r="B197" s="13" t="s">
        <v>362</v>
      </c>
      <c r="C197" s="5">
        <v>46113</v>
      </c>
      <c r="D197" s="38"/>
      <c r="E197" s="13"/>
      <c r="F197" s="13"/>
      <c r="G197" s="13"/>
      <c r="H197" s="13"/>
      <c r="I197" s="13"/>
      <c r="J197" s="47">
        <f>BP!D191/DAY(EOMONTH(C197,0))</f>
        <v>15347.054674855948</v>
      </c>
      <c r="K197" s="47"/>
      <c r="L197" s="13"/>
      <c r="M197" s="13">
        <f>6200/223</f>
        <v>27.802690582959642</v>
      </c>
      <c r="N197" s="13">
        <f>J197/M197</f>
        <v>551.9989020149801</v>
      </c>
      <c r="O197" s="13"/>
      <c r="P197" s="13"/>
      <c r="Q197" s="13"/>
      <c r="R197" s="38">
        <f>'CSP Working 1st Draft'!F$26</f>
        <v>273</v>
      </c>
      <c r="S197" s="38">
        <f>'CSP Working 1st Draft'!F$27</f>
        <v>39</v>
      </c>
      <c r="T197" s="38">
        <f>R197+S197</f>
        <v>312</v>
      </c>
      <c r="U197" s="1343">
        <v>312</v>
      </c>
      <c r="V197" s="614"/>
      <c r="W197" s="614"/>
      <c r="X197" s="614"/>
      <c r="Y197" s="614"/>
      <c r="Z197" s="614"/>
      <c r="AA197" s="614"/>
      <c r="AB197" s="614"/>
      <c r="AC197" s="614"/>
      <c r="AD197" s="614"/>
      <c r="AE197" s="614"/>
      <c r="AF197" s="1325"/>
      <c r="AG197" s="614"/>
      <c r="AH197" s="614"/>
      <c r="AI197" s="614"/>
      <c r="AJ197" s="907"/>
      <c r="AK197" s="907"/>
      <c r="AL197" s="907"/>
      <c r="AM197" s="907"/>
      <c r="AN197" s="614"/>
      <c r="AO197" s="614"/>
      <c r="AP197" s="614"/>
      <c r="AQ197" s="614"/>
      <c r="AR197" s="614"/>
      <c r="AS197" s="614"/>
      <c r="BO197" s="40">
        <f t="shared" ref="BO197:BO208" si="243">J197/T197</f>
        <v>49.189277804025473</v>
      </c>
    </row>
    <row r="198" spans="1:67">
      <c r="A198" s="13" t="s">
        <v>49</v>
      </c>
      <c r="B198" s="13" t="s">
        <v>362</v>
      </c>
      <c r="C198" s="5">
        <v>46143</v>
      </c>
      <c r="D198" s="38"/>
      <c r="E198" s="13"/>
      <c r="F198" s="13"/>
      <c r="G198" s="13"/>
      <c r="H198" s="13"/>
      <c r="I198" s="13"/>
      <c r="J198" s="47">
        <f>BP!E191/DAY(EOMONTH(C198,0))</f>
        <v>10285.954409279861</v>
      </c>
      <c r="K198" s="47"/>
      <c r="L198" s="13"/>
      <c r="M198" s="13">
        <f t="shared" ref="M198:M208" si="244">6200/223</f>
        <v>27.802690582959642</v>
      </c>
      <c r="N198" s="13">
        <f t="shared" ref="N198:N208" si="245">J198/M198</f>
        <v>369.96255375313046</v>
      </c>
      <c r="O198" s="13"/>
      <c r="P198" s="13"/>
      <c r="Q198" s="13"/>
      <c r="R198" s="38">
        <f>'CSP Working 1st Draft'!H$26</f>
        <v>259</v>
      </c>
      <c r="S198" s="38">
        <f>'CSP Working 1st Draft'!H$27</f>
        <v>39</v>
      </c>
      <c r="T198" s="1344">
        <f t="shared" ref="T198:T207" si="246">R198+S198</f>
        <v>298</v>
      </c>
      <c r="U198" s="614">
        <v>262</v>
      </c>
      <c r="V198" s="614"/>
      <c r="W198" s="614"/>
      <c r="X198" s="614"/>
      <c r="Y198" s="614"/>
      <c r="Z198" s="614"/>
      <c r="AA198" s="614"/>
      <c r="AB198" s="614"/>
      <c r="AC198" s="614"/>
      <c r="AD198" s="614"/>
      <c r="AE198" s="614"/>
      <c r="AF198" s="1325"/>
      <c r="AG198" s="614"/>
      <c r="AH198" s="614"/>
      <c r="AI198" s="614"/>
      <c r="AJ198" s="907"/>
      <c r="AK198" s="907"/>
      <c r="AL198" s="907"/>
      <c r="AM198" s="907"/>
      <c r="AN198" s="614"/>
      <c r="AO198" s="614"/>
      <c r="AP198" s="614"/>
      <c r="AQ198" s="614"/>
      <c r="AR198" s="614"/>
      <c r="AS198" s="614"/>
      <c r="BO198" s="40">
        <f t="shared" si="243"/>
        <v>34.516625534496178</v>
      </c>
    </row>
    <row r="199" spans="1:67">
      <c r="A199" s="13" t="s">
        <v>49</v>
      </c>
      <c r="B199" s="13" t="s">
        <v>362</v>
      </c>
      <c r="C199" s="5">
        <v>46174</v>
      </c>
      <c r="D199" s="38"/>
      <c r="E199" s="13"/>
      <c r="F199" s="13"/>
      <c r="G199" s="13"/>
      <c r="H199" s="13"/>
      <c r="I199" s="13"/>
      <c r="J199" s="47">
        <f>BP!F191/DAY(EOMONTH(C199,0))</f>
        <v>9206.1022335126581</v>
      </c>
      <c r="K199" s="47"/>
      <c r="L199" s="13"/>
      <c r="M199" s="13">
        <f t="shared" si="244"/>
        <v>27.802690582959642</v>
      </c>
      <c r="N199" s="13">
        <f t="shared" si="245"/>
        <v>331.12270936666494</v>
      </c>
      <c r="O199" s="13"/>
      <c r="P199" s="13"/>
      <c r="Q199" s="13"/>
      <c r="R199" s="38">
        <f>'CSP Working 1st Draft'!J$26</f>
        <v>249</v>
      </c>
      <c r="S199" s="38">
        <f>'CSP Working 1st Draft'!J$27</f>
        <v>39</v>
      </c>
      <c r="T199" s="1344">
        <f t="shared" si="246"/>
        <v>288</v>
      </c>
      <c r="U199" s="614">
        <v>262</v>
      </c>
      <c r="V199" s="614" t="s">
        <v>1601</v>
      </c>
      <c r="W199" s="614"/>
      <c r="X199" s="614"/>
      <c r="Y199" s="614"/>
      <c r="Z199" s="614"/>
      <c r="AA199" s="614"/>
      <c r="AB199" s="614"/>
      <c r="AC199" s="614"/>
      <c r="AD199" s="614"/>
      <c r="AE199" s="614"/>
      <c r="AF199" s="1325"/>
      <c r="AG199" s="614"/>
      <c r="AH199" s="614"/>
      <c r="AI199" s="614"/>
      <c r="AJ199" s="907"/>
      <c r="AK199" s="907"/>
      <c r="AL199" s="907"/>
      <c r="AM199" s="907"/>
      <c r="AN199" s="614"/>
      <c r="AO199" s="614"/>
      <c r="AP199" s="614"/>
      <c r="AQ199" s="614"/>
      <c r="AR199" s="614"/>
      <c r="AS199" s="614"/>
      <c r="BO199" s="40">
        <f t="shared" si="243"/>
        <v>31.965632755252287</v>
      </c>
    </row>
    <row r="200" spans="1:67">
      <c r="A200" s="13" t="s">
        <v>49</v>
      </c>
      <c r="B200" s="13" t="s">
        <v>362</v>
      </c>
      <c r="C200" s="5">
        <v>46204</v>
      </c>
      <c r="D200" s="38"/>
      <c r="E200" s="13"/>
      <c r="F200" s="13"/>
      <c r="G200" s="13"/>
      <c r="H200" s="13"/>
      <c r="I200" s="13"/>
      <c r="J200" s="47">
        <f>BP!G191/DAY(EOMONTH(C200,0))</f>
        <v>12100.98826829652</v>
      </c>
      <c r="K200" s="47"/>
      <c r="L200" s="13"/>
      <c r="M200" s="13">
        <f t="shared" si="244"/>
        <v>27.802690582959642</v>
      </c>
      <c r="N200" s="13">
        <f t="shared" si="245"/>
        <v>435.24522319840707</v>
      </c>
      <c r="O200" s="13"/>
      <c r="P200" s="13"/>
      <c r="Q200" s="13"/>
      <c r="R200" s="38">
        <f>'CSP Working 1st Draft'!L$26</f>
        <v>266</v>
      </c>
      <c r="S200" s="38">
        <f>'CSP Working 1st Draft'!L$27</f>
        <v>39</v>
      </c>
      <c r="T200" s="38">
        <f t="shared" si="246"/>
        <v>305</v>
      </c>
      <c r="U200" s="614">
        <v>312</v>
      </c>
      <c r="V200" s="614"/>
      <c r="W200" s="614"/>
      <c r="X200" s="614"/>
      <c r="Y200" s="614"/>
      <c r="Z200" s="614"/>
      <c r="AA200" s="614"/>
      <c r="AB200" s="614"/>
      <c r="AC200" s="614"/>
      <c r="AD200" s="614"/>
      <c r="AE200" s="614"/>
      <c r="AF200" s="1325"/>
      <c r="AG200" s="614"/>
      <c r="AH200" s="614"/>
      <c r="AI200" s="614"/>
      <c r="AJ200" s="907"/>
      <c r="AK200" s="907"/>
      <c r="AL200" s="907"/>
      <c r="AM200" s="907"/>
      <c r="AN200" s="614"/>
      <c r="AO200" s="614"/>
      <c r="AP200" s="614"/>
      <c r="AQ200" s="614"/>
      <c r="AR200" s="614"/>
      <c r="AS200" s="614"/>
      <c r="BO200" s="40">
        <f t="shared" si="243"/>
        <v>39.675371371464003</v>
      </c>
    </row>
    <row r="201" spans="1:67">
      <c r="A201" s="13" t="s">
        <v>49</v>
      </c>
      <c r="B201" s="13" t="s">
        <v>362</v>
      </c>
      <c r="C201" s="5">
        <v>46235</v>
      </c>
      <c r="D201" s="38"/>
      <c r="E201" s="13"/>
      <c r="F201" s="13"/>
      <c r="G201" s="13"/>
      <c r="H201" s="13"/>
      <c r="I201" s="13"/>
      <c r="J201" s="47">
        <f>BP!H191/DAY(EOMONTH(C201,0))</f>
        <v>20542.260631347624</v>
      </c>
      <c r="K201" s="47"/>
      <c r="L201" s="13"/>
      <c r="M201" s="13">
        <f t="shared" si="244"/>
        <v>27.802690582959642</v>
      </c>
      <c r="N201" s="13">
        <f t="shared" si="245"/>
        <v>738.85872915976131</v>
      </c>
      <c r="O201" s="13"/>
      <c r="P201" s="13"/>
      <c r="Q201" s="13"/>
      <c r="R201" s="38">
        <f>'CSP Working 1st Draft'!N$26</f>
        <v>276</v>
      </c>
      <c r="S201" s="38">
        <f>'CSP Working 1st Draft'!N$27</f>
        <v>39</v>
      </c>
      <c r="T201" s="38">
        <f t="shared" si="246"/>
        <v>315</v>
      </c>
      <c r="U201" s="614">
        <v>312</v>
      </c>
      <c r="V201" s="614"/>
      <c r="W201" s="614"/>
      <c r="X201" s="614"/>
      <c r="Y201" s="614"/>
      <c r="Z201" s="614"/>
      <c r="AA201" s="614"/>
      <c r="AB201" s="614"/>
      <c r="AC201" s="614"/>
      <c r="AD201" s="614"/>
      <c r="AE201" s="614"/>
      <c r="AF201" s="1325"/>
      <c r="AG201" s="614"/>
      <c r="AH201" s="614"/>
      <c r="AI201" s="614"/>
      <c r="AJ201" s="907"/>
      <c r="AK201" s="907"/>
      <c r="AL201" s="907"/>
      <c r="AM201" s="907"/>
      <c r="AN201" s="614"/>
      <c r="AO201" s="614"/>
      <c r="AP201" s="614"/>
      <c r="AQ201" s="614"/>
      <c r="AR201" s="614"/>
      <c r="AS201" s="614"/>
      <c r="BO201" s="40">
        <f t="shared" si="243"/>
        <v>65.213525813801979</v>
      </c>
    </row>
    <row r="202" spans="1:67">
      <c r="A202" s="13" t="s">
        <v>49</v>
      </c>
      <c r="B202" s="13" t="s">
        <v>362</v>
      </c>
      <c r="C202" s="5">
        <v>46266</v>
      </c>
      <c r="D202" s="38"/>
      <c r="E202" s="13"/>
      <c r="F202" s="13"/>
      <c r="G202" s="13"/>
      <c r="H202" s="13"/>
      <c r="I202" s="13"/>
      <c r="J202" s="47">
        <f>BP!I191/DAY(EOMONTH(C202,0))</f>
        <v>11342.677296315534</v>
      </c>
      <c r="K202" s="47"/>
      <c r="L202" s="13"/>
      <c r="M202" s="13">
        <f t="shared" si="244"/>
        <v>27.802690582959642</v>
      </c>
      <c r="N202" s="13">
        <f t="shared" si="245"/>
        <v>407.97048985134904</v>
      </c>
      <c r="O202" s="13"/>
      <c r="P202" s="13"/>
      <c r="Q202" s="13"/>
      <c r="R202" s="38">
        <f>'CSP Working 1st Draft'!P$26</f>
        <v>259</v>
      </c>
      <c r="S202" s="38">
        <f>'CSP Working 1st Draft'!P$27</f>
        <v>39</v>
      </c>
      <c r="T202" s="38">
        <f t="shared" si="246"/>
        <v>298</v>
      </c>
      <c r="U202" s="614">
        <v>312</v>
      </c>
      <c r="V202" s="614"/>
      <c r="W202" s="614"/>
      <c r="X202" s="614"/>
      <c r="Y202" s="614"/>
      <c r="Z202" s="614"/>
      <c r="AA202" s="614"/>
      <c r="AB202" s="614"/>
      <c r="AC202" s="614"/>
      <c r="AD202" s="614"/>
      <c r="AE202" s="614"/>
      <c r="AF202" s="1325"/>
      <c r="AG202" s="614"/>
      <c r="AH202" s="614"/>
      <c r="AI202" s="614"/>
      <c r="AJ202" s="907"/>
      <c r="AK202" s="907"/>
      <c r="AL202" s="907"/>
      <c r="AM202" s="907"/>
      <c r="AN202" s="614"/>
      <c r="AO202" s="614"/>
      <c r="AP202" s="614"/>
      <c r="AQ202" s="614"/>
      <c r="AR202" s="614"/>
      <c r="AS202" s="614"/>
      <c r="BO202" s="40">
        <f t="shared" si="243"/>
        <v>38.06267549099173</v>
      </c>
    </row>
    <row r="203" spans="1:67">
      <c r="A203" s="13" t="s">
        <v>49</v>
      </c>
      <c r="B203" s="13" t="s">
        <v>362</v>
      </c>
      <c r="C203" s="5">
        <v>46296</v>
      </c>
      <c r="D203" s="38"/>
      <c r="E203" s="13"/>
      <c r="F203" s="13"/>
      <c r="G203" s="13"/>
      <c r="H203" s="13"/>
      <c r="I203" s="13"/>
      <c r="J203" s="47">
        <f>BP!J191/DAY(EOMONTH(C203,0))</f>
        <v>9358.4119616767875</v>
      </c>
      <c r="K203" s="47"/>
      <c r="L203" s="13"/>
      <c r="M203" s="13">
        <f t="shared" si="244"/>
        <v>27.802690582959642</v>
      </c>
      <c r="N203" s="13">
        <f t="shared" si="245"/>
        <v>336.60094636353608</v>
      </c>
      <c r="O203" s="13"/>
      <c r="P203" s="13"/>
      <c r="Q203" s="13"/>
      <c r="R203" s="38">
        <f>'CSP Working 1st Draft'!R$26</f>
        <v>257</v>
      </c>
      <c r="S203" s="38">
        <f>'CSP Working 1st Draft'!R$27</f>
        <v>39</v>
      </c>
      <c r="T203" s="1344">
        <f t="shared" si="246"/>
        <v>296</v>
      </c>
      <c r="U203" s="614">
        <v>262</v>
      </c>
      <c r="V203" s="614" t="s">
        <v>1601</v>
      </c>
      <c r="W203" s="614"/>
      <c r="X203" s="614"/>
      <c r="Y203" s="614"/>
      <c r="Z203" s="614"/>
      <c r="AA203" s="614"/>
      <c r="AB203" s="614"/>
      <c r="AC203" s="614"/>
      <c r="AD203" s="614"/>
      <c r="AE203" s="614"/>
      <c r="AF203" s="1325"/>
      <c r="AG203" s="614"/>
      <c r="AH203" s="614"/>
      <c r="AI203" s="614"/>
      <c r="AJ203" s="907"/>
      <c r="AK203" s="907"/>
      <c r="AL203" s="907"/>
      <c r="AM203" s="907"/>
      <c r="AN203" s="614"/>
      <c r="AO203" s="614"/>
      <c r="AP203" s="614"/>
      <c r="AQ203" s="614"/>
      <c r="AR203" s="614"/>
      <c r="AS203" s="614"/>
      <c r="BO203" s="40">
        <f t="shared" si="243"/>
        <v>31.616256627286443</v>
      </c>
    </row>
    <row r="204" spans="1:67">
      <c r="A204" s="13" t="s">
        <v>49</v>
      </c>
      <c r="B204" s="13" t="s">
        <v>362</v>
      </c>
      <c r="C204" s="5">
        <v>46327</v>
      </c>
      <c r="D204" s="38"/>
      <c r="E204" s="13"/>
      <c r="F204" s="13"/>
      <c r="G204" s="13"/>
      <c r="H204" s="13"/>
      <c r="I204" s="13"/>
      <c r="J204" s="47">
        <f>BP!K191/DAY(EOMONTH(C204,0))</f>
        <v>7936.7272047885381</v>
      </c>
      <c r="K204" s="47"/>
      <c r="L204" s="13"/>
      <c r="M204" s="13">
        <f t="shared" si="244"/>
        <v>27.802690582959642</v>
      </c>
      <c r="N204" s="13">
        <f t="shared" si="245"/>
        <v>285.46615591416838</v>
      </c>
      <c r="O204" s="13"/>
      <c r="P204" s="13"/>
      <c r="Q204" s="13"/>
      <c r="R204" s="38">
        <f>'CSP Working 1st Draft'!T$26</f>
        <v>225.5</v>
      </c>
      <c r="S204" s="38">
        <f>'CSP Working 1st Draft'!T$27</f>
        <v>39</v>
      </c>
      <c r="T204" s="38">
        <f t="shared" si="246"/>
        <v>264.5</v>
      </c>
      <c r="U204" s="614">
        <v>262</v>
      </c>
      <c r="V204" s="614"/>
      <c r="W204" s="614"/>
      <c r="X204" s="614"/>
      <c r="Y204" s="614"/>
      <c r="Z204" s="614"/>
      <c r="AA204" s="614"/>
      <c r="AB204" s="614"/>
      <c r="AC204" s="614"/>
      <c r="AD204" s="614"/>
      <c r="AE204" s="614"/>
      <c r="AF204" s="1325"/>
      <c r="AG204" s="614"/>
      <c r="AH204" s="614"/>
      <c r="AI204" s="614"/>
      <c r="AJ204" s="907"/>
      <c r="AK204" s="907"/>
      <c r="AL204" s="907"/>
      <c r="AM204" s="907"/>
      <c r="AN204" s="614"/>
      <c r="AO204" s="614"/>
      <c r="AP204" s="614"/>
      <c r="AQ204" s="614"/>
      <c r="AR204" s="614"/>
      <c r="AS204" s="614"/>
      <c r="BO204" s="40">
        <f t="shared" si="243"/>
        <v>30.00653007481489</v>
      </c>
    </row>
    <row r="205" spans="1:67">
      <c r="A205" s="13" t="s">
        <v>49</v>
      </c>
      <c r="B205" s="13" t="s">
        <v>362</v>
      </c>
      <c r="C205" s="5">
        <v>46357</v>
      </c>
      <c r="D205" s="38"/>
      <c r="E205" s="13"/>
      <c r="F205" s="13"/>
      <c r="G205" s="13"/>
      <c r="H205" s="13"/>
      <c r="I205" s="13"/>
      <c r="J205" s="47">
        <f>BP!L191/DAY(EOMONTH(C205,0))</f>
        <v>5255.2384161585906</v>
      </c>
      <c r="K205" s="47"/>
      <c r="L205" s="13"/>
      <c r="M205" s="13">
        <f t="shared" si="244"/>
        <v>27.802690582959642</v>
      </c>
      <c r="N205" s="13">
        <f t="shared" si="245"/>
        <v>189.01905916183318</v>
      </c>
      <c r="O205" s="13"/>
      <c r="P205" s="13"/>
      <c r="Q205" s="13"/>
      <c r="R205" s="38">
        <f>'CSP Working 1st Draft'!V$26</f>
        <v>166.5</v>
      </c>
      <c r="S205" s="38">
        <f>'CSP Working 1st Draft'!V$27</f>
        <v>39</v>
      </c>
      <c r="T205" s="38">
        <f t="shared" si="246"/>
        <v>205.5</v>
      </c>
      <c r="U205" s="614">
        <v>193</v>
      </c>
      <c r="V205" s="614"/>
      <c r="W205" s="614"/>
      <c r="X205" s="614"/>
      <c r="Y205" s="614"/>
      <c r="Z205" s="614"/>
      <c r="AA205" s="614"/>
      <c r="AB205" s="614"/>
      <c r="AC205" s="614"/>
      <c r="AD205" s="614"/>
      <c r="AE205" s="614"/>
      <c r="AF205" s="1325"/>
      <c r="AG205" s="614"/>
      <c r="AH205" s="614"/>
      <c r="AI205" s="614"/>
      <c r="AJ205" s="907"/>
      <c r="AK205" s="907"/>
      <c r="AL205" s="907"/>
      <c r="AM205" s="907"/>
      <c r="AN205" s="614"/>
      <c r="AO205" s="614"/>
      <c r="AP205" s="614"/>
      <c r="AQ205" s="614"/>
      <c r="AR205" s="614"/>
      <c r="AS205" s="614"/>
      <c r="BO205" s="40">
        <f t="shared" si="243"/>
        <v>25.572936331671972</v>
      </c>
    </row>
    <row r="206" spans="1:67">
      <c r="A206" s="13" t="s">
        <v>49</v>
      </c>
      <c r="B206" s="13" t="s">
        <v>362</v>
      </c>
      <c r="C206" s="5">
        <v>46388</v>
      </c>
      <c r="D206" s="38"/>
      <c r="E206" s="13"/>
      <c r="F206" s="13"/>
      <c r="G206" s="13"/>
      <c r="H206" s="13"/>
      <c r="I206" s="13"/>
      <c r="J206" s="47">
        <f>BP!M191/DAY(EOMONTH(C206,0))</f>
        <v>4662.4716711605115</v>
      </c>
      <c r="K206" s="47"/>
      <c r="L206" s="13"/>
      <c r="M206" s="13">
        <f t="shared" si="244"/>
        <v>27.802690582959642</v>
      </c>
      <c r="N206" s="13">
        <f t="shared" si="245"/>
        <v>167.6985778498055</v>
      </c>
      <c r="O206" s="13"/>
      <c r="P206" s="13"/>
      <c r="Q206" s="13"/>
      <c r="R206" s="38">
        <f>'CSP Working 1st Draft'!X$26</f>
        <v>152</v>
      </c>
      <c r="S206" s="38">
        <f>'CSP Working 1st Draft'!X$27</f>
        <v>39</v>
      </c>
      <c r="T206" s="38">
        <f t="shared" si="246"/>
        <v>191</v>
      </c>
      <c r="U206" s="614">
        <v>193</v>
      </c>
      <c r="V206" s="614"/>
      <c r="W206" s="614"/>
      <c r="X206" s="614"/>
      <c r="Y206" s="614"/>
      <c r="Z206" s="614"/>
      <c r="AA206" s="614"/>
      <c r="AB206" s="614"/>
      <c r="AC206" s="614"/>
      <c r="AD206" s="614"/>
      <c r="AE206" s="614"/>
      <c r="AF206" s="1325"/>
      <c r="AG206" s="614"/>
      <c r="AH206" s="614"/>
      <c r="AI206" s="614"/>
      <c r="AJ206" s="907"/>
      <c r="AK206" s="907"/>
      <c r="AL206" s="907"/>
      <c r="AM206" s="907"/>
      <c r="AN206" s="614"/>
      <c r="AO206" s="614"/>
      <c r="AP206" s="614"/>
      <c r="AQ206" s="614"/>
      <c r="AR206" s="614"/>
      <c r="AS206" s="614"/>
      <c r="BO206" s="40">
        <f t="shared" si="243"/>
        <v>24.410846445866554</v>
      </c>
    </row>
    <row r="207" spans="1:67">
      <c r="A207" s="13" t="s">
        <v>49</v>
      </c>
      <c r="B207" s="13" t="s">
        <v>362</v>
      </c>
      <c r="C207" s="5">
        <v>46419</v>
      </c>
      <c r="D207" s="38"/>
      <c r="E207" s="13"/>
      <c r="F207" s="13"/>
      <c r="G207" s="13"/>
      <c r="H207" s="13"/>
      <c r="I207" s="13"/>
      <c r="J207" s="47">
        <f>BP!N191/DAY(EOMONTH(C207,0))</f>
        <v>6406.672782879742</v>
      </c>
      <c r="K207" s="47"/>
      <c r="L207" s="13"/>
      <c r="M207" s="13">
        <f t="shared" si="244"/>
        <v>27.802690582959642</v>
      </c>
      <c r="N207" s="13">
        <f t="shared" si="245"/>
        <v>230.43355331970685</v>
      </c>
      <c r="O207" s="13"/>
      <c r="P207" s="13"/>
      <c r="Q207" s="13"/>
      <c r="R207" s="38">
        <f>'CSP Working 1st Draft'!Z$26</f>
        <v>180</v>
      </c>
      <c r="S207" s="38">
        <f>'CSP Working 1st Draft'!Z$27</f>
        <v>39</v>
      </c>
      <c r="T207" s="1344">
        <f t="shared" si="246"/>
        <v>219</v>
      </c>
      <c r="U207" s="614">
        <v>193</v>
      </c>
      <c r="V207" s="614"/>
      <c r="W207" s="614"/>
      <c r="X207" s="614"/>
      <c r="Y207" s="614"/>
      <c r="Z207" s="614"/>
      <c r="AA207" s="614"/>
      <c r="AB207" s="614"/>
      <c r="AC207" s="614"/>
      <c r="AD207" s="614"/>
      <c r="AE207" s="614"/>
      <c r="AF207" s="1325"/>
      <c r="AG207" s="614"/>
      <c r="AH207" s="614"/>
      <c r="AI207" s="614"/>
      <c r="AJ207" s="907"/>
      <c r="AK207" s="907"/>
      <c r="AL207" s="907"/>
      <c r="AM207" s="907"/>
      <c r="AN207" s="614"/>
      <c r="AO207" s="614"/>
      <c r="AP207" s="614"/>
      <c r="AQ207" s="614"/>
      <c r="AR207" s="614"/>
      <c r="AS207" s="614"/>
      <c r="BO207" s="40">
        <f t="shared" si="243"/>
        <v>29.254213620455442</v>
      </c>
    </row>
    <row r="208" spans="1:67">
      <c r="A208" s="13" t="s">
        <v>49</v>
      </c>
      <c r="B208" s="13" t="s">
        <v>362</v>
      </c>
      <c r="C208" s="5">
        <v>46447</v>
      </c>
      <c r="D208" s="38"/>
      <c r="E208" s="13"/>
      <c r="F208" s="13"/>
      <c r="G208" s="13"/>
      <c r="H208" s="13"/>
      <c r="I208" s="13"/>
      <c r="J208" s="47">
        <f>BP!O191/DAY(EOMONTH(C208,0))</f>
        <v>6365.1863641604978</v>
      </c>
      <c r="K208" s="47"/>
      <c r="L208" s="13"/>
      <c r="M208" s="13">
        <f t="shared" si="244"/>
        <v>27.802690582959642</v>
      </c>
      <c r="N208" s="13">
        <f t="shared" si="245"/>
        <v>228.94138051738565</v>
      </c>
      <c r="O208" s="13"/>
      <c r="P208" s="13"/>
      <c r="Q208" s="13"/>
      <c r="R208" s="38">
        <f>'CSP Working 1st Draft'!AB$26</f>
        <v>196.5</v>
      </c>
      <c r="S208" s="38">
        <f>'CSP Working 1st Draft'!AB$27</f>
        <v>39</v>
      </c>
      <c r="T208" s="38">
        <f t="shared" ref="T208" si="247">R208</f>
        <v>196.5</v>
      </c>
      <c r="U208" s="614">
        <v>193</v>
      </c>
      <c r="V208" s="614"/>
      <c r="W208" s="614"/>
      <c r="X208" s="614"/>
      <c r="Y208" s="614"/>
      <c r="Z208" s="614"/>
      <c r="AA208" s="614"/>
      <c r="AB208" s="614"/>
      <c r="AC208" s="614"/>
      <c r="AD208" s="614"/>
      <c r="AE208" s="614"/>
      <c r="AF208" s="1325"/>
      <c r="AG208" s="614"/>
      <c r="AH208" s="614"/>
      <c r="AI208" s="614"/>
      <c r="AJ208" s="907"/>
      <c r="AK208" s="907"/>
      <c r="AL208" s="907"/>
      <c r="AM208" s="907"/>
      <c r="AN208" s="614"/>
      <c r="AO208" s="614"/>
      <c r="AP208" s="614"/>
      <c r="AQ208" s="614"/>
      <c r="AR208" s="614"/>
      <c r="AS208" s="614"/>
      <c r="BO208" s="40">
        <f t="shared" si="243"/>
        <v>32.392805924480903</v>
      </c>
    </row>
    <row r="209" spans="1:67">
      <c r="A209" s="22"/>
      <c r="B209" s="22"/>
      <c r="C209" s="611"/>
      <c r="D209" s="614"/>
      <c r="E209" s="22"/>
      <c r="F209" s="22"/>
      <c r="G209" s="22"/>
      <c r="H209" s="22"/>
      <c r="I209" s="22"/>
      <c r="J209" s="613"/>
      <c r="K209" s="613"/>
      <c r="L209" s="22"/>
      <c r="M209" s="22"/>
      <c r="N209" s="22"/>
      <c r="O209" s="22"/>
      <c r="P209" s="22"/>
      <c r="Q209" s="22"/>
      <c r="R209" s="614"/>
      <c r="S209" s="614"/>
      <c r="T209" s="614"/>
      <c r="U209" s="614"/>
      <c r="V209" s="614"/>
      <c r="W209" s="614"/>
      <c r="X209" s="614"/>
      <c r="Y209" s="614"/>
      <c r="Z209" s="614"/>
      <c r="AA209" s="614"/>
      <c r="AB209" s="614"/>
      <c r="AC209" s="614"/>
      <c r="AD209" s="614"/>
      <c r="AE209" s="614"/>
      <c r="AF209" s="1325"/>
      <c r="AG209" s="614"/>
      <c r="AH209" s="614"/>
      <c r="AI209" s="614"/>
      <c r="AJ209" s="907"/>
      <c r="AK209" s="907"/>
      <c r="AL209" s="907"/>
      <c r="AM209" s="907"/>
      <c r="AN209" s="614"/>
      <c r="AO209" s="614"/>
      <c r="AP209" s="614"/>
      <c r="AQ209" s="614"/>
      <c r="AR209" s="614"/>
      <c r="AS209" s="614"/>
      <c r="BO209" s="40"/>
    </row>
    <row r="210" spans="1:67">
      <c r="R210" s="40"/>
      <c r="S210" s="40"/>
    </row>
    <row r="212" spans="1:67" ht="43.5">
      <c r="A212" s="1" t="s">
        <v>0</v>
      </c>
      <c r="B212" s="1" t="s">
        <v>1</v>
      </c>
      <c r="C212" s="1" t="s">
        <v>2</v>
      </c>
      <c r="D212" s="799" t="s">
        <v>3</v>
      </c>
      <c r="E212" s="1" t="s">
        <v>4</v>
      </c>
      <c r="F212" s="1" t="s">
        <v>5</v>
      </c>
      <c r="G212" s="1" t="s">
        <v>6</v>
      </c>
      <c r="H212" s="1" t="s">
        <v>7</v>
      </c>
      <c r="I212" s="1" t="s">
        <v>8</v>
      </c>
      <c r="J212" s="1" t="s">
        <v>9</v>
      </c>
      <c r="K212" s="1"/>
      <c r="L212" s="1" t="s">
        <v>10</v>
      </c>
      <c r="M212" s="1" t="s">
        <v>10</v>
      </c>
      <c r="N212" s="1" t="s">
        <v>11</v>
      </c>
      <c r="O212" s="1" t="s">
        <v>11</v>
      </c>
      <c r="P212" s="1" t="s">
        <v>12</v>
      </c>
      <c r="Q212" s="1" t="s">
        <v>940</v>
      </c>
      <c r="R212" s="1" t="s">
        <v>941</v>
      </c>
      <c r="S212" s="1"/>
      <c r="T212" s="1" t="s">
        <v>14</v>
      </c>
      <c r="U212" s="851" t="s">
        <v>1561</v>
      </c>
      <c r="V212" s="851" t="s">
        <v>1517</v>
      </c>
      <c r="W212" s="851" t="s">
        <v>1518</v>
      </c>
      <c r="X212" s="851" t="s">
        <v>873</v>
      </c>
      <c r="Y212" s="851" t="s">
        <v>1519</v>
      </c>
      <c r="Z212" s="851" t="s">
        <v>1520</v>
      </c>
      <c r="AA212" s="851" t="s">
        <v>1521</v>
      </c>
      <c r="AB212" s="851" t="s">
        <v>1521</v>
      </c>
      <c r="AC212" s="851" t="s">
        <v>1562</v>
      </c>
      <c r="AD212" s="851" t="s">
        <v>537</v>
      </c>
      <c r="AE212" s="851"/>
      <c r="AF212" s="1337"/>
      <c r="AG212" s="851"/>
      <c r="AH212" s="851"/>
      <c r="AI212" s="851"/>
      <c r="AJ212" s="935"/>
      <c r="AK212" s="935"/>
      <c r="AL212" s="935"/>
      <c r="AM212" s="935"/>
      <c r="AN212" s="851"/>
      <c r="AO212" s="851"/>
      <c r="AP212" s="851"/>
      <c r="AQ212" s="851"/>
      <c r="AR212" s="851"/>
      <c r="AS212" s="851"/>
    </row>
    <row r="213" spans="1:67">
      <c r="A213" s="13" t="s">
        <v>308</v>
      </c>
      <c r="B213" s="13" t="s">
        <v>363</v>
      </c>
      <c r="C213" s="5">
        <v>46113</v>
      </c>
      <c r="D213" s="38"/>
      <c r="E213" s="13"/>
      <c r="F213" s="13"/>
      <c r="G213" s="13"/>
      <c r="H213" s="13"/>
      <c r="I213" s="13"/>
      <c r="J213" s="13"/>
      <c r="K213" s="13"/>
      <c r="L213" s="13"/>
      <c r="M213" s="13"/>
      <c r="N213" s="13"/>
      <c r="O213" s="13"/>
      <c r="P213" s="13"/>
      <c r="Q213" s="13">
        <f>SUM('Manpower Allocation'!$F$252:$F$256)</f>
        <v>96</v>
      </c>
      <c r="R213" s="13">
        <f>'Manpower Allocation'!$F$257</f>
        <v>4</v>
      </c>
      <c r="S213" s="13"/>
      <c r="T213" s="13">
        <f>SUM(Q213:R213)</f>
        <v>100</v>
      </c>
      <c r="U213" s="22"/>
      <c r="V213" s="22"/>
      <c r="W213" s="22"/>
      <c r="X213" s="22"/>
      <c r="Y213" s="22"/>
      <c r="Z213" s="22"/>
      <c r="AA213" s="22"/>
      <c r="AB213" s="22"/>
      <c r="AC213" s="22"/>
      <c r="AD213" s="22" t="s">
        <v>1574</v>
      </c>
      <c r="AE213" s="22"/>
      <c r="AF213" s="1325"/>
      <c r="AG213" s="22"/>
      <c r="AH213" s="22"/>
      <c r="AI213" s="22"/>
      <c r="AJ213" s="130"/>
      <c r="AK213" s="130"/>
      <c r="AL213" s="130"/>
      <c r="AM213" s="130"/>
      <c r="AN213" s="22"/>
      <c r="AO213" s="22"/>
      <c r="AP213" s="22"/>
      <c r="AQ213" s="22"/>
      <c r="AR213" s="22"/>
      <c r="AS213" s="22"/>
    </row>
    <row r="214" spans="1:67">
      <c r="A214" s="13" t="s">
        <v>308</v>
      </c>
      <c r="B214" s="13" t="s">
        <v>363</v>
      </c>
      <c r="C214" s="5">
        <v>46143</v>
      </c>
      <c r="D214" s="38"/>
      <c r="E214" s="13"/>
      <c r="F214" s="13"/>
      <c r="G214" s="13"/>
      <c r="H214" s="13"/>
      <c r="I214" s="13"/>
      <c r="J214" s="13"/>
      <c r="K214" s="13"/>
      <c r="L214" s="13"/>
      <c r="M214" s="13"/>
      <c r="N214" s="13"/>
      <c r="O214" s="13"/>
      <c r="P214" s="13"/>
      <c r="Q214" s="13">
        <f>SUM('Manpower Allocation'!$F$252:$F$256)</f>
        <v>96</v>
      </c>
      <c r="R214" s="13">
        <f>'Manpower Allocation'!$F$257</f>
        <v>4</v>
      </c>
      <c r="S214" s="13"/>
      <c r="T214" s="13">
        <f t="shared" ref="T214:T224" si="248">SUM(Q214:R214)</f>
        <v>100</v>
      </c>
      <c r="U214" s="22"/>
      <c r="V214" s="22"/>
      <c r="W214" s="22"/>
      <c r="X214" s="22"/>
      <c r="Y214" s="22"/>
      <c r="Z214" s="22"/>
      <c r="AA214" s="22"/>
      <c r="AB214" s="22"/>
      <c r="AC214" s="22"/>
      <c r="AD214" s="22"/>
      <c r="AE214" s="22"/>
      <c r="AF214" s="1325"/>
      <c r="AG214" s="22"/>
      <c r="AH214" s="22"/>
      <c r="AI214" s="22"/>
      <c r="AJ214" s="130"/>
      <c r="AK214" s="130"/>
      <c r="AL214" s="130"/>
      <c r="AM214" s="130"/>
      <c r="AN214" s="22"/>
      <c r="AO214" s="22"/>
      <c r="AP214" s="22"/>
      <c r="AQ214" s="22"/>
      <c r="AR214" s="22"/>
      <c r="AS214" s="22"/>
    </row>
    <row r="215" spans="1:67">
      <c r="A215" s="13" t="s">
        <v>308</v>
      </c>
      <c r="B215" s="13" t="s">
        <v>363</v>
      </c>
      <c r="C215" s="5">
        <v>46174</v>
      </c>
      <c r="D215" s="38"/>
      <c r="E215" s="13"/>
      <c r="F215" s="13"/>
      <c r="G215" s="13"/>
      <c r="H215" s="13"/>
      <c r="I215" s="13"/>
      <c r="J215" s="13"/>
      <c r="K215" s="13"/>
      <c r="L215" s="13"/>
      <c r="M215" s="13"/>
      <c r="N215" s="13"/>
      <c r="O215" s="13"/>
      <c r="P215" s="13"/>
      <c r="Q215" s="13">
        <f>SUM('Manpower Allocation'!$F$252:$F$256)</f>
        <v>96</v>
      </c>
      <c r="R215" s="13">
        <f>'Manpower Allocation'!$F$257</f>
        <v>4</v>
      </c>
      <c r="S215" s="13"/>
      <c r="T215" s="13">
        <f t="shared" si="248"/>
        <v>100</v>
      </c>
      <c r="U215" s="22"/>
      <c r="V215" s="22"/>
      <c r="W215" s="22"/>
      <c r="X215" s="22"/>
      <c r="Y215" s="22"/>
      <c r="Z215" s="22"/>
      <c r="AA215" s="22"/>
      <c r="AB215" s="22"/>
      <c r="AC215" s="22"/>
      <c r="AD215" s="22"/>
      <c r="AE215" s="22"/>
      <c r="AF215" s="1325"/>
      <c r="AG215" s="22"/>
      <c r="AH215" s="22"/>
      <c r="AI215" s="22"/>
      <c r="AJ215" s="130"/>
      <c r="AK215" s="130"/>
      <c r="AL215" s="130"/>
      <c r="AM215" s="130"/>
      <c r="AN215" s="22"/>
      <c r="AO215" s="22"/>
      <c r="AP215" s="22"/>
      <c r="AQ215" s="22"/>
      <c r="AR215" s="22"/>
      <c r="AS215" s="22"/>
    </row>
    <row r="216" spans="1:67">
      <c r="A216" s="13" t="s">
        <v>308</v>
      </c>
      <c r="B216" s="13" t="s">
        <v>363</v>
      </c>
      <c r="C216" s="5">
        <v>46204</v>
      </c>
      <c r="D216" s="38"/>
      <c r="E216" s="13"/>
      <c r="F216" s="13"/>
      <c r="G216" s="13"/>
      <c r="H216" s="13"/>
      <c r="I216" s="13"/>
      <c r="J216" s="13"/>
      <c r="K216" s="13"/>
      <c r="L216" s="13"/>
      <c r="M216" s="13"/>
      <c r="N216" s="13"/>
      <c r="O216" s="13"/>
      <c r="P216" s="13"/>
      <c r="Q216" s="13">
        <f>SUM('Manpower Allocation'!$F$252:$F$256)</f>
        <v>96</v>
      </c>
      <c r="R216" s="13">
        <f>'Manpower Allocation'!$F$257</f>
        <v>4</v>
      </c>
      <c r="S216" s="13"/>
      <c r="T216" s="13">
        <f t="shared" si="248"/>
        <v>100</v>
      </c>
      <c r="U216" s="22"/>
      <c r="V216" s="22"/>
      <c r="W216" s="22"/>
      <c r="X216" s="22"/>
      <c r="Y216" s="22"/>
      <c r="Z216" s="22"/>
      <c r="AA216" s="22"/>
      <c r="AB216" s="22"/>
      <c r="AC216" s="22"/>
      <c r="AD216" s="22"/>
      <c r="AE216" s="22"/>
      <c r="AF216" s="1325"/>
      <c r="AG216" s="22"/>
      <c r="AH216" s="22"/>
      <c r="AI216" s="22"/>
      <c r="AJ216" s="130"/>
      <c r="AK216" s="130"/>
      <c r="AL216" s="130"/>
      <c r="AM216" s="130"/>
      <c r="AN216" s="22"/>
      <c r="AO216" s="22"/>
      <c r="AP216" s="22"/>
      <c r="AQ216" s="22"/>
      <c r="AR216" s="22"/>
      <c r="AS216" s="22"/>
    </row>
    <row r="217" spans="1:67">
      <c r="A217" s="13" t="s">
        <v>308</v>
      </c>
      <c r="B217" s="13" t="s">
        <v>363</v>
      </c>
      <c r="C217" s="5">
        <v>46235</v>
      </c>
      <c r="D217" s="38"/>
      <c r="E217" s="13"/>
      <c r="F217" s="13"/>
      <c r="G217" s="13"/>
      <c r="H217" s="13"/>
      <c r="I217" s="13"/>
      <c r="J217" s="13"/>
      <c r="K217" s="13"/>
      <c r="L217" s="13"/>
      <c r="M217" s="13"/>
      <c r="N217" s="13"/>
      <c r="O217" s="13"/>
      <c r="P217" s="13"/>
      <c r="Q217" s="13">
        <f>SUM('Manpower Allocation'!$F$252:$F$256)</f>
        <v>96</v>
      </c>
      <c r="R217" s="13">
        <f>'Manpower Allocation'!$F$257</f>
        <v>4</v>
      </c>
      <c r="S217" s="13"/>
      <c r="T217" s="13">
        <f t="shared" si="248"/>
        <v>100</v>
      </c>
      <c r="U217" s="22"/>
      <c r="V217" s="22"/>
      <c r="W217" s="22"/>
      <c r="X217" s="22"/>
      <c r="Y217" s="22"/>
      <c r="Z217" s="22"/>
      <c r="AA217" s="22"/>
      <c r="AB217" s="22"/>
      <c r="AC217" s="22"/>
      <c r="AD217" s="22"/>
      <c r="AE217" s="22"/>
      <c r="AF217" s="1325"/>
      <c r="AG217" s="22"/>
      <c r="AH217" s="22"/>
      <c r="AI217" s="22"/>
      <c r="AJ217" s="130"/>
      <c r="AK217" s="130"/>
      <c r="AL217" s="130"/>
      <c r="AM217" s="130"/>
      <c r="AN217" s="22"/>
      <c r="AO217" s="22"/>
      <c r="AP217" s="22"/>
      <c r="AQ217" s="22"/>
      <c r="AR217" s="22"/>
      <c r="AS217" s="22"/>
    </row>
    <row r="218" spans="1:67">
      <c r="A218" s="13" t="s">
        <v>308</v>
      </c>
      <c r="B218" s="13" t="s">
        <v>363</v>
      </c>
      <c r="C218" s="5">
        <v>46266</v>
      </c>
      <c r="D218" s="38"/>
      <c r="E218" s="13"/>
      <c r="F218" s="13"/>
      <c r="G218" s="13"/>
      <c r="H218" s="13"/>
      <c r="I218" s="13"/>
      <c r="J218" s="13"/>
      <c r="K218" s="13"/>
      <c r="L218" s="13"/>
      <c r="M218" s="13"/>
      <c r="N218" s="13"/>
      <c r="O218" s="13"/>
      <c r="P218" s="13"/>
      <c r="Q218" s="13">
        <f>SUM('Manpower Allocation'!$F$252:$F$256)</f>
        <v>96</v>
      </c>
      <c r="R218" s="13">
        <f>'Manpower Allocation'!$F$257</f>
        <v>4</v>
      </c>
      <c r="S218" s="13"/>
      <c r="T218" s="13">
        <f t="shared" si="248"/>
        <v>100</v>
      </c>
      <c r="U218" s="22"/>
      <c r="V218" s="22"/>
      <c r="W218" s="22"/>
      <c r="X218" s="22"/>
      <c r="Y218" s="22"/>
      <c r="Z218" s="22"/>
      <c r="AA218" s="22"/>
      <c r="AB218" s="22"/>
      <c r="AC218" s="22"/>
      <c r="AD218" s="22"/>
      <c r="AE218" s="22"/>
      <c r="AF218" s="1325"/>
      <c r="AG218" s="22"/>
      <c r="AH218" s="22"/>
      <c r="AI218" s="22"/>
      <c r="AJ218" s="130"/>
      <c r="AK218" s="130"/>
      <c r="AL218" s="130"/>
      <c r="AM218" s="130"/>
      <c r="AN218" s="22"/>
      <c r="AO218" s="22"/>
      <c r="AP218" s="22"/>
      <c r="AQ218" s="22"/>
      <c r="AR218" s="22"/>
      <c r="AS218" s="22"/>
    </row>
    <row r="219" spans="1:67">
      <c r="A219" s="13" t="s">
        <v>308</v>
      </c>
      <c r="B219" s="13" t="s">
        <v>363</v>
      </c>
      <c r="C219" s="5">
        <v>46296</v>
      </c>
      <c r="D219" s="38"/>
      <c r="E219" s="13"/>
      <c r="F219" s="13"/>
      <c r="G219" s="13"/>
      <c r="H219" s="13"/>
      <c r="I219" s="13"/>
      <c r="J219" s="13"/>
      <c r="K219" s="13"/>
      <c r="L219" s="13"/>
      <c r="M219" s="13"/>
      <c r="N219" s="13"/>
      <c r="O219" s="13"/>
      <c r="P219" s="13"/>
      <c r="Q219" s="13">
        <f>SUM('Manpower Allocation'!$F$252:$F$256)</f>
        <v>96</v>
      </c>
      <c r="R219" s="13">
        <f>'Manpower Allocation'!$F$257</f>
        <v>4</v>
      </c>
      <c r="S219" s="13"/>
      <c r="T219" s="13">
        <f t="shared" si="248"/>
        <v>100</v>
      </c>
      <c r="U219" s="22"/>
      <c r="V219" s="22"/>
      <c r="W219" s="22"/>
      <c r="X219" s="22"/>
      <c r="Y219" s="22"/>
      <c r="Z219" s="22"/>
      <c r="AA219" s="22"/>
      <c r="AB219" s="22"/>
      <c r="AC219" s="22"/>
      <c r="AD219" s="22"/>
      <c r="AE219" s="22"/>
      <c r="AF219" s="1325"/>
      <c r="AG219" s="22"/>
      <c r="AH219" s="22"/>
      <c r="AI219" s="22"/>
      <c r="AJ219" s="130"/>
      <c r="AK219" s="130"/>
      <c r="AL219" s="130"/>
      <c r="AM219" s="130"/>
      <c r="AN219" s="22"/>
      <c r="AO219" s="22"/>
      <c r="AP219" s="22"/>
      <c r="AQ219" s="22"/>
      <c r="AR219" s="22"/>
      <c r="AS219" s="22"/>
    </row>
    <row r="220" spans="1:67">
      <c r="A220" s="13" t="s">
        <v>308</v>
      </c>
      <c r="B220" s="13" t="s">
        <v>363</v>
      </c>
      <c r="C220" s="5">
        <v>46327</v>
      </c>
      <c r="D220" s="38"/>
      <c r="E220" s="13"/>
      <c r="F220" s="13"/>
      <c r="G220" s="13"/>
      <c r="H220" s="13"/>
      <c r="I220" s="13"/>
      <c r="J220" s="13"/>
      <c r="K220" s="13"/>
      <c r="L220" s="13"/>
      <c r="M220" s="13"/>
      <c r="N220" s="13"/>
      <c r="O220" s="13"/>
      <c r="P220" s="13"/>
      <c r="Q220" s="13">
        <f>SUM('Manpower Allocation'!$F$252:$F$256)</f>
        <v>96</v>
      </c>
      <c r="R220" s="13">
        <f>'Manpower Allocation'!$F$257</f>
        <v>4</v>
      </c>
      <c r="S220" s="13"/>
      <c r="T220" s="13">
        <f t="shared" si="248"/>
        <v>100</v>
      </c>
      <c r="U220" s="22"/>
      <c r="V220" s="22"/>
      <c r="W220" s="22"/>
      <c r="X220" s="22"/>
      <c r="Y220" s="22"/>
      <c r="Z220" s="22"/>
      <c r="AA220" s="22"/>
      <c r="AB220" s="22"/>
      <c r="AC220" s="22"/>
      <c r="AD220" s="22"/>
      <c r="AE220" s="22"/>
      <c r="AF220" s="1325"/>
      <c r="AG220" s="22"/>
      <c r="AH220" s="22"/>
      <c r="AI220" s="22"/>
      <c r="AJ220" s="130"/>
      <c r="AK220" s="130"/>
      <c r="AL220" s="130"/>
      <c r="AM220" s="130"/>
      <c r="AN220" s="22"/>
      <c r="AO220" s="22"/>
      <c r="AP220" s="22"/>
      <c r="AQ220" s="22"/>
      <c r="AR220" s="22"/>
      <c r="AS220" s="22"/>
    </row>
    <row r="221" spans="1:67">
      <c r="A221" s="13" t="s">
        <v>308</v>
      </c>
      <c r="B221" s="13" t="s">
        <v>363</v>
      </c>
      <c r="C221" s="5">
        <v>46357</v>
      </c>
      <c r="D221" s="38"/>
      <c r="E221" s="13"/>
      <c r="F221" s="13"/>
      <c r="G221" s="13"/>
      <c r="H221" s="13"/>
      <c r="I221" s="13"/>
      <c r="J221" s="13"/>
      <c r="K221" s="13"/>
      <c r="L221" s="13"/>
      <c r="M221" s="13"/>
      <c r="N221" s="13"/>
      <c r="O221" s="13"/>
      <c r="P221" s="13"/>
      <c r="Q221" s="13">
        <f>SUM('Manpower Allocation'!$F$252:$F$256)</f>
        <v>96</v>
      </c>
      <c r="R221" s="13">
        <f>'Manpower Allocation'!$F$257</f>
        <v>4</v>
      </c>
      <c r="S221" s="13"/>
      <c r="T221" s="13">
        <f t="shared" si="248"/>
        <v>100</v>
      </c>
      <c r="U221" s="22"/>
      <c r="V221" s="22"/>
      <c r="W221" s="22"/>
      <c r="X221" s="22"/>
      <c r="Y221" s="22"/>
      <c r="Z221" s="22"/>
      <c r="AA221" s="22"/>
      <c r="AB221" s="22"/>
      <c r="AC221" s="22"/>
      <c r="AD221" s="22"/>
      <c r="AE221" s="22"/>
      <c r="AF221" s="1325"/>
      <c r="AG221" s="22"/>
      <c r="AH221" s="22"/>
      <c r="AI221" s="22"/>
      <c r="AJ221" s="130"/>
      <c r="AK221" s="130"/>
      <c r="AL221" s="130"/>
      <c r="AM221" s="130"/>
      <c r="AN221" s="22"/>
      <c r="AO221" s="22"/>
      <c r="AP221" s="22"/>
      <c r="AQ221" s="22"/>
      <c r="AR221" s="22"/>
      <c r="AS221" s="22"/>
    </row>
    <row r="222" spans="1:67">
      <c r="A222" s="13" t="s">
        <v>308</v>
      </c>
      <c r="B222" s="13" t="s">
        <v>363</v>
      </c>
      <c r="C222" s="5">
        <v>46388</v>
      </c>
      <c r="D222" s="38"/>
      <c r="E222" s="13"/>
      <c r="F222" s="13"/>
      <c r="G222" s="13"/>
      <c r="H222" s="13"/>
      <c r="I222" s="13"/>
      <c r="J222" s="13"/>
      <c r="K222" s="13"/>
      <c r="L222" s="13"/>
      <c r="M222" s="13"/>
      <c r="N222" s="13"/>
      <c r="O222" s="13"/>
      <c r="P222" s="13"/>
      <c r="Q222" s="13">
        <f>SUM('Manpower Allocation'!$F$252:$F$256)</f>
        <v>96</v>
      </c>
      <c r="R222" s="13">
        <f>'Manpower Allocation'!$F$257</f>
        <v>4</v>
      </c>
      <c r="S222" s="13"/>
      <c r="T222" s="13">
        <f t="shared" si="248"/>
        <v>100</v>
      </c>
      <c r="U222" s="22"/>
      <c r="V222" s="22"/>
      <c r="W222" s="22"/>
      <c r="X222" s="22"/>
      <c r="Y222" s="22"/>
      <c r="Z222" s="22"/>
      <c r="AA222" s="22"/>
      <c r="AB222" s="22"/>
      <c r="AC222" s="22"/>
      <c r="AD222" s="22"/>
      <c r="AE222" s="22"/>
      <c r="AF222" s="1325"/>
      <c r="AG222" s="22"/>
      <c r="AH222" s="22"/>
      <c r="AI222" s="22"/>
      <c r="AJ222" s="130"/>
      <c r="AK222" s="130"/>
      <c r="AL222" s="130"/>
      <c r="AM222" s="130"/>
      <c r="AN222" s="22"/>
      <c r="AO222" s="22"/>
      <c r="AP222" s="22"/>
      <c r="AQ222" s="22"/>
      <c r="AR222" s="22"/>
      <c r="AS222" s="22"/>
    </row>
    <row r="223" spans="1:67">
      <c r="A223" s="13" t="s">
        <v>308</v>
      </c>
      <c r="B223" s="13" t="s">
        <v>363</v>
      </c>
      <c r="C223" s="5">
        <v>46419</v>
      </c>
      <c r="D223" s="38"/>
      <c r="E223" s="13"/>
      <c r="F223" s="13"/>
      <c r="G223" s="13"/>
      <c r="H223" s="13"/>
      <c r="I223" s="13"/>
      <c r="J223" s="13"/>
      <c r="K223" s="13"/>
      <c r="L223" s="13"/>
      <c r="M223" s="13"/>
      <c r="N223" s="13"/>
      <c r="O223" s="13"/>
      <c r="P223" s="13"/>
      <c r="Q223" s="13">
        <f>SUM('Manpower Allocation'!$F$252:$F$256)</f>
        <v>96</v>
      </c>
      <c r="R223" s="13">
        <f>'Manpower Allocation'!$F$257</f>
        <v>4</v>
      </c>
      <c r="S223" s="13"/>
      <c r="T223" s="13">
        <f t="shared" si="248"/>
        <v>100</v>
      </c>
      <c r="U223" s="22"/>
      <c r="V223" s="22"/>
      <c r="W223" s="22"/>
      <c r="X223" s="22"/>
      <c r="Y223" s="22"/>
      <c r="Z223" s="22"/>
      <c r="AA223" s="22"/>
      <c r="AB223" s="22"/>
      <c r="AC223" s="22"/>
      <c r="AD223" s="22"/>
      <c r="AE223" s="22"/>
      <c r="AF223" s="1325"/>
      <c r="AG223" s="22"/>
      <c r="AH223" s="22"/>
      <c r="AI223" s="22"/>
      <c r="AJ223" s="130"/>
      <c r="AK223" s="130"/>
      <c r="AL223" s="130"/>
      <c r="AM223" s="130"/>
      <c r="AN223" s="22"/>
      <c r="AO223" s="22"/>
      <c r="AP223" s="22"/>
      <c r="AQ223" s="22"/>
      <c r="AR223" s="22"/>
      <c r="AS223" s="22"/>
    </row>
    <row r="224" spans="1:67">
      <c r="A224" s="13" t="s">
        <v>308</v>
      </c>
      <c r="B224" s="13" t="s">
        <v>363</v>
      </c>
      <c r="C224" s="5">
        <v>46447</v>
      </c>
      <c r="D224" s="38"/>
      <c r="E224" s="13"/>
      <c r="F224" s="13"/>
      <c r="G224" s="13"/>
      <c r="H224" s="13"/>
      <c r="I224" s="13"/>
      <c r="J224" s="13"/>
      <c r="K224" s="13"/>
      <c r="L224" s="13"/>
      <c r="M224" s="13"/>
      <c r="N224" s="13"/>
      <c r="O224" s="13"/>
      <c r="P224" s="13"/>
      <c r="Q224" s="13">
        <f>SUM('Manpower Allocation'!$F$252:$F$256)</f>
        <v>96</v>
      </c>
      <c r="R224" s="13">
        <f>'Manpower Allocation'!$F$257</f>
        <v>4</v>
      </c>
      <c r="S224" s="13"/>
      <c r="T224" s="13">
        <f t="shared" si="248"/>
        <v>100</v>
      </c>
      <c r="U224" s="22"/>
      <c r="V224" s="22"/>
      <c r="W224" s="22"/>
      <c r="X224" s="22"/>
      <c r="Y224" s="22"/>
      <c r="Z224" s="22"/>
      <c r="AA224" s="22"/>
      <c r="AB224" s="22"/>
      <c r="AC224" s="22"/>
      <c r="AD224" s="22"/>
      <c r="AE224" s="22"/>
      <c r="AF224" s="1325"/>
      <c r="AG224" s="22"/>
      <c r="AH224" s="22"/>
      <c r="AI224" s="22"/>
      <c r="AJ224" s="130"/>
      <c r="AK224" s="130"/>
      <c r="AL224" s="130"/>
      <c r="AM224" s="130"/>
      <c r="AN224" s="22"/>
      <c r="AO224" s="22"/>
      <c r="AP224" s="22"/>
      <c r="AQ224" s="22"/>
      <c r="AR224" s="22"/>
      <c r="AS224" s="22"/>
    </row>
    <row r="227" spans="1:45" ht="43.5">
      <c r="A227" s="1" t="s">
        <v>0</v>
      </c>
      <c r="B227" s="1" t="s">
        <v>1</v>
      </c>
      <c r="C227" s="1" t="s">
        <v>2</v>
      </c>
      <c r="D227" s="799" t="s">
        <v>3</v>
      </c>
      <c r="E227" s="1" t="s">
        <v>4</v>
      </c>
      <c r="F227" s="1" t="s">
        <v>5</v>
      </c>
      <c r="G227" s="1" t="s">
        <v>6</v>
      </c>
      <c r="H227" s="1" t="s">
        <v>7</v>
      </c>
      <c r="I227" s="1" t="s">
        <v>8</v>
      </c>
      <c r="J227" s="1" t="s">
        <v>9</v>
      </c>
      <c r="K227" s="1"/>
      <c r="L227" s="1" t="s">
        <v>10</v>
      </c>
      <c r="M227" s="1" t="s">
        <v>10</v>
      </c>
      <c r="N227" s="1" t="s">
        <v>11</v>
      </c>
      <c r="O227" s="1" t="s">
        <v>11</v>
      </c>
      <c r="P227" s="1" t="s">
        <v>307</v>
      </c>
      <c r="Q227" s="1" t="s">
        <v>940</v>
      </c>
      <c r="R227" s="1" t="s">
        <v>941</v>
      </c>
      <c r="S227" s="1"/>
      <c r="T227" s="1" t="s">
        <v>14</v>
      </c>
      <c r="U227" s="851" t="s">
        <v>1561</v>
      </c>
      <c r="V227" s="851" t="s">
        <v>1517</v>
      </c>
      <c r="W227" s="851" t="s">
        <v>1518</v>
      </c>
      <c r="X227" s="851" t="s">
        <v>873</v>
      </c>
      <c r="Y227" s="851" t="s">
        <v>1519</v>
      </c>
      <c r="Z227" s="851" t="s">
        <v>1520</v>
      </c>
      <c r="AA227" s="851" t="s">
        <v>1521</v>
      </c>
      <c r="AB227" s="851" t="s">
        <v>1521</v>
      </c>
      <c r="AC227" s="851" t="s">
        <v>1562</v>
      </c>
      <c r="AD227" s="851" t="s">
        <v>537</v>
      </c>
      <c r="AE227" s="851"/>
      <c r="AF227" s="1337"/>
      <c r="AG227" s="851"/>
      <c r="AH227" s="851"/>
      <c r="AI227" s="851"/>
      <c r="AJ227" s="935"/>
      <c r="AK227" s="935"/>
      <c r="AL227" s="935"/>
      <c r="AM227" s="935"/>
      <c r="AN227" s="851"/>
      <c r="AO227" s="851"/>
      <c r="AP227" s="851"/>
      <c r="AQ227" s="851"/>
      <c r="AR227" s="851"/>
      <c r="AS227" s="851"/>
    </row>
    <row r="228" spans="1:45">
      <c r="A228" s="13" t="s">
        <v>316</v>
      </c>
      <c r="B228" s="13" t="s">
        <v>364</v>
      </c>
      <c r="C228" s="5">
        <v>46113</v>
      </c>
      <c r="D228" s="38"/>
      <c r="E228" s="13"/>
      <c r="F228" s="13"/>
      <c r="G228" s="13"/>
      <c r="H228" s="13"/>
      <c r="I228" s="13"/>
      <c r="J228" s="13"/>
      <c r="K228" s="13"/>
      <c r="L228" s="13"/>
      <c r="M228" s="13"/>
      <c r="N228" s="13"/>
      <c r="O228" s="13"/>
      <c r="P228" s="13">
        <f>'Manpower Allocation'!$L$192</f>
        <v>63</v>
      </c>
      <c r="Q228" s="13">
        <f>'Manpower Allocation'!$J$192</f>
        <v>50</v>
      </c>
      <c r="R228" s="312">
        <v>4</v>
      </c>
      <c r="S228" s="13"/>
      <c r="T228" s="13">
        <f>SUM(P228:R228)</f>
        <v>117</v>
      </c>
      <c r="U228" s="22"/>
      <c r="V228" s="22"/>
      <c r="W228" s="22"/>
      <c r="X228" s="22"/>
      <c r="Y228" s="22"/>
      <c r="Z228" s="22"/>
      <c r="AA228" s="22"/>
      <c r="AB228" s="22"/>
      <c r="AC228" s="22"/>
      <c r="AD228" s="22" t="s">
        <v>1574</v>
      </c>
      <c r="AE228" s="22"/>
      <c r="AF228" s="1325"/>
      <c r="AG228" s="22"/>
      <c r="AH228" s="22"/>
      <c r="AI228" s="22"/>
      <c r="AJ228" s="130"/>
      <c r="AK228" s="130"/>
      <c r="AL228" s="130"/>
      <c r="AM228" s="130"/>
      <c r="AN228" s="22"/>
      <c r="AO228" s="22"/>
      <c r="AP228" s="22"/>
      <c r="AQ228" s="22"/>
      <c r="AR228" s="22"/>
      <c r="AS228" s="22"/>
    </row>
    <row r="229" spans="1:45">
      <c r="A229" s="13" t="s">
        <v>316</v>
      </c>
      <c r="B229" s="13" t="s">
        <v>364</v>
      </c>
      <c r="C229" s="5">
        <v>46143</v>
      </c>
      <c r="D229" s="38"/>
      <c r="E229" s="13"/>
      <c r="F229" s="13"/>
      <c r="G229" s="13"/>
      <c r="H229" s="13"/>
      <c r="I229" s="13"/>
      <c r="J229" s="13"/>
      <c r="K229" s="13"/>
      <c r="L229" s="13"/>
      <c r="M229" s="13"/>
      <c r="N229" s="13"/>
      <c r="O229" s="13"/>
      <c r="P229" s="13">
        <f>'Manpower Allocation'!$L$192</f>
        <v>63</v>
      </c>
      <c r="Q229" s="13">
        <f>'Manpower Allocation'!$J$192</f>
        <v>50</v>
      </c>
      <c r="R229" s="312">
        <v>4</v>
      </c>
      <c r="S229" s="13"/>
      <c r="T229" s="13">
        <f t="shared" ref="T229:T239" si="249">SUM(P229:R229)</f>
        <v>117</v>
      </c>
      <c r="U229" s="22"/>
      <c r="V229" s="22"/>
      <c r="W229" s="22"/>
      <c r="X229" s="22"/>
      <c r="Y229" s="22"/>
      <c r="Z229" s="22"/>
      <c r="AA229" s="22"/>
      <c r="AB229" s="22"/>
      <c r="AC229" s="22"/>
      <c r="AD229" s="22"/>
      <c r="AE229" s="22"/>
      <c r="AF229" s="1325"/>
      <c r="AG229" s="22"/>
      <c r="AH229" s="22"/>
      <c r="AI229" s="22"/>
      <c r="AJ229" s="130"/>
      <c r="AK229" s="130"/>
      <c r="AL229" s="130"/>
      <c r="AM229" s="130"/>
      <c r="AN229" s="22"/>
      <c r="AO229" s="22"/>
      <c r="AP229" s="22"/>
      <c r="AQ229" s="22"/>
      <c r="AR229" s="22"/>
      <c r="AS229" s="22"/>
    </row>
    <row r="230" spans="1:45">
      <c r="A230" s="13" t="s">
        <v>316</v>
      </c>
      <c r="B230" s="13" t="s">
        <v>364</v>
      </c>
      <c r="C230" s="5">
        <v>46174</v>
      </c>
      <c r="D230" s="38"/>
      <c r="E230" s="13"/>
      <c r="F230" s="13"/>
      <c r="G230" s="13"/>
      <c r="H230" s="13"/>
      <c r="I230" s="13"/>
      <c r="J230" s="13"/>
      <c r="K230" s="13"/>
      <c r="L230" s="13"/>
      <c r="M230" s="13"/>
      <c r="N230" s="13"/>
      <c r="O230" s="13"/>
      <c r="P230" s="13">
        <f>'Manpower Allocation'!$L$192</f>
        <v>63</v>
      </c>
      <c r="Q230" s="13">
        <f>'Manpower Allocation'!$J$192</f>
        <v>50</v>
      </c>
      <c r="R230" s="312">
        <v>4</v>
      </c>
      <c r="S230" s="13"/>
      <c r="T230" s="13">
        <f t="shared" si="249"/>
        <v>117</v>
      </c>
      <c r="U230" s="22"/>
      <c r="V230" s="22"/>
      <c r="W230" s="22"/>
      <c r="X230" s="22"/>
      <c r="Y230" s="22"/>
      <c r="Z230" s="22"/>
      <c r="AA230" s="22"/>
      <c r="AB230" s="22"/>
      <c r="AC230" s="22"/>
      <c r="AD230" s="22"/>
      <c r="AE230" s="22"/>
      <c r="AF230" s="1325"/>
      <c r="AG230" s="22"/>
      <c r="AH230" s="22"/>
      <c r="AI230" s="22"/>
      <c r="AJ230" s="130"/>
      <c r="AK230" s="130"/>
      <c r="AL230" s="130"/>
      <c r="AM230" s="130"/>
      <c r="AN230" s="22"/>
      <c r="AO230" s="22"/>
      <c r="AP230" s="22"/>
      <c r="AQ230" s="22"/>
      <c r="AR230" s="22"/>
      <c r="AS230" s="22"/>
    </row>
    <row r="231" spans="1:45">
      <c r="A231" s="13" t="s">
        <v>316</v>
      </c>
      <c r="B231" s="13" t="s">
        <v>364</v>
      </c>
      <c r="C231" s="5">
        <v>46204</v>
      </c>
      <c r="D231" s="38"/>
      <c r="E231" s="13"/>
      <c r="F231" s="13"/>
      <c r="G231" s="13"/>
      <c r="H231" s="13"/>
      <c r="I231" s="13"/>
      <c r="J231" s="13"/>
      <c r="K231" s="13"/>
      <c r="L231" s="13"/>
      <c r="M231" s="13"/>
      <c r="N231" s="13"/>
      <c r="O231" s="13"/>
      <c r="P231" s="13">
        <f>'Manpower Allocation'!$L$192</f>
        <v>63</v>
      </c>
      <c r="Q231" s="13">
        <f>'Manpower Allocation'!$J$192</f>
        <v>50</v>
      </c>
      <c r="R231" s="312">
        <v>4</v>
      </c>
      <c r="S231" s="13"/>
      <c r="T231" s="13">
        <f t="shared" si="249"/>
        <v>117</v>
      </c>
      <c r="U231" s="22"/>
      <c r="V231" s="22"/>
      <c r="W231" s="22"/>
      <c r="X231" s="22"/>
      <c r="Y231" s="22"/>
      <c r="Z231" s="22"/>
      <c r="AA231" s="22"/>
      <c r="AB231" s="22"/>
      <c r="AC231" s="22"/>
      <c r="AD231" s="22"/>
      <c r="AE231" s="22"/>
      <c r="AF231" s="1325"/>
      <c r="AG231" s="22"/>
      <c r="AH231" s="22"/>
      <c r="AI231" s="22"/>
      <c r="AJ231" s="130"/>
      <c r="AK231" s="130"/>
      <c r="AL231" s="130"/>
      <c r="AM231" s="130"/>
      <c r="AN231" s="22"/>
      <c r="AO231" s="22"/>
      <c r="AP231" s="22"/>
      <c r="AQ231" s="22"/>
      <c r="AR231" s="22"/>
      <c r="AS231" s="22"/>
    </row>
    <row r="232" spans="1:45">
      <c r="A232" s="13" t="s">
        <v>316</v>
      </c>
      <c r="B232" s="13" t="s">
        <v>364</v>
      </c>
      <c r="C232" s="5">
        <v>46235</v>
      </c>
      <c r="D232" s="38"/>
      <c r="E232" s="13"/>
      <c r="F232" s="13"/>
      <c r="G232" s="13"/>
      <c r="H232" s="13"/>
      <c r="I232" s="13"/>
      <c r="J232" s="13"/>
      <c r="K232" s="13"/>
      <c r="L232" s="13"/>
      <c r="M232" s="13"/>
      <c r="N232" s="13"/>
      <c r="O232" s="13"/>
      <c r="P232" s="13">
        <f>'Manpower Allocation'!$L$192</f>
        <v>63</v>
      </c>
      <c r="Q232" s="13">
        <f>'Manpower Allocation'!$J$192</f>
        <v>50</v>
      </c>
      <c r="R232" s="312">
        <v>4</v>
      </c>
      <c r="S232" s="13"/>
      <c r="T232" s="13">
        <f t="shared" si="249"/>
        <v>117</v>
      </c>
      <c r="U232" s="22"/>
      <c r="V232" s="22"/>
      <c r="W232" s="22"/>
      <c r="X232" s="22"/>
      <c r="Y232" s="22"/>
      <c r="Z232" s="22"/>
      <c r="AA232" s="22"/>
      <c r="AB232" s="22"/>
      <c r="AC232" s="22"/>
      <c r="AD232" s="22"/>
      <c r="AE232" s="22"/>
      <c r="AF232" s="1325"/>
      <c r="AG232" s="22"/>
      <c r="AH232" s="22"/>
      <c r="AI232" s="22"/>
      <c r="AJ232" s="130"/>
      <c r="AK232" s="130"/>
      <c r="AL232" s="130"/>
      <c r="AM232" s="130"/>
      <c r="AN232" s="22"/>
      <c r="AO232" s="22"/>
      <c r="AP232" s="22"/>
      <c r="AQ232" s="22"/>
      <c r="AR232" s="22"/>
      <c r="AS232" s="22"/>
    </row>
    <row r="233" spans="1:45">
      <c r="A233" s="13" t="s">
        <v>316</v>
      </c>
      <c r="B233" s="13" t="s">
        <v>364</v>
      </c>
      <c r="C233" s="5">
        <v>46266</v>
      </c>
      <c r="D233" s="38"/>
      <c r="E233" s="13"/>
      <c r="F233" s="13"/>
      <c r="G233" s="13"/>
      <c r="H233" s="13"/>
      <c r="I233" s="13"/>
      <c r="J233" s="13"/>
      <c r="K233" s="13"/>
      <c r="L233" s="13"/>
      <c r="M233" s="13"/>
      <c r="N233" s="13"/>
      <c r="O233" s="13"/>
      <c r="P233" s="13">
        <f>'Manpower Allocation'!$L$192</f>
        <v>63</v>
      </c>
      <c r="Q233" s="13">
        <f>'Manpower Allocation'!$J$192</f>
        <v>50</v>
      </c>
      <c r="R233" s="312">
        <v>4</v>
      </c>
      <c r="S233" s="13"/>
      <c r="T233" s="13">
        <f t="shared" si="249"/>
        <v>117</v>
      </c>
      <c r="U233" s="22"/>
      <c r="V233" s="22"/>
      <c r="W233" s="22"/>
      <c r="X233" s="22"/>
      <c r="Y233" s="22"/>
      <c r="Z233" s="22"/>
      <c r="AA233" s="22"/>
      <c r="AB233" s="22"/>
      <c r="AC233" s="22"/>
      <c r="AD233" s="22"/>
      <c r="AE233" s="22"/>
      <c r="AF233" s="1325"/>
      <c r="AG233" s="22"/>
      <c r="AH233" s="22"/>
      <c r="AI233" s="22"/>
      <c r="AJ233" s="130"/>
      <c r="AK233" s="130"/>
      <c r="AL233" s="130"/>
      <c r="AM233" s="130"/>
      <c r="AN233" s="22"/>
      <c r="AO233" s="22"/>
      <c r="AP233" s="22"/>
      <c r="AQ233" s="22"/>
      <c r="AR233" s="22"/>
      <c r="AS233" s="22"/>
    </row>
    <row r="234" spans="1:45">
      <c r="A234" s="13" t="s">
        <v>316</v>
      </c>
      <c r="B234" s="13" t="s">
        <v>364</v>
      </c>
      <c r="C234" s="5">
        <v>46296</v>
      </c>
      <c r="D234" s="38"/>
      <c r="E234" s="13"/>
      <c r="F234" s="13"/>
      <c r="G234" s="13"/>
      <c r="H234" s="13"/>
      <c r="I234" s="13"/>
      <c r="J234" s="13"/>
      <c r="K234" s="13"/>
      <c r="L234" s="13"/>
      <c r="M234" s="13"/>
      <c r="N234" s="13"/>
      <c r="O234" s="13"/>
      <c r="P234" s="13">
        <f>'Manpower Allocation'!$L$192</f>
        <v>63</v>
      </c>
      <c r="Q234" s="13">
        <f>'Manpower Allocation'!$J$192</f>
        <v>50</v>
      </c>
      <c r="R234" s="312">
        <v>4</v>
      </c>
      <c r="S234" s="13"/>
      <c r="T234" s="13">
        <f t="shared" si="249"/>
        <v>117</v>
      </c>
      <c r="U234" s="22"/>
      <c r="V234" s="22"/>
      <c r="W234" s="22"/>
      <c r="X234" s="22"/>
      <c r="Y234" s="22"/>
      <c r="Z234" s="22"/>
      <c r="AA234" s="22"/>
      <c r="AB234" s="22"/>
      <c r="AC234" s="22"/>
      <c r="AD234" s="22"/>
      <c r="AE234" s="22"/>
      <c r="AF234" s="1325"/>
      <c r="AG234" s="22"/>
      <c r="AH234" s="22"/>
      <c r="AI234" s="22"/>
      <c r="AJ234" s="130"/>
      <c r="AK234" s="130"/>
      <c r="AL234" s="130"/>
      <c r="AM234" s="130"/>
      <c r="AN234" s="22"/>
      <c r="AO234" s="22"/>
      <c r="AP234" s="22"/>
      <c r="AQ234" s="22"/>
      <c r="AR234" s="22"/>
      <c r="AS234" s="22"/>
    </row>
    <row r="235" spans="1:45">
      <c r="A235" s="13" t="s">
        <v>316</v>
      </c>
      <c r="B235" s="13" t="s">
        <v>364</v>
      </c>
      <c r="C235" s="5">
        <v>46327</v>
      </c>
      <c r="D235" s="38"/>
      <c r="E235" s="13"/>
      <c r="F235" s="13"/>
      <c r="G235" s="13"/>
      <c r="H235" s="13"/>
      <c r="I235" s="13"/>
      <c r="J235" s="13"/>
      <c r="K235" s="13"/>
      <c r="L235" s="13"/>
      <c r="M235" s="13"/>
      <c r="N235" s="13"/>
      <c r="O235" s="13"/>
      <c r="P235" s="13">
        <f>'Manpower Allocation'!$L$192</f>
        <v>63</v>
      </c>
      <c r="Q235" s="13">
        <f>'Manpower Allocation'!$J$192</f>
        <v>50</v>
      </c>
      <c r="R235" s="312">
        <v>4</v>
      </c>
      <c r="S235" s="13"/>
      <c r="T235" s="13">
        <f t="shared" si="249"/>
        <v>117</v>
      </c>
      <c r="U235" s="22"/>
      <c r="V235" s="22"/>
      <c r="W235" s="22"/>
      <c r="X235" s="22"/>
      <c r="Y235" s="22"/>
      <c r="Z235" s="22"/>
      <c r="AA235" s="22"/>
      <c r="AB235" s="22"/>
      <c r="AC235" s="22"/>
      <c r="AD235" s="22"/>
      <c r="AE235" s="22"/>
      <c r="AF235" s="1325"/>
      <c r="AG235" s="22"/>
      <c r="AH235" s="22"/>
      <c r="AI235" s="22"/>
      <c r="AJ235" s="130"/>
      <c r="AK235" s="130"/>
      <c r="AL235" s="130"/>
      <c r="AM235" s="130"/>
      <c r="AN235" s="22"/>
      <c r="AO235" s="22"/>
      <c r="AP235" s="22"/>
      <c r="AQ235" s="22"/>
      <c r="AR235" s="22"/>
      <c r="AS235" s="22"/>
    </row>
    <row r="236" spans="1:45">
      <c r="A236" s="13" t="s">
        <v>316</v>
      </c>
      <c r="B236" s="13" t="s">
        <v>364</v>
      </c>
      <c r="C236" s="5">
        <v>46357</v>
      </c>
      <c r="D236" s="38"/>
      <c r="E236" s="13"/>
      <c r="F236" s="13"/>
      <c r="G236" s="13"/>
      <c r="H236" s="13"/>
      <c r="I236" s="13"/>
      <c r="J236" s="13"/>
      <c r="K236" s="13"/>
      <c r="L236" s="13"/>
      <c r="M236" s="13"/>
      <c r="N236" s="13"/>
      <c r="O236" s="13"/>
      <c r="P236" s="13">
        <f>'Manpower Allocation'!$L$192</f>
        <v>63</v>
      </c>
      <c r="Q236" s="13">
        <f>'Manpower Allocation'!$J$192</f>
        <v>50</v>
      </c>
      <c r="R236" s="312">
        <v>4</v>
      </c>
      <c r="S236" s="13"/>
      <c r="T236" s="13">
        <f t="shared" si="249"/>
        <v>117</v>
      </c>
      <c r="U236" s="22"/>
      <c r="V236" s="22"/>
      <c r="W236" s="22"/>
      <c r="X236" s="22"/>
      <c r="Y236" s="22"/>
      <c r="Z236" s="22"/>
      <c r="AA236" s="22"/>
      <c r="AB236" s="22"/>
      <c r="AC236" s="22"/>
      <c r="AD236" s="22"/>
      <c r="AE236" s="22"/>
      <c r="AF236" s="1325"/>
      <c r="AG236" s="22"/>
      <c r="AH236" s="22"/>
      <c r="AI236" s="22"/>
      <c r="AJ236" s="130"/>
      <c r="AK236" s="130"/>
      <c r="AL236" s="130"/>
      <c r="AM236" s="130"/>
      <c r="AN236" s="22"/>
      <c r="AO236" s="22"/>
      <c r="AP236" s="22"/>
      <c r="AQ236" s="22"/>
      <c r="AR236" s="22"/>
      <c r="AS236" s="22"/>
    </row>
    <row r="237" spans="1:45">
      <c r="A237" s="13" t="s">
        <v>316</v>
      </c>
      <c r="B237" s="13" t="s">
        <v>364</v>
      </c>
      <c r="C237" s="5">
        <v>46388</v>
      </c>
      <c r="D237" s="38"/>
      <c r="E237" s="13"/>
      <c r="F237" s="13"/>
      <c r="G237" s="13"/>
      <c r="H237" s="13"/>
      <c r="I237" s="13"/>
      <c r="J237" s="13"/>
      <c r="K237" s="13"/>
      <c r="L237" s="13"/>
      <c r="M237" s="13"/>
      <c r="N237" s="13"/>
      <c r="O237" s="13"/>
      <c r="P237" s="13">
        <f>'Manpower Allocation'!$L$192</f>
        <v>63</v>
      </c>
      <c r="Q237" s="13">
        <f>'Manpower Allocation'!$J$192</f>
        <v>50</v>
      </c>
      <c r="R237" s="312">
        <v>4</v>
      </c>
      <c r="S237" s="13"/>
      <c r="T237" s="13">
        <f t="shared" si="249"/>
        <v>117</v>
      </c>
      <c r="U237" s="22"/>
      <c r="V237" s="22"/>
      <c r="W237" s="22"/>
      <c r="X237" s="22"/>
      <c r="Y237" s="22"/>
      <c r="Z237" s="22"/>
      <c r="AA237" s="22"/>
      <c r="AB237" s="22"/>
      <c r="AC237" s="22"/>
      <c r="AD237" s="22"/>
      <c r="AE237" s="22"/>
      <c r="AF237" s="1325"/>
      <c r="AG237" s="22"/>
      <c r="AH237" s="22"/>
      <c r="AI237" s="22"/>
      <c r="AJ237" s="130"/>
      <c r="AK237" s="130"/>
      <c r="AL237" s="130"/>
      <c r="AM237" s="130"/>
      <c r="AN237" s="22"/>
      <c r="AO237" s="22"/>
      <c r="AP237" s="22"/>
      <c r="AQ237" s="22"/>
      <c r="AR237" s="22"/>
      <c r="AS237" s="22"/>
    </row>
    <row r="238" spans="1:45">
      <c r="A238" s="13" t="s">
        <v>316</v>
      </c>
      <c r="B238" s="13" t="s">
        <v>364</v>
      </c>
      <c r="C238" s="5">
        <v>46419</v>
      </c>
      <c r="D238" s="38"/>
      <c r="E238" s="13"/>
      <c r="F238" s="13"/>
      <c r="G238" s="13"/>
      <c r="H238" s="13"/>
      <c r="I238" s="13"/>
      <c r="J238" s="13"/>
      <c r="K238" s="13"/>
      <c r="L238" s="13"/>
      <c r="M238" s="13"/>
      <c r="N238" s="13"/>
      <c r="O238" s="13"/>
      <c r="P238" s="13">
        <f>'Manpower Allocation'!$L$192</f>
        <v>63</v>
      </c>
      <c r="Q238" s="13">
        <f>'Manpower Allocation'!$J$192</f>
        <v>50</v>
      </c>
      <c r="R238" s="312">
        <v>4</v>
      </c>
      <c r="S238" s="13"/>
      <c r="T238" s="13">
        <f t="shared" si="249"/>
        <v>117</v>
      </c>
      <c r="U238" s="22"/>
      <c r="V238" s="22"/>
      <c r="W238" s="22"/>
      <c r="X238" s="22"/>
      <c r="Y238" s="22"/>
      <c r="Z238" s="22"/>
      <c r="AA238" s="22"/>
      <c r="AB238" s="22"/>
      <c r="AC238" s="22"/>
      <c r="AD238" s="22"/>
      <c r="AE238" s="22"/>
      <c r="AF238" s="1325"/>
      <c r="AG238" s="22"/>
      <c r="AH238" s="22"/>
      <c r="AI238" s="22"/>
      <c r="AJ238" s="130"/>
      <c r="AK238" s="130"/>
      <c r="AL238" s="130"/>
      <c r="AM238" s="130"/>
      <c r="AN238" s="22"/>
      <c r="AO238" s="22"/>
      <c r="AP238" s="22"/>
      <c r="AQ238" s="22"/>
      <c r="AR238" s="22"/>
      <c r="AS238" s="22"/>
    </row>
    <row r="239" spans="1:45">
      <c r="A239" s="13" t="s">
        <v>316</v>
      </c>
      <c r="B239" s="13" t="s">
        <v>364</v>
      </c>
      <c r="C239" s="5">
        <v>46447</v>
      </c>
      <c r="D239" s="38"/>
      <c r="E239" s="13"/>
      <c r="F239" s="13"/>
      <c r="G239" s="13"/>
      <c r="H239" s="13"/>
      <c r="I239" s="13"/>
      <c r="J239" s="13"/>
      <c r="K239" s="13"/>
      <c r="L239" s="13"/>
      <c r="M239" s="13"/>
      <c r="N239" s="13"/>
      <c r="O239" s="13"/>
      <c r="P239" s="13">
        <f>'Manpower Allocation'!$L$192</f>
        <v>63</v>
      </c>
      <c r="Q239" s="13">
        <f>'Manpower Allocation'!$J$192</f>
        <v>50</v>
      </c>
      <c r="R239" s="312">
        <v>4</v>
      </c>
      <c r="S239" s="13"/>
      <c r="T239" s="13">
        <f t="shared" si="249"/>
        <v>117</v>
      </c>
      <c r="U239" s="22"/>
      <c r="V239" s="22"/>
      <c r="W239" s="22"/>
      <c r="X239" s="22"/>
      <c r="Y239" s="22"/>
      <c r="Z239" s="22"/>
      <c r="AA239" s="22"/>
      <c r="AB239" s="22"/>
      <c r="AC239" s="22"/>
      <c r="AD239" s="22"/>
      <c r="AE239" s="22"/>
      <c r="AF239" s="1325"/>
      <c r="AG239" s="22"/>
      <c r="AH239" s="22"/>
      <c r="AI239" s="22"/>
      <c r="AJ239" s="130"/>
      <c r="AK239" s="130"/>
      <c r="AL239" s="130"/>
      <c r="AM239" s="130"/>
      <c r="AN239" s="22"/>
      <c r="AO239" s="22"/>
      <c r="AP239" s="22"/>
      <c r="AQ239" s="22"/>
      <c r="AR239" s="22"/>
      <c r="AS239" s="22"/>
    </row>
    <row r="242" spans="1:50" ht="43.5">
      <c r="A242" s="1" t="s">
        <v>0</v>
      </c>
      <c r="B242" s="1" t="s">
        <v>1</v>
      </c>
      <c r="C242" s="1" t="s">
        <v>2</v>
      </c>
      <c r="D242" s="799" t="s">
        <v>3</v>
      </c>
      <c r="E242" s="1" t="s">
        <v>4</v>
      </c>
      <c r="F242" s="1" t="s">
        <v>5</v>
      </c>
      <c r="G242" s="1" t="s">
        <v>6</v>
      </c>
      <c r="H242" s="1" t="s">
        <v>7</v>
      </c>
      <c r="I242" s="1" t="s">
        <v>8</v>
      </c>
      <c r="J242" s="1" t="s">
        <v>9</v>
      </c>
      <c r="K242" s="1"/>
      <c r="L242" s="1" t="s">
        <v>10</v>
      </c>
      <c r="M242" s="1" t="s">
        <v>10</v>
      </c>
      <c r="N242" s="1" t="s">
        <v>11</v>
      </c>
      <c r="O242" s="1" t="s">
        <v>11</v>
      </c>
      <c r="P242" s="1" t="s">
        <v>12</v>
      </c>
      <c r="Q242" s="1" t="s">
        <v>940</v>
      </c>
      <c r="R242" s="1" t="s">
        <v>941</v>
      </c>
      <c r="S242" s="1"/>
      <c r="T242" s="1" t="s">
        <v>14</v>
      </c>
      <c r="U242" s="851" t="s">
        <v>1561</v>
      </c>
      <c r="V242" s="851" t="s">
        <v>1517</v>
      </c>
      <c r="W242" s="851" t="s">
        <v>1518</v>
      </c>
      <c r="X242" s="851" t="s">
        <v>873</v>
      </c>
      <c r="Y242" s="851" t="s">
        <v>1519</v>
      </c>
      <c r="Z242" s="851" t="s">
        <v>1520</v>
      </c>
      <c r="AA242" s="851" t="s">
        <v>1521</v>
      </c>
      <c r="AB242" s="851" t="s">
        <v>1521</v>
      </c>
      <c r="AC242" s="851" t="s">
        <v>1562</v>
      </c>
      <c r="AD242" s="851" t="s">
        <v>537</v>
      </c>
      <c r="AE242" s="851"/>
      <c r="AF242" s="1337"/>
      <c r="AG242" s="851"/>
      <c r="AH242" s="851"/>
      <c r="AI242" s="851"/>
      <c r="AJ242" s="935"/>
      <c r="AK242" s="935"/>
      <c r="AL242" s="935"/>
      <c r="AM242" s="935"/>
      <c r="AN242" s="851"/>
      <c r="AO242" s="851"/>
      <c r="AP242" s="851"/>
      <c r="AQ242" s="851"/>
      <c r="AR242" s="851"/>
      <c r="AS242" s="851"/>
    </row>
    <row r="243" spans="1:50">
      <c r="A243" s="13" t="s">
        <v>478</v>
      </c>
      <c r="B243" s="13" t="s">
        <v>607</v>
      </c>
      <c r="C243" s="5">
        <v>46113</v>
      </c>
      <c r="D243" s="38"/>
      <c r="E243" s="13"/>
      <c r="F243" s="13"/>
      <c r="G243" s="13"/>
      <c r="H243" s="13"/>
      <c r="I243" s="13"/>
      <c r="J243" s="13"/>
      <c r="K243" s="13"/>
      <c r="L243" s="13"/>
      <c r="M243" s="13"/>
      <c r="N243" s="13"/>
      <c r="O243" s="13"/>
      <c r="P243" s="13"/>
      <c r="Q243" s="13">
        <v>38</v>
      </c>
      <c r="R243" s="13">
        <v>0</v>
      </c>
      <c r="S243" s="13"/>
      <c r="T243" s="13">
        <f>SUM(Q243:R243)</f>
        <v>38</v>
      </c>
      <c r="U243" s="22"/>
      <c r="V243" s="22"/>
      <c r="W243" s="22"/>
      <c r="X243" s="22"/>
      <c r="Y243" s="22"/>
      <c r="Z243" s="22"/>
      <c r="AA243" s="22"/>
      <c r="AB243" s="22"/>
      <c r="AC243" s="22"/>
      <c r="AD243" s="22" t="s">
        <v>1574</v>
      </c>
      <c r="AE243" s="22"/>
      <c r="AF243" s="1325"/>
      <c r="AG243" s="22"/>
      <c r="AH243" s="22"/>
      <c r="AI243" s="22"/>
      <c r="AJ243" s="130"/>
      <c r="AK243" s="130"/>
      <c r="AL243" s="130"/>
      <c r="AM243" s="130"/>
      <c r="AN243" s="22"/>
      <c r="AO243" s="22"/>
      <c r="AP243" s="22"/>
      <c r="AQ243" s="22"/>
      <c r="AR243" s="22"/>
      <c r="AS243" s="22"/>
    </row>
    <row r="244" spans="1:50">
      <c r="A244" s="13" t="s">
        <v>478</v>
      </c>
      <c r="B244" s="13" t="s">
        <v>607</v>
      </c>
      <c r="C244" s="5">
        <v>46143</v>
      </c>
      <c r="D244" s="38"/>
      <c r="E244" s="13"/>
      <c r="F244" s="13"/>
      <c r="G244" s="13"/>
      <c r="H244" s="13"/>
      <c r="I244" s="13"/>
      <c r="J244" s="13"/>
      <c r="K244" s="13"/>
      <c r="L244" s="13"/>
      <c r="M244" s="13"/>
      <c r="N244" s="13"/>
      <c r="O244" s="13"/>
      <c r="P244" s="13"/>
      <c r="Q244" s="13">
        <f>'Manpower Allocation'!$J$174</f>
        <v>33</v>
      </c>
      <c r="R244" s="13">
        <f>'Manpower Allocation'!$K$174</f>
        <v>6</v>
      </c>
      <c r="S244" s="13"/>
      <c r="T244" s="13">
        <f t="shared" ref="T244:T254" si="250">SUM(Q244:R244)</f>
        <v>39</v>
      </c>
      <c r="U244" s="22"/>
      <c r="V244" s="22"/>
      <c r="W244" s="22"/>
      <c r="X244" s="22"/>
      <c r="Y244" s="22"/>
      <c r="Z244" s="22"/>
      <c r="AA244" s="22"/>
      <c r="AB244" s="22"/>
      <c r="AC244" s="22"/>
      <c r="AD244" s="22"/>
      <c r="AE244" s="22"/>
      <c r="AF244" s="1325"/>
      <c r="AG244" s="22"/>
      <c r="AH244" s="22"/>
      <c r="AI244" s="22"/>
      <c r="AJ244" s="130"/>
      <c r="AK244" s="130"/>
      <c r="AL244" s="130"/>
      <c r="AM244" s="130"/>
      <c r="AN244" s="22"/>
      <c r="AO244" s="22"/>
      <c r="AP244" s="22"/>
      <c r="AQ244" s="22"/>
      <c r="AR244" s="22"/>
      <c r="AS244" s="22"/>
      <c r="AU244" s="30" t="s">
        <v>301</v>
      </c>
      <c r="AV244" s="30">
        <v>5</v>
      </c>
      <c r="AW244" s="349">
        <v>3</v>
      </c>
      <c r="AX244" t="s">
        <v>893</v>
      </c>
    </row>
    <row r="245" spans="1:50">
      <c r="A245" s="13" t="s">
        <v>478</v>
      </c>
      <c r="B245" s="13" t="s">
        <v>607</v>
      </c>
      <c r="C245" s="5">
        <v>46174</v>
      </c>
      <c r="D245" s="38"/>
      <c r="E245" s="13"/>
      <c r="F245" s="13"/>
      <c r="G245" s="13"/>
      <c r="H245" s="13"/>
      <c r="I245" s="13"/>
      <c r="J245" s="13"/>
      <c r="K245" s="13"/>
      <c r="L245" s="13"/>
      <c r="M245" s="13"/>
      <c r="N245" s="13"/>
      <c r="O245" s="13"/>
      <c r="P245" s="13"/>
      <c r="Q245" s="13">
        <f>'Manpower Allocation'!$J$174</f>
        <v>33</v>
      </c>
      <c r="R245" s="13">
        <f>'Manpower Allocation'!$K$174</f>
        <v>6</v>
      </c>
      <c r="S245" s="13"/>
      <c r="T245" s="13">
        <f t="shared" si="250"/>
        <v>39</v>
      </c>
      <c r="U245" s="22"/>
      <c r="V245" s="22"/>
      <c r="W245" s="22"/>
      <c r="X245" s="22"/>
      <c r="Y245" s="22"/>
      <c r="Z245" s="22"/>
      <c r="AA245" s="22"/>
      <c r="AB245" s="22"/>
      <c r="AC245" s="22"/>
      <c r="AD245" s="22"/>
      <c r="AE245" s="22"/>
      <c r="AF245" s="1325"/>
      <c r="AG245" s="22"/>
      <c r="AH245" s="22"/>
      <c r="AI245" s="22"/>
      <c r="AJ245" s="130"/>
      <c r="AK245" s="130"/>
      <c r="AL245" s="130"/>
      <c r="AM245" s="130"/>
      <c r="AN245" s="22"/>
      <c r="AO245" s="22"/>
      <c r="AP245" s="22"/>
      <c r="AQ245" s="22"/>
      <c r="AR245" s="22"/>
      <c r="AS245" s="22"/>
      <c r="AU245" s="30" t="s">
        <v>26</v>
      </c>
      <c r="AV245" s="30">
        <v>4</v>
      </c>
      <c r="AW245" s="349">
        <v>3</v>
      </c>
      <c r="AX245" t="s">
        <v>893</v>
      </c>
    </row>
    <row r="246" spans="1:50">
      <c r="A246" s="13" t="s">
        <v>478</v>
      </c>
      <c r="B246" s="13" t="s">
        <v>607</v>
      </c>
      <c r="C246" s="5">
        <v>46204</v>
      </c>
      <c r="D246" s="38"/>
      <c r="E246" s="13"/>
      <c r="F246" s="13"/>
      <c r="G246" s="13"/>
      <c r="H246" s="13"/>
      <c r="I246" s="13"/>
      <c r="J246" s="13"/>
      <c r="K246" s="13"/>
      <c r="L246" s="13"/>
      <c r="M246" s="13"/>
      <c r="N246" s="13"/>
      <c r="O246" s="13"/>
      <c r="P246" s="13"/>
      <c r="Q246" s="13">
        <f>'Manpower Allocation'!$J$174</f>
        <v>33</v>
      </c>
      <c r="R246" s="13">
        <f>'Manpower Allocation'!$K$174</f>
        <v>6</v>
      </c>
      <c r="S246" s="13"/>
      <c r="T246" s="13">
        <f t="shared" si="250"/>
        <v>39</v>
      </c>
      <c r="U246" s="22"/>
      <c r="V246" s="22"/>
      <c r="W246" s="22"/>
      <c r="X246" s="22"/>
      <c r="Y246" s="22"/>
      <c r="Z246" s="22"/>
      <c r="AA246" s="22"/>
      <c r="AB246" s="22"/>
      <c r="AC246" s="22"/>
      <c r="AD246" s="22"/>
      <c r="AE246" s="22"/>
      <c r="AF246" s="1325"/>
      <c r="AG246" s="22"/>
      <c r="AH246" s="22"/>
      <c r="AI246" s="22"/>
      <c r="AJ246" s="130"/>
      <c r="AK246" s="130"/>
      <c r="AL246" s="130"/>
      <c r="AM246" s="130"/>
      <c r="AN246" s="22"/>
      <c r="AO246" s="22"/>
      <c r="AP246" s="22"/>
      <c r="AQ246" s="22"/>
      <c r="AR246" s="22"/>
      <c r="AS246" s="22"/>
      <c r="AU246" s="30" t="s">
        <v>31</v>
      </c>
      <c r="AV246" s="30">
        <v>3</v>
      </c>
      <c r="AW246" s="349">
        <v>3</v>
      </c>
      <c r="AX246" t="s">
        <v>893</v>
      </c>
    </row>
    <row r="247" spans="1:50">
      <c r="A247" s="13" t="s">
        <v>478</v>
      </c>
      <c r="B247" s="13" t="s">
        <v>607</v>
      </c>
      <c r="C247" s="5">
        <v>46235</v>
      </c>
      <c r="D247" s="38"/>
      <c r="E247" s="13"/>
      <c r="F247" s="13"/>
      <c r="G247" s="13"/>
      <c r="H247" s="13"/>
      <c r="I247" s="13"/>
      <c r="J247" s="13"/>
      <c r="K247" s="13"/>
      <c r="L247" s="13"/>
      <c r="M247" s="13"/>
      <c r="N247" s="13"/>
      <c r="O247" s="13"/>
      <c r="P247" s="13"/>
      <c r="Q247" s="13">
        <f>'Manpower Allocation'!$J$174</f>
        <v>33</v>
      </c>
      <c r="R247" s="13">
        <f>'Manpower Allocation'!$K$174</f>
        <v>6</v>
      </c>
      <c r="S247" s="13"/>
      <c r="T247" s="13">
        <f t="shared" si="250"/>
        <v>39</v>
      </c>
      <c r="U247" s="22"/>
      <c r="V247" s="22"/>
      <c r="W247" s="22"/>
      <c r="X247" s="22"/>
      <c r="Y247" s="22"/>
      <c r="Z247" s="22"/>
      <c r="AA247" s="22"/>
      <c r="AB247" s="22"/>
      <c r="AC247" s="22"/>
      <c r="AD247" s="22"/>
      <c r="AE247" s="22"/>
      <c r="AF247" s="1325"/>
      <c r="AG247" s="22"/>
      <c r="AH247" s="22"/>
      <c r="AI247" s="22"/>
      <c r="AJ247" s="130"/>
      <c r="AK247" s="130"/>
      <c r="AL247" s="130"/>
      <c r="AM247" s="130"/>
      <c r="AN247" s="22"/>
      <c r="AO247" s="22"/>
      <c r="AP247" s="22"/>
      <c r="AQ247" s="22"/>
      <c r="AR247" s="22"/>
      <c r="AS247" s="22"/>
      <c r="AU247" s="30" t="s">
        <v>32</v>
      </c>
      <c r="AV247" s="30">
        <v>25</v>
      </c>
      <c r="AW247" s="349">
        <v>24</v>
      </c>
      <c r="AX247" t="s">
        <v>892</v>
      </c>
    </row>
    <row r="248" spans="1:50">
      <c r="A248" s="13" t="s">
        <v>478</v>
      </c>
      <c r="B248" s="13" t="s">
        <v>607</v>
      </c>
      <c r="C248" s="5">
        <v>46266</v>
      </c>
      <c r="D248" s="38"/>
      <c r="E248" s="13"/>
      <c r="F248" s="13"/>
      <c r="G248" s="13"/>
      <c r="H248" s="13"/>
      <c r="I248" s="13"/>
      <c r="J248" s="13"/>
      <c r="K248" s="13"/>
      <c r="L248" s="13"/>
      <c r="M248" s="13"/>
      <c r="N248" s="13"/>
      <c r="O248" s="13"/>
      <c r="P248" s="13"/>
      <c r="Q248" s="13">
        <f>'Manpower Allocation'!$J$174</f>
        <v>33</v>
      </c>
      <c r="R248" s="13">
        <f>'Manpower Allocation'!$K$174</f>
        <v>6</v>
      </c>
      <c r="S248" s="13"/>
      <c r="T248" s="13">
        <f t="shared" si="250"/>
        <v>39</v>
      </c>
      <c r="U248" s="22"/>
      <c r="V248" s="22"/>
      <c r="W248" s="22"/>
      <c r="X248" s="22"/>
      <c r="Y248" s="22"/>
      <c r="Z248" s="22"/>
      <c r="AA248" s="22"/>
      <c r="AB248" s="22"/>
      <c r="AC248" s="22"/>
      <c r="AD248" s="22"/>
      <c r="AE248" s="22"/>
      <c r="AF248" s="1325"/>
      <c r="AG248" s="22"/>
      <c r="AH248" s="22"/>
      <c r="AI248" s="22"/>
      <c r="AJ248" s="130"/>
      <c r="AK248" s="130"/>
      <c r="AL248" s="130"/>
      <c r="AM248" s="130"/>
      <c r="AN248" s="22"/>
      <c r="AO248" s="22"/>
      <c r="AP248" s="22"/>
      <c r="AQ248" s="22"/>
      <c r="AR248" s="22"/>
      <c r="AS248" s="22"/>
      <c r="AU248" s="104" t="s">
        <v>295</v>
      </c>
      <c r="AV248" s="104">
        <v>7</v>
      </c>
      <c r="AW248" s="349">
        <v>6</v>
      </c>
      <c r="AX248" t="s">
        <v>894</v>
      </c>
    </row>
    <row r="249" spans="1:50">
      <c r="A249" s="13" t="s">
        <v>478</v>
      </c>
      <c r="B249" s="13" t="s">
        <v>607</v>
      </c>
      <c r="C249" s="5">
        <v>46296</v>
      </c>
      <c r="D249" s="38"/>
      <c r="E249" s="13"/>
      <c r="F249" s="13"/>
      <c r="G249" s="13"/>
      <c r="H249" s="13"/>
      <c r="I249" s="13"/>
      <c r="J249" s="13"/>
      <c r="K249" s="13"/>
      <c r="L249" s="13"/>
      <c r="M249" s="13"/>
      <c r="N249" s="13"/>
      <c r="O249" s="13"/>
      <c r="P249" s="13"/>
      <c r="Q249" s="13">
        <f>'Manpower Allocation'!$J$174</f>
        <v>33</v>
      </c>
      <c r="R249" s="13">
        <f>'Manpower Allocation'!$K$174</f>
        <v>6</v>
      </c>
      <c r="S249" s="13"/>
      <c r="T249" s="13">
        <f t="shared" si="250"/>
        <v>39</v>
      </c>
      <c r="U249" s="22"/>
      <c r="V249" s="22"/>
      <c r="W249" s="22"/>
      <c r="X249" s="22"/>
      <c r="Y249" s="22"/>
      <c r="Z249" s="22"/>
      <c r="AA249" s="22"/>
      <c r="AB249" s="22"/>
      <c r="AC249" s="22"/>
      <c r="AD249" s="22"/>
      <c r="AE249" s="22"/>
      <c r="AF249" s="1325"/>
      <c r="AG249" s="22"/>
      <c r="AH249" s="22"/>
      <c r="AI249" s="22"/>
      <c r="AJ249" s="130"/>
      <c r="AK249" s="130"/>
      <c r="AL249" s="130"/>
      <c r="AM249" s="130"/>
      <c r="AN249" s="22"/>
      <c r="AO249" s="22"/>
      <c r="AP249" s="22"/>
      <c r="AQ249" s="22"/>
      <c r="AR249" s="22"/>
      <c r="AS249" s="22"/>
      <c r="AV249">
        <f>SUM(AV244:AV248)</f>
        <v>44</v>
      </c>
      <c r="AW249">
        <f>SUM(AW244:AW248)</f>
        <v>39</v>
      </c>
    </row>
    <row r="250" spans="1:50">
      <c r="A250" s="13" t="s">
        <v>478</v>
      </c>
      <c r="B250" s="13" t="s">
        <v>607</v>
      </c>
      <c r="C250" s="5">
        <v>46327</v>
      </c>
      <c r="D250" s="38"/>
      <c r="E250" s="13"/>
      <c r="F250" s="13"/>
      <c r="G250" s="13"/>
      <c r="H250" s="13"/>
      <c r="I250" s="13"/>
      <c r="J250" s="13"/>
      <c r="K250" s="13"/>
      <c r="L250" s="13"/>
      <c r="M250" s="13"/>
      <c r="N250" s="13"/>
      <c r="O250" s="13"/>
      <c r="P250" s="13"/>
      <c r="Q250" s="13">
        <f>'Manpower Allocation'!$J$174</f>
        <v>33</v>
      </c>
      <c r="R250" s="13">
        <f>'Manpower Allocation'!$K$174</f>
        <v>6</v>
      </c>
      <c r="S250" s="13"/>
      <c r="T250" s="13">
        <f t="shared" si="250"/>
        <v>39</v>
      </c>
      <c r="U250" s="22"/>
      <c r="V250" s="22"/>
      <c r="W250" s="22"/>
      <c r="X250" s="22"/>
      <c r="Y250" s="22"/>
      <c r="Z250" s="22"/>
      <c r="AA250" s="22"/>
      <c r="AB250" s="22"/>
      <c r="AC250" s="22"/>
      <c r="AD250" s="22"/>
      <c r="AE250" s="22"/>
      <c r="AF250" s="1325"/>
      <c r="AG250" s="22"/>
      <c r="AH250" s="22"/>
      <c r="AI250" s="22"/>
      <c r="AJ250" s="130"/>
      <c r="AK250" s="130"/>
      <c r="AL250" s="130"/>
      <c r="AM250" s="130"/>
      <c r="AN250" s="22"/>
      <c r="AO250" s="22"/>
      <c r="AP250" s="22"/>
      <c r="AQ250" s="22"/>
      <c r="AR250" s="22"/>
      <c r="AS250" s="22"/>
    </row>
    <row r="251" spans="1:50">
      <c r="A251" s="13" t="s">
        <v>478</v>
      </c>
      <c r="B251" s="13" t="s">
        <v>607</v>
      </c>
      <c r="C251" s="5">
        <v>46357</v>
      </c>
      <c r="D251" s="38"/>
      <c r="E251" s="13"/>
      <c r="F251" s="13"/>
      <c r="G251" s="13"/>
      <c r="H251" s="13"/>
      <c r="I251" s="13"/>
      <c r="J251" s="13"/>
      <c r="K251" s="13"/>
      <c r="L251" s="13"/>
      <c r="M251" s="13"/>
      <c r="N251" s="13"/>
      <c r="O251" s="13"/>
      <c r="P251" s="13"/>
      <c r="Q251" s="13">
        <f>'Manpower Allocation'!$J$174</f>
        <v>33</v>
      </c>
      <c r="R251" s="13">
        <f>'Manpower Allocation'!$K$174</f>
        <v>6</v>
      </c>
      <c r="S251" s="13"/>
      <c r="T251" s="13">
        <f t="shared" si="250"/>
        <v>39</v>
      </c>
      <c r="U251" s="22"/>
      <c r="V251" s="22"/>
      <c r="W251" s="22"/>
      <c r="X251" s="22"/>
      <c r="Y251" s="22"/>
      <c r="Z251" s="22"/>
      <c r="AA251" s="22"/>
      <c r="AB251" s="22"/>
      <c r="AC251" s="22"/>
      <c r="AD251" s="22"/>
      <c r="AE251" s="22"/>
      <c r="AF251" s="1325"/>
      <c r="AG251" s="22"/>
      <c r="AH251" s="22"/>
      <c r="AI251" s="22"/>
      <c r="AJ251" s="130"/>
      <c r="AK251" s="130"/>
      <c r="AL251" s="130"/>
      <c r="AM251" s="130"/>
      <c r="AN251" s="22"/>
      <c r="AO251" s="22"/>
      <c r="AP251" s="22"/>
      <c r="AQ251" s="22"/>
      <c r="AR251" s="22"/>
      <c r="AS251" s="22"/>
    </row>
    <row r="252" spans="1:50">
      <c r="A252" s="13" t="s">
        <v>478</v>
      </c>
      <c r="B252" s="13" t="s">
        <v>607</v>
      </c>
      <c r="C252" s="5">
        <v>46388</v>
      </c>
      <c r="D252" s="38"/>
      <c r="E252" s="13"/>
      <c r="F252" s="13"/>
      <c r="G252" s="13"/>
      <c r="H252" s="13"/>
      <c r="I252" s="13"/>
      <c r="J252" s="13"/>
      <c r="K252" s="13"/>
      <c r="L252" s="13"/>
      <c r="M252" s="13"/>
      <c r="N252" s="13"/>
      <c r="O252" s="13"/>
      <c r="P252" s="13"/>
      <c r="Q252" s="13">
        <f>'Manpower Allocation'!$J$174</f>
        <v>33</v>
      </c>
      <c r="R252" s="13">
        <f>'Manpower Allocation'!$K$174</f>
        <v>6</v>
      </c>
      <c r="S252" s="13"/>
      <c r="T252" s="13">
        <f t="shared" si="250"/>
        <v>39</v>
      </c>
      <c r="U252" s="22"/>
      <c r="V252" s="22"/>
      <c r="W252" s="22"/>
      <c r="X252" s="22"/>
      <c r="Y252" s="22"/>
      <c r="Z252" s="22"/>
      <c r="AA252" s="22"/>
      <c r="AB252" s="22"/>
      <c r="AC252" s="22"/>
      <c r="AD252" s="22"/>
      <c r="AE252" s="22"/>
      <c r="AF252" s="1325"/>
      <c r="AG252" s="22"/>
      <c r="AH252" s="22"/>
      <c r="AI252" s="22"/>
      <c r="AJ252" s="130"/>
      <c r="AK252" s="130"/>
      <c r="AL252" s="130"/>
      <c r="AM252" s="130"/>
      <c r="AN252" s="22"/>
      <c r="AO252" s="22"/>
      <c r="AP252" s="22"/>
      <c r="AQ252" s="22"/>
      <c r="AR252" s="22"/>
      <c r="AS252" s="22"/>
    </row>
    <row r="253" spans="1:50">
      <c r="A253" s="13" t="s">
        <v>478</v>
      </c>
      <c r="B253" s="13" t="s">
        <v>607</v>
      </c>
      <c r="C253" s="5">
        <v>46419</v>
      </c>
      <c r="D253" s="38"/>
      <c r="E253" s="13"/>
      <c r="F253" s="13"/>
      <c r="G253" s="13"/>
      <c r="H253" s="13"/>
      <c r="I253" s="13"/>
      <c r="J253" s="13"/>
      <c r="K253" s="13"/>
      <c r="L253" s="13"/>
      <c r="M253" s="13"/>
      <c r="N253" s="13"/>
      <c r="O253" s="13"/>
      <c r="P253" s="13"/>
      <c r="Q253" s="13">
        <f>'Manpower Allocation'!$J$174</f>
        <v>33</v>
      </c>
      <c r="R253" s="13">
        <f>'Manpower Allocation'!$K$174</f>
        <v>6</v>
      </c>
      <c r="S253" s="13"/>
      <c r="T253" s="13">
        <f t="shared" si="250"/>
        <v>39</v>
      </c>
      <c r="U253" s="22"/>
      <c r="V253" s="22"/>
      <c r="W253" s="22"/>
      <c r="X253" s="22"/>
      <c r="Y253" s="22"/>
      <c r="Z253" s="22"/>
      <c r="AA253" s="22"/>
      <c r="AB253" s="22"/>
      <c r="AC253" s="22"/>
      <c r="AD253" s="22"/>
      <c r="AE253" s="22"/>
      <c r="AF253" s="1325"/>
      <c r="AG253" s="22"/>
      <c r="AH253" s="22"/>
      <c r="AI253" s="22"/>
      <c r="AJ253" s="130"/>
      <c r="AK253" s="130"/>
      <c r="AL253" s="130"/>
      <c r="AM253" s="130"/>
      <c r="AN253" s="22"/>
      <c r="AO253" s="22"/>
      <c r="AP253" s="22"/>
      <c r="AQ253" s="22"/>
      <c r="AR253" s="22"/>
      <c r="AS253" s="22"/>
    </row>
    <row r="254" spans="1:50">
      <c r="A254" s="13" t="s">
        <v>478</v>
      </c>
      <c r="B254" s="13" t="s">
        <v>607</v>
      </c>
      <c r="C254" s="5">
        <v>46447</v>
      </c>
      <c r="D254" s="38"/>
      <c r="E254" s="13"/>
      <c r="F254" s="13"/>
      <c r="G254" s="13"/>
      <c r="H254" s="13"/>
      <c r="I254" s="13"/>
      <c r="J254" s="13"/>
      <c r="K254" s="13"/>
      <c r="L254" s="13"/>
      <c r="M254" s="13"/>
      <c r="N254" s="13"/>
      <c r="O254" s="13"/>
      <c r="P254" s="13"/>
      <c r="Q254" s="13">
        <f>'Manpower Allocation'!$J$174</f>
        <v>33</v>
      </c>
      <c r="R254" s="13">
        <f>'Manpower Allocation'!$K$174</f>
        <v>6</v>
      </c>
      <c r="S254" s="13"/>
      <c r="T254" s="13">
        <f t="shared" si="250"/>
        <v>39</v>
      </c>
      <c r="U254" s="22"/>
      <c r="V254" s="22"/>
      <c r="W254" s="22"/>
      <c r="X254" s="22"/>
      <c r="Y254" s="22"/>
      <c r="Z254" s="22"/>
      <c r="AA254" s="22"/>
      <c r="AB254" s="22"/>
      <c r="AC254" s="22"/>
      <c r="AD254" s="22"/>
      <c r="AE254" s="22"/>
      <c r="AF254" s="1325"/>
      <c r="AG254" s="22"/>
      <c r="AH254" s="22"/>
      <c r="AI254" s="22"/>
      <c r="AJ254" s="130"/>
      <c r="AK254" s="130"/>
      <c r="AL254" s="130"/>
      <c r="AM254" s="130"/>
      <c r="AN254" s="22"/>
      <c r="AO254" s="22"/>
      <c r="AP254" s="22"/>
      <c r="AQ254" s="22"/>
      <c r="AR254" s="22"/>
      <c r="AS254" s="22"/>
    </row>
    <row r="257" spans="1:45" ht="43.5">
      <c r="A257" s="1" t="s">
        <v>0</v>
      </c>
      <c r="B257" s="1" t="s">
        <v>1</v>
      </c>
      <c r="C257" s="1" t="s">
        <v>2</v>
      </c>
      <c r="D257" s="799" t="s">
        <v>3</v>
      </c>
      <c r="E257" s="1" t="s">
        <v>4</v>
      </c>
      <c r="F257" s="1" t="s">
        <v>5</v>
      </c>
      <c r="G257" s="1" t="s">
        <v>6</v>
      </c>
      <c r="H257" s="1" t="s">
        <v>7</v>
      </c>
      <c r="I257" s="1" t="s">
        <v>8</v>
      </c>
      <c r="J257" s="1" t="s">
        <v>9</v>
      </c>
      <c r="K257" s="1"/>
      <c r="L257" s="1" t="s">
        <v>10</v>
      </c>
      <c r="M257" s="1" t="s">
        <v>10</v>
      </c>
      <c r="N257" s="1" t="s">
        <v>11</v>
      </c>
      <c r="O257" s="1" t="s">
        <v>11</v>
      </c>
      <c r="P257" s="1" t="s">
        <v>307</v>
      </c>
      <c r="Q257" s="1" t="s">
        <v>940</v>
      </c>
      <c r="R257" s="1" t="s">
        <v>941</v>
      </c>
      <c r="S257" s="1"/>
      <c r="T257" s="1" t="s">
        <v>14</v>
      </c>
      <c r="U257" s="851" t="s">
        <v>1561</v>
      </c>
      <c r="V257" s="851" t="s">
        <v>1517</v>
      </c>
      <c r="W257" s="851" t="s">
        <v>1518</v>
      </c>
      <c r="X257" s="851" t="s">
        <v>873</v>
      </c>
      <c r="Y257" s="851" t="s">
        <v>1519</v>
      </c>
      <c r="Z257" s="851" t="s">
        <v>1520</v>
      </c>
      <c r="AA257" s="851" t="s">
        <v>1521</v>
      </c>
      <c r="AB257" s="851" t="s">
        <v>1521</v>
      </c>
      <c r="AC257" s="851" t="s">
        <v>1562</v>
      </c>
      <c r="AD257" s="851" t="s">
        <v>537</v>
      </c>
      <c r="AE257" s="851"/>
      <c r="AF257" s="1337"/>
      <c r="AG257" s="851"/>
      <c r="AH257" s="851"/>
      <c r="AI257" s="851"/>
      <c r="AJ257" s="935"/>
      <c r="AK257" s="935"/>
      <c r="AL257" s="935"/>
      <c r="AM257" s="935"/>
      <c r="AN257" s="851"/>
      <c r="AO257" s="851"/>
      <c r="AP257" s="851"/>
      <c r="AQ257" s="851"/>
      <c r="AR257" s="851"/>
      <c r="AS257" s="851"/>
    </row>
    <row r="258" spans="1:45">
      <c r="A258" s="13" t="s">
        <v>610</v>
      </c>
      <c r="B258" s="13" t="s">
        <v>608</v>
      </c>
      <c r="C258" s="5">
        <v>46113</v>
      </c>
      <c r="D258" s="38"/>
      <c r="E258" s="13"/>
      <c r="F258" s="13"/>
      <c r="G258" s="13"/>
      <c r="H258" s="13"/>
      <c r="I258" s="13"/>
      <c r="J258" s="13"/>
      <c r="K258" s="13"/>
      <c r="L258" s="13"/>
      <c r="M258" s="13"/>
      <c r="N258" s="13"/>
      <c r="O258" s="13"/>
      <c r="P258" s="13">
        <f>'Manpower Allocation'!$G$183</f>
        <v>30</v>
      </c>
      <c r="Q258" s="13">
        <f>'Manpower Allocation'!$J$184</f>
        <v>72</v>
      </c>
      <c r="R258" s="13">
        <f>'Manpower Allocation'!$K$184</f>
        <v>17</v>
      </c>
      <c r="S258" s="13"/>
      <c r="T258" s="13">
        <f>SUM(P258:R258)</f>
        <v>119</v>
      </c>
      <c r="U258" s="22"/>
      <c r="V258" s="22"/>
      <c r="W258" s="22"/>
      <c r="X258" s="22"/>
      <c r="Y258" s="22"/>
      <c r="Z258" s="22"/>
      <c r="AA258" s="22"/>
      <c r="AB258" s="22"/>
      <c r="AC258" s="22"/>
      <c r="AD258" s="22" t="s">
        <v>1574</v>
      </c>
      <c r="AE258" s="22"/>
      <c r="AF258" s="1325"/>
      <c r="AG258" s="22"/>
      <c r="AH258" s="22"/>
      <c r="AI258" s="22"/>
      <c r="AJ258" s="130"/>
      <c r="AK258" s="130"/>
      <c r="AL258" s="130"/>
      <c r="AM258" s="130"/>
      <c r="AN258" s="22"/>
      <c r="AO258" s="22"/>
      <c r="AP258" s="22"/>
      <c r="AQ258" s="22"/>
      <c r="AR258" s="22"/>
      <c r="AS258" s="22"/>
    </row>
    <row r="259" spans="1:45">
      <c r="A259" s="13" t="s">
        <v>610</v>
      </c>
      <c r="B259" s="13" t="s">
        <v>608</v>
      </c>
      <c r="C259" s="5">
        <v>46143</v>
      </c>
      <c r="D259" s="38"/>
      <c r="E259" s="13"/>
      <c r="F259" s="13"/>
      <c r="G259" s="13"/>
      <c r="H259" s="13"/>
      <c r="I259" s="13"/>
      <c r="J259" s="13"/>
      <c r="K259" s="13"/>
      <c r="L259" s="13"/>
      <c r="M259" s="13"/>
      <c r="N259" s="13"/>
      <c r="O259" s="13"/>
      <c r="P259" s="13">
        <f>'Manpower Allocation'!$G$183</f>
        <v>30</v>
      </c>
      <c r="Q259" s="13">
        <f>'Manpower Allocation'!$J$184</f>
        <v>72</v>
      </c>
      <c r="R259" s="13">
        <f>'Manpower Allocation'!$K$184</f>
        <v>17</v>
      </c>
      <c r="S259" s="13"/>
      <c r="T259" s="13">
        <f t="shared" ref="T259:T269" si="251">SUM(P259:R259)</f>
        <v>119</v>
      </c>
      <c r="U259" s="22"/>
      <c r="V259" s="22"/>
      <c r="W259" s="22"/>
      <c r="X259" s="22"/>
      <c r="Y259" s="22"/>
      <c r="Z259" s="22"/>
      <c r="AA259" s="22"/>
      <c r="AB259" s="22"/>
      <c r="AC259" s="22"/>
      <c r="AD259" s="22"/>
      <c r="AE259" s="22"/>
      <c r="AF259" s="1325"/>
      <c r="AG259" s="22"/>
      <c r="AH259" s="22"/>
      <c r="AI259" s="22"/>
      <c r="AJ259" s="130"/>
      <c r="AK259" s="130"/>
      <c r="AL259" s="130"/>
      <c r="AM259" s="130"/>
      <c r="AN259" s="22"/>
      <c r="AO259" s="22"/>
      <c r="AP259" s="22"/>
      <c r="AQ259" s="22"/>
      <c r="AR259" s="22"/>
      <c r="AS259" s="22"/>
    </row>
    <row r="260" spans="1:45">
      <c r="A260" s="13" t="s">
        <v>610</v>
      </c>
      <c r="B260" s="13" t="s">
        <v>608</v>
      </c>
      <c r="C260" s="5">
        <v>46174</v>
      </c>
      <c r="D260" s="38"/>
      <c r="E260" s="13"/>
      <c r="F260" s="13"/>
      <c r="G260" s="13"/>
      <c r="H260" s="13"/>
      <c r="I260" s="13"/>
      <c r="J260" s="13"/>
      <c r="K260" s="13"/>
      <c r="L260" s="13"/>
      <c r="M260" s="13"/>
      <c r="N260" s="13"/>
      <c r="O260" s="13"/>
      <c r="P260" s="13">
        <f>'Manpower Allocation'!$G$183</f>
        <v>30</v>
      </c>
      <c r="Q260" s="13">
        <f>'Manpower Allocation'!$J$184</f>
        <v>72</v>
      </c>
      <c r="R260" s="13">
        <f>'Manpower Allocation'!$K$184</f>
        <v>17</v>
      </c>
      <c r="S260" s="13"/>
      <c r="T260" s="13">
        <f t="shared" si="251"/>
        <v>119</v>
      </c>
      <c r="U260" s="22"/>
      <c r="V260" s="22"/>
      <c r="W260" s="22"/>
      <c r="X260" s="22"/>
      <c r="Y260" s="22"/>
      <c r="Z260" s="22"/>
      <c r="AA260" s="22"/>
      <c r="AB260" s="22"/>
      <c r="AC260" s="22"/>
      <c r="AD260" s="22"/>
      <c r="AE260" s="22"/>
      <c r="AF260" s="1325"/>
      <c r="AG260" s="22"/>
      <c r="AH260" s="22"/>
      <c r="AI260" s="22"/>
      <c r="AJ260" s="130"/>
      <c r="AK260" s="130"/>
      <c r="AL260" s="130"/>
      <c r="AM260" s="130"/>
      <c r="AN260" s="22"/>
      <c r="AO260" s="22"/>
      <c r="AP260" s="22"/>
      <c r="AQ260" s="22"/>
      <c r="AR260" s="22"/>
      <c r="AS260" s="22"/>
    </row>
    <row r="261" spans="1:45">
      <c r="A261" s="13" t="s">
        <v>610</v>
      </c>
      <c r="B261" s="13" t="s">
        <v>608</v>
      </c>
      <c r="C261" s="5">
        <v>46204</v>
      </c>
      <c r="D261" s="38"/>
      <c r="E261" s="13"/>
      <c r="F261" s="13"/>
      <c r="G261" s="13"/>
      <c r="H261" s="13"/>
      <c r="I261" s="13"/>
      <c r="J261" s="13"/>
      <c r="K261" s="13"/>
      <c r="L261" s="13"/>
      <c r="M261" s="13"/>
      <c r="N261" s="13"/>
      <c r="O261" s="13"/>
      <c r="P261" s="13">
        <f>'Manpower Allocation'!$G$183</f>
        <v>30</v>
      </c>
      <c r="Q261" s="13">
        <f>'Manpower Allocation'!$J$184</f>
        <v>72</v>
      </c>
      <c r="R261" s="13">
        <f>'Manpower Allocation'!$K$184</f>
        <v>17</v>
      </c>
      <c r="S261" s="13"/>
      <c r="T261" s="13">
        <f t="shared" si="251"/>
        <v>119</v>
      </c>
      <c r="U261" s="22"/>
      <c r="V261" s="22"/>
      <c r="W261" s="22"/>
      <c r="X261" s="22"/>
      <c r="Y261" s="22"/>
      <c r="Z261" s="22"/>
      <c r="AA261" s="22"/>
      <c r="AB261" s="22"/>
      <c r="AC261" s="22"/>
      <c r="AD261" s="22"/>
      <c r="AE261" s="22"/>
      <c r="AF261" s="1325"/>
      <c r="AG261" s="22"/>
      <c r="AH261" s="22"/>
      <c r="AI261" s="22"/>
      <c r="AJ261" s="130"/>
      <c r="AK261" s="130"/>
      <c r="AL261" s="130"/>
      <c r="AM261" s="130"/>
      <c r="AN261" s="22"/>
      <c r="AO261" s="22"/>
      <c r="AP261" s="22"/>
      <c r="AQ261" s="22"/>
      <c r="AR261" s="22"/>
      <c r="AS261" s="22"/>
    </row>
    <row r="262" spans="1:45">
      <c r="A262" s="13" t="s">
        <v>610</v>
      </c>
      <c r="B262" s="13" t="s">
        <v>608</v>
      </c>
      <c r="C262" s="5">
        <v>46235</v>
      </c>
      <c r="D262" s="38"/>
      <c r="E262" s="13"/>
      <c r="F262" s="13"/>
      <c r="G262" s="13"/>
      <c r="H262" s="13"/>
      <c r="I262" s="13"/>
      <c r="J262" s="13"/>
      <c r="K262" s="13"/>
      <c r="L262" s="13"/>
      <c r="M262" s="13"/>
      <c r="N262" s="13"/>
      <c r="O262" s="13"/>
      <c r="P262" s="13">
        <f>'Manpower Allocation'!$G$183</f>
        <v>30</v>
      </c>
      <c r="Q262" s="13">
        <f>'Manpower Allocation'!$J$184</f>
        <v>72</v>
      </c>
      <c r="R262" s="13">
        <f>'Manpower Allocation'!$K$184</f>
        <v>17</v>
      </c>
      <c r="S262" s="13"/>
      <c r="T262" s="13">
        <f t="shared" si="251"/>
        <v>119</v>
      </c>
      <c r="U262" s="22"/>
      <c r="V262" s="22"/>
      <c r="W262" s="22"/>
      <c r="X262" s="22"/>
      <c r="Y262" s="22"/>
      <c r="Z262" s="22"/>
      <c r="AA262" s="22"/>
      <c r="AB262" s="22"/>
      <c r="AC262" s="22"/>
      <c r="AD262" s="22"/>
      <c r="AE262" s="22"/>
      <c r="AF262" s="1325"/>
      <c r="AG262" s="22"/>
      <c r="AH262" s="22"/>
      <c r="AI262" s="22"/>
      <c r="AJ262" s="130"/>
      <c r="AK262" s="130"/>
      <c r="AL262" s="130"/>
      <c r="AM262" s="130"/>
      <c r="AN262" s="22"/>
      <c r="AO262" s="22"/>
      <c r="AP262" s="22"/>
      <c r="AQ262" s="22"/>
      <c r="AR262" s="22"/>
      <c r="AS262" s="22"/>
    </row>
    <row r="263" spans="1:45">
      <c r="A263" s="13" t="s">
        <v>610</v>
      </c>
      <c r="B263" s="13" t="s">
        <v>608</v>
      </c>
      <c r="C263" s="5">
        <v>46266</v>
      </c>
      <c r="D263" s="38"/>
      <c r="E263" s="13"/>
      <c r="F263" s="13"/>
      <c r="G263" s="13"/>
      <c r="H263" s="13"/>
      <c r="I263" s="13"/>
      <c r="J263" s="13"/>
      <c r="K263" s="13"/>
      <c r="L263" s="13"/>
      <c r="M263" s="13"/>
      <c r="N263" s="13"/>
      <c r="O263" s="13"/>
      <c r="P263" s="13">
        <f>'Manpower Allocation'!$G$183</f>
        <v>30</v>
      </c>
      <c r="Q263" s="13">
        <f>'Manpower Allocation'!$J$184</f>
        <v>72</v>
      </c>
      <c r="R263" s="13">
        <f>'Manpower Allocation'!$K$184</f>
        <v>17</v>
      </c>
      <c r="S263" s="13"/>
      <c r="T263" s="13">
        <f t="shared" si="251"/>
        <v>119</v>
      </c>
      <c r="U263" s="22"/>
      <c r="V263" s="22"/>
      <c r="W263" s="22"/>
      <c r="X263" s="22"/>
      <c r="Y263" s="22"/>
      <c r="Z263" s="22"/>
      <c r="AA263" s="22"/>
      <c r="AB263" s="22"/>
      <c r="AC263" s="22"/>
      <c r="AD263" s="22"/>
      <c r="AE263" s="22"/>
      <c r="AF263" s="1325"/>
      <c r="AG263" s="22"/>
      <c r="AH263" s="22"/>
      <c r="AI263" s="22"/>
      <c r="AJ263" s="130"/>
      <c r="AK263" s="130"/>
      <c r="AL263" s="130"/>
      <c r="AM263" s="130"/>
      <c r="AN263" s="22"/>
      <c r="AO263" s="22"/>
      <c r="AP263" s="22"/>
      <c r="AQ263" s="22"/>
      <c r="AR263" s="22"/>
      <c r="AS263" s="22"/>
    </row>
    <row r="264" spans="1:45">
      <c r="A264" s="13" t="s">
        <v>610</v>
      </c>
      <c r="B264" s="13" t="s">
        <v>608</v>
      </c>
      <c r="C264" s="5">
        <v>46296</v>
      </c>
      <c r="D264" s="38"/>
      <c r="E264" s="13"/>
      <c r="F264" s="13"/>
      <c r="G264" s="13"/>
      <c r="H264" s="13"/>
      <c r="I264" s="13"/>
      <c r="J264" s="13"/>
      <c r="K264" s="13"/>
      <c r="L264" s="13"/>
      <c r="M264" s="13"/>
      <c r="N264" s="13"/>
      <c r="O264" s="13"/>
      <c r="P264" s="13">
        <f>'Manpower Allocation'!$G$183</f>
        <v>30</v>
      </c>
      <c r="Q264" s="13">
        <f>'Manpower Allocation'!$J$184</f>
        <v>72</v>
      </c>
      <c r="R264" s="13">
        <f>'Manpower Allocation'!$K$184</f>
        <v>17</v>
      </c>
      <c r="S264" s="13"/>
      <c r="T264" s="13">
        <f t="shared" si="251"/>
        <v>119</v>
      </c>
      <c r="U264" s="22"/>
      <c r="V264" s="22"/>
      <c r="W264" s="22"/>
      <c r="X264" s="22"/>
      <c r="Y264" s="22"/>
      <c r="Z264" s="22"/>
      <c r="AA264" s="22"/>
      <c r="AB264" s="22"/>
      <c r="AC264" s="22"/>
      <c r="AD264" s="22"/>
      <c r="AE264" s="22"/>
      <c r="AF264" s="1325"/>
      <c r="AG264" s="22"/>
      <c r="AH264" s="22"/>
      <c r="AI264" s="22"/>
      <c r="AJ264" s="130"/>
      <c r="AK264" s="130"/>
      <c r="AL264" s="130"/>
      <c r="AM264" s="130"/>
      <c r="AN264" s="22"/>
      <c r="AO264" s="22"/>
      <c r="AP264" s="22"/>
      <c r="AQ264" s="22"/>
      <c r="AR264" s="22"/>
      <c r="AS264" s="22"/>
    </row>
    <row r="265" spans="1:45">
      <c r="A265" s="13" t="s">
        <v>610</v>
      </c>
      <c r="B265" s="13" t="s">
        <v>608</v>
      </c>
      <c r="C265" s="5">
        <v>46327</v>
      </c>
      <c r="D265" s="38"/>
      <c r="E265" s="13"/>
      <c r="F265" s="13"/>
      <c r="G265" s="13"/>
      <c r="H265" s="13"/>
      <c r="I265" s="13"/>
      <c r="J265" s="13"/>
      <c r="K265" s="13"/>
      <c r="L265" s="13"/>
      <c r="M265" s="13"/>
      <c r="N265" s="13"/>
      <c r="O265" s="13"/>
      <c r="P265" s="13">
        <f>'Manpower Allocation'!$G$183</f>
        <v>30</v>
      </c>
      <c r="Q265" s="13">
        <f>'Manpower Allocation'!$J$184</f>
        <v>72</v>
      </c>
      <c r="R265" s="13">
        <f>'Manpower Allocation'!$K$184</f>
        <v>17</v>
      </c>
      <c r="S265" s="13"/>
      <c r="T265" s="13">
        <f t="shared" si="251"/>
        <v>119</v>
      </c>
      <c r="U265" s="22"/>
      <c r="V265" s="22"/>
      <c r="W265" s="22"/>
      <c r="X265" s="22"/>
      <c r="Y265" s="22"/>
      <c r="Z265" s="22"/>
      <c r="AA265" s="22"/>
      <c r="AB265" s="22"/>
      <c r="AC265" s="22"/>
      <c r="AD265" s="22"/>
      <c r="AE265" s="22"/>
      <c r="AF265" s="1325"/>
      <c r="AG265" s="22"/>
      <c r="AH265" s="22"/>
      <c r="AI265" s="22"/>
      <c r="AJ265" s="130"/>
      <c r="AK265" s="130"/>
      <c r="AL265" s="130"/>
      <c r="AM265" s="130"/>
      <c r="AN265" s="22"/>
      <c r="AO265" s="22"/>
      <c r="AP265" s="22"/>
      <c r="AQ265" s="22"/>
      <c r="AR265" s="22"/>
      <c r="AS265" s="22"/>
    </row>
    <row r="266" spans="1:45">
      <c r="A266" s="13" t="s">
        <v>610</v>
      </c>
      <c r="B266" s="13" t="s">
        <v>608</v>
      </c>
      <c r="C266" s="5">
        <v>46357</v>
      </c>
      <c r="D266" s="38"/>
      <c r="E266" s="13"/>
      <c r="F266" s="13"/>
      <c r="G266" s="13"/>
      <c r="H266" s="13"/>
      <c r="I266" s="13"/>
      <c r="J266" s="13"/>
      <c r="K266" s="13"/>
      <c r="L266" s="13"/>
      <c r="M266" s="13"/>
      <c r="N266" s="13"/>
      <c r="O266" s="13"/>
      <c r="P266" s="13">
        <f>'Manpower Allocation'!$G$183</f>
        <v>30</v>
      </c>
      <c r="Q266" s="13">
        <f>'Manpower Allocation'!$J$184</f>
        <v>72</v>
      </c>
      <c r="R266" s="13">
        <f>'Manpower Allocation'!$K$184</f>
        <v>17</v>
      </c>
      <c r="S266" s="13"/>
      <c r="T266" s="13">
        <f t="shared" si="251"/>
        <v>119</v>
      </c>
      <c r="U266" s="22"/>
      <c r="V266" s="22"/>
      <c r="W266" s="22"/>
      <c r="X266" s="22"/>
      <c r="Y266" s="22"/>
      <c r="Z266" s="22"/>
      <c r="AA266" s="22"/>
      <c r="AB266" s="22"/>
      <c r="AC266" s="22"/>
      <c r="AD266" s="22"/>
      <c r="AE266" s="22"/>
      <c r="AF266" s="1325"/>
      <c r="AG266" s="22"/>
      <c r="AH266" s="22"/>
      <c r="AI266" s="22"/>
      <c r="AJ266" s="130"/>
      <c r="AK266" s="130"/>
      <c r="AL266" s="130"/>
      <c r="AM266" s="130"/>
      <c r="AN266" s="22"/>
      <c r="AO266" s="22"/>
      <c r="AP266" s="22"/>
      <c r="AQ266" s="22"/>
      <c r="AR266" s="22"/>
      <c r="AS266" s="22"/>
    </row>
    <row r="267" spans="1:45">
      <c r="A267" s="13" t="s">
        <v>610</v>
      </c>
      <c r="B267" s="13" t="s">
        <v>608</v>
      </c>
      <c r="C267" s="5">
        <v>46388</v>
      </c>
      <c r="D267" s="38"/>
      <c r="E267" s="13"/>
      <c r="F267" s="13"/>
      <c r="G267" s="13"/>
      <c r="H267" s="13"/>
      <c r="I267" s="13"/>
      <c r="J267" s="13"/>
      <c r="K267" s="13"/>
      <c r="L267" s="13"/>
      <c r="M267" s="13"/>
      <c r="N267" s="13"/>
      <c r="O267" s="13"/>
      <c r="P267" s="13">
        <f>'Manpower Allocation'!$G$183</f>
        <v>30</v>
      </c>
      <c r="Q267" s="13">
        <f>'Manpower Allocation'!$J$184</f>
        <v>72</v>
      </c>
      <c r="R267" s="13">
        <f>'Manpower Allocation'!$K$184</f>
        <v>17</v>
      </c>
      <c r="S267" s="13"/>
      <c r="T267" s="13">
        <f t="shared" si="251"/>
        <v>119</v>
      </c>
      <c r="U267" s="22"/>
      <c r="V267" s="22"/>
      <c r="W267" s="22"/>
      <c r="X267" s="22"/>
      <c r="Y267" s="22"/>
      <c r="Z267" s="22"/>
      <c r="AA267" s="22"/>
      <c r="AB267" s="22"/>
      <c r="AC267" s="22"/>
      <c r="AD267" s="22"/>
      <c r="AE267" s="22"/>
      <c r="AF267" s="1325"/>
      <c r="AG267" s="22"/>
      <c r="AH267" s="22"/>
      <c r="AI267" s="22"/>
      <c r="AJ267" s="130"/>
      <c r="AK267" s="130"/>
      <c r="AL267" s="130"/>
      <c r="AM267" s="130"/>
      <c r="AN267" s="22"/>
      <c r="AO267" s="22"/>
      <c r="AP267" s="22"/>
      <c r="AQ267" s="22"/>
      <c r="AR267" s="22"/>
      <c r="AS267" s="22"/>
    </row>
    <row r="268" spans="1:45">
      <c r="A268" s="13" t="s">
        <v>610</v>
      </c>
      <c r="B268" s="13" t="s">
        <v>608</v>
      </c>
      <c r="C268" s="5">
        <v>46419</v>
      </c>
      <c r="D268" s="38"/>
      <c r="E268" s="13"/>
      <c r="F268" s="13"/>
      <c r="G268" s="13"/>
      <c r="H268" s="13"/>
      <c r="I268" s="13"/>
      <c r="J268" s="13"/>
      <c r="K268" s="13"/>
      <c r="L268" s="13"/>
      <c r="M268" s="13"/>
      <c r="N268" s="13"/>
      <c r="O268" s="13"/>
      <c r="P268" s="13">
        <f>'Manpower Allocation'!$G$183</f>
        <v>30</v>
      </c>
      <c r="Q268" s="13">
        <f>'Manpower Allocation'!$J$184</f>
        <v>72</v>
      </c>
      <c r="R268" s="13">
        <f>'Manpower Allocation'!$K$184</f>
        <v>17</v>
      </c>
      <c r="S268" s="13"/>
      <c r="T268" s="13">
        <f t="shared" si="251"/>
        <v>119</v>
      </c>
      <c r="U268" s="22"/>
      <c r="V268" s="22"/>
      <c r="W268" s="22"/>
      <c r="X268" s="22"/>
      <c r="Y268" s="22"/>
      <c r="Z268" s="22"/>
      <c r="AA268" s="22"/>
      <c r="AB268" s="22"/>
      <c r="AC268" s="22"/>
      <c r="AD268" s="22"/>
      <c r="AE268" s="22"/>
      <c r="AF268" s="1325"/>
      <c r="AG268" s="22"/>
      <c r="AH268" s="22"/>
      <c r="AI268" s="22"/>
      <c r="AJ268" s="130"/>
      <c r="AK268" s="130"/>
      <c r="AL268" s="130"/>
      <c r="AM268" s="130"/>
      <c r="AN268" s="22"/>
      <c r="AO268" s="22"/>
      <c r="AP268" s="22"/>
      <c r="AQ268" s="22"/>
      <c r="AR268" s="22"/>
      <c r="AS268" s="22"/>
    </row>
    <row r="269" spans="1:45">
      <c r="A269" s="13" t="s">
        <v>610</v>
      </c>
      <c r="B269" s="13" t="s">
        <v>608</v>
      </c>
      <c r="C269" s="5">
        <v>46447</v>
      </c>
      <c r="D269" s="38"/>
      <c r="E269" s="13"/>
      <c r="F269" s="13"/>
      <c r="G269" s="13"/>
      <c r="H269" s="13"/>
      <c r="I269" s="13"/>
      <c r="J269" s="13"/>
      <c r="K269" s="13"/>
      <c r="L269" s="13"/>
      <c r="M269" s="13"/>
      <c r="N269" s="13"/>
      <c r="O269" s="13"/>
      <c r="P269" s="13">
        <f>'Manpower Allocation'!$G$183</f>
        <v>30</v>
      </c>
      <c r="Q269" s="13">
        <f>'Manpower Allocation'!$J$184</f>
        <v>72</v>
      </c>
      <c r="R269" s="13">
        <f>'Manpower Allocation'!$K$184</f>
        <v>17</v>
      </c>
      <c r="S269" s="13"/>
      <c r="T269" s="13">
        <f t="shared" si="251"/>
        <v>119</v>
      </c>
      <c r="U269" s="22"/>
      <c r="V269" s="22"/>
      <c r="W269" s="22"/>
      <c r="X269" s="22"/>
      <c r="Y269" s="22"/>
      <c r="Z269" s="22"/>
      <c r="AA269" s="22"/>
      <c r="AB269" s="22"/>
      <c r="AC269" s="22"/>
      <c r="AD269" s="22"/>
      <c r="AE269" s="22"/>
      <c r="AF269" s="1325"/>
      <c r="AG269" s="22"/>
      <c r="AH269" s="22"/>
      <c r="AI269" s="22"/>
      <c r="AJ269" s="130"/>
      <c r="AK269" s="130"/>
      <c r="AL269" s="130"/>
      <c r="AM269" s="130"/>
      <c r="AN269" s="22"/>
      <c r="AO269" s="22"/>
      <c r="AP269" s="22"/>
      <c r="AQ269" s="22"/>
      <c r="AR269" s="22"/>
      <c r="AS269" s="22"/>
    </row>
    <row r="273" spans="1:50" ht="31.5" customHeight="1">
      <c r="A273" s="1" t="s">
        <v>0</v>
      </c>
      <c r="B273" s="1" t="s">
        <v>1</v>
      </c>
      <c r="C273" s="1" t="s">
        <v>2</v>
      </c>
      <c r="D273" s="799" t="s">
        <v>3</v>
      </c>
      <c r="E273" s="1" t="s">
        <v>4</v>
      </c>
      <c r="F273" s="1" t="s">
        <v>5</v>
      </c>
      <c r="G273" s="1" t="s">
        <v>6</v>
      </c>
      <c r="H273" s="1" t="s">
        <v>7</v>
      </c>
      <c r="I273" s="1" t="s">
        <v>8</v>
      </c>
      <c r="J273" s="1" t="s">
        <v>9</v>
      </c>
      <c r="K273" s="1"/>
      <c r="L273" s="1" t="s">
        <v>10</v>
      </c>
      <c r="M273" s="1" t="s">
        <v>10</v>
      </c>
      <c r="N273" s="1" t="s">
        <v>11</v>
      </c>
      <c r="O273" s="1" t="s">
        <v>11</v>
      </c>
      <c r="P273" s="1" t="s">
        <v>12</v>
      </c>
      <c r="Q273" s="1" t="s">
        <v>13</v>
      </c>
      <c r="R273" s="1" t="s">
        <v>13</v>
      </c>
      <c r="S273" s="1"/>
      <c r="T273" s="1" t="s">
        <v>14</v>
      </c>
      <c r="U273" s="851" t="s">
        <v>1561</v>
      </c>
      <c r="V273" s="851" t="s">
        <v>1517</v>
      </c>
      <c r="W273" s="851" t="s">
        <v>1518</v>
      </c>
      <c r="X273" s="851" t="s">
        <v>873</v>
      </c>
      <c r="Y273" s="851" t="s">
        <v>1519</v>
      </c>
      <c r="Z273" s="851" t="s">
        <v>1520</v>
      </c>
      <c r="AA273" s="851" t="s">
        <v>1521</v>
      </c>
      <c r="AB273" s="851" t="s">
        <v>1521</v>
      </c>
      <c r="AC273" s="851" t="s">
        <v>1562</v>
      </c>
      <c r="AD273" s="851" t="s">
        <v>537</v>
      </c>
      <c r="AE273" s="851"/>
      <c r="AF273" s="1337"/>
      <c r="AG273" s="851"/>
      <c r="AH273" s="851"/>
      <c r="AI273" s="851"/>
      <c r="AJ273" s="935"/>
      <c r="AK273" s="935"/>
      <c r="AL273" s="935"/>
      <c r="AM273" s="935"/>
      <c r="AN273" s="851"/>
      <c r="AO273" s="851"/>
      <c r="AP273" s="851"/>
      <c r="AQ273" s="851"/>
      <c r="AR273" s="851"/>
      <c r="AS273" s="851"/>
    </row>
    <row r="274" spans="1:50">
      <c r="A274" s="13" t="s">
        <v>307</v>
      </c>
      <c r="B274" s="13" t="s">
        <v>365</v>
      </c>
      <c r="C274" s="5">
        <v>46113</v>
      </c>
      <c r="D274" s="38"/>
      <c r="E274" s="13"/>
      <c r="F274" s="13"/>
      <c r="G274" s="13"/>
      <c r="H274" s="13"/>
      <c r="I274" s="13"/>
      <c r="J274" s="13"/>
      <c r="K274" s="13"/>
      <c r="L274" s="13"/>
      <c r="M274" s="13"/>
      <c r="N274" s="13"/>
      <c r="O274" s="13"/>
      <c r="P274" s="13"/>
      <c r="Q274" s="13"/>
      <c r="R274" s="13"/>
      <c r="S274" s="13"/>
      <c r="T274" s="13">
        <f>'Manpower Allocation'!$I$286</f>
        <v>183</v>
      </c>
      <c r="U274" s="22"/>
      <c r="V274" s="22"/>
      <c r="W274" s="22"/>
      <c r="X274" s="22"/>
      <c r="Y274" s="22"/>
      <c r="Z274" s="22"/>
      <c r="AA274" s="22"/>
      <c r="AB274" s="22"/>
      <c r="AC274" s="22"/>
      <c r="AD274" s="22" t="s">
        <v>1576</v>
      </c>
      <c r="AE274" s="22"/>
      <c r="AF274" s="1325"/>
      <c r="AG274" s="22"/>
      <c r="AH274" s="22"/>
      <c r="AI274" s="22"/>
      <c r="AJ274" s="130"/>
      <c r="AK274" s="130"/>
      <c r="AL274" s="130"/>
      <c r="AM274" s="130"/>
      <c r="AN274" s="22"/>
      <c r="AO274" s="22"/>
      <c r="AP274" s="22"/>
      <c r="AQ274" s="22"/>
      <c r="AR274" s="22"/>
      <c r="AS274" s="22"/>
      <c r="AU274" s="132" t="s">
        <v>677</v>
      </c>
    </row>
    <row r="275" spans="1:50">
      <c r="A275" s="13" t="s">
        <v>307</v>
      </c>
      <c r="B275" s="13" t="s">
        <v>365</v>
      </c>
      <c r="C275" s="5">
        <v>46143</v>
      </c>
      <c r="D275" s="38"/>
      <c r="E275" s="13"/>
      <c r="F275" s="13"/>
      <c r="G275" s="13"/>
      <c r="H275" s="13"/>
      <c r="I275" s="13"/>
      <c r="J275" s="13"/>
      <c r="K275" s="13"/>
      <c r="L275" s="13"/>
      <c r="M275" s="13"/>
      <c r="N275" s="13"/>
      <c r="O275" s="13"/>
      <c r="P275" s="13"/>
      <c r="Q275" s="13"/>
      <c r="R275" s="13"/>
      <c r="S275" s="13"/>
      <c r="T275" s="13">
        <f>'Manpower Allocation'!$I$286</f>
        <v>183</v>
      </c>
      <c r="U275" s="22"/>
      <c r="V275" s="22"/>
      <c r="W275" s="22"/>
      <c r="X275" s="22"/>
      <c r="Y275" s="22"/>
      <c r="Z275" s="22"/>
      <c r="AA275" s="22"/>
      <c r="AB275" s="22"/>
      <c r="AC275" s="22"/>
      <c r="AD275" s="22"/>
      <c r="AE275" s="22"/>
      <c r="AF275" s="1325"/>
      <c r="AG275" s="22"/>
      <c r="AH275" s="22"/>
      <c r="AI275" s="22"/>
      <c r="AJ275" s="130"/>
      <c r="AK275" s="130"/>
      <c r="AL275" s="130"/>
      <c r="AM275" s="130"/>
      <c r="AN275" s="22"/>
      <c r="AO275" s="22"/>
      <c r="AP275" s="22"/>
      <c r="AQ275" s="22"/>
      <c r="AR275" s="22"/>
      <c r="AS275" s="22"/>
      <c r="AU275" s="383" t="s">
        <v>352</v>
      </c>
      <c r="AV275" s="368">
        <v>15</v>
      </c>
      <c r="AW275" s="368">
        <v>12</v>
      </c>
    </row>
    <row r="276" spans="1:50">
      <c r="A276" s="13" t="s">
        <v>307</v>
      </c>
      <c r="B276" s="13" t="s">
        <v>365</v>
      </c>
      <c r="C276" s="5">
        <v>46174</v>
      </c>
      <c r="D276" s="38"/>
      <c r="E276" s="13"/>
      <c r="F276" s="13"/>
      <c r="G276" s="13"/>
      <c r="H276" s="13"/>
      <c r="I276" s="13"/>
      <c r="J276" s="13"/>
      <c r="K276" s="13"/>
      <c r="L276" s="13"/>
      <c r="M276" s="13"/>
      <c r="N276" s="13"/>
      <c r="O276" s="13"/>
      <c r="P276" s="13"/>
      <c r="Q276" s="13"/>
      <c r="R276" s="13"/>
      <c r="S276" s="13"/>
      <c r="T276" s="13">
        <f>'Manpower Allocation'!$I$286</f>
        <v>183</v>
      </c>
      <c r="U276" s="22"/>
      <c r="V276" s="22"/>
      <c r="W276" s="22"/>
      <c r="X276" s="22"/>
      <c r="Y276" s="22"/>
      <c r="Z276" s="22"/>
      <c r="AA276" s="22"/>
      <c r="AB276" s="22"/>
      <c r="AC276" s="22"/>
      <c r="AD276" s="22"/>
      <c r="AE276" s="22"/>
      <c r="AF276" s="1325"/>
      <c r="AG276" s="22"/>
      <c r="AH276" s="22"/>
      <c r="AI276" s="22"/>
      <c r="AJ276" s="130"/>
      <c r="AK276" s="130"/>
      <c r="AL276" s="130"/>
      <c r="AM276" s="130"/>
      <c r="AN276" s="22"/>
      <c r="AO276" s="22"/>
      <c r="AP276" s="22"/>
      <c r="AQ276" s="22"/>
      <c r="AR276" s="22"/>
      <c r="AS276" s="22"/>
      <c r="AU276" s="383" t="s">
        <v>353</v>
      </c>
      <c r="AV276" s="368">
        <v>3</v>
      </c>
      <c r="AW276" s="368">
        <v>3</v>
      </c>
    </row>
    <row r="277" spans="1:50">
      <c r="A277" s="13" t="s">
        <v>307</v>
      </c>
      <c r="B277" s="13" t="s">
        <v>365</v>
      </c>
      <c r="C277" s="5">
        <v>46204</v>
      </c>
      <c r="D277" s="38"/>
      <c r="E277" s="13"/>
      <c r="F277" s="13"/>
      <c r="G277" s="13"/>
      <c r="H277" s="13"/>
      <c r="I277" s="13"/>
      <c r="J277" s="13"/>
      <c r="K277" s="13"/>
      <c r="L277" s="13"/>
      <c r="M277" s="13"/>
      <c r="N277" s="13"/>
      <c r="O277" s="13"/>
      <c r="P277" s="13"/>
      <c r="Q277" s="13"/>
      <c r="R277" s="13"/>
      <c r="S277" s="13"/>
      <c r="T277" s="13">
        <f>'Manpower Allocation'!$I$286</f>
        <v>183</v>
      </c>
      <c r="U277" s="22"/>
      <c r="V277" s="22"/>
      <c r="W277" s="22"/>
      <c r="X277" s="22"/>
      <c r="Y277" s="22"/>
      <c r="Z277" s="22"/>
      <c r="AA277" s="22"/>
      <c r="AB277" s="22"/>
      <c r="AC277" s="22"/>
      <c r="AD277" s="22"/>
      <c r="AE277" s="22"/>
      <c r="AF277" s="1325"/>
      <c r="AG277" s="22"/>
      <c r="AH277" s="22"/>
      <c r="AI277" s="22"/>
      <c r="AJ277" s="130"/>
      <c r="AK277" s="130"/>
      <c r="AL277" s="130"/>
      <c r="AM277" s="130"/>
      <c r="AN277" s="22"/>
      <c r="AO277" s="22"/>
      <c r="AP277" s="22"/>
      <c r="AQ277" s="22"/>
      <c r="AR277" s="22"/>
      <c r="AS277" s="22"/>
      <c r="AU277" s="383" t="s">
        <v>354</v>
      </c>
      <c r="AV277" s="368">
        <v>9</v>
      </c>
      <c r="AW277" s="368">
        <v>6</v>
      </c>
    </row>
    <row r="278" spans="1:50">
      <c r="A278" s="13" t="s">
        <v>307</v>
      </c>
      <c r="B278" s="13" t="s">
        <v>365</v>
      </c>
      <c r="C278" s="5">
        <v>46235</v>
      </c>
      <c r="D278" s="38"/>
      <c r="E278" s="13"/>
      <c r="F278" s="13"/>
      <c r="G278" s="13"/>
      <c r="H278" s="13"/>
      <c r="I278" s="13"/>
      <c r="J278" s="13"/>
      <c r="K278" s="13"/>
      <c r="L278" s="13"/>
      <c r="M278" s="13"/>
      <c r="N278" s="13"/>
      <c r="O278" s="13"/>
      <c r="P278" s="13"/>
      <c r="Q278" s="13"/>
      <c r="R278" s="13"/>
      <c r="S278" s="13"/>
      <c r="T278" s="13">
        <f>'Manpower Allocation'!$I$286</f>
        <v>183</v>
      </c>
      <c r="U278" s="22"/>
      <c r="V278" s="22"/>
      <c r="W278" s="22"/>
      <c r="X278" s="22"/>
      <c r="Y278" s="22"/>
      <c r="Z278" s="22"/>
      <c r="AA278" s="22"/>
      <c r="AB278" s="22"/>
      <c r="AC278" s="22"/>
      <c r="AD278" s="22"/>
      <c r="AE278" s="22"/>
      <c r="AF278" s="1325"/>
      <c r="AG278" s="22"/>
      <c r="AH278" s="22"/>
      <c r="AI278" s="22"/>
      <c r="AJ278" s="130"/>
      <c r="AK278" s="130"/>
      <c r="AL278" s="130"/>
      <c r="AM278" s="130"/>
      <c r="AN278" s="22"/>
      <c r="AO278" s="22"/>
      <c r="AP278" s="22"/>
      <c r="AQ278" s="22"/>
      <c r="AR278" s="22"/>
      <c r="AS278" s="22"/>
      <c r="AU278" s="383" t="s">
        <v>355</v>
      </c>
      <c r="AV278" s="368">
        <v>3</v>
      </c>
      <c r="AW278" s="368">
        <v>3</v>
      </c>
    </row>
    <row r="279" spans="1:50">
      <c r="A279" s="13" t="s">
        <v>307</v>
      </c>
      <c r="B279" s="13" t="s">
        <v>365</v>
      </c>
      <c r="C279" s="5">
        <v>46266</v>
      </c>
      <c r="D279" s="38"/>
      <c r="E279" s="13"/>
      <c r="F279" s="13"/>
      <c r="G279" s="13"/>
      <c r="H279" s="13"/>
      <c r="I279" s="13"/>
      <c r="J279" s="13"/>
      <c r="K279" s="13"/>
      <c r="L279" s="13"/>
      <c r="M279" s="13"/>
      <c r="N279" s="13"/>
      <c r="O279" s="13"/>
      <c r="P279" s="13"/>
      <c r="Q279" s="13"/>
      <c r="R279" s="13"/>
      <c r="S279" s="13"/>
      <c r="T279" s="13">
        <f>'Manpower Allocation'!$I$286</f>
        <v>183</v>
      </c>
      <c r="U279" s="22"/>
      <c r="V279" s="22"/>
      <c r="W279" s="22"/>
      <c r="X279" s="22"/>
      <c r="Y279" s="22"/>
      <c r="Z279" s="22"/>
      <c r="AA279" s="22"/>
      <c r="AB279" s="22"/>
      <c r="AC279" s="22"/>
      <c r="AD279" s="22"/>
      <c r="AE279" s="22"/>
      <c r="AF279" s="1325"/>
      <c r="AG279" s="22"/>
      <c r="AH279" s="22"/>
      <c r="AI279" s="22"/>
      <c r="AJ279" s="130"/>
      <c r="AK279" s="130"/>
      <c r="AL279" s="130"/>
      <c r="AM279" s="130"/>
      <c r="AN279" s="22"/>
      <c r="AO279" s="22"/>
      <c r="AP279" s="22"/>
      <c r="AQ279" s="22"/>
      <c r="AR279" s="22"/>
      <c r="AS279" s="22"/>
      <c r="AU279" s="384" t="s">
        <v>561</v>
      </c>
      <c r="AV279" s="33">
        <f>SUM(AV275:AV278)</f>
        <v>30</v>
      </c>
      <c r="AW279" s="33">
        <f>SUM(AW275:AW278)</f>
        <v>24</v>
      </c>
    </row>
    <row r="280" spans="1:50">
      <c r="A280" s="13" t="s">
        <v>307</v>
      </c>
      <c r="B280" s="13" t="s">
        <v>365</v>
      </c>
      <c r="C280" s="5">
        <v>46296</v>
      </c>
      <c r="D280" s="38"/>
      <c r="E280" s="13"/>
      <c r="F280" s="13"/>
      <c r="G280" s="13"/>
      <c r="H280" s="13"/>
      <c r="I280" s="13"/>
      <c r="J280" s="13"/>
      <c r="K280" s="13"/>
      <c r="L280" s="13"/>
      <c r="M280" s="13"/>
      <c r="N280" s="13"/>
      <c r="O280" s="13"/>
      <c r="P280" s="13"/>
      <c r="Q280" s="13"/>
      <c r="R280" s="13"/>
      <c r="S280" s="13"/>
      <c r="T280" s="13">
        <f>'Manpower Allocation'!$I$286</f>
        <v>183</v>
      </c>
      <c r="U280" s="22"/>
      <c r="V280" s="22"/>
      <c r="W280" s="22"/>
      <c r="X280" s="22"/>
      <c r="Y280" s="22"/>
      <c r="Z280" s="22"/>
      <c r="AA280" s="22"/>
      <c r="AB280" s="22"/>
      <c r="AC280" s="22"/>
      <c r="AD280" s="22"/>
      <c r="AE280" s="22"/>
      <c r="AF280" s="1325"/>
      <c r="AG280" s="22"/>
      <c r="AH280" s="22"/>
      <c r="AI280" s="22"/>
      <c r="AJ280" s="130"/>
      <c r="AK280" s="130"/>
      <c r="AL280" s="130"/>
      <c r="AM280" s="130"/>
      <c r="AN280" s="22"/>
      <c r="AO280" s="22"/>
      <c r="AP280" s="22"/>
      <c r="AQ280" s="22"/>
      <c r="AR280" s="22"/>
      <c r="AS280" s="22"/>
    </row>
    <row r="281" spans="1:50">
      <c r="A281" s="13" t="s">
        <v>307</v>
      </c>
      <c r="B281" s="13" t="s">
        <v>365</v>
      </c>
      <c r="C281" s="5">
        <v>46327</v>
      </c>
      <c r="D281" s="38"/>
      <c r="E281" s="13"/>
      <c r="F281" s="13"/>
      <c r="G281" s="13"/>
      <c r="H281" s="13"/>
      <c r="I281" s="13"/>
      <c r="J281" s="13"/>
      <c r="K281" s="13"/>
      <c r="L281" s="13"/>
      <c r="M281" s="13"/>
      <c r="N281" s="13"/>
      <c r="O281" s="13"/>
      <c r="P281" s="13"/>
      <c r="Q281" s="13"/>
      <c r="R281" s="13"/>
      <c r="S281" s="13"/>
      <c r="T281" s="13">
        <f>'Manpower Allocation'!$I$286</f>
        <v>183</v>
      </c>
      <c r="U281" s="22"/>
      <c r="V281" s="22"/>
      <c r="W281" s="22"/>
      <c r="X281" s="22"/>
      <c r="Y281" s="22"/>
      <c r="Z281" s="22"/>
      <c r="AA281" s="22"/>
      <c r="AB281" s="22"/>
      <c r="AC281" s="22"/>
      <c r="AD281" s="22"/>
      <c r="AE281" s="22"/>
      <c r="AF281" s="1325"/>
      <c r="AG281" s="22"/>
      <c r="AH281" s="22"/>
      <c r="AI281" s="22"/>
      <c r="AJ281" s="130"/>
      <c r="AK281" s="130"/>
      <c r="AL281" s="130"/>
      <c r="AM281" s="130"/>
      <c r="AN281" s="22"/>
      <c r="AO281" s="22"/>
      <c r="AP281" s="22"/>
      <c r="AQ281" s="22"/>
      <c r="AR281" s="22"/>
      <c r="AS281" s="22"/>
      <c r="AU281" s="1422" t="s">
        <v>678</v>
      </c>
      <c r="AV281" s="1422"/>
      <c r="AW281" s="1422"/>
    </row>
    <row r="282" spans="1:50">
      <c r="A282" s="13" t="s">
        <v>307</v>
      </c>
      <c r="B282" s="13" t="s">
        <v>365</v>
      </c>
      <c r="C282" s="5">
        <v>46357</v>
      </c>
      <c r="D282" s="38"/>
      <c r="E282" s="13"/>
      <c r="F282" s="13"/>
      <c r="G282" s="13"/>
      <c r="H282" s="13"/>
      <c r="I282" s="13"/>
      <c r="J282" s="13"/>
      <c r="K282" s="13"/>
      <c r="L282" s="13"/>
      <c r="M282" s="13"/>
      <c r="N282" s="13"/>
      <c r="O282" s="13"/>
      <c r="P282" s="13"/>
      <c r="Q282" s="13"/>
      <c r="R282" s="13"/>
      <c r="S282" s="13"/>
      <c r="T282" s="13">
        <f>'Manpower Allocation'!$I$286</f>
        <v>183</v>
      </c>
      <c r="U282" s="22"/>
      <c r="V282" s="22"/>
      <c r="W282" s="22"/>
      <c r="X282" s="22"/>
      <c r="Y282" s="22"/>
      <c r="Z282" s="22"/>
      <c r="AA282" s="22"/>
      <c r="AB282" s="22"/>
      <c r="AC282" s="22"/>
      <c r="AD282" s="22"/>
      <c r="AE282" s="22"/>
      <c r="AF282" s="1325"/>
      <c r="AG282" s="22"/>
      <c r="AH282" s="22"/>
      <c r="AI282" s="22"/>
      <c r="AJ282" s="130"/>
      <c r="AK282" s="130"/>
      <c r="AL282" s="130"/>
      <c r="AM282" s="130"/>
      <c r="AN282" s="22"/>
      <c r="AO282" s="22"/>
      <c r="AP282" s="22"/>
      <c r="AQ282" s="22"/>
      <c r="AR282" s="22"/>
      <c r="AS282" s="22"/>
      <c r="AU282" s="385" t="s">
        <v>345</v>
      </c>
      <c r="AV282" s="33">
        <v>12</v>
      </c>
      <c r="AW282" s="33">
        <v>12</v>
      </c>
    </row>
    <row r="283" spans="1:50">
      <c r="A283" s="13" t="s">
        <v>307</v>
      </c>
      <c r="B283" s="13" t="s">
        <v>365</v>
      </c>
      <c r="C283" s="5">
        <v>46388</v>
      </c>
      <c r="D283" s="38"/>
      <c r="E283" s="13"/>
      <c r="F283" s="13"/>
      <c r="G283" s="13"/>
      <c r="H283" s="13"/>
      <c r="I283" s="13"/>
      <c r="J283" s="13"/>
      <c r="K283" s="13"/>
      <c r="L283" s="13"/>
      <c r="M283" s="13"/>
      <c r="N283" s="13"/>
      <c r="O283" s="13"/>
      <c r="P283" s="13"/>
      <c r="Q283" s="13"/>
      <c r="R283" s="13"/>
      <c r="S283" s="13"/>
      <c r="T283" s="13">
        <f>'Manpower Allocation'!$I$286</f>
        <v>183</v>
      </c>
      <c r="U283" s="22"/>
      <c r="V283" s="22"/>
      <c r="W283" s="22"/>
      <c r="X283" s="22"/>
      <c r="Y283" s="22"/>
      <c r="Z283" s="22"/>
      <c r="AA283" s="22"/>
      <c r="AB283" s="22"/>
      <c r="AC283" s="22"/>
      <c r="AD283" s="22"/>
      <c r="AE283" s="22"/>
      <c r="AF283" s="1325"/>
      <c r="AG283" s="22"/>
      <c r="AH283" s="22"/>
      <c r="AI283" s="22"/>
      <c r="AJ283" s="130"/>
      <c r="AK283" s="130"/>
      <c r="AL283" s="130"/>
      <c r="AM283" s="130"/>
      <c r="AN283" s="22"/>
      <c r="AO283" s="22"/>
      <c r="AP283" s="22"/>
      <c r="AQ283" s="22"/>
      <c r="AR283" s="22"/>
      <c r="AS283" s="22"/>
      <c r="AU283" s="385" t="s">
        <v>346</v>
      </c>
      <c r="AV283" s="33">
        <v>3</v>
      </c>
      <c r="AW283" s="33">
        <v>3</v>
      </c>
    </row>
    <row r="284" spans="1:50">
      <c r="A284" s="13" t="s">
        <v>307</v>
      </c>
      <c r="B284" s="13" t="s">
        <v>365</v>
      </c>
      <c r="C284" s="5">
        <v>46419</v>
      </c>
      <c r="D284" s="38"/>
      <c r="E284" s="13"/>
      <c r="F284" s="13"/>
      <c r="G284" s="13"/>
      <c r="H284" s="13"/>
      <c r="I284" s="13"/>
      <c r="J284" s="13"/>
      <c r="K284" s="13"/>
      <c r="L284" s="13"/>
      <c r="M284" s="13"/>
      <c r="N284" s="13"/>
      <c r="O284" s="13"/>
      <c r="P284" s="13"/>
      <c r="Q284" s="13"/>
      <c r="R284" s="13"/>
      <c r="S284" s="13"/>
      <c r="T284" s="13">
        <f>'Manpower Allocation'!$I$286</f>
        <v>183</v>
      </c>
      <c r="U284" s="22"/>
      <c r="V284" s="22"/>
      <c r="W284" s="22"/>
      <c r="X284" s="22"/>
      <c r="Y284" s="22"/>
      <c r="Z284" s="22"/>
      <c r="AA284" s="22"/>
      <c r="AB284" s="22"/>
      <c r="AC284" s="22"/>
      <c r="AD284" s="22"/>
      <c r="AE284" s="22"/>
      <c r="AF284" s="1325"/>
      <c r="AG284" s="22"/>
      <c r="AH284" s="22"/>
      <c r="AI284" s="22"/>
      <c r="AJ284" s="130"/>
      <c r="AK284" s="130"/>
      <c r="AL284" s="130"/>
      <c r="AM284" s="130"/>
      <c r="AN284" s="22"/>
      <c r="AO284" s="22"/>
      <c r="AP284" s="22"/>
      <c r="AQ284" s="22"/>
      <c r="AR284" s="22"/>
      <c r="AS284" s="22"/>
      <c r="AU284" s="385" t="s">
        <v>347</v>
      </c>
      <c r="AV284" s="33">
        <v>3</v>
      </c>
      <c r="AW284" s="33">
        <v>1</v>
      </c>
      <c r="AX284" t="s">
        <v>688</v>
      </c>
    </row>
    <row r="285" spans="1:50">
      <c r="A285" s="13" t="s">
        <v>307</v>
      </c>
      <c r="B285" s="13" t="s">
        <v>365</v>
      </c>
      <c r="C285" s="5">
        <v>46447</v>
      </c>
      <c r="D285" s="38"/>
      <c r="E285" s="13"/>
      <c r="F285" s="13"/>
      <c r="G285" s="13"/>
      <c r="H285" s="13"/>
      <c r="I285" s="13"/>
      <c r="J285" s="13"/>
      <c r="K285" s="13"/>
      <c r="L285" s="13"/>
      <c r="M285" s="13"/>
      <c r="N285" s="13"/>
      <c r="O285" s="13"/>
      <c r="P285" s="13"/>
      <c r="Q285" s="13"/>
      <c r="R285" s="13"/>
      <c r="S285" s="13"/>
      <c r="T285" s="13">
        <f>'Manpower Allocation'!$I$286</f>
        <v>183</v>
      </c>
      <c r="U285" s="22"/>
      <c r="V285" s="22"/>
      <c r="W285" s="22"/>
      <c r="X285" s="22"/>
      <c r="Y285" s="22"/>
      <c r="Z285" s="22"/>
      <c r="AA285" s="22"/>
      <c r="AB285" s="22"/>
      <c r="AC285" s="22"/>
      <c r="AD285" s="22"/>
      <c r="AE285" s="22"/>
      <c r="AF285" s="1325"/>
      <c r="AG285" s="22"/>
      <c r="AH285" s="22"/>
      <c r="AI285" s="22"/>
      <c r="AJ285" s="130"/>
      <c r="AK285" s="130"/>
      <c r="AL285" s="130"/>
      <c r="AM285" s="130"/>
      <c r="AN285" s="22"/>
      <c r="AO285" s="22"/>
      <c r="AP285" s="22"/>
      <c r="AQ285" s="22"/>
      <c r="AR285" s="22"/>
      <c r="AS285" s="22"/>
      <c r="AU285" s="385" t="s">
        <v>348</v>
      </c>
      <c r="AV285" s="33">
        <v>12</v>
      </c>
      <c r="AW285" s="33">
        <v>9</v>
      </c>
    </row>
    <row r="286" spans="1:50">
      <c r="AU286" s="386" t="s">
        <v>349</v>
      </c>
      <c r="AV286" s="33">
        <v>6</v>
      </c>
      <c r="AW286" s="33">
        <v>6</v>
      </c>
    </row>
    <row r="287" spans="1:50" ht="43.5">
      <c r="A287" s="1" t="s">
        <v>0</v>
      </c>
      <c r="B287" s="1" t="s">
        <v>1</v>
      </c>
      <c r="C287" s="1" t="s">
        <v>2</v>
      </c>
      <c r="D287" s="799" t="s">
        <v>3</v>
      </c>
      <c r="E287" s="1" t="s">
        <v>4</v>
      </c>
      <c r="F287" s="1" t="s">
        <v>5</v>
      </c>
      <c r="G287" s="1" t="s">
        <v>6</v>
      </c>
      <c r="H287" s="1" t="s">
        <v>7</v>
      </c>
      <c r="I287" s="1" t="s">
        <v>8</v>
      </c>
      <c r="J287" s="1" t="s">
        <v>9</v>
      </c>
      <c r="K287" s="1"/>
      <c r="L287" s="1" t="s">
        <v>10</v>
      </c>
      <c r="M287" s="1" t="s">
        <v>10</v>
      </c>
      <c r="N287" s="1" t="s">
        <v>11</v>
      </c>
      <c r="O287" s="1" t="s">
        <v>11</v>
      </c>
      <c r="P287" s="1" t="s">
        <v>12</v>
      </c>
      <c r="Q287" s="1" t="s">
        <v>13</v>
      </c>
      <c r="R287" s="1" t="s">
        <v>13</v>
      </c>
      <c r="S287" s="1" t="s">
        <v>1251</v>
      </c>
      <c r="T287" s="1" t="s">
        <v>14</v>
      </c>
      <c r="U287" s="851" t="s">
        <v>1561</v>
      </c>
      <c r="V287" s="851" t="s">
        <v>1517</v>
      </c>
      <c r="W287" s="851" t="s">
        <v>1518</v>
      </c>
      <c r="X287" s="851" t="s">
        <v>873</v>
      </c>
      <c r="Y287" s="851" t="s">
        <v>1519</v>
      </c>
      <c r="Z287" s="851" t="s">
        <v>1520</v>
      </c>
      <c r="AA287" s="851" t="s">
        <v>1521</v>
      </c>
      <c r="AB287" s="851" t="s">
        <v>1521</v>
      </c>
      <c r="AC287" s="851" t="s">
        <v>1562</v>
      </c>
      <c r="AD287" s="851" t="s">
        <v>537</v>
      </c>
      <c r="AE287" s="851"/>
      <c r="AF287" s="1337"/>
      <c r="AG287" s="851"/>
      <c r="AH287" s="851"/>
      <c r="AI287" s="851"/>
      <c r="AJ287" s="935"/>
      <c r="AK287" s="935"/>
      <c r="AL287" s="935"/>
      <c r="AU287" s="384" t="s">
        <v>561</v>
      </c>
      <c r="AV287" s="33">
        <f>SUM(AV282:AV286)</f>
        <v>36</v>
      </c>
      <c r="AW287" s="33">
        <f>SUM(AW282:AW286)</f>
        <v>31</v>
      </c>
    </row>
    <row r="288" spans="1:50">
      <c r="A288" s="3" t="s">
        <v>1267</v>
      </c>
      <c r="B288" s="3" t="s">
        <v>1267</v>
      </c>
      <c r="C288" s="5">
        <v>46113</v>
      </c>
      <c r="D288" s="38"/>
      <c r="E288" s="13"/>
      <c r="F288" s="13"/>
      <c r="G288" s="13"/>
      <c r="H288" s="13"/>
      <c r="I288" s="43">
        <f>I352</f>
        <v>11869.222152485861</v>
      </c>
      <c r="J288" s="43">
        <f>J352</f>
        <v>5622.564964599731</v>
      </c>
      <c r="K288" s="13"/>
      <c r="L288" s="13"/>
      <c r="M288" s="13"/>
      <c r="N288" s="13"/>
      <c r="O288" s="13"/>
      <c r="P288" s="13"/>
      <c r="Q288" s="13"/>
      <c r="R288" s="13">
        <f t="shared" ref="R288:R299" si="252">AT367</f>
        <v>83</v>
      </c>
      <c r="S288" s="13">
        <f t="shared" ref="S288:S299" si="253">AV367</f>
        <v>24</v>
      </c>
      <c r="T288" s="13">
        <f>S288+R288</f>
        <v>107</v>
      </c>
      <c r="U288" s="22"/>
      <c r="V288" s="22"/>
      <c r="W288" s="22"/>
      <c r="X288" s="22"/>
      <c r="Y288" s="22"/>
      <c r="Z288" s="22"/>
      <c r="AA288" s="22"/>
      <c r="AB288" s="22"/>
      <c r="AC288" s="22"/>
      <c r="AD288" s="22"/>
      <c r="AE288" s="22"/>
      <c r="AF288" s="1325"/>
      <c r="AG288" s="22"/>
      <c r="AH288" s="22"/>
      <c r="AI288" s="22"/>
      <c r="AJ288" s="907">
        <f>T288*(1-0.17)</f>
        <v>88.81</v>
      </c>
      <c r="AK288" s="130"/>
      <c r="AL288" s="130"/>
    </row>
    <row r="289" spans="1:38">
      <c r="A289" s="3" t="s">
        <v>1267</v>
      </c>
      <c r="B289" s="3" t="s">
        <v>1267</v>
      </c>
      <c r="C289" s="5">
        <v>46143</v>
      </c>
      <c r="D289" s="38"/>
      <c r="E289" s="13"/>
      <c r="F289" s="13"/>
      <c r="G289" s="13"/>
      <c r="H289" s="13"/>
      <c r="I289" s="43">
        <f t="shared" ref="I289:J299" si="254">I353</f>
        <v>11869.222152485861</v>
      </c>
      <c r="J289" s="43">
        <f t="shared" si="254"/>
        <v>6890.4034571148713</v>
      </c>
      <c r="K289" s="13"/>
      <c r="L289" s="13"/>
      <c r="M289" s="13"/>
      <c r="N289" s="13"/>
      <c r="O289" s="13"/>
      <c r="P289" s="13"/>
      <c r="Q289" s="13"/>
      <c r="R289" s="13">
        <f t="shared" si="252"/>
        <v>97</v>
      </c>
      <c r="S289" s="13">
        <f t="shared" si="253"/>
        <v>24</v>
      </c>
      <c r="T289" s="13">
        <f t="shared" ref="T289:T299" si="255">S289+R289</f>
        <v>121</v>
      </c>
      <c r="U289" s="22"/>
      <c r="V289" s="22"/>
      <c r="W289" s="22"/>
      <c r="X289" s="22"/>
      <c r="Y289" s="22"/>
      <c r="Z289" s="22"/>
      <c r="AA289" s="22"/>
      <c r="AB289" s="22"/>
      <c r="AC289" s="22"/>
      <c r="AD289" s="22"/>
      <c r="AE289" s="22"/>
      <c r="AF289" s="1325"/>
      <c r="AG289" s="22"/>
      <c r="AH289" s="22"/>
      <c r="AI289" s="22"/>
      <c r="AJ289" s="907">
        <f t="shared" ref="AJ289:AJ299" si="256">T289*(1-0.17)</f>
        <v>100.42999999999999</v>
      </c>
      <c r="AK289" s="130"/>
      <c r="AL289" s="130"/>
    </row>
    <row r="290" spans="1:38">
      <c r="A290" s="3" t="s">
        <v>1267</v>
      </c>
      <c r="B290" s="3" t="s">
        <v>1267</v>
      </c>
      <c r="C290" s="5">
        <v>46174</v>
      </c>
      <c r="D290" s="38"/>
      <c r="E290" s="13"/>
      <c r="F290" s="13"/>
      <c r="G290" s="13"/>
      <c r="H290" s="13"/>
      <c r="I290" s="43">
        <f t="shared" si="254"/>
        <v>11869.222152485861</v>
      </c>
      <c r="J290" s="43">
        <f t="shared" si="254"/>
        <v>7301.7361695315067</v>
      </c>
      <c r="K290" s="13"/>
      <c r="L290" s="13"/>
      <c r="M290" s="13"/>
      <c r="N290" s="13"/>
      <c r="O290" s="13"/>
      <c r="P290" s="13"/>
      <c r="Q290" s="13"/>
      <c r="R290" s="13">
        <f t="shared" si="252"/>
        <v>104</v>
      </c>
      <c r="S290" s="13">
        <f t="shared" si="253"/>
        <v>24</v>
      </c>
      <c r="T290" s="13">
        <f t="shared" si="255"/>
        <v>128</v>
      </c>
      <c r="U290" s="22"/>
      <c r="V290" s="22"/>
      <c r="W290" s="22"/>
      <c r="X290" s="22"/>
      <c r="Y290" s="22"/>
      <c r="Z290" s="22"/>
      <c r="AA290" s="22"/>
      <c r="AB290" s="22"/>
      <c r="AC290" s="22"/>
      <c r="AD290" s="22"/>
      <c r="AE290" s="22"/>
      <c r="AF290" s="1325"/>
      <c r="AG290" s="22"/>
      <c r="AH290" s="22"/>
      <c r="AI290" s="22"/>
      <c r="AJ290" s="907">
        <f t="shared" si="256"/>
        <v>106.24</v>
      </c>
      <c r="AK290" s="130"/>
      <c r="AL290" s="130"/>
    </row>
    <row r="291" spans="1:38">
      <c r="A291" s="3" t="s">
        <v>1267</v>
      </c>
      <c r="B291" s="3" t="s">
        <v>1267</v>
      </c>
      <c r="C291" s="5">
        <v>46204</v>
      </c>
      <c r="D291" s="38"/>
      <c r="E291" s="13"/>
      <c r="F291" s="13"/>
      <c r="G291" s="13"/>
      <c r="H291" s="13"/>
      <c r="I291" s="43">
        <f t="shared" si="254"/>
        <v>11869.222152485861</v>
      </c>
      <c r="J291" s="43">
        <f t="shared" si="254"/>
        <v>6087.6181532175024</v>
      </c>
      <c r="K291" s="13"/>
      <c r="L291" s="13"/>
      <c r="M291" s="13"/>
      <c r="N291" s="13"/>
      <c r="O291" s="13"/>
      <c r="P291" s="13"/>
      <c r="Q291" s="13"/>
      <c r="R291" s="13">
        <f t="shared" si="252"/>
        <v>86</v>
      </c>
      <c r="S291" s="13">
        <f t="shared" si="253"/>
        <v>24</v>
      </c>
      <c r="T291" s="13">
        <f t="shared" si="255"/>
        <v>110</v>
      </c>
      <c r="U291" s="22"/>
      <c r="V291" s="22"/>
      <c r="W291" s="22"/>
      <c r="X291" s="22"/>
      <c r="Y291" s="22"/>
      <c r="Z291" s="22"/>
      <c r="AA291" s="22"/>
      <c r="AB291" s="22"/>
      <c r="AC291" s="22"/>
      <c r="AD291" s="22"/>
      <c r="AE291" s="22"/>
      <c r="AF291" s="1325"/>
      <c r="AG291" s="22"/>
      <c r="AH291" s="22"/>
      <c r="AI291" s="22"/>
      <c r="AJ291" s="907">
        <f t="shared" si="256"/>
        <v>91.3</v>
      </c>
      <c r="AK291" s="130"/>
      <c r="AL291" s="130"/>
    </row>
    <row r="292" spans="1:38">
      <c r="A292" s="3" t="s">
        <v>1267</v>
      </c>
      <c r="B292" s="3" t="s">
        <v>1267</v>
      </c>
      <c r="C292" s="5">
        <v>46235</v>
      </c>
      <c r="D292" s="38"/>
      <c r="E292" s="13"/>
      <c r="F292" s="13"/>
      <c r="G292" s="13"/>
      <c r="H292" s="13"/>
      <c r="I292" s="43">
        <f t="shared" si="254"/>
        <v>11869.222152485861</v>
      </c>
      <c r="J292" s="43">
        <f t="shared" si="254"/>
        <v>7138.41850740468</v>
      </c>
      <c r="K292" s="13"/>
      <c r="L292" s="13"/>
      <c r="M292" s="13"/>
      <c r="N292" s="13"/>
      <c r="O292" s="13"/>
      <c r="P292" s="13"/>
      <c r="Q292" s="13"/>
      <c r="R292" s="13">
        <f t="shared" si="252"/>
        <v>101</v>
      </c>
      <c r="S292" s="13">
        <f t="shared" si="253"/>
        <v>24</v>
      </c>
      <c r="T292" s="13">
        <f t="shared" si="255"/>
        <v>125</v>
      </c>
      <c r="U292" s="22"/>
      <c r="V292" s="22"/>
      <c r="W292" s="22"/>
      <c r="X292" s="22"/>
      <c r="Y292" s="22"/>
      <c r="Z292" s="22"/>
      <c r="AA292" s="22"/>
      <c r="AB292" s="22"/>
      <c r="AC292" s="22"/>
      <c r="AD292" s="22"/>
      <c r="AE292" s="22"/>
      <c r="AF292" s="1325"/>
      <c r="AG292" s="22"/>
      <c r="AH292" s="22"/>
      <c r="AI292" s="22"/>
      <c r="AJ292" s="907">
        <f t="shared" si="256"/>
        <v>103.75</v>
      </c>
      <c r="AK292" s="130"/>
      <c r="AL292" s="130"/>
    </row>
    <row r="293" spans="1:38">
      <c r="A293" s="3" t="s">
        <v>1267</v>
      </c>
      <c r="B293" s="3" t="s">
        <v>1267</v>
      </c>
      <c r="C293" s="5">
        <v>46266</v>
      </c>
      <c r="D293" s="38"/>
      <c r="E293" s="13"/>
      <c r="F293" s="13"/>
      <c r="G293" s="13"/>
      <c r="H293" s="13"/>
      <c r="I293" s="43">
        <f t="shared" si="254"/>
        <v>11869.222152485861</v>
      </c>
      <c r="J293" s="43">
        <f t="shared" si="254"/>
        <v>6981.954758677788</v>
      </c>
      <c r="K293" s="13"/>
      <c r="L293" s="13"/>
      <c r="M293" s="13"/>
      <c r="N293" s="13"/>
      <c r="O293" s="13"/>
      <c r="P293" s="13"/>
      <c r="Q293" s="13"/>
      <c r="R293" s="13">
        <f t="shared" si="252"/>
        <v>97</v>
      </c>
      <c r="S293" s="13">
        <f t="shared" si="253"/>
        <v>24</v>
      </c>
      <c r="T293" s="13">
        <f t="shared" si="255"/>
        <v>121</v>
      </c>
      <c r="U293" s="22"/>
      <c r="V293" s="22"/>
      <c r="W293" s="22"/>
      <c r="X293" s="22"/>
      <c r="Y293" s="22"/>
      <c r="Z293" s="22"/>
      <c r="AA293" s="22"/>
      <c r="AB293" s="22"/>
      <c r="AC293" s="22"/>
      <c r="AD293" s="22"/>
      <c r="AE293" s="22"/>
      <c r="AF293" s="1325"/>
      <c r="AG293" s="22"/>
      <c r="AH293" s="22"/>
      <c r="AI293" s="22"/>
      <c r="AJ293" s="907">
        <f t="shared" si="256"/>
        <v>100.42999999999999</v>
      </c>
      <c r="AK293" s="130"/>
      <c r="AL293" s="130"/>
    </row>
    <row r="294" spans="1:38">
      <c r="A294" s="3" t="s">
        <v>1267</v>
      </c>
      <c r="B294" s="3" t="s">
        <v>1267</v>
      </c>
      <c r="C294" s="5">
        <v>46296</v>
      </c>
      <c r="D294" s="38"/>
      <c r="E294" s="13"/>
      <c r="F294" s="13"/>
      <c r="G294" s="13"/>
      <c r="H294" s="13"/>
      <c r="I294" s="43">
        <f t="shared" si="254"/>
        <v>11869.222152485861</v>
      </c>
      <c r="J294" s="43">
        <f t="shared" si="254"/>
        <v>7277.1793683538617</v>
      </c>
      <c r="K294" s="13"/>
      <c r="L294" s="13"/>
      <c r="M294" s="13"/>
      <c r="N294" s="13"/>
      <c r="O294" s="13"/>
      <c r="P294" s="13"/>
      <c r="Q294" s="13"/>
      <c r="R294" s="13">
        <f t="shared" si="252"/>
        <v>104</v>
      </c>
      <c r="S294" s="13">
        <f t="shared" si="253"/>
        <v>24</v>
      </c>
      <c r="T294" s="13">
        <f t="shared" si="255"/>
        <v>128</v>
      </c>
      <c r="U294" s="22"/>
      <c r="V294" s="22"/>
      <c r="W294" s="22"/>
      <c r="X294" s="22"/>
      <c r="Y294" s="22"/>
      <c r="Z294" s="22"/>
      <c r="AA294" s="22"/>
      <c r="AB294" s="22"/>
      <c r="AC294" s="22"/>
      <c r="AD294" s="22"/>
      <c r="AE294" s="22"/>
      <c r="AF294" s="1325"/>
      <c r="AG294" s="22"/>
      <c r="AH294" s="22"/>
      <c r="AI294" s="22"/>
      <c r="AJ294" s="907">
        <f t="shared" si="256"/>
        <v>106.24</v>
      </c>
      <c r="AK294" s="130"/>
      <c r="AL294" s="130"/>
    </row>
    <row r="295" spans="1:38">
      <c r="A295" s="3" t="s">
        <v>1267</v>
      </c>
      <c r="B295" s="3" t="s">
        <v>1267</v>
      </c>
      <c r="C295" s="5">
        <v>46327</v>
      </c>
      <c r="D295" s="38"/>
      <c r="E295" s="13"/>
      <c r="F295" s="13"/>
      <c r="G295" s="13"/>
      <c r="H295" s="13"/>
      <c r="I295" s="43">
        <f t="shared" si="254"/>
        <v>11869.222152485861</v>
      </c>
      <c r="J295" s="43">
        <f t="shared" si="254"/>
        <v>8173.2848880736401</v>
      </c>
      <c r="K295" s="13"/>
      <c r="L295" s="13"/>
      <c r="M295" s="13"/>
      <c r="N295" s="13"/>
      <c r="O295" s="13"/>
      <c r="P295" s="13"/>
      <c r="Q295" s="13"/>
      <c r="R295" s="13">
        <f t="shared" si="252"/>
        <v>114</v>
      </c>
      <c r="S295" s="13">
        <f t="shared" si="253"/>
        <v>24</v>
      </c>
      <c r="T295" s="13">
        <f t="shared" si="255"/>
        <v>138</v>
      </c>
      <c r="U295" s="22"/>
      <c r="V295" s="22"/>
      <c r="W295" s="22"/>
      <c r="X295" s="22"/>
      <c r="Y295" s="22"/>
      <c r="Z295" s="22"/>
      <c r="AA295" s="22"/>
      <c r="AB295" s="22"/>
      <c r="AC295" s="22"/>
      <c r="AD295" s="22"/>
      <c r="AE295" s="22"/>
      <c r="AF295" s="1325"/>
      <c r="AG295" s="22"/>
      <c r="AH295" s="22"/>
      <c r="AI295" s="22"/>
      <c r="AJ295" s="907">
        <f t="shared" si="256"/>
        <v>114.53999999999999</v>
      </c>
      <c r="AK295" s="130"/>
      <c r="AL295" s="130"/>
    </row>
    <row r="296" spans="1:38">
      <c r="A296" s="3" t="s">
        <v>1267</v>
      </c>
      <c r="B296" s="3" t="s">
        <v>1267</v>
      </c>
      <c r="C296" s="5">
        <v>46357</v>
      </c>
      <c r="D296" s="38"/>
      <c r="E296" s="13"/>
      <c r="F296" s="13"/>
      <c r="G296" s="13"/>
      <c r="H296" s="13"/>
      <c r="I296" s="43">
        <f t="shared" si="254"/>
        <v>11869.222152485861</v>
      </c>
      <c r="J296" s="43">
        <f t="shared" si="254"/>
        <v>11712.603854551255</v>
      </c>
      <c r="K296" s="13"/>
      <c r="L296" s="13"/>
      <c r="M296" s="13"/>
      <c r="N296" s="13"/>
      <c r="O296" s="13"/>
      <c r="P296" s="13"/>
      <c r="Q296" s="13"/>
      <c r="R296" s="13">
        <f t="shared" si="252"/>
        <v>137</v>
      </c>
      <c r="S296" s="13">
        <f t="shared" si="253"/>
        <v>24</v>
      </c>
      <c r="T296" s="13">
        <f t="shared" si="255"/>
        <v>161</v>
      </c>
      <c r="U296" s="22"/>
      <c r="V296" s="22"/>
      <c r="W296" s="22"/>
      <c r="X296" s="22"/>
      <c r="Y296" s="22"/>
      <c r="Z296" s="22"/>
      <c r="AA296" s="22"/>
      <c r="AB296" s="22"/>
      <c r="AC296" s="22"/>
      <c r="AD296" s="22"/>
      <c r="AE296" s="22"/>
      <c r="AF296" s="1325"/>
      <c r="AG296" s="22"/>
      <c r="AH296" s="22"/>
      <c r="AI296" s="22"/>
      <c r="AJ296" s="907">
        <f t="shared" si="256"/>
        <v>133.63</v>
      </c>
      <c r="AK296" s="130"/>
      <c r="AL296" s="130"/>
    </row>
    <row r="297" spans="1:38">
      <c r="A297" s="3" t="s">
        <v>1267</v>
      </c>
      <c r="B297" s="3" t="s">
        <v>1267</v>
      </c>
      <c r="C297" s="5">
        <v>46388</v>
      </c>
      <c r="D297" s="38"/>
      <c r="E297" s="13"/>
      <c r="F297" s="13"/>
      <c r="G297" s="13"/>
      <c r="H297" s="13"/>
      <c r="I297" s="43">
        <f t="shared" si="254"/>
        <v>11869.222152485861</v>
      </c>
      <c r="J297" s="43">
        <f t="shared" si="254"/>
        <v>6657.2644062060244</v>
      </c>
      <c r="K297" s="13"/>
      <c r="L297" s="13"/>
      <c r="M297" s="13"/>
      <c r="N297" s="13"/>
      <c r="O297" s="13"/>
      <c r="P297" s="13"/>
      <c r="Q297" s="13"/>
      <c r="R297" s="13">
        <f t="shared" si="252"/>
        <v>89</v>
      </c>
      <c r="S297" s="13">
        <f t="shared" si="253"/>
        <v>24</v>
      </c>
      <c r="T297" s="13">
        <f t="shared" si="255"/>
        <v>113</v>
      </c>
      <c r="U297" s="22"/>
      <c r="V297" s="22"/>
      <c r="W297" s="22"/>
      <c r="X297" s="22"/>
      <c r="Y297" s="22"/>
      <c r="Z297" s="22"/>
      <c r="AA297" s="22"/>
      <c r="AB297" s="22"/>
      <c r="AC297" s="22"/>
      <c r="AD297" s="22"/>
      <c r="AE297" s="22"/>
      <c r="AF297" s="1325"/>
      <c r="AG297" s="22"/>
      <c r="AH297" s="22"/>
      <c r="AI297" s="22"/>
      <c r="AJ297" s="907">
        <f t="shared" si="256"/>
        <v>93.789999999999992</v>
      </c>
      <c r="AK297" s="130"/>
      <c r="AL297" s="130"/>
    </row>
    <row r="298" spans="1:38">
      <c r="A298" s="3" t="s">
        <v>1267</v>
      </c>
      <c r="B298" s="3" t="s">
        <v>1267</v>
      </c>
      <c r="C298" s="5">
        <v>46419</v>
      </c>
      <c r="D298" s="38"/>
      <c r="E298" s="13"/>
      <c r="F298" s="13"/>
      <c r="G298" s="13"/>
      <c r="H298" s="13"/>
      <c r="I298" s="43">
        <f t="shared" si="254"/>
        <v>11869.222152485861</v>
      </c>
      <c r="J298" s="43">
        <f t="shared" si="254"/>
        <v>7963.8524180259901</v>
      </c>
      <c r="K298" s="13"/>
      <c r="L298" s="13"/>
      <c r="M298" s="13"/>
      <c r="N298" s="13"/>
      <c r="O298" s="13"/>
      <c r="P298" s="13"/>
      <c r="Q298" s="13"/>
      <c r="R298" s="13">
        <f t="shared" si="252"/>
        <v>107</v>
      </c>
      <c r="S298" s="13">
        <f t="shared" si="253"/>
        <v>24</v>
      </c>
      <c r="T298" s="13">
        <f t="shared" si="255"/>
        <v>131</v>
      </c>
      <c r="U298" s="22"/>
      <c r="V298" s="22"/>
      <c r="W298" s="22"/>
      <c r="X298" s="22"/>
      <c r="Y298" s="22"/>
      <c r="Z298" s="22"/>
      <c r="AA298" s="22"/>
      <c r="AB298" s="22"/>
      <c r="AC298" s="22"/>
      <c r="AD298" s="22"/>
      <c r="AE298" s="22"/>
      <c r="AF298" s="1325"/>
      <c r="AG298" s="22"/>
      <c r="AH298" s="22"/>
      <c r="AI298" s="22"/>
      <c r="AJ298" s="907">
        <f t="shared" si="256"/>
        <v>108.72999999999999</v>
      </c>
      <c r="AK298" s="130"/>
      <c r="AL298" s="130"/>
    </row>
    <row r="299" spans="1:38">
      <c r="A299" s="3" t="s">
        <v>1267</v>
      </c>
      <c r="B299" s="3" t="s">
        <v>1267</v>
      </c>
      <c r="C299" s="5">
        <v>46447</v>
      </c>
      <c r="D299" s="38"/>
      <c r="E299" s="13"/>
      <c r="F299" s="13"/>
      <c r="G299" s="13"/>
      <c r="H299" s="13"/>
      <c r="I299" s="43">
        <f t="shared" si="254"/>
        <v>11869.222152485861</v>
      </c>
      <c r="J299" s="43">
        <f t="shared" si="254"/>
        <v>5910.8985164476026</v>
      </c>
      <c r="K299" s="13"/>
      <c r="L299" s="13"/>
      <c r="M299" s="13"/>
      <c r="N299" s="13"/>
      <c r="O299" s="13"/>
      <c r="P299" s="13"/>
      <c r="Q299" s="13"/>
      <c r="R299" s="13">
        <f t="shared" si="252"/>
        <v>83</v>
      </c>
      <c r="S299" s="13">
        <f t="shared" si="253"/>
        <v>24</v>
      </c>
      <c r="T299" s="13">
        <f t="shared" si="255"/>
        <v>107</v>
      </c>
      <c r="U299" s="22"/>
      <c r="V299" s="22"/>
      <c r="W299" s="22"/>
      <c r="X299" s="22"/>
      <c r="Y299" s="22"/>
      <c r="Z299" s="22"/>
      <c r="AA299" s="22"/>
      <c r="AB299" s="22"/>
      <c r="AC299" s="22"/>
      <c r="AD299" s="22"/>
      <c r="AE299" s="22"/>
      <c r="AF299" s="1325"/>
      <c r="AG299" s="22"/>
      <c r="AH299" s="22"/>
      <c r="AI299" s="22"/>
      <c r="AJ299" s="907">
        <f t="shared" si="256"/>
        <v>88.81</v>
      </c>
      <c r="AK299" s="130"/>
      <c r="AL299" s="130"/>
    </row>
    <row r="306" spans="1:67" ht="43.5">
      <c r="A306" s="1" t="s">
        <v>0</v>
      </c>
      <c r="B306" s="1" t="s">
        <v>1</v>
      </c>
      <c r="C306" s="1" t="s">
        <v>2</v>
      </c>
      <c r="D306" s="799" t="s">
        <v>3</v>
      </c>
      <c r="E306" s="1" t="s">
        <v>4</v>
      </c>
      <c r="F306" s="1" t="s">
        <v>5</v>
      </c>
      <c r="G306" s="1" t="s">
        <v>6</v>
      </c>
      <c r="H306" s="1" t="s">
        <v>7</v>
      </c>
      <c r="I306" s="1" t="s">
        <v>8</v>
      </c>
      <c r="J306" s="1" t="s">
        <v>9</v>
      </c>
      <c r="K306" s="1"/>
      <c r="L306" s="1" t="s">
        <v>10</v>
      </c>
      <c r="M306" s="1" t="s">
        <v>10</v>
      </c>
      <c r="N306" s="1" t="s">
        <v>11</v>
      </c>
      <c r="O306" s="1" t="s">
        <v>11</v>
      </c>
      <c r="P306" s="1" t="s">
        <v>12</v>
      </c>
      <c r="Q306" s="1" t="s">
        <v>13</v>
      </c>
      <c r="R306" s="1" t="s">
        <v>13</v>
      </c>
      <c r="S306" s="1"/>
      <c r="T306" s="1" t="s">
        <v>14</v>
      </c>
      <c r="U306" s="851" t="s">
        <v>1561</v>
      </c>
      <c r="V306" s="851" t="s">
        <v>1517</v>
      </c>
      <c r="W306" s="851" t="s">
        <v>1518</v>
      </c>
      <c r="X306" s="851" t="s">
        <v>873</v>
      </c>
      <c r="Y306" s="851" t="s">
        <v>1519</v>
      </c>
      <c r="Z306" s="851" t="s">
        <v>1520</v>
      </c>
      <c r="AA306" s="851" t="s">
        <v>1521</v>
      </c>
      <c r="AB306" s="851" t="s">
        <v>1521</v>
      </c>
      <c r="AC306" s="851" t="s">
        <v>1562</v>
      </c>
      <c r="AD306" s="851" t="s">
        <v>537</v>
      </c>
      <c r="AE306" s="851"/>
      <c r="AF306" s="1337"/>
      <c r="AG306" s="851"/>
      <c r="AH306" s="851"/>
      <c r="AI306" s="851"/>
      <c r="AJ306" s="935"/>
      <c r="AK306" s="935"/>
      <c r="AL306" s="935"/>
      <c r="AM306" s="935"/>
      <c r="AN306" s="851"/>
      <c r="AO306" s="851"/>
      <c r="AP306" s="851"/>
      <c r="AQ306" s="851"/>
      <c r="AR306" s="851"/>
      <c r="AS306" s="851"/>
    </row>
    <row r="307" spans="1:67" ht="15.5">
      <c r="A307" s="3" t="s">
        <v>340</v>
      </c>
      <c r="B307" s="3" t="s">
        <v>340</v>
      </c>
      <c r="C307" s="5">
        <v>46113</v>
      </c>
      <c r="D307" s="769">
        <f>'YN01'!$J$185</f>
        <v>499.99999999999994</v>
      </c>
      <c r="E307" s="1314">
        <f>'YN01'!$B$185</f>
        <v>280.25072803711907</v>
      </c>
      <c r="F307" s="1070">
        <f>'YN01'!$K$185</f>
        <v>503.99999999999989</v>
      </c>
      <c r="G307" s="8">
        <f>'YN01'!$H$185</f>
        <v>0.9327731092436975</v>
      </c>
      <c r="H307" s="8">
        <f>'YN01'!$I$185</f>
        <v>0.79999999999999982</v>
      </c>
      <c r="I307" s="9">
        <f t="shared" ref="I307" si="257">E307*D307*F307*0.00016*H307*G307</f>
        <v>8432.052022485288</v>
      </c>
      <c r="J307" s="10">
        <f>Multiply!B14</f>
        <v>3218.2216061105933</v>
      </c>
      <c r="K307" s="10"/>
      <c r="L307" s="11">
        <f t="shared" ref="L307:L318" si="258">J307/I307</f>
        <v>0.3816652930423981</v>
      </c>
      <c r="M307" s="12">
        <f>IF((L307*F307)&gt;F307,F307,(L307*F307))</f>
        <v>192.35930769336861</v>
      </c>
      <c r="N307" s="12">
        <f>M307/126</f>
        <v>1.5266611721695922</v>
      </c>
      <c r="O307" s="12">
        <f t="shared" ref="O307:O318" si="259">ROUNDUP(N307,0)</f>
        <v>2</v>
      </c>
      <c r="P307" s="13">
        <f>O307*1.5</f>
        <v>3</v>
      </c>
      <c r="Q307" s="13">
        <f t="shared" ref="Q307:Q318" si="260">P307*3</f>
        <v>9</v>
      </c>
      <c r="R307" s="13">
        <f t="shared" ref="R307:R318" si="261">ROUNDUP(Q307,0)</f>
        <v>9</v>
      </c>
      <c r="S307" s="13"/>
      <c r="T307" s="13">
        <f>R307</f>
        <v>9</v>
      </c>
      <c r="U307" s="1327">
        <f t="shared" ref="U307:U318" si="262">I307/V307</f>
        <v>2108.013005621322</v>
      </c>
      <c r="V307" s="22">
        <v>4</v>
      </c>
      <c r="W307" s="22">
        <f>126*4</f>
        <v>504</v>
      </c>
      <c r="X307" s="21">
        <f t="shared" ref="X307:X318" si="263">IF(J307&gt;I307,V307,J307/U307)</f>
        <v>1.5266611721695924</v>
      </c>
      <c r="Y307" s="22">
        <f>W307*L307</f>
        <v>192.35930769336863</v>
      </c>
      <c r="Z307" s="22">
        <v>1.5</v>
      </c>
      <c r="AA307" s="21">
        <f t="shared" ref="AA307:AA318" si="264">Z307*X307</f>
        <v>2.2899917582543887</v>
      </c>
      <c r="AB307" s="1325">
        <f t="shared" ref="AB307:AB318" si="265">ROUNDUP(AA307,0)</f>
        <v>3</v>
      </c>
      <c r="AC307" s="1325">
        <f t="shared" ref="AC307:AC318" si="266">AB307*3</f>
        <v>9</v>
      </c>
      <c r="AD307" s="22" t="s">
        <v>1557</v>
      </c>
      <c r="AE307" s="22"/>
      <c r="AF307" s="1325"/>
      <c r="AG307" s="22"/>
      <c r="AH307" s="22"/>
      <c r="AI307" s="22"/>
      <c r="AJ307" s="130"/>
      <c r="AK307" s="130"/>
      <c r="AL307" s="130"/>
      <c r="AM307" s="130"/>
      <c r="AN307" s="22"/>
      <c r="AO307" s="22"/>
      <c r="AP307" s="22"/>
      <c r="AQ307" s="22"/>
      <c r="AR307" s="22"/>
      <c r="AS307" s="22"/>
      <c r="AT307">
        <v>6</v>
      </c>
      <c r="BO307" s="149">
        <f>AT307*3</f>
        <v>18</v>
      </c>
    </row>
    <row r="308" spans="1:67" ht="15.5">
      <c r="A308" s="3" t="s">
        <v>340</v>
      </c>
      <c r="B308" s="3" t="s">
        <v>340</v>
      </c>
      <c r="C308" s="5">
        <v>46143</v>
      </c>
      <c r="D308" s="1070">
        <f>'YN01'!$J$185</f>
        <v>499.99999999999994</v>
      </c>
      <c r="E308" s="1314">
        <f>'YN01'!$B$185</f>
        <v>280.25072803711907</v>
      </c>
      <c r="F308" s="1070">
        <f>'YN01'!$K$185</f>
        <v>503.99999999999989</v>
      </c>
      <c r="G308" s="8">
        <f>'YN01'!$H$185</f>
        <v>0.9327731092436975</v>
      </c>
      <c r="H308" s="8">
        <f>'YN01'!$I$185</f>
        <v>0.79999999999999982</v>
      </c>
      <c r="I308" s="9">
        <f t="shared" ref="I308:I318" si="267">E308*D308*F308*0.00016*H308*G308</f>
        <v>8432.052022485288</v>
      </c>
      <c r="J308" s="10">
        <f>Multiply!B15</f>
        <v>4320.049398760455</v>
      </c>
      <c r="K308" s="10"/>
      <c r="L308" s="11">
        <f t="shared" si="258"/>
        <v>0.5123366633934916</v>
      </c>
      <c r="M308" s="12">
        <f t="shared" ref="M308:M318" si="268">IF((L308*F308)&gt;F308,F308,(L308*F308))</f>
        <v>258.21767835031972</v>
      </c>
      <c r="N308" s="12">
        <f t="shared" ref="N308:N318" si="269">M308/126</f>
        <v>2.0493466535739659</v>
      </c>
      <c r="O308" s="12">
        <f t="shared" si="259"/>
        <v>3</v>
      </c>
      <c r="P308" s="13">
        <f t="shared" ref="P308:P318" si="270">O308*1.5</f>
        <v>4.5</v>
      </c>
      <c r="Q308" s="13">
        <f t="shared" si="260"/>
        <v>13.5</v>
      </c>
      <c r="R308" s="13">
        <f t="shared" si="261"/>
        <v>14</v>
      </c>
      <c r="S308" s="13"/>
      <c r="T308" s="13">
        <f t="shared" ref="T308:T318" si="271">R308</f>
        <v>14</v>
      </c>
      <c r="U308" s="1327">
        <f t="shared" si="262"/>
        <v>2108.013005621322</v>
      </c>
      <c r="V308" s="22">
        <v>4</v>
      </c>
      <c r="W308" s="22">
        <f t="shared" ref="W308:W318" si="272">126*4</f>
        <v>504</v>
      </c>
      <c r="X308" s="21">
        <f t="shared" si="263"/>
        <v>2.0493466535739664</v>
      </c>
      <c r="Y308" s="22"/>
      <c r="Z308" s="22">
        <v>1.5</v>
      </c>
      <c r="AA308" s="21">
        <f t="shared" si="264"/>
        <v>3.0740199803609496</v>
      </c>
      <c r="AB308" s="1325">
        <f t="shared" si="265"/>
        <v>4</v>
      </c>
      <c r="AC308" s="1325">
        <f t="shared" si="266"/>
        <v>12</v>
      </c>
      <c r="AD308" s="1364"/>
      <c r="AE308" s="22"/>
      <c r="AF308" s="1325"/>
      <c r="AG308" s="22"/>
      <c r="AH308" s="22"/>
      <c r="AI308" s="22"/>
      <c r="AJ308" s="130"/>
      <c r="AK308" s="130"/>
      <c r="AL308" s="130"/>
      <c r="AM308" s="130"/>
      <c r="AN308" s="22"/>
      <c r="AO308" s="22"/>
      <c r="AP308" s="22"/>
      <c r="AQ308" s="22"/>
      <c r="AR308" s="22"/>
      <c r="AS308" s="22"/>
    </row>
    <row r="309" spans="1:67" ht="15.5">
      <c r="A309" s="3" t="s">
        <v>340</v>
      </c>
      <c r="B309" s="3" t="s">
        <v>340</v>
      </c>
      <c r="C309" s="5">
        <v>46174</v>
      </c>
      <c r="D309" s="1070">
        <f>'YN01'!$J$185</f>
        <v>499.99999999999994</v>
      </c>
      <c r="E309" s="1314">
        <f>'YN01'!$B$185</f>
        <v>280.25072803711907</v>
      </c>
      <c r="F309" s="1070">
        <f>'YN01'!$K$185</f>
        <v>503.99999999999989</v>
      </c>
      <c r="G309" s="8">
        <f>'YN01'!$H$185</f>
        <v>0.9327731092436975</v>
      </c>
      <c r="H309" s="8">
        <f>'YN01'!$I$185</f>
        <v>0.79999999999999982</v>
      </c>
      <c r="I309" s="9">
        <f t="shared" si="267"/>
        <v>8432.052022485288</v>
      </c>
      <c r="J309" s="10">
        <f>Multiply!B16</f>
        <v>4862.0170990663064</v>
      </c>
      <c r="K309" s="10"/>
      <c r="L309" s="11">
        <f t="shared" si="258"/>
        <v>0.57661137361356807</v>
      </c>
      <c r="M309" s="12">
        <f t="shared" si="268"/>
        <v>290.61213230123826</v>
      </c>
      <c r="N309" s="12">
        <f t="shared" si="269"/>
        <v>2.3064454944542718</v>
      </c>
      <c r="O309" s="12">
        <f t="shared" si="259"/>
        <v>3</v>
      </c>
      <c r="P309" s="13">
        <f t="shared" si="270"/>
        <v>4.5</v>
      </c>
      <c r="Q309" s="13">
        <f t="shared" si="260"/>
        <v>13.5</v>
      </c>
      <c r="R309" s="13">
        <f t="shared" si="261"/>
        <v>14</v>
      </c>
      <c r="S309" s="13"/>
      <c r="T309" s="13">
        <f t="shared" si="271"/>
        <v>14</v>
      </c>
      <c r="U309" s="1327">
        <f t="shared" si="262"/>
        <v>2108.013005621322</v>
      </c>
      <c r="V309" s="22">
        <v>4</v>
      </c>
      <c r="W309" s="22">
        <f t="shared" si="272"/>
        <v>504</v>
      </c>
      <c r="X309" s="21">
        <f t="shared" si="263"/>
        <v>2.3064454944542723</v>
      </c>
      <c r="Y309" s="22"/>
      <c r="Z309" s="22">
        <v>1.5</v>
      </c>
      <c r="AA309" s="21">
        <f t="shared" si="264"/>
        <v>3.4596682416814084</v>
      </c>
      <c r="AB309" s="1325">
        <f t="shared" si="265"/>
        <v>4</v>
      </c>
      <c r="AC309" s="1325">
        <f t="shared" si="266"/>
        <v>12</v>
      </c>
      <c r="AD309" s="1325">
        <f>ROUNDUP(X309*Z309,0)*3</f>
        <v>12</v>
      </c>
      <c r="AE309" s="22"/>
      <c r="AF309" s="1325"/>
      <c r="AG309" s="22"/>
      <c r="AH309" s="22"/>
      <c r="AI309" s="22"/>
      <c r="AJ309" s="130"/>
      <c r="AK309" s="130"/>
      <c r="AL309" s="130"/>
      <c r="AM309" s="130"/>
      <c r="AN309" s="22"/>
      <c r="AO309" s="22"/>
      <c r="AP309" s="22"/>
      <c r="AQ309" s="22"/>
      <c r="AR309" s="22"/>
      <c r="AS309" s="22"/>
    </row>
    <row r="310" spans="1:67" ht="15.5">
      <c r="A310" s="3" t="s">
        <v>340</v>
      </c>
      <c r="B310" s="3" t="s">
        <v>340</v>
      </c>
      <c r="C310" s="5">
        <v>46204</v>
      </c>
      <c r="D310" s="1070">
        <f>'YN01'!$J$185</f>
        <v>499.99999999999994</v>
      </c>
      <c r="E310" s="1314">
        <f>'YN01'!$B$185</f>
        <v>280.25072803711907</v>
      </c>
      <c r="F310" s="1070">
        <f>'YN01'!$K$185</f>
        <v>503.99999999999989</v>
      </c>
      <c r="G310" s="8">
        <f>'YN01'!$H$185</f>
        <v>0.9327731092436975</v>
      </c>
      <c r="H310" s="8">
        <f>'YN01'!$I$185</f>
        <v>0.79999999999999982</v>
      </c>
      <c r="I310" s="9">
        <f t="shared" si="267"/>
        <v>8432.052022485288</v>
      </c>
      <c r="J310" s="10">
        <f>Multiply!B17</f>
        <v>3418.4591657322826</v>
      </c>
      <c r="K310" s="10"/>
      <c r="L310" s="11">
        <f t="shared" si="258"/>
        <v>0.40541248519535533</v>
      </c>
      <c r="M310" s="12">
        <f t="shared" si="268"/>
        <v>204.32789253845905</v>
      </c>
      <c r="N310" s="12">
        <f t="shared" si="269"/>
        <v>1.6216499407814211</v>
      </c>
      <c r="O310" s="12">
        <f t="shared" si="259"/>
        <v>2</v>
      </c>
      <c r="P310" s="13">
        <f t="shared" si="270"/>
        <v>3</v>
      </c>
      <c r="Q310" s="13">
        <f t="shared" si="260"/>
        <v>9</v>
      </c>
      <c r="R310" s="13">
        <f t="shared" si="261"/>
        <v>9</v>
      </c>
      <c r="S310" s="13"/>
      <c r="T310" s="13">
        <f t="shared" si="271"/>
        <v>9</v>
      </c>
      <c r="U310" s="1327">
        <f t="shared" si="262"/>
        <v>2108.013005621322</v>
      </c>
      <c r="V310" s="22">
        <v>4</v>
      </c>
      <c r="W310" s="22">
        <f t="shared" si="272"/>
        <v>504</v>
      </c>
      <c r="X310" s="21">
        <f t="shared" si="263"/>
        <v>1.6216499407814213</v>
      </c>
      <c r="Y310" s="22"/>
      <c r="Z310" s="22">
        <v>1.5</v>
      </c>
      <c r="AA310" s="21">
        <f t="shared" si="264"/>
        <v>2.432474911172132</v>
      </c>
      <c r="AB310" s="1325">
        <f t="shared" si="265"/>
        <v>3</v>
      </c>
      <c r="AC310" s="1325">
        <f t="shared" si="266"/>
        <v>9</v>
      </c>
      <c r="AD310" s="22"/>
      <c r="AE310" s="22"/>
      <c r="AF310" s="1325"/>
      <c r="AG310" s="22"/>
      <c r="AH310" s="22"/>
      <c r="AI310" s="22"/>
      <c r="AJ310" s="130"/>
      <c r="AK310" s="130"/>
      <c r="AL310" s="130"/>
      <c r="AM310" s="130"/>
      <c r="AN310" s="22"/>
      <c r="AO310" s="22"/>
      <c r="AP310" s="22"/>
      <c r="AQ310" s="22"/>
      <c r="AR310" s="22"/>
      <c r="AS310" s="22"/>
    </row>
    <row r="311" spans="1:67" ht="15.5">
      <c r="A311" s="3" t="s">
        <v>340</v>
      </c>
      <c r="B311" s="3" t="s">
        <v>340</v>
      </c>
      <c r="C311" s="5">
        <v>46235</v>
      </c>
      <c r="D311" s="1070">
        <f>'YN01'!$J$185</f>
        <v>499.99999999999994</v>
      </c>
      <c r="E311" s="1314">
        <f>'YN01'!$B$185</f>
        <v>280.25072803711907</v>
      </c>
      <c r="F311" s="1070">
        <f>'YN01'!$K$185</f>
        <v>503.99999999999989</v>
      </c>
      <c r="G311" s="8">
        <f>'YN01'!$H$185</f>
        <v>0.9327731092436975</v>
      </c>
      <c r="H311" s="8">
        <f>'YN01'!$I$185</f>
        <v>0.79999999999999982</v>
      </c>
      <c r="I311" s="9">
        <f t="shared" si="267"/>
        <v>8432.052022485288</v>
      </c>
      <c r="J311" s="10">
        <f>Multiply!B18</f>
        <v>4856.3500631805828</v>
      </c>
      <c r="K311" s="10"/>
      <c r="L311" s="11">
        <f t="shared" si="258"/>
        <v>0.57593929096149099</v>
      </c>
      <c r="M311" s="12">
        <f t="shared" si="268"/>
        <v>290.27340264459139</v>
      </c>
      <c r="N311" s="12">
        <f t="shared" si="269"/>
        <v>2.3037571638459635</v>
      </c>
      <c r="O311" s="12">
        <f t="shared" si="259"/>
        <v>3</v>
      </c>
      <c r="P311" s="13">
        <f t="shared" si="270"/>
        <v>4.5</v>
      </c>
      <c r="Q311" s="13">
        <f t="shared" si="260"/>
        <v>13.5</v>
      </c>
      <c r="R311" s="13">
        <f t="shared" si="261"/>
        <v>14</v>
      </c>
      <c r="S311" s="13"/>
      <c r="T311" s="13">
        <f t="shared" si="271"/>
        <v>14</v>
      </c>
      <c r="U311" s="1327">
        <f t="shared" si="262"/>
        <v>2108.013005621322</v>
      </c>
      <c r="V311" s="22">
        <v>4</v>
      </c>
      <c r="W311" s="22">
        <f t="shared" si="272"/>
        <v>504</v>
      </c>
      <c r="X311" s="21">
        <f t="shared" si="263"/>
        <v>2.303757163845964</v>
      </c>
      <c r="Y311" s="22"/>
      <c r="Z311" s="22">
        <v>1.5</v>
      </c>
      <c r="AA311" s="21">
        <f t="shared" si="264"/>
        <v>3.4556357457689462</v>
      </c>
      <c r="AB311" s="1325">
        <f t="shared" si="265"/>
        <v>4</v>
      </c>
      <c r="AC311" s="1325">
        <f t="shared" si="266"/>
        <v>12</v>
      </c>
      <c r="AD311" s="22"/>
      <c r="AE311" s="22"/>
      <c r="AF311" s="1325"/>
      <c r="AG311" s="22"/>
      <c r="AH311" s="22"/>
      <c r="AI311" s="22"/>
      <c r="AJ311" s="130"/>
      <c r="AK311" s="130"/>
      <c r="AL311" s="130"/>
      <c r="AM311" s="130"/>
      <c r="AN311" s="22"/>
      <c r="AO311" s="22"/>
      <c r="AP311" s="22"/>
      <c r="AQ311" s="22"/>
      <c r="AR311" s="22"/>
      <c r="AS311" s="22"/>
    </row>
    <row r="312" spans="1:67" ht="15.5">
      <c r="A312" s="3" t="s">
        <v>340</v>
      </c>
      <c r="B312" s="3" t="s">
        <v>340</v>
      </c>
      <c r="C312" s="5">
        <v>46266</v>
      </c>
      <c r="D312" s="1070">
        <f>'YN01'!$J$185</f>
        <v>499.99999999999994</v>
      </c>
      <c r="E312" s="1314">
        <f>'YN01'!$B$185</f>
        <v>280.25072803711907</v>
      </c>
      <c r="F312" s="1070">
        <f>'YN01'!$K$185</f>
        <v>503.99999999999989</v>
      </c>
      <c r="G312" s="8">
        <f>'YN01'!$H$185</f>
        <v>0.9327731092436975</v>
      </c>
      <c r="H312" s="8">
        <f>'YN01'!$I$185</f>
        <v>0.79999999999999982</v>
      </c>
      <c r="I312" s="9">
        <f t="shared" si="267"/>
        <v>8432.052022485288</v>
      </c>
      <c r="J312" s="10">
        <f>Multiply!B19</f>
        <v>4531.8125959491354</v>
      </c>
      <c r="K312" s="10"/>
      <c r="L312" s="11">
        <f t="shared" si="258"/>
        <v>0.53745073961408218</v>
      </c>
      <c r="M312" s="12">
        <f t="shared" si="268"/>
        <v>270.87517276549738</v>
      </c>
      <c r="N312" s="12">
        <f t="shared" si="269"/>
        <v>2.1498029584563283</v>
      </c>
      <c r="O312" s="12">
        <f t="shared" si="259"/>
        <v>3</v>
      </c>
      <c r="P312" s="13">
        <f t="shared" si="270"/>
        <v>4.5</v>
      </c>
      <c r="Q312" s="13">
        <f t="shared" si="260"/>
        <v>13.5</v>
      </c>
      <c r="R312" s="13">
        <f t="shared" si="261"/>
        <v>14</v>
      </c>
      <c r="S312" s="13"/>
      <c r="T312" s="13">
        <f t="shared" si="271"/>
        <v>14</v>
      </c>
      <c r="U312" s="1327">
        <f t="shared" si="262"/>
        <v>2108.013005621322</v>
      </c>
      <c r="V312" s="22">
        <v>4</v>
      </c>
      <c r="W312" s="22">
        <f t="shared" si="272"/>
        <v>504</v>
      </c>
      <c r="X312" s="21">
        <f t="shared" si="263"/>
        <v>2.1498029584563287</v>
      </c>
      <c r="Y312" s="22"/>
      <c r="Z312" s="22">
        <v>1.5</v>
      </c>
      <c r="AA312" s="21">
        <f t="shared" si="264"/>
        <v>3.2247044376844931</v>
      </c>
      <c r="AB312" s="1325">
        <f t="shared" si="265"/>
        <v>4</v>
      </c>
      <c r="AC312" s="1325">
        <f t="shared" si="266"/>
        <v>12</v>
      </c>
      <c r="AD312" s="22"/>
      <c r="AE312" s="22"/>
      <c r="AF312" s="1325"/>
      <c r="AG312" s="22"/>
      <c r="AH312" s="22"/>
      <c r="AI312" s="22"/>
      <c r="AJ312" s="130"/>
      <c r="AK312" s="130"/>
      <c r="AL312" s="130"/>
      <c r="AM312" s="130"/>
      <c r="AN312" s="22"/>
      <c r="AO312" s="22"/>
      <c r="AP312" s="22"/>
      <c r="AQ312" s="22"/>
      <c r="AR312" s="22"/>
      <c r="AS312" s="22"/>
    </row>
    <row r="313" spans="1:67" ht="15.5">
      <c r="A313" s="3" t="s">
        <v>340</v>
      </c>
      <c r="B313" s="3" t="s">
        <v>340</v>
      </c>
      <c r="C313" s="5">
        <v>46296</v>
      </c>
      <c r="D313" s="1070">
        <f>'YN01'!$J$185</f>
        <v>499.99999999999994</v>
      </c>
      <c r="E313" s="1314">
        <f>'YN01'!$B$185</f>
        <v>280.25072803711907</v>
      </c>
      <c r="F313" s="1070">
        <f>'YN01'!$K$185</f>
        <v>503.99999999999989</v>
      </c>
      <c r="G313" s="8">
        <f>'YN01'!$H$185</f>
        <v>0.9327731092436975</v>
      </c>
      <c r="H313" s="8">
        <f>'YN01'!$I$185</f>
        <v>0.79999999999999982</v>
      </c>
      <c r="I313" s="9">
        <f t="shared" si="267"/>
        <v>8432.052022485288</v>
      </c>
      <c r="J313" s="10">
        <f>Multiply!B20</f>
        <v>4749.0641461475552</v>
      </c>
      <c r="K313" s="10"/>
      <c r="L313" s="11">
        <f t="shared" si="258"/>
        <v>0.56321570757432327</v>
      </c>
      <c r="M313" s="12">
        <f t="shared" si="268"/>
        <v>283.86071661745888</v>
      </c>
      <c r="N313" s="12">
        <f t="shared" si="269"/>
        <v>2.2528628302972926</v>
      </c>
      <c r="O313" s="12">
        <f t="shared" si="259"/>
        <v>3</v>
      </c>
      <c r="P313" s="13">
        <f t="shared" si="270"/>
        <v>4.5</v>
      </c>
      <c r="Q313" s="13">
        <f t="shared" si="260"/>
        <v>13.5</v>
      </c>
      <c r="R313" s="13">
        <f t="shared" si="261"/>
        <v>14</v>
      </c>
      <c r="S313" s="13"/>
      <c r="T313" s="13">
        <f t="shared" si="271"/>
        <v>14</v>
      </c>
      <c r="U313" s="1327">
        <f t="shared" si="262"/>
        <v>2108.013005621322</v>
      </c>
      <c r="V313" s="22">
        <v>4</v>
      </c>
      <c r="W313" s="22">
        <f t="shared" si="272"/>
        <v>504</v>
      </c>
      <c r="X313" s="21">
        <f t="shared" si="263"/>
        <v>2.2528628302972931</v>
      </c>
      <c r="Y313" s="22"/>
      <c r="Z313" s="22">
        <v>1.5</v>
      </c>
      <c r="AA313" s="21">
        <f t="shared" si="264"/>
        <v>3.3792942454459398</v>
      </c>
      <c r="AB313" s="1325">
        <f t="shared" si="265"/>
        <v>4</v>
      </c>
      <c r="AC313" s="1325">
        <f t="shared" si="266"/>
        <v>12</v>
      </c>
      <c r="AD313" s="22"/>
      <c r="AE313" s="22"/>
      <c r="AF313" s="1325"/>
      <c r="AG313" s="22"/>
      <c r="AH313" s="22"/>
      <c r="AI313" s="22"/>
      <c r="AJ313" s="130"/>
      <c r="AK313" s="130"/>
      <c r="AL313" s="130"/>
      <c r="AM313" s="130"/>
      <c r="AN313" s="22"/>
      <c r="AO313" s="22"/>
      <c r="AP313" s="22"/>
      <c r="AQ313" s="22"/>
      <c r="AR313" s="22"/>
      <c r="AS313" s="22"/>
    </row>
    <row r="314" spans="1:67" ht="15.5">
      <c r="A314" s="3" t="s">
        <v>340</v>
      </c>
      <c r="B314" s="3" t="s">
        <v>340</v>
      </c>
      <c r="C314" s="5">
        <v>46327</v>
      </c>
      <c r="D314" s="1070">
        <f>'YN01'!$J$185</f>
        <v>499.99999999999994</v>
      </c>
      <c r="E314" s="1314">
        <f>'YN01'!$B$185</f>
        <v>280.25072803711907</v>
      </c>
      <c r="F314" s="1070">
        <f>'YN01'!$K$185</f>
        <v>503.99999999999989</v>
      </c>
      <c r="G314" s="8">
        <f>'YN01'!$H$185</f>
        <v>0.9327731092436975</v>
      </c>
      <c r="H314" s="8">
        <f>'YN01'!$I$185</f>
        <v>0.79999999999999982</v>
      </c>
      <c r="I314" s="9">
        <f t="shared" si="267"/>
        <v>8432.052022485288</v>
      </c>
      <c r="J314" s="10">
        <f>Multiply!B21</f>
        <v>7080.4783695999158</v>
      </c>
      <c r="K314" s="10"/>
      <c r="L314" s="11">
        <f t="shared" si="258"/>
        <v>0.83970999594390483</v>
      </c>
      <c r="M314" s="12">
        <f t="shared" si="268"/>
        <v>423.21383795572791</v>
      </c>
      <c r="N314" s="12">
        <f t="shared" si="269"/>
        <v>3.3588399837756184</v>
      </c>
      <c r="O314" s="12">
        <f t="shared" si="259"/>
        <v>4</v>
      </c>
      <c r="P314" s="13">
        <f t="shared" si="270"/>
        <v>6</v>
      </c>
      <c r="Q314" s="13">
        <f t="shared" si="260"/>
        <v>18</v>
      </c>
      <c r="R314" s="13">
        <f t="shared" si="261"/>
        <v>18</v>
      </c>
      <c r="S314" s="13"/>
      <c r="T314" s="13">
        <f t="shared" si="271"/>
        <v>18</v>
      </c>
      <c r="U314" s="1327">
        <f t="shared" si="262"/>
        <v>2108.013005621322</v>
      </c>
      <c r="V314" s="22">
        <v>4</v>
      </c>
      <c r="W314" s="22">
        <f t="shared" si="272"/>
        <v>504</v>
      </c>
      <c r="X314" s="21">
        <f t="shared" si="263"/>
        <v>3.3588399837756193</v>
      </c>
      <c r="Y314" s="22"/>
      <c r="Z314" s="22">
        <v>1.5</v>
      </c>
      <c r="AA314" s="21">
        <f t="shared" si="264"/>
        <v>5.0382599756634292</v>
      </c>
      <c r="AB314" s="1325">
        <f t="shared" si="265"/>
        <v>6</v>
      </c>
      <c r="AC314" s="1325">
        <f t="shared" si="266"/>
        <v>18</v>
      </c>
      <c r="AD314" s="22"/>
      <c r="AE314" s="22"/>
      <c r="AF314" s="1325"/>
      <c r="AG314" s="22"/>
      <c r="AH314" s="22"/>
      <c r="AI314" s="22"/>
      <c r="AJ314" s="130"/>
      <c r="AK314" s="130"/>
      <c r="AL314" s="130"/>
      <c r="AM314" s="130"/>
      <c r="AN314" s="22"/>
      <c r="AO314" s="22"/>
      <c r="AP314" s="22"/>
      <c r="AQ314" s="22"/>
      <c r="AR314" s="22"/>
      <c r="AS314" s="22"/>
      <c r="AV314">
        <f>SUM(AV309:AV313)</f>
        <v>0</v>
      </c>
    </row>
    <row r="315" spans="1:67" ht="15.5">
      <c r="A315" s="3" t="s">
        <v>340</v>
      </c>
      <c r="B315" s="3" t="s">
        <v>340</v>
      </c>
      <c r="C315" s="5">
        <v>46357</v>
      </c>
      <c r="D315" s="1070">
        <f>'YN01'!$J$185</f>
        <v>499.99999999999994</v>
      </c>
      <c r="E315" s="1314">
        <f>'YN01'!$B$185</f>
        <v>280.25072803711907</v>
      </c>
      <c r="F315" s="1070">
        <f>'YN01'!$K$185</f>
        <v>503.99999999999989</v>
      </c>
      <c r="G315" s="8">
        <f>'YN01'!$H$185</f>
        <v>0.9327731092436975</v>
      </c>
      <c r="H315" s="8">
        <f>'YN01'!$I$185</f>
        <v>0.79999999999999982</v>
      </c>
      <c r="I315" s="9">
        <f t="shared" si="267"/>
        <v>8432.052022485288</v>
      </c>
      <c r="J315" s="10">
        <f>Multiply!B22</f>
        <v>7178.0635737465118</v>
      </c>
      <c r="K315" s="10"/>
      <c r="L315" s="11">
        <f t="shared" si="258"/>
        <v>0.85128312237699266</v>
      </c>
      <c r="M315" s="12">
        <f t="shared" si="268"/>
        <v>429.0466936780042</v>
      </c>
      <c r="N315" s="12">
        <f t="shared" si="269"/>
        <v>3.4051324895079698</v>
      </c>
      <c r="O315" s="12">
        <f t="shared" si="259"/>
        <v>4</v>
      </c>
      <c r="P315" s="13">
        <f t="shared" si="270"/>
        <v>6</v>
      </c>
      <c r="Q315" s="13">
        <f t="shared" si="260"/>
        <v>18</v>
      </c>
      <c r="R315" s="13">
        <f t="shared" si="261"/>
        <v>18</v>
      </c>
      <c r="S315" s="13"/>
      <c r="T315" s="13">
        <f t="shared" si="271"/>
        <v>18</v>
      </c>
      <c r="U315" s="1327">
        <f t="shared" si="262"/>
        <v>2108.013005621322</v>
      </c>
      <c r="V315" s="22">
        <v>4</v>
      </c>
      <c r="W315" s="22">
        <f t="shared" si="272"/>
        <v>504</v>
      </c>
      <c r="X315" s="21">
        <f t="shared" si="263"/>
        <v>3.4051324895079707</v>
      </c>
      <c r="Y315" s="22"/>
      <c r="Z315" s="22">
        <v>1.5</v>
      </c>
      <c r="AA315" s="21">
        <f t="shared" si="264"/>
        <v>5.1076987342619562</v>
      </c>
      <c r="AB315" s="1325">
        <f t="shared" si="265"/>
        <v>6</v>
      </c>
      <c r="AC315" s="1325">
        <f t="shared" si="266"/>
        <v>18</v>
      </c>
      <c r="AD315" s="22"/>
      <c r="AE315" s="22"/>
      <c r="AF315" s="1325"/>
      <c r="AG315" s="22"/>
      <c r="AH315" s="22"/>
      <c r="AI315" s="22"/>
      <c r="AJ315" s="130"/>
      <c r="AK315" s="130"/>
      <c r="AL315" s="130"/>
      <c r="AM315" s="130"/>
      <c r="AN315" s="22"/>
      <c r="AO315" s="22"/>
      <c r="AP315" s="22"/>
      <c r="AQ315" s="22"/>
      <c r="AR315" s="22"/>
      <c r="AS315" s="22"/>
    </row>
    <row r="316" spans="1:67" ht="15.5">
      <c r="A316" s="3" t="s">
        <v>340</v>
      </c>
      <c r="B316" s="3" t="s">
        <v>340</v>
      </c>
      <c r="C316" s="5">
        <v>46388</v>
      </c>
      <c r="D316" s="1070">
        <f>'YN01'!$J$185</f>
        <v>499.99999999999994</v>
      </c>
      <c r="E316" s="1314">
        <f>'YN01'!$B$185</f>
        <v>280.25072803711907</v>
      </c>
      <c r="F316" s="1070">
        <f>'YN01'!$K$185</f>
        <v>503.99999999999989</v>
      </c>
      <c r="G316" s="8">
        <f>'YN01'!$H$185</f>
        <v>0.9327731092436975</v>
      </c>
      <c r="H316" s="8">
        <f>'YN01'!$I$185</f>
        <v>0.79999999999999982</v>
      </c>
      <c r="I316" s="9">
        <f t="shared" si="267"/>
        <v>8432.052022485288</v>
      </c>
      <c r="J316" s="10">
        <f>Multiply!B23</f>
        <v>3850.7188914838234</v>
      </c>
      <c r="K316" s="10"/>
      <c r="L316" s="11">
        <f t="shared" si="258"/>
        <v>0.45667636788949162</v>
      </c>
      <c r="M316" s="12">
        <f t="shared" si="268"/>
        <v>230.16488941630374</v>
      </c>
      <c r="N316" s="12">
        <f t="shared" si="269"/>
        <v>1.8267054715579663</v>
      </c>
      <c r="O316" s="12">
        <f t="shared" si="259"/>
        <v>2</v>
      </c>
      <c r="P316" s="13">
        <f t="shared" si="270"/>
        <v>3</v>
      </c>
      <c r="Q316" s="13">
        <f t="shared" si="260"/>
        <v>9</v>
      </c>
      <c r="R316" s="13">
        <f t="shared" si="261"/>
        <v>9</v>
      </c>
      <c r="S316" s="13"/>
      <c r="T316" s="13">
        <f t="shared" si="271"/>
        <v>9</v>
      </c>
      <c r="U316" s="1327">
        <f t="shared" si="262"/>
        <v>2108.013005621322</v>
      </c>
      <c r="V316" s="22">
        <v>4</v>
      </c>
      <c r="W316" s="22">
        <f t="shared" si="272"/>
        <v>504</v>
      </c>
      <c r="X316" s="21">
        <f t="shared" si="263"/>
        <v>1.8267054715579665</v>
      </c>
      <c r="Y316" s="22"/>
      <c r="Z316" s="22">
        <v>1.5</v>
      </c>
      <c r="AA316" s="21">
        <f t="shared" si="264"/>
        <v>2.7400582073369497</v>
      </c>
      <c r="AB316" s="1325">
        <f t="shared" si="265"/>
        <v>3</v>
      </c>
      <c r="AC316" s="1325">
        <f t="shared" si="266"/>
        <v>9</v>
      </c>
      <c r="AD316" s="22"/>
      <c r="AE316" s="22"/>
      <c r="AF316" s="1325"/>
      <c r="AG316" s="22"/>
      <c r="AH316" s="22"/>
      <c r="AI316" s="22"/>
      <c r="AJ316" s="130"/>
      <c r="AK316" s="130"/>
      <c r="AL316" s="130"/>
      <c r="AM316" s="130"/>
      <c r="AN316" s="22"/>
      <c r="AO316" s="22"/>
      <c r="AP316" s="22"/>
      <c r="AQ316" s="22"/>
      <c r="AR316" s="22"/>
      <c r="AS316" s="22"/>
    </row>
    <row r="317" spans="1:67" ht="15.5">
      <c r="A317" s="3" t="s">
        <v>340</v>
      </c>
      <c r="B317" s="3" t="s">
        <v>340</v>
      </c>
      <c r="C317" s="5">
        <v>46419</v>
      </c>
      <c r="D317" s="1070">
        <f>'YN01'!$J$185</f>
        <v>499.99999999999994</v>
      </c>
      <c r="E317" s="1314">
        <f>'YN01'!$B$185</f>
        <v>280.25072803711907</v>
      </c>
      <c r="F317" s="1070">
        <f>'YN01'!$K$185</f>
        <v>503.99999999999989</v>
      </c>
      <c r="G317" s="8">
        <f>'YN01'!$H$185</f>
        <v>0.9327731092436975</v>
      </c>
      <c r="H317" s="8">
        <f>'YN01'!$I$185</f>
        <v>0.79999999999999982</v>
      </c>
      <c r="I317" s="9">
        <f t="shared" si="267"/>
        <v>8432.052022485288</v>
      </c>
      <c r="J317" s="10">
        <f>Multiply!B24</f>
        <v>5583.6617537484699</v>
      </c>
      <c r="K317" s="10"/>
      <c r="L317" s="11">
        <f t="shared" si="258"/>
        <v>0.66219488908024138</v>
      </c>
      <c r="M317" s="12">
        <f t="shared" si="268"/>
        <v>333.74622409644155</v>
      </c>
      <c r="N317" s="12">
        <f t="shared" si="269"/>
        <v>2.6487795563209646</v>
      </c>
      <c r="O317" s="12">
        <f t="shared" si="259"/>
        <v>3</v>
      </c>
      <c r="P317" s="13">
        <f t="shared" si="270"/>
        <v>4.5</v>
      </c>
      <c r="Q317" s="13">
        <f t="shared" si="260"/>
        <v>13.5</v>
      </c>
      <c r="R317" s="13">
        <f t="shared" si="261"/>
        <v>14</v>
      </c>
      <c r="S317" s="13"/>
      <c r="T317" s="13">
        <f t="shared" si="271"/>
        <v>14</v>
      </c>
      <c r="U317" s="1327">
        <f t="shared" si="262"/>
        <v>2108.013005621322</v>
      </c>
      <c r="V317" s="22">
        <v>4</v>
      </c>
      <c r="W317" s="22">
        <f t="shared" si="272"/>
        <v>504</v>
      </c>
      <c r="X317" s="21">
        <f t="shared" si="263"/>
        <v>2.6487795563209655</v>
      </c>
      <c r="Y317" s="22"/>
      <c r="Z317" s="22">
        <v>1.5</v>
      </c>
      <c r="AA317" s="21">
        <f t="shared" si="264"/>
        <v>3.9731693344814483</v>
      </c>
      <c r="AB317" s="1325">
        <f t="shared" si="265"/>
        <v>4</v>
      </c>
      <c r="AC317" s="1325">
        <f t="shared" si="266"/>
        <v>12</v>
      </c>
      <c r="AD317" s="22"/>
      <c r="AE317" s="22"/>
      <c r="AF317" s="1325"/>
      <c r="AG317" s="22"/>
      <c r="AH317" s="22"/>
      <c r="AI317" s="22"/>
      <c r="AJ317" s="130"/>
      <c r="AK317" s="130"/>
      <c r="AL317" s="130"/>
      <c r="AM317" s="130"/>
      <c r="AN317" s="22"/>
      <c r="AO317" s="22"/>
      <c r="AP317" s="22"/>
      <c r="AQ317" s="22"/>
      <c r="AR317" s="22"/>
      <c r="AS317" s="22"/>
    </row>
    <row r="318" spans="1:67" ht="15.5">
      <c r="A318" s="3" t="s">
        <v>340</v>
      </c>
      <c r="B318" s="3" t="s">
        <v>340</v>
      </c>
      <c r="C318" s="5">
        <v>46447</v>
      </c>
      <c r="D318" s="1070">
        <f>'YN01'!$J$185</f>
        <v>499.99999999999994</v>
      </c>
      <c r="E318" s="1314">
        <f>'YN01'!$B$185</f>
        <v>280.25072803711907</v>
      </c>
      <c r="F318" s="1070">
        <f>'YN01'!$K$185</f>
        <v>503.99999999999989</v>
      </c>
      <c r="G318" s="8">
        <f>'YN01'!$H$185</f>
        <v>0.9327731092436975</v>
      </c>
      <c r="H318" s="8">
        <f>'YN01'!$I$185</f>
        <v>0.79999999999999982</v>
      </c>
      <c r="I318" s="9">
        <f t="shared" si="267"/>
        <v>8432.052022485288</v>
      </c>
      <c r="J318" s="10">
        <f>Multiply!B25</f>
        <v>3556.445980971132</v>
      </c>
      <c r="K318" s="10"/>
      <c r="L318" s="11">
        <f t="shared" si="258"/>
        <v>0.42177704448304559</v>
      </c>
      <c r="M318" s="12">
        <f t="shared" si="268"/>
        <v>212.57563041945494</v>
      </c>
      <c r="N318" s="12">
        <f t="shared" si="269"/>
        <v>1.6871081779321822</v>
      </c>
      <c r="O318" s="12">
        <f t="shared" si="259"/>
        <v>2</v>
      </c>
      <c r="P318" s="13">
        <f t="shared" si="270"/>
        <v>3</v>
      </c>
      <c r="Q318" s="13">
        <f t="shared" si="260"/>
        <v>9</v>
      </c>
      <c r="R318" s="13">
        <f t="shared" si="261"/>
        <v>9</v>
      </c>
      <c r="S318" s="13"/>
      <c r="T318" s="13">
        <f t="shared" si="271"/>
        <v>9</v>
      </c>
      <c r="U318" s="1327">
        <f t="shared" si="262"/>
        <v>2108.013005621322</v>
      </c>
      <c r="V318" s="22">
        <v>4</v>
      </c>
      <c r="W318" s="22">
        <f t="shared" si="272"/>
        <v>504</v>
      </c>
      <c r="X318" s="21">
        <f t="shared" si="263"/>
        <v>1.6871081779321824</v>
      </c>
      <c r="Y318" s="22"/>
      <c r="Z318" s="22">
        <v>1.5</v>
      </c>
      <c r="AA318" s="21">
        <f t="shared" si="264"/>
        <v>2.5306622668982737</v>
      </c>
      <c r="AB318" s="1325">
        <f t="shared" si="265"/>
        <v>3</v>
      </c>
      <c r="AC318" s="1325">
        <f t="shared" si="266"/>
        <v>9</v>
      </c>
      <c r="AD318" s="22"/>
      <c r="AE318" s="22"/>
      <c r="AF318" s="1325"/>
      <c r="AG318" s="22"/>
      <c r="AH318" s="22"/>
      <c r="AI318" s="22"/>
      <c r="AJ318" s="130"/>
      <c r="AK318" s="130"/>
      <c r="AL318" s="130"/>
      <c r="AM318" s="130"/>
      <c r="AN318" s="22"/>
      <c r="AO318" s="22"/>
      <c r="AP318" s="22"/>
      <c r="AQ318" s="22"/>
      <c r="AR318" s="22"/>
      <c r="AS318" s="22"/>
    </row>
    <row r="321" spans="1:68" ht="43.5">
      <c r="A321" s="1" t="s">
        <v>0</v>
      </c>
      <c r="B321" s="1" t="s">
        <v>1</v>
      </c>
      <c r="C321" s="1" t="s">
        <v>2</v>
      </c>
      <c r="D321" s="799" t="s">
        <v>3</v>
      </c>
      <c r="E321" s="1" t="s">
        <v>4</v>
      </c>
      <c r="F321" s="1" t="s">
        <v>5</v>
      </c>
      <c r="G321" s="1" t="s">
        <v>6</v>
      </c>
      <c r="H321" s="1" t="s">
        <v>7</v>
      </c>
      <c r="I321" s="1" t="s">
        <v>8</v>
      </c>
      <c r="J321" s="1" t="s">
        <v>9</v>
      </c>
      <c r="K321" s="1"/>
      <c r="L321" s="1" t="s">
        <v>10</v>
      </c>
      <c r="M321" s="1" t="s">
        <v>10</v>
      </c>
      <c r="N321" s="1" t="s">
        <v>11</v>
      </c>
      <c r="O321" s="1" t="s">
        <v>11</v>
      </c>
      <c r="P321" s="1" t="s">
        <v>12</v>
      </c>
      <c r="Q321" s="1" t="s">
        <v>13</v>
      </c>
      <c r="R321" s="1" t="s">
        <v>13</v>
      </c>
      <c r="S321" s="1"/>
      <c r="T321" s="1" t="s">
        <v>14</v>
      </c>
      <c r="U321" s="851"/>
      <c r="V321" s="851" t="s">
        <v>1517</v>
      </c>
      <c r="W321" s="851" t="s">
        <v>1518</v>
      </c>
      <c r="X321" s="851" t="s">
        <v>873</v>
      </c>
      <c r="Y321" s="851" t="s">
        <v>1519</v>
      </c>
      <c r="Z321" s="851" t="s">
        <v>1520</v>
      </c>
      <c r="AA321" s="851" t="s">
        <v>1521</v>
      </c>
      <c r="AB321" s="851" t="s">
        <v>1521</v>
      </c>
      <c r="AC321" s="851" t="s">
        <v>1562</v>
      </c>
      <c r="AD321" s="851" t="s">
        <v>537</v>
      </c>
      <c r="AE321" s="851"/>
      <c r="AF321" s="1337"/>
      <c r="AG321" s="851"/>
      <c r="AH321" s="851"/>
      <c r="AI321" s="851"/>
      <c r="AJ321" s="935"/>
      <c r="AK321" s="935"/>
      <c r="AL321" s="935"/>
      <c r="AM321" s="935"/>
      <c r="AN321" s="851"/>
      <c r="AO321" s="851"/>
      <c r="AP321" s="851"/>
      <c r="AQ321" s="851"/>
      <c r="AR321" s="851"/>
      <c r="AS321" s="851"/>
    </row>
    <row r="322" spans="1:68" ht="15.5">
      <c r="A322" s="3" t="s">
        <v>341</v>
      </c>
      <c r="B322" s="3" t="s">
        <v>341</v>
      </c>
      <c r="C322" s="5">
        <v>46113</v>
      </c>
      <c r="D322" s="769">
        <f>'YN01'!$J$213</f>
        <v>43.96989410884909</v>
      </c>
      <c r="E322" s="7">
        <f>'YN01'!$C$213</f>
        <v>560.50145607423804</v>
      </c>
      <c r="F322" s="1070">
        <f>'YN01'!$K$213</f>
        <v>2160</v>
      </c>
      <c r="G322" s="8">
        <f>'YN01'!$H$213</f>
        <v>0.9327731092436975</v>
      </c>
      <c r="H322" s="8">
        <f>'YN01'!$I$213</f>
        <v>0.79999999999999982</v>
      </c>
      <c r="I322" s="9">
        <f t="shared" ref="I322:I333" si="273">E322*D322*F322*0.00016*H322*G322</f>
        <v>6355.8245922683145</v>
      </c>
      <c r="J322" s="10">
        <f>Multiply!B14</f>
        <v>3218.2216061105933</v>
      </c>
      <c r="K322" s="10"/>
      <c r="L322" s="11">
        <f t="shared" ref="L322:L333" si="274">J322/I322</f>
        <v>0.50634210547998304</v>
      </c>
      <c r="M322" s="12">
        <f>IF((L322*F322)&gt;F322,F322,(L322*F322))</f>
        <v>1093.6989478367634</v>
      </c>
      <c r="N322" s="12">
        <f>M322/144</f>
        <v>7.5951315821997456</v>
      </c>
      <c r="O322" s="12">
        <f t="shared" ref="O322:O333" si="275">ROUNDUP(N322,0)</f>
        <v>8</v>
      </c>
      <c r="P322" s="13">
        <f>O322*1</f>
        <v>8</v>
      </c>
      <c r="Q322" s="13">
        <f t="shared" ref="Q322:Q333" si="276">P322*3</f>
        <v>24</v>
      </c>
      <c r="R322" s="13">
        <f t="shared" ref="R322:R333" si="277">ROUNDUP(Q322,0)</f>
        <v>24</v>
      </c>
      <c r="S322" s="13"/>
      <c r="T322" s="13">
        <f>R322</f>
        <v>24</v>
      </c>
      <c r="U322" s="1327">
        <f t="shared" ref="U322:U333" si="278">I322/V322</f>
        <v>423.72163948455432</v>
      </c>
      <c r="V322" s="22">
        <v>15</v>
      </c>
      <c r="W322" s="22">
        <f>144*15</f>
        <v>2160</v>
      </c>
      <c r="X322" s="21">
        <f t="shared" ref="X322:X333" si="279">IF(J322&gt;I322,V322,J322/U322)</f>
        <v>7.5951315821997456</v>
      </c>
      <c r="Y322" s="22">
        <f>W322*L322</f>
        <v>1093.6989478367634</v>
      </c>
      <c r="Z322" s="22">
        <v>1</v>
      </c>
      <c r="AA322" s="21">
        <f t="shared" ref="AA322:AA333" si="280">Z322*X322</f>
        <v>7.5951315821997456</v>
      </c>
      <c r="AB322" s="1325">
        <f t="shared" ref="AB322:AB333" si="281">ROUNDUP(AA322,0)</f>
        <v>8</v>
      </c>
      <c r="AC322" s="1325">
        <f t="shared" ref="AC322:AC333" si="282">AB322*3</f>
        <v>24</v>
      </c>
      <c r="AD322" s="22" t="s">
        <v>1558</v>
      </c>
      <c r="AE322" s="22"/>
      <c r="AF322" s="1325"/>
      <c r="AG322" s="22"/>
      <c r="AH322" s="22"/>
      <c r="AI322" s="22"/>
      <c r="AJ322" s="130"/>
      <c r="AK322" s="130"/>
      <c r="AL322" s="130"/>
      <c r="AM322" s="130"/>
      <c r="AN322" s="22"/>
      <c r="AO322" s="22"/>
      <c r="AP322" s="22"/>
      <c r="AQ322" s="22"/>
      <c r="AR322" s="22"/>
      <c r="AS322" s="22"/>
      <c r="AT322" s="149">
        <f>12*1.5</f>
        <v>18</v>
      </c>
      <c r="AU322" s="149"/>
      <c r="AV322" s="149"/>
      <c r="AW322" s="149"/>
      <c r="AX322" s="149"/>
      <c r="AY322" s="149"/>
      <c r="AZ322" s="149"/>
      <c r="BA322" s="149"/>
      <c r="BB322" s="149"/>
      <c r="BC322" s="149"/>
      <c r="BD322" s="149"/>
      <c r="BE322" s="149"/>
      <c r="BF322" s="149"/>
      <c r="BG322" s="149"/>
      <c r="BH322" s="149"/>
      <c r="BI322" s="149"/>
      <c r="BJ322" s="149"/>
      <c r="BK322" s="149"/>
      <c r="BL322" s="149"/>
      <c r="BM322" s="149"/>
      <c r="BN322" s="149"/>
      <c r="BO322" s="149">
        <f>AT322*3</f>
        <v>54</v>
      </c>
      <c r="BP322" t="s">
        <v>635</v>
      </c>
    </row>
    <row r="323" spans="1:68" ht="15.5">
      <c r="A323" s="3" t="s">
        <v>341</v>
      </c>
      <c r="B323" s="3" t="s">
        <v>341</v>
      </c>
      <c r="C323" s="5">
        <v>46143</v>
      </c>
      <c r="D323" s="1070">
        <f>'YN01'!$J$213</f>
        <v>43.96989410884909</v>
      </c>
      <c r="E323" s="7">
        <f>'YN01'!$C$213</f>
        <v>560.50145607423804</v>
      </c>
      <c r="F323" s="1070">
        <f>'YN01'!$K$213</f>
        <v>2160</v>
      </c>
      <c r="G323" s="8">
        <f>'YN01'!$H$213</f>
        <v>0.9327731092436975</v>
      </c>
      <c r="H323" s="8">
        <f>'YN01'!$I$213</f>
        <v>0.79999999999999982</v>
      </c>
      <c r="I323" s="9">
        <f t="shared" si="273"/>
        <v>6355.8245922683145</v>
      </c>
      <c r="J323" s="10">
        <f>Multiply!B15</f>
        <v>4320.049398760455</v>
      </c>
      <c r="K323" s="10"/>
      <c r="L323" s="11">
        <f t="shared" si="274"/>
        <v>0.67969927993539592</v>
      </c>
      <c r="M323" s="12">
        <f t="shared" ref="M323:M333" si="283">IF((L323*F323)&gt;F323,F323,(L323*F323))</f>
        <v>1468.1504446604552</v>
      </c>
      <c r="N323" s="12">
        <f t="shared" ref="N323:N333" si="284">M323/144</f>
        <v>10.195489199030938</v>
      </c>
      <c r="O323" s="12">
        <f t="shared" si="275"/>
        <v>11</v>
      </c>
      <c r="P323" s="13">
        <f t="shared" ref="P323:P333" si="285">O323*1</f>
        <v>11</v>
      </c>
      <c r="Q323" s="13">
        <f t="shared" si="276"/>
        <v>33</v>
      </c>
      <c r="R323" s="13">
        <f t="shared" si="277"/>
        <v>33</v>
      </c>
      <c r="S323" s="13"/>
      <c r="T323" s="13">
        <f t="shared" ref="T323:T333" si="286">R323</f>
        <v>33</v>
      </c>
      <c r="U323" s="1327">
        <f t="shared" si="278"/>
        <v>423.72163948455432</v>
      </c>
      <c r="V323" s="22">
        <v>15</v>
      </c>
      <c r="W323" s="22"/>
      <c r="X323" s="21">
        <f t="shared" si="279"/>
        <v>10.19548919903094</v>
      </c>
      <c r="Y323" s="22"/>
      <c r="Z323" s="22">
        <v>1</v>
      </c>
      <c r="AA323" s="21">
        <f t="shared" si="280"/>
        <v>10.19548919903094</v>
      </c>
      <c r="AB323" s="1325">
        <f t="shared" si="281"/>
        <v>11</v>
      </c>
      <c r="AC323" s="1325">
        <f t="shared" si="282"/>
        <v>33</v>
      </c>
      <c r="AD323" s="1364"/>
      <c r="AE323" s="22"/>
      <c r="AF323" s="1325"/>
      <c r="AG323" s="22"/>
      <c r="AH323" s="22"/>
      <c r="AI323" s="22"/>
      <c r="AJ323" s="130"/>
      <c r="AK323" s="130"/>
      <c r="AL323" s="130"/>
      <c r="AM323" s="130"/>
      <c r="AN323" s="22"/>
      <c r="AO323" s="22"/>
      <c r="AP323" s="22"/>
      <c r="AQ323" s="22"/>
      <c r="AR323" s="22"/>
      <c r="AS323" s="22"/>
    </row>
    <row r="324" spans="1:68" ht="15.5">
      <c r="A324" s="3" t="s">
        <v>341</v>
      </c>
      <c r="B324" s="3" t="s">
        <v>341</v>
      </c>
      <c r="C324" s="5">
        <v>46174</v>
      </c>
      <c r="D324" s="1070">
        <f>'YN01'!$J$213</f>
        <v>43.96989410884909</v>
      </c>
      <c r="E324" s="7">
        <f>'YN01'!$C$213</f>
        <v>560.50145607423804</v>
      </c>
      <c r="F324" s="1070">
        <f>'YN01'!$K$213</f>
        <v>2160</v>
      </c>
      <c r="G324" s="8">
        <f>'YN01'!$H$213</f>
        <v>0.9327731092436975</v>
      </c>
      <c r="H324" s="8">
        <f>'YN01'!$I$213</f>
        <v>0.79999999999999982</v>
      </c>
      <c r="I324" s="9">
        <f t="shared" si="273"/>
        <v>6355.8245922683145</v>
      </c>
      <c r="J324" s="10">
        <f>Multiply!B16</f>
        <v>4862.0170990663064</v>
      </c>
      <c r="K324" s="10"/>
      <c r="L324" s="11">
        <f t="shared" si="274"/>
        <v>0.76497030849164971</v>
      </c>
      <c r="M324" s="12">
        <f t="shared" si="283"/>
        <v>1652.3358663419633</v>
      </c>
      <c r="N324" s="12">
        <f t="shared" si="284"/>
        <v>11.474554627374745</v>
      </c>
      <c r="O324" s="12">
        <f t="shared" si="275"/>
        <v>12</v>
      </c>
      <c r="P324" s="13">
        <f t="shared" si="285"/>
        <v>12</v>
      </c>
      <c r="Q324" s="13">
        <f t="shared" si="276"/>
        <v>36</v>
      </c>
      <c r="R324" s="13">
        <f t="shared" si="277"/>
        <v>36</v>
      </c>
      <c r="S324" s="13"/>
      <c r="T324" s="13">
        <f t="shared" si="286"/>
        <v>36</v>
      </c>
      <c r="U324" s="1327">
        <f t="shared" si="278"/>
        <v>423.72163948455432</v>
      </c>
      <c r="V324" s="22">
        <v>15</v>
      </c>
      <c r="W324" s="22"/>
      <c r="X324" s="21">
        <f t="shared" si="279"/>
        <v>11.474554627374745</v>
      </c>
      <c r="Y324" s="22"/>
      <c r="Z324" s="22">
        <v>1</v>
      </c>
      <c r="AA324" s="21">
        <f t="shared" si="280"/>
        <v>11.474554627374745</v>
      </c>
      <c r="AB324" s="1325">
        <f t="shared" si="281"/>
        <v>12</v>
      </c>
      <c r="AC324" s="1325">
        <f t="shared" si="282"/>
        <v>36</v>
      </c>
      <c r="AD324" s="22"/>
      <c r="AE324" s="22"/>
      <c r="AF324" s="1325"/>
      <c r="AG324" s="22"/>
      <c r="AH324" s="22"/>
      <c r="AI324" s="22"/>
      <c r="AJ324" s="130"/>
      <c r="AK324" s="130"/>
      <c r="AL324" s="130"/>
      <c r="AM324" s="130"/>
      <c r="AN324" s="22"/>
      <c r="AO324" s="22"/>
      <c r="AP324" s="22"/>
      <c r="AQ324" s="22"/>
      <c r="AR324" s="22"/>
      <c r="AS324" s="22"/>
    </row>
    <row r="325" spans="1:68" ht="15.5">
      <c r="A325" s="3" t="s">
        <v>341</v>
      </c>
      <c r="B325" s="3" t="s">
        <v>341</v>
      </c>
      <c r="C325" s="5">
        <v>46204</v>
      </c>
      <c r="D325" s="1070">
        <f>'YN01'!$J$213</f>
        <v>43.96989410884909</v>
      </c>
      <c r="E325" s="7">
        <f>'YN01'!$C$213</f>
        <v>560.50145607423804</v>
      </c>
      <c r="F325" s="1070">
        <f>'YN01'!$K$213</f>
        <v>2160</v>
      </c>
      <c r="G325" s="8">
        <f>'YN01'!$H$213</f>
        <v>0.9327731092436975</v>
      </c>
      <c r="H325" s="8">
        <f>'YN01'!$I$213</f>
        <v>0.79999999999999982</v>
      </c>
      <c r="I325" s="9">
        <f t="shared" si="273"/>
        <v>6355.8245922683145</v>
      </c>
      <c r="J325" s="10">
        <f>Multiply!B17</f>
        <v>3418.4591657322826</v>
      </c>
      <c r="K325" s="10"/>
      <c r="L325" s="11">
        <f t="shared" si="274"/>
        <v>0.53784668159199112</v>
      </c>
      <c r="M325" s="12">
        <f t="shared" si="283"/>
        <v>1161.7488322387007</v>
      </c>
      <c r="N325" s="12">
        <f t="shared" si="284"/>
        <v>8.0677002238798661</v>
      </c>
      <c r="O325" s="12">
        <f t="shared" si="275"/>
        <v>9</v>
      </c>
      <c r="P325" s="13">
        <f t="shared" si="285"/>
        <v>9</v>
      </c>
      <c r="Q325" s="13">
        <f t="shared" si="276"/>
        <v>27</v>
      </c>
      <c r="R325" s="13">
        <f t="shared" si="277"/>
        <v>27</v>
      </c>
      <c r="S325" s="13"/>
      <c r="T325" s="13">
        <f t="shared" si="286"/>
        <v>27</v>
      </c>
      <c r="U325" s="1327">
        <f t="shared" si="278"/>
        <v>423.72163948455432</v>
      </c>
      <c r="V325" s="22">
        <v>15</v>
      </c>
      <c r="W325" s="22"/>
      <c r="X325" s="21">
        <f t="shared" si="279"/>
        <v>8.0677002238798661</v>
      </c>
      <c r="Y325" s="22"/>
      <c r="Z325" s="22">
        <v>1</v>
      </c>
      <c r="AA325" s="21">
        <f t="shared" si="280"/>
        <v>8.0677002238798661</v>
      </c>
      <c r="AB325" s="1325">
        <f t="shared" si="281"/>
        <v>9</v>
      </c>
      <c r="AC325" s="1325">
        <f t="shared" si="282"/>
        <v>27</v>
      </c>
      <c r="AD325" s="22"/>
      <c r="AE325" s="22"/>
      <c r="AF325" s="1325"/>
      <c r="AG325" s="22"/>
      <c r="AH325" s="22"/>
      <c r="AI325" s="22"/>
      <c r="AJ325" s="130"/>
      <c r="AK325" s="130"/>
      <c r="AL325" s="130"/>
      <c r="AM325" s="130"/>
      <c r="AN325" s="22"/>
      <c r="AO325" s="22"/>
      <c r="AP325" s="22"/>
      <c r="AQ325" s="22"/>
      <c r="AR325" s="22"/>
      <c r="AS325" s="22"/>
    </row>
    <row r="326" spans="1:68" ht="15.5">
      <c r="A326" s="3" t="s">
        <v>341</v>
      </c>
      <c r="B326" s="3" t="s">
        <v>341</v>
      </c>
      <c r="C326" s="5">
        <v>46235</v>
      </c>
      <c r="D326" s="1070">
        <f>'YN01'!$J$213</f>
        <v>43.96989410884909</v>
      </c>
      <c r="E326" s="7">
        <f>'YN01'!$C$213</f>
        <v>560.50145607423804</v>
      </c>
      <c r="F326" s="1070">
        <f>'YN01'!$K$213</f>
        <v>2160</v>
      </c>
      <c r="G326" s="8">
        <f>'YN01'!$H$213</f>
        <v>0.9327731092436975</v>
      </c>
      <c r="H326" s="8">
        <f>'YN01'!$I$213</f>
        <v>0.79999999999999982</v>
      </c>
      <c r="I326" s="9">
        <f t="shared" si="273"/>
        <v>6355.8245922683145</v>
      </c>
      <c r="J326" s="10">
        <f>Multiply!B18</f>
        <v>4856.3500631805828</v>
      </c>
      <c r="K326" s="10"/>
      <c r="L326" s="11">
        <f t="shared" si="274"/>
        <v>0.76407867974962662</v>
      </c>
      <c r="M326" s="12">
        <f t="shared" si="283"/>
        <v>1650.4099482591935</v>
      </c>
      <c r="N326" s="12">
        <f t="shared" si="284"/>
        <v>11.461180196244399</v>
      </c>
      <c r="O326" s="12">
        <f t="shared" si="275"/>
        <v>12</v>
      </c>
      <c r="P326" s="13">
        <f t="shared" si="285"/>
        <v>12</v>
      </c>
      <c r="Q326" s="13">
        <f t="shared" si="276"/>
        <v>36</v>
      </c>
      <c r="R326" s="13">
        <f t="shared" si="277"/>
        <v>36</v>
      </c>
      <c r="S326" s="13"/>
      <c r="T326" s="13">
        <f t="shared" si="286"/>
        <v>36</v>
      </c>
      <c r="U326" s="1327">
        <f t="shared" si="278"/>
        <v>423.72163948455432</v>
      </c>
      <c r="V326" s="22">
        <v>15</v>
      </c>
      <c r="W326" s="22"/>
      <c r="X326" s="21">
        <f t="shared" si="279"/>
        <v>11.461180196244399</v>
      </c>
      <c r="Y326" s="22"/>
      <c r="Z326" s="22">
        <v>1</v>
      </c>
      <c r="AA326" s="21">
        <f t="shared" si="280"/>
        <v>11.461180196244399</v>
      </c>
      <c r="AB326" s="1325">
        <f t="shared" si="281"/>
        <v>12</v>
      </c>
      <c r="AC326" s="1325">
        <f t="shared" si="282"/>
        <v>36</v>
      </c>
      <c r="AD326" s="22"/>
      <c r="AE326" s="22"/>
      <c r="AF326" s="1325"/>
      <c r="AG326" s="22"/>
      <c r="AH326" s="22"/>
      <c r="AI326" s="22"/>
      <c r="AJ326" s="130"/>
      <c r="AK326" s="130"/>
      <c r="AL326" s="130"/>
      <c r="AM326" s="130"/>
      <c r="AN326" s="22"/>
      <c r="AO326" s="22"/>
      <c r="AP326" s="22"/>
      <c r="AQ326" s="22"/>
      <c r="AR326" s="22"/>
      <c r="AS326" s="22"/>
    </row>
    <row r="327" spans="1:68" ht="15.5">
      <c r="A327" s="3" t="s">
        <v>341</v>
      </c>
      <c r="B327" s="3" t="s">
        <v>341</v>
      </c>
      <c r="C327" s="5">
        <v>46266</v>
      </c>
      <c r="D327" s="1070">
        <f>'YN01'!$J$213</f>
        <v>43.96989410884909</v>
      </c>
      <c r="E327" s="7">
        <f>'YN01'!$C$213</f>
        <v>560.50145607423804</v>
      </c>
      <c r="F327" s="1070">
        <f>'YN01'!$K$213</f>
        <v>2160</v>
      </c>
      <c r="G327" s="8">
        <f>'YN01'!$H$213</f>
        <v>0.9327731092436975</v>
      </c>
      <c r="H327" s="8">
        <f>'YN01'!$I$213</f>
        <v>0.79999999999999982</v>
      </c>
      <c r="I327" s="9">
        <f t="shared" si="273"/>
        <v>6355.8245922683145</v>
      </c>
      <c r="J327" s="10">
        <f>Multiply!B19</f>
        <v>4531.8125959491354</v>
      </c>
      <c r="K327" s="10"/>
      <c r="L327" s="11">
        <f t="shared" si="274"/>
        <v>0.71301725372691382</v>
      </c>
      <c r="M327" s="12">
        <f t="shared" si="283"/>
        <v>1540.1172680501338</v>
      </c>
      <c r="N327" s="12">
        <f t="shared" si="284"/>
        <v>10.695258805903707</v>
      </c>
      <c r="O327" s="12">
        <f t="shared" si="275"/>
        <v>11</v>
      </c>
      <c r="P327" s="13">
        <f t="shared" si="285"/>
        <v>11</v>
      </c>
      <c r="Q327" s="13">
        <f t="shared" si="276"/>
        <v>33</v>
      </c>
      <c r="R327" s="13">
        <f t="shared" si="277"/>
        <v>33</v>
      </c>
      <c r="S327" s="13"/>
      <c r="T327" s="13">
        <f t="shared" si="286"/>
        <v>33</v>
      </c>
      <c r="U327" s="1327">
        <f t="shared" si="278"/>
        <v>423.72163948455432</v>
      </c>
      <c r="V327" s="22">
        <v>15</v>
      </c>
      <c r="W327" s="22"/>
      <c r="X327" s="21">
        <f t="shared" si="279"/>
        <v>10.695258805903707</v>
      </c>
      <c r="Y327" s="22"/>
      <c r="Z327" s="22">
        <v>1</v>
      </c>
      <c r="AA327" s="21">
        <f t="shared" si="280"/>
        <v>10.695258805903707</v>
      </c>
      <c r="AB327" s="1325">
        <f t="shared" si="281"/>
        <v>11</v>
      </c>
      <c r="AC327" s="1325">
        <f t="shared" si="282"/>
        <v>33</v>
      </c>
      <c r="AD327" s="22"/>
      <c r="AE327" s="22"/>
      <c r="AF327" s="1325"/>
      <c r="AG327" s="22"/>
      <c r="AH327" s="22"/>
      <c r="AI327" s="22"/>
      <c r="AJ327" s="130"/>
      <c r="AK327" s="130"/>
      <c r="AL327" s="130"/>
      <c r="AM327" s="130"/>
      <c r="AN327" s="22"/>
      <c r="AO327" s="22"/>
      <c r="AP327" s="22"/>
      <c r="AQ327" s="22"/>
      <c r="AR327" s="22"/>
      <c r="AS327" s="22"/>
    </row>
    <row r="328" spans="1:68" ht="15.5">
      <c r="A328" s="3" t="s">
        <v>341</v>
      </c>
      <c r="B328" s="3" t="s">
        <v>341</v>
      </c>
      <c r="C328" s="5">
        <v>46296</v>
      </c>
      <c r="D328" s="1070">
        <f>'YN01'!$J$213</f>
        <v>43.96989410884909</v>
      </c>
      <c r="E328" s="7">
        <f>'YN01'!$C$213</f>
        <v>560.50145607423804</v>
      </c>
      <c r="F328" s="1070">
        <f>'YN01'!$K$213</f>
        <v>2160</v>
      </c>
      <c r="G328" s="8">
        <f>'YN01'!$H$213</f>
        <v>0.9327731092436975</v>
      </c>
      <c r="H328" s="8">
        <f>'YN01'!$I$213</f>
        <v>0.79999999999999982</v>
      </c>
      <c r="I328" s="9">
        <f t="shared" si="273"/>
        <v>6355.8245922683145</v>
      </c>
      <c r="J328" s="10">
        <f>Multiply!B20</f>
        <v>4749.0641461475552</v>
      </c>
      <c r="K328" s="10"/>
      <c r="L328" s="11">
        <f t="shared" si="274"/>
        <v>0.7471987430119863</v>
      </c>
      <c r="M328" s="12">
        <f t="shared" si="283"/>
        <v>1613.9492849058904</v>
      </c>
      <c r="N328" s="12">
        <f t="shared" si="284"/>
        <v>11.207981145179794</v>
      </c>
      <c r="O328" s="12">
        <f t="shared" si="275"/>
        <v>12</v>
      </c>
      <c r="P328" s="13">
        <f t="shared" si="285"/>
        <v>12</v>
      </c>
      <c r="Q328" s="13">
        <f t="shared" si="276"/>
        <v>36</v>
      </c>
      <c r="R328" s="13">
        <f t="shared" si="277"/>
        <v>36</v>
      </c>
      <c r="S328" s="13"/>
      <c r="T328" s="13">
        <f t="shared" si="286"/>
        <v>36</v>
      </c>
      <c r="U328" s="1327">
        <f t="shared" si="278"/>
        <v>423.72163948455432</v>
      </c>
      <c r="V328" s="22">
        <v>15</v>
      </c>
      <c r="W328" s="22"/>
      <c r="X328" s="21">
        <f t="shared" si="279"/>
        <v>11.207981145179795</v>
      </c>
      <c r="Y328" s="22"/>
      <c r="Z328" s="22">
        <v>1</v>
      </c>
      <c r="AA328" s="21">
        <f t="shared" si="280"/>
        <v>11.207981145179795</v>
      </c>
      <c r="AB328" s="1325">
        <f t="shared" si="281"/>
        <v>12</v>
      </c>
      <c r="AC328" s="1325">
        <f t="shared" si="282"/>
        <v>36</v>
      </c>
      <c r="AD328" s="22"/>
      <c r="AE328" s="22"/>
      <c r="AF328" s="1325"/>
      <c r="AG328" s="22"/>
      <c r="AH328" s="22"/>
      <c r="AI328" s="22"/>
      <c r="AJ328" s="130"/>
      <c r="AK328" s="130"/>
      <c r="AL328" s="130"/>
      <c r="AM328" s="130"/>
      <c r="AN328" s="22"/>
      <c r="AO328" s="22"/>
      <c r="AP328" s="22"/>
      <c r="AQ328" s="22"/>
      <c r="AR328" s="22"/>
      <c r="AS328" s="22"/>
    </row>
    <row r="329" spans="1:68" ht="15.5">
      <c r="A329" s="3" t="s">
        <v>341</v>
      </c>
      <c r="B329" s="3" t="s">
        <v>341</v>
      </c>
      <c r="C329" s="5">
        <v>46327</v>
      </c>
      <c r="D329" s="1070">
        <f>'YN01'!$J$213</f>
        <v>43.96989410884909</v>
      </c>
      <c r="E329" s="7">
        <f>'YN01'!$C$213</f>
        <v>560.50145607423804</v>
      </c>
      <c r="F329" s="1070">
        <f>'YN01'!$K$213</f>
        <v>2160</v>
      </c>
      <c r="G329" s="8">
        <f>'YN01'!$H$213</f>
        <v>0.9327731092436975</v>
      </c>
      <c r="H329" s="8">
        <f>'YN01'!$I$213</f>
        <v>0.79999999999999982</v>
      </c>
      <c r="I329" s="9">
        <f t="shared" si="273"/>
        <v>6355.8245922683145</v>
      </c>
      <c r="J329" s="10">
        <f>Multiply!B21</f>
        <v>7080.4783695999158</v>
      </c>
      <c r="K329" s="10"/>
      <c r="L329" s="11">
        <f t="shared" si="274"/>
        <v>1.1140141246523894</v>
      </c>
      <c r="M329" s="12">
        <f t="shared" si="283"/>
        <v>2160</v>
      </c>
      <c r="N329" s="12">
        <f t="shared" si="284"/>
        <v>15</v>
      </c>
      <c r="O329" s="12">
        <f t="shared" si="275"/>
        <v>15</v>
      </c>
      <c r="P329" s="13">
        <f t="shared" si="285"/>
        <v>15</v>
      </c>
      <c r="Q329" s="13">
        <f t="shared" si="276"/>
        <v>45</v>
      </c>
      <c r="R329" s="13">
        <f t="shared" si="277"/>
        <v>45</v>
      </c>
      <c r="S329" s="13"/>
      <c r="T329" s="13">
        <f t="shared" si="286"/>
        <v>45</v>
      </c>
      <c r="U329" s="1327">
        <f t="shared" si="278"/>
        <v>423.72163948455432</v>
      </c>
      <c r="V329" s="22">
        <v>15</v>
      </c>
      <c r="W329" s="22"/>
      <c r="X329" s="21">
        <f t="shared" si="279"/>
        <v>15</v>
      </c>
      <c r="Y329" s="22"/>
      <c r="Z329" s="22">
        <v>1</v>
      </c>
      <c r="AA329" s="21">
        <f t="shared" si="280"/>
        <v>15</v>
      </c>
      <c r="AB329" s="1325">
        <f t="shared" si="281"/>
        <v>15</v>
      </c>
      <c r="AC329" s="1325">
        <f t="shared" si="282"/>
        <v>45</v>
      </c>
      <c r="AD329" s="22"/>
      <c r="AE329" s="22"/>
      <c r="AF329" s="1325"/>
      <c r="AG329" s="22"/>
      <c r="AH329" s="22"/>
      <c r="AI329" s="22"/>
      <c r="AJ329" s="130"/>
      <c r="AK329" s="130"/>
      <c r="AL329" s="130"/>
      <c r="AM329" s="130"/>
      <c r="AN329" s="22"/>
      <c r="AO329" s="22"/>
      <c r="AP329" s="22"/>
      <c r="AQ329" s="22"/>
      <c r="AR329" s="22"/>
      <c r="AS329" s="22"/>
    </row>
    <row r="330" spans="1:68" ht="15.5">
      <c r="A330" s="3" t="s">
        <v>341</v>
      </c>
      <c r="B330" s="3" t="s">
        <v>341</v>
      </c>
      <c r="C330" s="5">
        <v>46357</v>
      </c>
      <c r="D330" s="1070">
        <f>'YN01'!$J$213</f>
        <v>43.96989410884909</v>
      </c>
      <c r="E330" s="7">
        <f>'YN01'!$C$213</f>
        <v>560.50145607423804</v>
      </c>
      <c r="F330" s="1070">
        <f>'YN01'!$K$213</f>
        <v>2160</v>
      </c>
      <c r="G330" s="8">
        <f>'YN01'!$H$213</f>
        <v>0.9327731092436975</v>
      </c>
      <c r="H330" s="8">
        <f>'YN01'!$I$213</f>
        <v>0.79999999999999982</v>
      </c>
      <c r="I330" s="9">
        <f t="shared" si="273"/>
        <v>6355.8245922683145</v>
      </c>
      <c r="J330" s="10">
        <f>Multiply!B22</f>
        <v>7178.0635737465118</v>
      </c>
      <c r="K330" s="10"/>
      <c r="L330" s="11">
        <f t="shared" si="274"/>
        <v>1.129367790054878</v>
      </c>
      <c r="M330" s="12">
        <f t="shared" si="283"/>
        <v>2160</v>
      </c>
      <c r="N330" s="12">
        <f t="shared" si="284"/>
        <v>15</v>
      </c>
      <c r="O330" s="12">
        <f t="shared" si="275"/>
        <v>15</v>
      </c>
      <c r="P330" s="13">
        <f t="shared" si="285"/>
        <v>15</v>
      </c>
      <c r="Q330" s="13">
        <f t="shared" si="276"/>
        <v>45</v>
      </c>
      <c r="R330" s="13">
        <f t="shared" si="277"/>
        <v>45</v>
      </c>
      <c r="S330" s="13"/>
      <c r="T330" s="13">
        <f t="shared" si="286"/>
        <v>45</v>
      </c>
      <c r="U330" s="1327">
        <f t="shared" si="278"/>
        <v>423.72163948455432</v>
      </c>
      <c r="V330" s="22">
        <v>15</v>
      </c>
      <c r="W330" s="22"/>
      <c r="X330" s="21">
        <f t="shared" si="279"/>
        <v>15</v>
      </c>
      <c r="Y330" s="22"/>
      <c r="Z330" s="22">
        <v>1</v>
      </c>
      <c r="AA330" s="21">
        <f t="shared" si="280"/>
        <v>15</v>
      </c>
      <c r="AB330" s="1325">
        <f t="shared" si="281"/>
        <v>15</v>
      </c>
      <c r="AC330" s="1325">
        <f t="shared" si="282"/>
        <v>45</v>
      </c>
      <c r="AD330" s="22"/>
      <c r="AE330" s="22"/>
      <c r="AF330" s="1325"/>
      <c r="AG330" s="22"/>
      <c r="AH330" s="22"/>
      <c r="AI330" s="22"/>
      <c r="AJ330" s="130"/>
      <c r="AK330" s="130"/>
      <c r="AL330" s="130"/>
      <c r="AM330" s="130"/>
      <c r="AN330" s="22"/>
      <c r="AO330" s="22"/>
      <c r="AP330" s="22"/>
      <c r="AQ330" s="22"/>
      <c r="AR330" s="22"/>
      <c r="AS330" s="22"/>
    </row>
    <row r="331" spans="1:68" ht="15.5">
      <c r="A331" s="3" t="s">
        <v>341</v>
      </c>
      <c r="B331" s="3" t="s">
        <v>341</v>
      </c>
      <c r="C331" s="5">
        <v>46388</v>
      </c>
      <c r="D331" s="1070">
        <f>'YN01'!$J$213</f>
        <v>43.96989410884909</v>
      </c>
      <c r="E331" s="7">
        <f>'YN01'!$C$213</f>
        <v>560.50145607423804</v>
      </c>
      <c r="F331" s="1070">
        <f>'YN01'!$K$213</f>
        <v>2160</v>
      </c>
      <c r="G331" s="8">
        <f>'YN01'!$H$213</f>
        <v>0.9327731092436975</v>
      </c>
      <c r="H331" s="8">
        <f>'YN01'!$I$213</f>
        <v>0.79999999999999982</v>
      </c>
      <c r="I331" s="9">
        <f t="shared" si="273"/>
        <v>6355.8245922683145</v>
      </c>
      <c r="J331" s="10">
        <f>Multiply!B23</f>
        <v>3850.7188914838234</v>
      </c>
      <c r="K331" s="10"/>
      <c r="L331" s="11">
        <f t="shared" si="274"/>
        <v>0.60585669657531405</v>
      </c>
      <c r="M331" s="12">
        <f t="shared" si="283"/>
        <v>1308.6504646026783</v>
      </c>
      <c r="N331" s="12">
        <f t="shared" si="284"/>
        <v>9.0878504486297107</v>
      </c>
      <c r="O331" s="12">
        <f t="shared" si="275"/>
        <v>10</v>
      </c>
      <c r="P331" s="13">
        <f t="shared" si="285"/>
        <v>10</v>
      </c>
      <c r="Q331" s="13">
        <f t="shared" si="276"/>
        <v>30</v>
      </c>
      <c r="R331" s="13">
        <f t="shared" si="277"/>
        <v>30</v>
      </c>
      <c r="S331" s="13"/>
      <c r="T331" s="13">
        <f t="shared" si="286"/>
        <v>30</v>
      </c>
      <c r="U331" s="1327">
        <f t="shared" si="278"/>
        <v>423.72163948455432</v>
      </c>
      <c r="V331" s="22">
        <v>15</v>
      </c>
      <c r="W331" s="22"/>
      <c r="X331" s="21">
        <f t="shared" si="279"/>
        <v>9.0878504486297107</v>
      </c>
      <c r="Y331" s="22"/>
      <c r="Z331" s="22">
        <v>1</v>
      </c>
      <c r="AA331" s="21">
        <f t="shared" si="280"/>
        <v>9.0878504486297107</v>
      </c>
      <c r="AB331" s="1325">
        <f t="shared" si="281"/>
        <v>10</v>
      </c>
      <c r="AC331" s="1325">
        <f t="shared" si="282"/>
        <v>30</v>
      </c>
      <c r="AD331" s="22"/>
      <c r="AE331" s="22"/>
      <c r="AF331" s="1325"/>
      <c r="AG331" s="22"/>
      <c r="AH331" s="22"/>
      <c r="AI331" s="22"/>
      <c r="AJ331" s="130"/>
      <c r="AK331" s="130"/>
      <c r="AL331" s="130"/>
      <c r="AM331" s="130"/>
      <c r="AN331" s="22"/>
      <c r="AO331" s="22"/>
      <c r="AP331" s="22"/>
      <c r="AQ331" s="22"/>
      <c r="AR331" s="22"/>
      <c r="AS331" s="22"/>
    </row>
    <row r="332" spans="1:68" ht="15.5">
      <c r="A332" s="3" t="s">
        <v>341</v>
      </c>
      <c r="B332" s="3" t="s">
        <v>341</v>
      </c>
      <c r="C332" s="5">
        <v>46419</v>
      </c>
      <c r="D332" s="1070">
        <f>'YN01'!$J$213</f>
        <v>43.96989410884909</v>
      </c>
      <c r="E332" s="7">
        <f>'YN01'!$C$213</f>
        <v>560.50145607423804</v>
      </c>
      <c r="F332" s="1070">
        <f>'YN01'!$K$213</f>
        <v>2160</v>
      </c>
      <c r="G332" s="8">
        <f>'YN01'!$H$213</f>
        <v>0.9327731092436975</v>
      </c>
      <c r="H332" s="8">
        <f>'YN01'!$I$213</f>
        <v>0.79999999999999982</v>
      </c>
      <c r="I332" s="9">
        <f t="shared" si="273"/>
        <v>6355.8245922683145</v>
      </c>
      <c r="J332" s="10">
        <f>Multiply!B24</f>
        <v>5583.6617537484699</v>
      </c>
      <c r="K332" s="10"/>
      <c r="L332" s="11">
        <f t="shared" si="274"/>
        <v>0.8785109898314124</v>
      </c>
      <c r="M332" s="12">
        <f t="shared" si="283"/>
        <v>1897.5837380358507</v>
      </c>
      <c r="N332" s="12">
        <f t="shared" si="284"/>
        <v>13.177664847471185</v>
      </c>
      <c r="O332" s="12">
        <f t="shared" si="275"/>
        <v>14</v>
      </c>
      <c r="P332" s="13">
        <f t="shared" si="285"/>
        <v>14</v>
      </c>
      <c r="Q332" s="13">
        <f t="shared" si="276"/>
        <v>42</v>
      </c>
      <c r="R332" s="13">
        <f t="shared" si="277"/>
        <v>42</v>
      </c>
      <c r="S332" s="13"/>
      <c r="T332" s="13">
        <f t="shared" si="286"/>
        <v>42</v>
      </c>
      <c r="U332" s="1327">
        <f t="shared" si="278"/>
        <v>423.72163948455432</v>
      </c>
      <c r="V332" s="22">
        <v>15</v>
      </c>
      <c r="W332" s="22"/>
      <c r="X332" s="21">
        <f t="shared" si="279"/>
        <v>13.177664847471185</v>
      </c>
      <c r="Y332" s="22"/>
      <c r="Z332" s="22">
        <v>1</v>
      </c>
      <c r="AA332" s="21">
        <f t="shared" si="280"/>
        <v>13.177664847471185</v>
      </c>
      <c r="AB332" s="1325">
        <f t="shared" si="281"/>
        <v>14</v>
      </c>
      <c r="AC332" s="1325">
        <f t="shared" si="282"/>
        <v>42</v>
      </c>
      <c r="AD332" s="22"/>
      <c r="AE332" s="22"/>
      <c r="AF332" s="1325"/>
      <c r="AG332" s="22"/>
      <c r="AH332" s="22"/>
      <c r="AI332" s="22"/>
      <c r="AJ332" s="130"/>
      <c r="AK332" s="130"/>
      <c r="AL332" s="130"/>
      <c r="AM332" s="130"/>
      <c r="AN332" s="22"/>
      <c r="AO332" s="22"/>
      <c r="AP332" s="22"/>
      <c r="AQ332" s="22"/>
      <c r="AR332" s="22"/>
      <c r="AS332" s="22"/>
    </row>
    <row r="333" spans="1:68" ht="15.5">
      <c r="A333" s="3" t="s">
        <v>341</v>
      </c>
      <c r="B333" s="3" t="s">
        <v>341</v>
      </c>
      <c r="C333" s="5">
        <v>46447</v>
      </c>
      <c r="D333" s="1070">
        <f>'YN01'!$J$213</f>
        <v>43.96989410884909</v>
      </c>
      <c r="E333" s="7">
        <f>'YN01'!$C$213</f>
        <v>560.50145607423804</v>
      </c>
      <c r="F333" s="1070">
        <f>'YN01'!$K$213</f>
        <v>2160</v>
      </c>
      <c r="G333" s="8">
        <f>'YN01'!$H$213</f>
        <v>0.9327731092436975</v>
      </c>
      <c r="H333" s="8">
        <f>'YN01'!$I$213</f>
        <v>0.79999999999999982</v>
      </c>
      <c r="I333" s="9">
        <f t="shared" si="273"/>
        <v>6355.8245922683145</v>
      </c>
      <c r="J333" s="10">
        <f>Multiply!B25</f>
        <v>3556.445980971132</v>
      </c>
      <c r="K333" s="10"/>
      <c r="L333" s="11">
        <f t="shared" si="274"/>
        <v>0.55955697476255883</v>
      </c>
      <c r="M333" s="12">
        <f t="shared" si="283"/>
        <v>1208.6430654871272</v>
      </c>
      <c r="N333" s="12">
        <f t="shared" si="284"/>
        <v>8.3933546214383838</v>
      </c>
      <c r="O333" s="12">
        <f t="shared" si="275"/>
        <v>9</v>
      </c>
      <c r="P333" s="13">
        <f t="shared" si="285"/>
        <v>9</v>
      </c>
      <c r="Q333" s="13">
        <f t="shared" si="276"/>
        <v>27</v>
      </c>
      <c r="R333" s="13">
        <f t="shared" si="277"/>
        <v>27</v>
      </c>
      <c r="S333" s="13"/>
      <c r="T333" s="13">
        <f t="shared" si="286"/>
        <v>27</v>
      </c>
      <c r="U333" s="1327">
        <f t="shared" si="278"/>
        <v>423.72163948455432</v>
      </c>
      <c r="V333" s="22">
        <v>15</v>
      </c>
      <c r="W333" s="22"/>
      <c r="X333" s="21">
        <f t="shared" si="279"/>
        <v>8.3933546214383821</v>
      </c>
      <c r="Y333" s="22"/>
      <c r="Z333" s="22">
        <v>1</v>
      </c>
      <c r="AA333" s="21">
        <f t="shared" si="280"/>
        <v>8.3933546214383821</v>
      </c>
      <c r="AB333" s="1325">
        <f t="shared" si="281"/>
        <v>9</v>
      </c>
      <c r="AC333" s="1325">
        <f t="shared" si="282"/>
        <v>27</v>
      </c>
      <c r="AD333" s="22"/>
      <c r="AE333" s="22"/>
      <c r="AF333" s="1325"/>
      <c r="AG333" s="22"/>
      <c r="AH333" s="22"/>
      <c r="AI333" s="22"/>
      <c r="AJ333" s="130"/>
      <c r="AK333" s="130"/>
      <c r="AL333" s="130"/>
      <c r="AM333" s="130"/>
      <c r="AN333" s="22"/>
      <c r="AO333" s="22"/>
      <c r="AP333" s="22"/>
      <c r="AQ333" s="22"/>
      <c r="AR333" s="22"/>
      <c r="AS333" s="22"/>
    </row>
    <row r="334" spans="1:68">
      <c r="O334" s="44"/>
      <c r="P334" s="213"/>
      <c r="Q334" s="213"/>
      <c r="R334" s="213"/>
      <c r="S334" s="213"/>
      <c r="T334" s="213"/>
      <c r="U334" s="130"/>
      <c r="V334" s="130"/>
      <c r="W334" s="130"/>
      <c r="X334" s="130"/>
      <c r="Y334" s="130"/>
      <c r="Z334" s="130"/>
      <c r="AA334" s="130"/>
      <c r="AB334" s="130"/>
      <c r="AC334" s="130"/>
      <c r="AD334" s="130"/>
      <c r="AE334" s="130"/>
      <c r="AF334" s="1336"/>
      <c r="AG334" s="130"/>
      <c r="AH334" s="130"/>
      <c r="AI334" s="130"/>
      <c r="AJ334" s="130"/>
      <c r="AK334" s="130"/>
      <c r="AL334" s="130"/>
      <c r="AM334" s="130"/>
      <c r="AN334" s="130"/>
      <c r="AO334" s="130"/>
      <c r="AP334" s="130"/>
      <c r="AQ334" s="130"/>
      <c r="AR334" s="130"/>
      <c r="AS334" s="130"/>
    </row>
    <row r="336" spans="1:68" ht="43.5">
      <c r="A336" s="1" t="s">
        <v>0</v>
      </c>
      <c r="B336" s="1" t="s">
        <v>1</v>
      </c>
      <c r="C336" s="1" t="s">
        <v>2</v>
      </c>
      <c r="D336" s="799" t="s">
        <v>3</v>
      </c>
      <c r="E336" s="1" t="s">
        <v>4</v>
      </c>
      <c r="F336" s="1" t="s">
        <v>5</v>
      </c>
      <c r="G336" s="1" t="s">
        <v>6</v>
      </c>
      <c r="H336" s="1" t="s">
        <v>7</v>
      </c>
      <c r="I336" s="1" t="s">
        <v>8</v>
      </c>
      <c r="J336" s="1" t="s">
        <v>9</v>
      </c>
      <c r="K336" s="1"/>
      <c r="L336" s="1" t="s">
        <v>10</v>
      </c>
      <c r="M336" s="1" t="s">
        <v>10</v>
      </c>
      <c r="N336" s="1" t="s">
        <v>11</v>
      </c>
      <c r="O336" s="1" t="s">
        <v>11</v>
      </c>
      <c r="P336" s="1" t="s">
        <v>12</v>
      </c>
      <c r="Q336" s="1" t="s">
        <v>13</v>
      </c>
      <c r="R336" s="1" t="s">
        <v>13</v>
      </c>
      <c r="S336" s="1"/>
      <c r="T336" s="1" t="s">
        <v>14</v>
      </c>
      <c r="U336" s="851" t="s">
        <v>1561</v>
      </c>
      <c r="V336" s="851" t="s">
        <v>1517</v>
      </c>
      <c r="W336" s="851" t="s">
        <v>1518</v>
      </c>
      <c r="X336" s="851" t="s">
        <v>873</v>
      </c>
      <c r="Y336" s="851" t="s">
        <v>1519</v>
      </c>
      <c r="Z336" s="851" t="s">
        <v>1520</v>
      </c>
      <c r="AA336" s="851" t="s">
        <v>1521</v>
      </c>
      <c r="AB336" s="851" t="s">
        <v>1521</v>
      </c>
      <c r="AC336" s="851" t="s">
        <v>1562</v>
      </c>
      <c r="AD336" s="851" t="s">
        <v>537</v>
      </c>
      <c r="AE336" s="851"/>
      <c r="AF336" s="1337"/>
      <c r="AG336" s="851"/>
      <c r="AH336" s="851"/>
      <c r="AI336" s="851"/>
      <c r="AJ336" s="935"/>
      <c r="AK336" s="935"/>
      <c r="AL336" s="935"/>
      <c r="AM336" s="935"/>
      <c r="AN336" s="851"/>
      <c r="AO336" s="851"/>
      <c r="AP336" s="851"/>
      <c r="AQ336" s="851"/>
      <c r="AR336" s="851"/>
      <c r="AS336" s="851"/>
    </row>
    <row r="337" spans="1:68" ht="15.5">
      <c r="A337" s="3" t="s">
        <v>255</v>
      </c>
      <c r="B337" s="3" t="s">
        <v>255</v>
      </c>
      <c r="C337" s="5">
        <v>46113</v>
      </c>
      <c r="D337" s="769">
        <f>'YN01'!$J$238</f>
        <v>350</v>
      </c>
      <c r="E337" s="1318">
        <f>'YN01'!$L$238</f>
        <v>2556.5694852620586</v>
      </c>
      <c r="F337" s="1070">
        <f>'YN01'!$K$238</f>
        <v>176</v>
      </c>
      <c r="G337" s="8">
        <f>'YN01'!$H$238</f>
        <v>0.94957983193277296</v>
      </c>
      <c r="H337" s="8">
        <f>'YN01'!$I$238</f>
        <v>0.9</v>
      </c>
      <c r="I337" s="9">
        <f t="shared" ref="I337:I348" si="287">E337*D337*F337*0.00016*H337*G337</f>
        <v>21534.375779107126</v>
      </c>
      <c r="J337" s="10">
        <f>Multiply!B28</f>
        <v>5622.564964599731</v>
      </c>
      <c r="K337" s="10"/>
      <c r="L337" s="11">
        <f t="shared" ref="L337:L348" si="288">J337/I337</f>
        <v>0.26109718815508004</v>
      </c>
      <c r="M337" s="12">
        <f>IF((L337*F337)&gt;F337,F337,(L337*F337))</f>
        <v>45.953105115294086</v>
      </c>
      <c r="N337" s="12">
        <f>M337/44</f>
        <v>1.0443887526203202</v>
      </c>
      <c r="O337" s="12">
        <f t="shared" ref="O337:O348" si="289">ROUNDUP(N337,0)</f>
        <v>2</v>
      </c>
      <c r="P337" s="13">
        <f>O337*5</f>
        <v>10</v>
      </c>
      <c r="Q337" s="13">
        <f t="shared" ref="Q337:Q349" si="290">P337*3</f>
        <v>30</v>
      </c>
      <c r="R337" s="13">
        <f t="shared" ref="R337:R349" si="291">ROUNDUP(Q337,0)</f>
        <v>30</v>
      </c>
      <c r="S337" s="13"/>
      <c r="T337" s="13">
        <f>R337</f>
        <v>30</v>
      </c>
      <c r="U337" s="1327">
        <f t="shared" ref="U337" si="292">I337/V337</f>
        <v>5383.5939447767814</v>
      </c>
      <c r="V337" s="22">
        <v>4</v>
      </c>
      <c r="W337" s="22">
        <f>44*4</f>
        <v>176</v>
      </c>
      <c r="X337" s="21">
        <f>ROUNDUP(IF(J337&gt;I337,V337,J337/U337),0)</f>
        <v>2</v>
      </c>
      <c r="Y337" s="22">
        <f>W337*L337</f>
        <v>45.953105115294086</v>
      </c>
      <c r="Z337" s="22">
        <v>5</v>
      </c>
      <c r="AA337" s="22">
        <f>Z337*X337</f>
        <v>10</v>
      </c>
      <c r="AB337" s="22"/>
      <c r="AC337" s="22">
        <f>ROUNDUP(AA337*3,0)</f>
        <v>30</v>
      </c>
      <c r="AD337" s="22" t="s">
        <v>1559</v>
      </c>
      <c r="AE337" s="22"/>
      <c r="AF337" s="1325"/>
      <c r="AG337" s="22"/>
      <c r="AH337" s="22"/>
      <c r="AI337" s="22"/>
      <c r="AJ337" s="130"/>
      <c r="AK337" s="130"/>
      <c r="AL337" s="130"/>
      <c r="AM337" s="130"/>
      <c r="AN337" s="22"/>
      <c r="AO337" s="22"/>
      <c r="AP337" s="22"/>
      <c r="AQ337" s="22"/>
      <c r="AR337" s="22"/>
      <c r="AS337" s="22"/>
      <c r="AT337" s="316">
        <f>O349*5</f>
        <v>10.416666666666668</v>
      </c>
      <c r="AU337" s="316"/>
      <c r="AV337" s="316"/>
      <c r="AW337" s="316"/>
      <c r="AX337" s="316"/>
      <c r="AY337" s="316"/>
      <c r="AZ337" s="316"/>
      <c r="BA337" s="316"/>
      <c r="BB337" s="316"/>
      <c r="BC337" s="316"/>
      <c r="BD337" s="316"/>
      <c r="BE337" s="316"/>
      <c r="BF337" s="316"/>
      <c r="BG337" s="316"/>
      <c r="BH337" s="316"/>
      <c r="BI337" s="316"/>
      <c r="BJ337" s="316"/>
      <c r="BK337" s="316"/>
      <c r="BL337" s="316"/>
      <c r="BM337" s="316"/>
      <c r="BN337" s="316"/>
      <c r="BO337" s="149">
        <f>AT337*3</f>
        <v>31.250000000000004</v>
      </c>
      <c r="BP337" t="s">
        <v>636</v>
      </c>
    </row>
    <row r="338" spans="1:68" ht="15.5">
      <c r="A338" s="3" t="s">
        <v>255</v>
      </c>
      <c r="B338" s="3" t="s">
        <v>255</v>
      </c>
      <c r="C338" s="5">
        <v>46143</v>
      </c>
      <c r="D338" s="1070">
        <f>'YN01'!$J$238</f>
        <v>350</v>
      </c>
      <c r="E338" s="1318">
        <f>'YN01'!$L$238</f>
        <v>2556.5694852620586</v>
      </c>
      <c r="F338" s="1070">
        <f>'YN01'!$K$238</f>
        <v>176</v>
      </c>
      <c r="G338" s="8">
        <f>'YN01'!$H$238</f>
        <v>0.94957983193277296</v>
      </c>
      <c r="H338" s="8">
        <f>'YN01'!$I$238</f>
        <v>0.9</v>
      </c>
      <c r="I338" s="9">
        <f t="shared" si="287"/>
        <v>21534.375779107126</v>
      </c>
      <c r="J338" s="10">
        <f>Multiply!B29</f>
        <v>6890.4034571148713</v>
      </c>
      <c r="K338" s="10"/>
      <c r="L338" s="11">
        <f t="shared" si="288"/>
        <v>0.31997228653360882</v>
      </c>
      <c r="M338" s="12">
        <f t="shared" ref="M338:M348" si="293">IF((L338*F338)&gt;F338,F338,(L338*F338))</f>
        <v>56.315122429915149</v>
      </c>
      <c r="N338" s="12">
        <f t="shared" ref="N338:N348" si="294">M338/44</f>
        <v>1.2798891461344353</v>
      </c>
      <c r="O338" s="12">
        <f t="shared" si="289"/>
        <v>2</v>
      </c>
      <c r="P338" s="13">
        <f t="shared" ref="P338:P349" si="295">O338*5</f>
        <v>10</v>
      </c>
      <c r="Q338" s="13">
        <f t="shared" si="290"/>
        <v>30</v>
      </c>
      <c r="R338" s="13">
        <f t="shared" si="291"/>
        <v>30</v>
      </c>
      <c r="S338" s="13"/>
      <c r="T338" s="13">
        <f t="shared" ref="T338:T348" si="296">R338</f>
        <v>30</v>
      </c>
      <c r="U338" s="1327">
        <f t="shared" ref="U338:U348" si="297">I338/V338</f>
        <v>5383.5939447767814</v>
      </c>
      <c r="V338" s="22">
        <v>4</v>
      </c>
      <c r="W338" s="22">
        <f t="shared" ref="W338:W348" si="298">44*4</f>
        <v>176</v>
      </c>
      <c r="X338" s="21">
        <f t="shared" ref="X338:X348" si="299">ROUNDUP(IF(J338&gt;I338,V338,J338/U338),0)</f>
        <v>2</v>
      </c>
      <c r="Y338" s="22">
        <f t="shared" ref="Y338:Y348" si="300">W338*L338</f>
        <v>56.315122429915149</v>
      </c>
      <c r="Z338" s="22">
        <v>5</v>
      </c>
      <c r="AA338" s="22">
        <f t="shared" ref="AA338:AA348" si="301">Z338*X338</f>
        <v>10</v>
      </c>
      <c r="AB338" s="22"/>
      <c r="AC338" s="22">
        <f t="shared" ref="AC338:AC348" si="302">ROUNDUP(AA338*3,0)</f>
        <v>30</v>
      </c>
      <c r="AD338" s="22"/>
      <c r="AE338" s="22"/>
      <c r="AF338" s="1325"/>
      <c r="AG338" s="22"/>
      <c r="AH338" s="22"/>
      <c r="AI338" s="22"/>
      <c r="AJ338" s="130"/>
      <c r="AK338" s="130"/>
      <c r="AL338" s="130"/>
      <c r="AM338" s="130"/>
      <c r="AN338" s="22"/>
      <c r="AO338" s="22"/>
      <c r="AP338" s="22"/>
      <c r="AQ338" s="22"/>
      <c r="AR338" s="22"/>
      <c r="AS338" s="22"/>
    </row>
    <row r="339" spans="1:68" ht="15.5">
      <c r="A339" s="3" t="s">
        <v>255</v>
      </c>
      <c r="B339" s="3" t="s">
        <v>255</v>
      </c>
      <c r="C339" s="5">
        <v>46174</v>
      </c>
      <c r="D339" s="1070">
        <f>'YN01'!$J$238</f>
        <v>350</v>
      </c>
      <c r="E339" s="1318">
        <f>'YN01'!$L$238</f>
        <v>2556.5694852620586</v>
      </c>
      <c r="F339" s="1070">
        <f>'YN01'!$K$238</f>
        <v>176</v>
      </c>
      <c r="G339" s="8">
        <f>'YN01'!$H$238</f>
        <v>0.94957983193277296</v>
      </c>
      <c r="H339" s="8">
        <f>'YN01'!$I$238</f>
        <v>0.9</v>
      </c>
      <c r="I339" s="9">
        <f t="shared" si="287"/>
        <v>21534.375779107126</v>
      </c>
      <c r="J339" s="10">
        <f>Multiply!B30</f>
        <v>7301.7361695315067</v>
      </c>
      <c r="K339" s="10"/>
      <c r="L339" s="11">
        <f t="shared" si="288"/>
        <v>0.33907350017620325</v>
      </c>
      <c r="M339" s="12">
        <f t="shared" si="293"/>
        <v>59.67693603101177</v>
      </c>
      <c r="N339" s="12">
        <f t="shared" si="294"/>
        <v>1.356294000704813</v>
      </c>
      <c r="O339" s="12">
        <f t="shared" si="289"/>
        <v>2</v>
      </c>
      <c r="P339" s="13">
        <f t="shared" si="295"/>
        <v>10</v>
      </c>
      <c r="Q339" s="13">
        <f t="shared" si="290"/>
        <v>30</v>
      </c>
      <c r="R339" s="13">
        <f t="shared" si="291"/>
        <v>30</v>
      </c>
      <c r="S339" s="13"/>
      <c r="T339" s="13">
        <f t="shared" si="296"/>
        <v>30</v>
      </c>
      <c r="U339" s="1327">
        <f t="shared" si="297"/>
        <v>5383.5939447767814</v>
      </c>
      <c r="V339" s="22">
        <v>4</v>
      </c>
      <c r="W339" s="22">
        <f t="shared" si="298"/>
        <v>176</v>
      </c>
      <c r="X339" s="21">
        <f t="shared" si="299"/>
        <v>2</v>
      </c>
      <c r="Y339" s="22">
        <f t="shared" si="300"/>
        <v>59.67693603101177</v>
      </c>
      <c r="Z339" s="22">
        <v>5</v>
      </c>
      <c r="AA339" s="22">
        <f t="shared" si="301"/>
        <v>10</v>
      </c>
      <c r="AB339" s="22"/>
      <c r="AC339" s="22">
        <f t="shared" si="302"/>
        <v>30</v>
      </c>
      <c r="AD339" s="22"/>
      <c r="AE339" s="22"/>
      <c r="AF339" s="1325"/>
      <c r="AG339" s="22"/>
      <c r="AH339" s="22"/>
      <c r="AI339" s="22"/>
      <c r="AJ339" s="130"/>
      <c r="AK339" s="130"/>
      <c r="AL339" s="130"/>
      <c r="AM339" s="130"/>
      <c r="AN339" s="22"/>
      <c r="AO339" s="22"/>
      <c r="AP339" s="22"/>
      <c r="AQ339" s="22"/>
      <c r="AR339" s="22"/>
      <c r="AS339" s="22"/>
    </row>
    <row r="340" spans="1:68" ht="15.5">
      <c r="A340" s="3" t="s">
        <v>255</v>
      </c>
      <c r="B340" s="3" t="s">
        <v>255</v>
      </c>
      <c r="C340" s="5">
        <v>46204</v>
      </c>
      <c r="D340" s="1070">
        <f>'YN01'!$J$238</f>
        <v>350</v>
      </c>
      <c r="E340" s="1318">
        <f>'YN01'!$L$238</f>
        <v>2556.5694852620586</v>
      </c>
      <c r="F340" s="1070">
        <f>'YN01'!$K$238</f>
        <v>176</v>
      </c>
      <c r="G340" s="8">
        <f>'YN01'!$H$238</f>
        <v>0.94957983193277296</v>
      </c>
      <c r="H340" s="8">
        <f>'YN01'!$I$238</f>
        <v>0.9</v>
      </c>
      <c r="I340" s="9">
        <f t="shared" si="287"/>
        <v>21534.375779107126</v>
      </c>
      <c r="J340" s="10">
        <f>Multiply!B31</f>
        <v>6087.6181532175024</v>
      </c>
      <c r="K340" s="10"/>
      <c r="L340" s="11">
        <f t="shared" si="288"/>
        <v>0.28269303998696693</v>
      </c>
      <c r="M340" s="12">
        <f t="shared" si="293"/>
        <v>49.753975037706184</v>
      </c>
      <c r="N340" s="12">
        <f t="shared" si="294"/>
        <v>1.1307721599478677</v>
      </c>
      <c r="O340" s="12">
        <f t="shared" si="289"/>
        <v>2</v>
      </c>
      <c r="P340" s="13">
        <f t="shared" si="295"/>
        <v>10</v>
      </c>
      <c r="Q340" s="13">
        <f t="shared" si="290"/>
        <v>30</v>
      </c>
      <c r="R340" s="13">
        <f t="shared" si="291"/>
        <v>30</v>
      </c>
      <c r="S340" s="13"/>
      <c r="T340" s="13">
        <f t="shared" si="296"/>
        <v>30</v>
      </c>
      <c r="U340" s="1327">
        <f t="shared" si="297"/>
        <v>5383.5939447767814</v>
      </c>
      <c r="V340" s="22">
        <v>4</v>
      </c>
      <c r="W340" s="22">
        <f t="shared" si="298"/>
        <v>176</v>
      </c>
      <c r="X340" s="21">
        <f t="shared" si="299"/>
        <v>2</v>
      </c>
      <c r="Y340" s="22">
        <f t="shared" si="300"/>
        <v>49.753975037706184</v>
      </c>
      <c r="Z340" s="22">
        <v>5</v>
      </c>
      <c r="AA340" s="22">
        <f t="shared" si="301"/>
        <v>10</v>
      </c>
      <c r="AB340" s="22"/>
      <c r="AC340" s="22">
        <f t="shared" si="302"/>
        <v>30</v>
      </c>
      <c r="AD340" s="22"/>
      <c r="AE340" s="22"/>
      <c r="AF340" s="1325"/>
      <c r="AG340" s="22"/>
      <c r="AH340" s="22"/>
      <c r="AI340" s="22"/>
      <c r="AJ340" s="130"/>
      <c r="AK340" s="130"/>
      <c r="AL340" s="130"/>
      <c r="AM340" s="130"/>
      <c r="AN340" s="22"/>
      <c r="AO340" s="22"/>
      <c r="AP340" s="22"/>
      <c r="AQ340" s="22"/>
      <c r="AR340" s="22"/>
      <c r="AS340" s="22"/>
    </row>
    <row r="341" spans="1:68" ht="15.5">
      <c r="A341" s="3" t="s">
        <v>255</v>
      </c>
      <c r="B341" s="3" t="s">
        <v>255</v>
      </c>
      <c r="C341" s="5">
        <v>46235</v>
      </c>
      <c r="D341" s="1070">
        <f>'YN01'!$J$238</f>
        <v>350</v>
      </c>
      <c r="E341" s="1318">
        <f>'YN01'!$L$238</f>
        <v>2556.5694852620586</v>
      </c>
      <c r="F341" s="1070">
        <f>'YN01'!$K$238</f>
        <v>176</v>
      </c>
      <c r="G341" s="8">
        <f>'YN01'!$H$238</f>
        <v>0.94957983193277296</v>
      </c>
      <c r="H341" s="8">
        <f>'YN01'!$I$238</f>
        <v>0.9</v>
      </c>
      <c r="I341" s="9">
        <f t="shared" si="287"/>
        <v>21534.375779107126</v>
      </c>
      <c r="J341" s="10">
        <f>Multiply!B32</f>
        <v>7138.41850740468</v>
      </c>
      <c r="K341" s="10"/>
      <c r="L341" s="11">
        <f t="shared" si="288"/>
        <v>0.33148945577194056</v>
      </c>
      <c r="M341" s="12">
        <f t="shared" si="293"/>
        <v>58.342144215861538</v>
      </c>
      <c r="N341" s="12">
        <f t="shared" si="294"/>
        <v>1.3259578230877622</v>
      </c>
      <c r="O341" s="12">
        <f t="shared" si="289"/>
        <v>2</v>
      </c>
      <c r="P341" s="13">
        <f t="shared" si="295"/>
        <v>10</v>
      </c>
      <c r="Q341" s="13">
        <f t="shared" si="290"/>
        <v>30</v>
      </c>
      <c r="R341" s="13">
        <f t="shared" si="291"/>
        <v>30</v>
      </c>
      <c r="S341" s="13"/>
      <c r="T341" s="13">
        <f t="shared" si="296"/>
        <v>30</v>
      </c>
      <c r="U341" s="1327">
        <f t="shared" si="297"/>
        <v>5383.5939447767814</v>
      </c>
      <c r="V341" s="22">
        <v>4</v>
      </c>
      <c r="W341" s="22">
        <f t="shared" si="298"/>
        <v>176</v>
      </c>
      <c r="X341" s="21">
        <f t="shared" si="299"/>
        <v>2</v>
      </c>
      <c r="Y341" s="22">
        <f t="shared" si="300"/>
        <v>58.342144215861538</v>
      </c>
      <c r="Z341" s="22">
        <v>5</v>
      </c>
      <c r="AA341" s="22">
        <f t="shared" si="301"/>
        <v>10</v>
      </c>
      <c r="AB341" s="22"/>
      <c r="AC341" s="22">
        <f t="shared" si="302"/>
        <v>30</v>
      </c>
      <c r="AD341" s="22"/>
      <c r="AE341" s="22"/>
      <c r="AF341" s="1325"/>
      <c r="AG341" s="22"/>
      <c r="AH341" s="22"/>
      <c r="AI341" s="22"/>
      <c r="AJ341" s="130"/>
      <c r="AK341" s="130"/>
      <c r="AL341" s="130"/>
      <c r="AM341" s="130"/>
      <c r="AN341" s="22"/>
      <c r="AO341" s="22"/>
      <c r="AP341" s="22"/>
      <c r="AQ341" s="22"/>
      <c r="AR341" s="22"/>
      <c r="AS341" s="22"/>
    </row>
    <row r="342" spans="1:68" ht="15.5">
      <c r="A342" s="3" t="s">
        <v>255</v>
      </c>
      <c r="B342" s="3" t="s">
        <v>255</v>
      </c>
      <c r="C342" s="5">
        <v>46266</v>
      </c>
      <c r="D342" s="1070">
        <f>'YN01'!$J$238</f>
        <v>350</v>
      </c>
      <c r="E342" s="1318">
        <f>'YN01'!$L$238</f>
        <v>2556.5694852620586</v>
      </c>
      <c r="F342" s="1070">
        <f>'YN01'!$K$238</f>
        <v>176</v>
      </c>
      <c r="G342" s="8">
        <f>'YN01'!$H$238</f>
        <v>0.94957983193277296</v>
      </c>
      <c r="H342" s="8">
        <f>'YN01'!$I$238</f>
        <v>0.9</v>
      </c>
      <c r="I342" s="9">
        <f t="shared" si="287"/>
        <v>21534.375779107126</v>
      </c>
      <c r="J342" s="10">
        <f>Multiply!B33</f>
        <v>6981.954758677788</v>
      </c>
      <c r="K342" s="10"/>
      <c r="L342" s="11">
        <f t="shared" si="288"/>
        <v>0.32422368915154498</v>
      </c>
      <c r="M342" s="12">
        <f t="shared" si="293"/>
        <v>57.063369290671915</v>
      </c>
      <c r="N342" s="12">
        <f t="shared" si="294"/>
        <v>1.2968947566061799</v>
      </c>
      <c r="O342" s="12">
        <f t="shared" si="289"/>
        <v>2</v>
      </c>
      <c r="P342" s="13">
        <f t="shared" si="295"/>
        <v>10</v>
      </c>
      <c r="Q342" s="13">
        <f t="shared" si="290"/>
        <v>30</v>
      </c>
      <c r="R342" s="13">
        <f t="shared" si="291"/>
        <v>30</v>
      </c>
      <c r="S342" s="13"/>
      <c r="T342" s="13">
        <f t="shared" si="296"/>
        <v>30</v>
      </c>
      <c r="U342" s="1327">
        <f t="shared" si="297"/>
        <v>5383.5939447767814</v>
      </c>
      <c r="V342" s="22">
        <v>4</v>
      </c>
      <c r="W342" s="22">
        <f t="shared" si="298"/>
        <v>176</v>
      </c>
      <c r="X342" s="21">
        <f t="shared" si="299"/>
        <v>2</v>
      </c>
      <c r="Y342" s="22">
        <f t="shared" si="300"/>
        <v>57.063369290671915</v>
      </c>
      <c r="Z342" s="22">
        <v>5</v>
      </c>
      <c r="AA342" s="22">
        <f t="shared" si="301"/>
        <v>10</v>
      </c>
      <c r="AB342" s="22"/>
      <c r="AC342" s="22">
        <f t="shared" si="302"/>
        <v>30</v>
      </c>
      <c r="AD342" s="22"/>
      <c r="AE342" s="22"/>
      <c r="AF342" s="1325"/>
      <c r="AG342" s="22"/>
      <c r="AH342" s="22"/>
      <c r="AI342" s="22"/>
      <c r="AJ342" s="130"/>
      <c r="AK342" s="130"/>
      <c r="AL342" s="130"/>
      <c r="AM342" s="130"/>
      <c r="AN342" s="22"/>
      <c r="AO342" s="22"/>
      <c r="AP342" s="22"/>
      <c r="AQ342" s="22"/>
      <c r="AR342" s="22"/>
      <c r="AS342" s="22"/>
    </row>
    <row r="343" spans="1:68" ht="15.5">
      <c r="A343" s="3" t="s">
        <v>255</v>
      </c>
      <c r="B343" s="3" t="s">
        <v>255</v>
      </c>
      <c r="C343" s="5">
        <v>46296</v>
      </c>
      <c r="D343" s="1070">
        <f>'YN01'!$J$238</f>
        <v>350</v>
      </c>
      <c r="E343" s="1318">
        <f>'YN01'!$L$238</f>
        <v>2556.5694852620586</v>
      </c>
      <c r="F343" s="1070">
        <f>'YN01'!$K$238</f>
        <v>176</v>
      </c>
      <c r="G343" s="8">
        <f>'YN01'!$H$238</f>
        <v>0.94957983193277296</v>
      </c>
      <c r="H343" s="8">
        <f>'YN01'!$I$238</f>
        <v>0.9</v>
      </c>
      <c r="I343" s="9">
        <f t="shared" si="287"/>
        <v>21534.375779107126</v>
      </c>
      <c r="J343" s="10">
        <f>Multiply!B34</f>
        <v>7277.1793683538617</v>
      </c>
      <c r="K343" s="10"/>
      <c r="L343" s="11">
        <f t="shared" si="288"/>
        <v>0.33793314665820295</v>
      </c>
      <c r="M343" s="12">
        <f t="shared" si="293"/>
        <v>59.47623381184372</v>
      </c>
      <c r="N343" s="12">
        <f t="shared" si="294"/>
        <v>1.3517325866328118</v>
      </c>
      <c r="O343" s="12">
        <f t="shared" si="289"/>
        <v>2</v>
      </c>
      <c r="P343" s="13">
        <f t="shared" si="295"/>
        <v>10</v>
      </c>
      <c r="Q343" s="13">
        <f t="shared" si="290"/>
        <v>30</v>
      </c>
      <c r="R343" s="13">
        <f t="shared" si="291"/>
        <v>30</v>
      </c>
      <c r="S343" s="13"/>
      <c r="T343" s="13">
        <f t="shared" si="296"/>
        <v>30</v>
      </c>
      <c r="U343" s="1327">
        <f t="shared" si="297"/>
        <v>5383.5939447767814</v>
      </c>
      <c r="V343" s="22">
        <v>4</v>
      </c>
      <c r="W343" s="22">
        <f t="shared" si="298"/>
        <v>176</v>
      </c>
      <c r="X343" s="21">
        <f t="shared" si="299"/>
        <v>2</v>
      </c>
      <c r="Y343" s="22">
        <f t="shared" si="300"/>
        <v>59.47623381184372</v>
      </c>
      <c r="Z343" s="22">
        <v>5</v>
      </c>
      <c r="AA343" s="22">
        <f t="shared" si="301"/>
        <v>10</v>
      </c>
      <c r="AB343" s="22"/>
      <c r="AC343" s="22">
        <f t="shared" si="302"/>
        <v>30</v>
      </c>
      <c r="AD343" s="22"/>
      <c r="AE343" s="22"/>
      <c r="AF343" s="1325"/>
      <c r="AG343" s="22"/>
      <c r="AH343" s="22"/>
      <c r="AI343" s="22"/>
      <c r="AJ343" s="130"/>
      <c r="AK343" s="130"/>
      <c r="AL343" s="130"/>
      <c r="AM343" s="130"/>
      <c r="AN343" s="22"/>
      <c r="AO343" s="22"/>
      <c r="AP343" s="22"/>
      <c r="AQ343" s="22"/>
      <c r="AR343" s="22"/>
      <c r="AS343" s="22"/>
    </row>
    <row r="344" spans="1:68" ht="15.5">
      <c r="A344" s="3" t="s">
        <v>255</v>
      </c>
      <c r="B344" s="3" t="s">
        <v>255</v>
      </c>
      <c r="C344" s="5">
        <v>46327</v>
      </c>
      <c r="D344" s="1070">
        <f>'YN01'!$J$238</f>
        <v>350</v>
      </c>
      <c r="E344" s="1318">
        <f>'YN01'!$L$238</f>
        <v>2556.5694852620586</v>
      </c>
      <c r="F344" s="1070">
        <f>'YN01'!$K$238</f>
        <v>176</v>
      </c>
      <c r="G344" s="8">
        <f>'YN01'!$H$238</f>
        <v>0.94957983193277296</v>
      </c>
      <c r="H344" s="8">
        <f>'YN01'!$I$238</f>
        <v>0.9</v>
      </c>
      <c r="I344" s="9">
        <f t="shared" si="287"/>
        <v>21534.375779107126</v>
      </c>
      <c r="J344" s="10">
        <f>Multiply!B35</f>
        <v>8173.2848880736401</v>
      </c>
      <c r="K344" s="10"/>
      <c r="L344" s="11">
        <f t="shared" si="288"/>
        <v>0.37954593956716615</v>
      </c>
      <c r="M344" s="12">
        <f t="shared" si="293"/>
        <v>66.800085363821239</v>
      </c>
      <c r="N344" s="12">
        <f t="shared" si="294"/>
        <v>1.5181837582686646</v>
      </c>
      <c r="O344" s="12">
        <f t="shared" si="289"/>
        <v>2</v>
      </c>
      <c r="P344" s="13">
        <f t="shared" si="295"/>
        <v>10</v>
      </c>
      <c r="Q344" s="13">
        <f t="shared" si="290"/>
        <v>30</v>
      </c>
      <c r="R344" s="13">
        <f t="shared" si="291"/>
        <v>30</v>
      </c>
      <c r="S344" s="13"/>
      <c r="T344" s="13">
        <f t="shared" si="296"/>
        <v>30</v>
      </c>
      <c r="U344" s="1327">
        <f t="shared" si="297"/>
        <v>5383.5939447767814</v>
      </c>
      <c r="V344" s="22">
        <v>4</v>
      </c>
      <c r="W344" s="22">
        <f t="shared" si="298"/>
        <v>176</v>
      </c>
      <c r="X344" s="21">
        <f t="shared" si="299"/>
        <v>2</v>
      </c>
      <c r="Y344" s="22">
        <f t="shared" si="300"/>
        <v>66.800085363821239</v>
      </c>
      <c r="Z344" s="22">
        <v>5</v>
      </c>
      <c r="AA344" s="22">
        <f t="shared" si="301"/>
        <v>10</v>
      </c>
      <c r="AB344" s="22"/>
      <c r="AC344" s="22">
        <f t="shared" si="302"/>
        <v>30</v>
      </c>
      <c r="AD344" s="22"/>
      <c r="AE344" s="22"/>
      <c r="AF344" s="1325"/>
      <c r="AG344" s="22"/>
      <c r="AH344" s="22"/>
      <c r="AI344" s="22"/>
      <c r="AJ344" s="130"/>
      <c r="AK344" s="130"/>
      <c r="AL344" s="130"/>
      <c r="AM344" s="130"/>
      <c r="AN344" s="22"/>
      <c r="AO344" s="22"/>
      <c r="AP344" s="22"/>
      <c r="AQ344" s="22"/>
      <c r="AR344" s="22"/>
      <c r="AS344" s="22"/>
    </row>
    <row r="345" spans="1:68" ht="15.5">
      <c r="A345" s="3" t="s">
        <v>255</v>
      </c>
      <c r="B345" s="3" t="s">
        <v>255</v>
      </c>
      <c r="C345" s="5">
        <v>46357</v>
      </c>
      <c r="D345" s="1070">
        <f>'YN01'!$J$238</f>
        <v>350</v>
      </c>
      <c r="E345" s="1318">
        <f>'YN01'!$L$238</f>
        <v>2556.5694852620586</v>
      </c>
      <c r="F345" s="1070">
        <f>'YN01'!$K$238</f>
        <v>176</v>
      </c>
      <c r="G345" s="8">
        <f>'YN01'!$H$238</f>
        <v>0.94957983193277296</v>
      </c>
      <c r="H345" s="8">
        <f>'YN01'!$I$238</f>
        <v>0.9</v>
      </c>
      <c r="I345" s="9">
        <f t="shared" si="287"/>
        <v>21534.375779107126</v>
      </c>
      <c r="J345" s="10">
        <f>Multiply!B36</f>
        <v>11712.603854551255</v>
      </c>
      <c r="K345" s="10"/>
      <c r="L345" s="11">
        <f t="shared" si="288"/>
        <v>0.54390264081464312</v>
      </c>
      <c r="M345" s="12">
        <f t="shared" si="293"/>
        <v>95.726864783377195</v>
      </c>
      <c r="N345" s="12">
        <f t="shared" si="294"/>
        <v>2.1756105632585725</v>
      </c>
      <c r="O345" s="12">
        <f t="shared" si="289"/>
        <v>3</v>
      </c>
      <c r="P345" s="13">
        <f t="shared" si="295"/>
        <v>15</v>
      </c>
      <c r="Q345" s="13">
        <f t="shared" si="290"/>
        <v>45</v>
      </c>
      <c r="R345" s="13">
        <f t="shared" si="291"/>
        <v>45</v>
      </c>
      <c r="S345" s="13"/>
      <c r="T345" s="13">
        <f t="shared" si="296"/>
        <v>45</v>
      </c>
      <c r="U345" s="1327">
        <f t="shared" si="297"/>
        <v>5383.5939447767814</v>
      </c>
      <c r="V345" s="22">
        <v>4</v>
      </c>
      <c r="W345" s="22">
        <f t="shared" si="298"/>
        <v>176</v>
      </c>
      <c r="X345" s="21">
        <f t="shared" si="299"/>
        <v>3</v>
      </c>
      <c r="Y345" s="22">
        <f t="shared" si="300"/>
        <v>95.726864783377195</v>
      </c>
      <c r="Z345" s="22">
        <v>5</v>
      </c>
      <c r="AA345" s="22">
        <f t="shared" si="301"/>
        <v>15</v>
      </c>
      <c r="AB345" s="22"/>
      <c r="AC345" s="22">
        <f t="shared" si="302"/>
        <v>45</v>
      </c>
      <c r="AD345" s="22"/>
      <c r="AE345" s="22"/>
      <c r="AF345" s="1325"/>
      <c r="AG345" s="22"/>
      <c r="AH345" s="22"/>
      <c r="AI345" s="22"/>
      <c r="AJ345" s="130"/>
      <c r="AK345" s="130"/>
      <c r="AL345" s="130"/>
      <c r="AM345" s="130"/>
      <c r="AN345" s="22"/>
      <c r="AO345" s="22"/>
      <c r="AP345" s="22"/>
      <c r="AQ345" s="22"/>
      <c r="AR345" s="22"/>
      <c r="AS345" s="22"/>
    </row>
    <row r="346" spans="1:68" ht="15.5">
      <c r="A346" s="3" t="s">
        <v>255</v>
      </c>
      <c r="B346" s="3" t="s">
        <v>255</v>
      </c>
      <c r="C346" s="5">
        <v>46388</v>
      </c>
      <c r="D346" s="1070">
        <f>'YN01'!$J$238</f>
        <v>350</v>
      </c>
      <c r="E346" s="1318">
        <f>'YN01'!$L$238</f>
        <v>2556.5694852620586</v>
      </c>
      <c r="F346" s="1070">
        <f>'YN01'!$K$238</f>
        <v>176</v>
      </c>
      <c r="G346" s="8">
        <f>'YN01'!$H$238</f>
        <v>0.94957983193277296</v>
      </c>
      <c r="H346" s="8">
        <f>'YN01'!$I$238</f>
        <v>0.9</v>
      </c>
      <c r="I346" s="9">
        <f t="shared" si="287"/>
        <v>21534.375779107126</v>
      </c>
      <c r="J346" s="10">
        <f>Multiply!B37</f>
        <v>6657.2644062060244</v>
      </c>
      <c r="K346" s="10"/>
      <c r="L346" s="11">
        <f t="shared" si="288"/>
        <v>0.30914591973754685</v>
      </c>
      <c r="M346" s="12">
        <f t="shared" si="293"/>
        <v>54.409681873808246</v>
      </c>
      <c r="N346" s="12">
        <f t="shared" si="294"/>
        <v>1.2365836789501874</v>
      </c>
      <c r="O346" s="12">
        <f t="shared" si="289"/>
        <v>2</v>
      </c>
      <c r="P346" s="13">
        <f t="shared" si="295"/>
        <v>10</v>
      </c>
      <c r="Q346" s="13">
        <f t="shared" si="290"/>
        <v>30</v>
      </c>
      <c r="R346" s="13">
        <f t="shared" si="291"/>
        <v>30</v>
      </c>
      <c r="S346" s="13"/>
      <c r="T346" s="13">
        <f t="shared" si="296"/>
        <v>30</v>
      </c>
      <c r="U346" s="1327">
        <f t="shared" si="297"/>
        <v>5383.5939447767814</v>
      </c>
      <c r="V346" s="22">
        <v>4</v>
      </c>
      <c r="W346" s="22">
        <f t="shared" si="298"/>
        <v>176</v>
      </c>
      <c r="X346" s="21">
        <f t="shared" si="299"/>
        <v>2</v>
      </c>
      <c r="Y346" s="22">
        <f t="shared" si="300"/>
        <v>54.409681873808246</v>
      </c>
      <c r="Z346" s="22">
        <v>5</v>
      </c>
      <c r="AA346" s="22">
        <f t="shared" si="301"/>
        <v>10</v>
      </c>
      <c r="AB346" s="22"/>
      <c r="AC346" s="22">
        <f t="shared" si="302"/>
        <v>30</v>
      </c>
      <c r="AD346" s="22"/>
      <c r="AE346" s="22"/>
      <c r="AF346" s="1325"/>
      <c r="AG346" s="22"/>
      <c r="AH346" s="22"/>
      <c r="AI346" s="22"/>
      <c r="AJ346" s="130"/>
      <c r="AK346" s="130"/>
      <c r="AL346" s="130"/>
      <c r="AM346" s="130"/>
      <c r="AN346" s="22"/>
      <c r="AO346" s="22"/>
      <c r="AP346" s="22"/>
      <c r="AQ346" s="22"/>
      <c r="AR346" s="22"/>
      <c r="AS346" s="22"/>
    </row>
    <row r="347" spans="1:68" ht="15.5">
      <c r="A347" s="3" t="s">
        <v>255</v>
      </c>
      <c r="B347" s="3" t="s">
        <v>255</v>
      </c>
      <c r="C347" s="5">
        <v>46419</v>
      </c>
      <c r="D347" s="1070">
        <f>'YN01'!$J$238</f>
        <v>350</v>
      </c>
      <c r="E347" s="1318">
        <f>'YN01'!$L$238</f>
        <v>2556.5694852620586</v>
      </c>
      <c r="F347" s="1070">
        <f>'YN01'!$K$238</f>
        <v>176</v>
      </c>
      <c r="G347" s="8">
        <f>'YN01'!$H$238</f>
        <v>0.94957983193277296</v>
      </c>
      <c r="H347" s="8">
        <f>'YN01'!$I$238</f>
        <v>0.9</v>
      </c>
      <c r="I347" s="9">
        <f t="shared" si="287"/>
        <v>21534.375779107126</v>
      </c>
      <c r="J347" s="10">
        <f>Multiply!B38</f>
        <v>7963.8524180259901</v>
      </c>
      <c r="K347" s="10"/>
      <c r="L347" s="11">
        <f t="shared" si="288"/>
        <v>0.36982044428483513</v>
      </c>
      <c r="M347" s="12">
        <f t="shared" si="293"/>
        <v>65.088398194130988</v>
      </c>
      <c r="N347" s="12">
        <f t="shared" si="294"/>
        <v>1.4792817771393407</v>
      </c>
      <c r="O347" s="12">
        <f t="shared" si="289"/>
        <v>2</v>
      </c>
      <c r="P347" s="13">
        <f t="shared" si="295"/>
        <v>10</v>
      </c>
      <c r="Q347" s="13">
        <f t="shared" si="290"/>
        <v>30</v>
      </c>
      <c r="R347" s="13">
        <f t="shared" si="291"/>
        <v>30</v>
      </c>
      <c r="S347" s="13"/>
      <c r="T347" s="13">
        <f t="shared" si="296"/>
        <v>30</v>
      </c>
      <c r="U347" s="1327">
        <f t="shared" si="297"/>
        <v>5383.5939447767814</v>
      </c>
      <c r="V347" s="22">
        <v>4</v>
      </c>
      <c r="W347" s="22">
        <f t="shared" si="298"/>
        <v>176</v>
      </c>
      <c r="X347" s="21">
        <f t="shared" si="299"/>
        <v>2</v>
      </c>
      <c r="Y347" s="22">
        <f t="shared" si="300"/>
        <v>65.088398194130988</v>
      </c>
      <c r="Z347" s="22">
        <v>5</v>
      </c>
      <c r="AA347" s="22">
        <f t="shared" si="301"/>
        <v>10</v>
      </c>
      <c r="AB347" s="22"/>
      <c r="AC347" s="22">
        <f t="shared" si="302"/>
        <v>30</v>
      </c>
      <c r="AD347" s="22"/>
      <c r="AE347" s="22"/>
      <c r="AF347" s="1325"/>
      <c r="AG347" s="22"/>
      <c r="AH347" s="22"/>
      <c r="AI347" s="22"/>
      <c r="AJ347" s="130"/>
      <c r="AK347" s="130"/>
      <c r="AL347" s="130"/>
      <c r="AM347" s="130"/>
      <c r="AN347" s="22"/>
      <c r="AO347" s="22"/>
      <c r="AP347" s="22"/>
      <c r="AQ347" s="22"/>
      <c r="AR347" s="22"/>
      <c r="AS347" s="22"/>
    </row>
    <row r="348" spans="1:68" ht="15.5">
      <c r="A348" s="3" t="s">
        <v>255</v>
      </c>
      <c r="B348" s="3" t="s">
        <v>255</v>
      </c>
      <c r="C348" s="5">
        <v>46447</v>
      </c>
      <c r="D348" s="1070">
        <f>'YN01'!$J$238</f>
        <v>350</v>
      </c>
      <c r="E348" s="1318">
        <f>'YN01'!$L$238</f>
        <v>2556.5694852620586</v>
      </c>
      <c r="F348" s="1070">
        <f>'YN01'!$K$238</f>
        <v>176</v>
      </c>
      <c r="G348" s="8">
        <f>'YN01'!$H$238</f>
        <v>0.94957983193277296</v>
      </c>
      <c r="H348" s="8">
        <f>'YN01'!$I$238</f>
        <v>0.9</v>
      </c>
      <c r="I348" s="9">
        <f t="shared" si="287"/>
        <v>21534.375779107126</v>
      </c>
      <c r="J348" s="10">
        <f>Multiply!B39</f>
        <v>5910.8985164476026</v>
      </c>
      <c r="K348" s="10"/>
      <c r="L348" s="11">
        <f t="shared" si="288"/>
        <v>0.27448664298792524</v>
      </c>
      <c r="M348" s="12">
        <f t="shared" si="293"/>
        <v>48.309649165874845</v>
      </c>
      <c r="N348" s="12">
        <f t="shared" si="294"/>
        <v>1.097946571951701</v>
      </c>
      <c r="O348" s="12">
        <f t="shared" si="289"/>
        <v>2</v>
      </c>
      <c r="P348" s="13">
        <f t="shared" si="295"/>
        <v>10</v>
      </c>
      <c r="Q348" s="13">
        <f t="shared" si="290"/>
        <v>30</v>
      </c>
      <c r="R348" s="13">
        <f t="shared" si="291"/>
        <v>30</v>
      </c>
      <c r="S348" s="13"/>
      <c r="T348" s="13">
        <f t="shared" si="296"/>
        <v>30</v>
      </c>
      <c r="U348" s="1327">
        <f t="shared" si="297"/>
        <v>5383.5939447767814</v>
      </c>
      <c r="V348" s="22">
        <v>4</v>
      </c>
      <c r="W348" s="22">
        <f t="shared" si="298"/>
        <v>176</v>
      </c>
      <c r="X348" s="21">
        <f t="shared" si="299"/>
        <v>2</v>
      </c>
      <c r="Y348" s="22">
        <f t="shared" si="300"/>
        <v>48.309649165874845</v>
      </c>
      <c r="Z348" s="22">
        <v>5</v>
      </c>
      <c r="AA348" s="22">
        <f t="shared" si="301"/>
        <v>10</v>
      </c>
      <c r="AB348" s="22"/>
      <c r="AC348" s="22">
        <f t="shared" si="302"/>
        <v>30</v>
      </c>
      <c r="AD348" s="22"/>
      <c r="AE348" s="22"/>
      <c r="AF348" s="1325"/>
      <c r="AG348" s="22"/>
      <c r="AH348" s="22"/>
      <c r="AI348" s="22"/>
      <c r="AJ348" s="130"/>
      <c r="AK348" s="130"/>
      <c r="AL348" s="130"/>
      <c r="AM348" s="130"/>
      <c r="AN348" s="22"/>
      <c r="AO348" s="22"/>
      <c r="AP348" s="22"/>
      <c r="AQ348" s="22"/>
      <c r="AR348" s="22"/>
      <c r="AS348" s="22"/>
    </row>
    <row r="349" spans="1:68">
      <c r="O349" s="44">
        <f>AVERAGE(O337:O348)</f>
        <v>2.0833333333333335</v>
      </c>
      <c r="P349" s="323">
        <f t="shared" si="295"/>
        <v>10.416666666666668</v>
      </c>
      <c r="Q349" s="213">
        <f t="shared" si="290"/>
        <v>31.250000000000004</v>
      </c>
      <c r="R349" s="213">
        <f t="shared" si="291"/>
        <v>32</v>
      </c>
      <c r="S349" s="213"/>
      <c r="T349" s="13"/>
      <c r="U349" s="1327"/>
      <c r="V349" s="22"/>
      <c r="W349" s="22"/>
      <c r="X349" s="21"/>
      <c r="Y349" s="22"/>
      <c r="Z349" s="22"/>
      <c r="AA349" s="22"/>
      <c r="AB349" s="22"/>
      <c r="AC349" s="22"/>
      <c r="AD349" s="22"/>
      <c r="AE349" s="22"/>
      <c r="AF349" s="1325"/>
      <c r="AG349" s="22"/>
      <c r="AH349" s="22"/>
      <c r="AI349" s="22"/>
      <c r="AJ349" s="130"/>
      <c r="AK349" s="130"/>
      <c r="AL349" s="130"/>
      <c r="AM349" s="130"/>
      <c r="AN349" s="130"/>
      <c r="AO349" s="130"/>
      <c r="AP349" s="130"/>
      <c r="AQ349" s="130"/>
      <c r="AR349" s="130"/>
      <c r="AS349" s="130"/>
    </row>
    <row r="351" spans="1:68" ht="40.5" customHeight="1">
      <c r="A351" s="1" t="s">
        <v>0</v>
      </c>
      <c r="B351" s="1" t="s">
        <v>1</v>
      </c>
      <c r="C351" s="1" t="s">
        <v>2</v>
      </c>
      <c r="D351" s="799" t="s">
        <v>3</v>
      </c>
      <c r="E351" s="1" t="s">
        <v>4</v>
      </c>
      <c r="F351" s="1" t="s">
        <v>5</v>
      </c>
      <c r="G351" s="1" t="s">
        <v>6</v>
      </c>
      <c r="H351" s="1" t="s">
        <v>7</v>
      </c>
      <c r="I351" s="1" t="s">
        <v>8</v>
      </c>
      <c r="J351" s="1" t="s">
        <v>9</v>
      </c>
      <c r="K351" s="1"/>
      <c r="L351" s="1" t="s">
        <v>10</v>
      </c>
      <c r="M351" s="1" t="s">
        <v>10</v>
      </c>
      <c r="N351" s="1" t="s">
        <v>11</v>
      </c>
      <c r="O351" s="1" t="s">
        <v>11</v>
      </c>
      <c r="P351" s="1" t="s">
        <v>12</v>
      </c>
      <c r="Q351" s="1" t="s">
        <v>13</v>
      </c>
      <c r="R351" s="1" t="s">
        <v>13</v>
      </c>
      <c r="S351" s="1"/>
      <c r="T351" s="1" t="s">
        <v>14</v>
      </c>
      <c r="U351" s="851" t="s">
        <v>1561</v>
      </c>
      <c r="V351" s="851" t="s">
        <v>1517</v>
      </c>
      <c r="W351" s="851" t="s">
        <v>1518</v>
      </c>
      <c r="X351" s="851" t="s">
        <v>873</v>
      </c>
      <c r="Y351" s="851" t="s">
        <v>1519</v>
      </c>
      <c r="Z351" s="851" t="s">
        <v>1520</v>
      </c>
      <c r="AA351" s="851" t="s">
        <v>1521</v>
      </c>
      <c r="AB351" s="851" t="s">
        <v>1521</v>
      </c>
      <c r="AC351" s="851" t="s">
        <v>1562</v>
      </c>
      <c r="AD351" s="851" t="s">
        <v>537</v>
      </c>
      <c r="AE351" s="851"/>
      <c r="AF351" s="1337"/>
      <c r="AG351" s="851"/>
      <c r="AH351" s="851"/>
      <c r="AI351" s="851"/>
      <c r="AJ351" s="935"/>
      <c r="AK351" s="935"/>
      <c r="AL351" s="935"/>
      <c r="AM351" s="935"/>
      <c r="AN351" s="851"/>
      <c r="AO351" s="851"/>
      <c r="AP351" s="851"/>
      <c r="AQ351" s="851"/>
      <c r="AR351" s="851"/>
      <c r="AS351" s="851"/>
    </row>
    <row r="352" spans="1:68" ht="15.5">
      <c r="A352" s="3" t="s">
        <v>256</v>
      </c>
      <c r="B352" s="3" t="s">
        <v>256</v>
      </c>
      <c r="C352" s="5">
        <v>46113</v>
      </c>
      <c r="D352" s="769">
        <f>'YN01'!$J$265</f>
        <v>65.293107678069291</v>
      </c>
      <c r="E352" s="1318">
        <f>'YN01'!$L$265</f>
        <v>2556.5694852620586</v>
      </c>
      <c r="F352" s="1070">
        <f>'YN01'!$K$265</f>
        <v>519.99999999999989</v>
      </c>
      <c r="G352" s="8">
        <f>'YN01'!$H$265</f>
        <v>0.94957983193277296</v>
      </c>
      <c r="H352" s="8">
        <f>'YN01'!$I$265</f>
        <v>0.9</v>
      </c>
      <c r="I352" s="9">
        <f t="shared" ref="I352:I363" si="303">E352*D352*F352*0.00016*H352*G352</f>
        <v>11869.222152485861</v>
      </c>
      <c r="J352" s="10">
        <f>Multiply!D28</f>
        <v>5622.564964599731</v>
      </c>
      <c r="K352" s="10"/>
      <c r="L352" s="11">
        <f t="shared" ref="L352:L363" si="304">J352/I352</f>
        <v>0.4737096409828469</v>
      </c>
      <c r="M352" s="12">
        <f>IF((L352*F352)&gt;F352,F352,(L352*F352))</f>
        <v>246.32901331108033</v>
      </c>
      <c r="N352" s="12">
        <f>M352/104</f>
        <v>2.3685482049142341</v>
      </c>
      <c r="O352" s="12">
        <f t="shared" ref="O352:O363" si="305">ROUNDUP(N352,0)</f>
        <v>3</v>
      </c>
      <c r="P352" s="13">
        <f>O352*1.5</f>
        <v>4.5</v>
      </c>
      <c r="Q352" s="13">
        <f t="shared" ref="Q352:Q363" si="306">P352*3</f>
        <v>13.5</v>
      </c>
      <c r="R352" s="13">
        <f t="shared" ref="R352:R363" si="307">ROUNDUP(Q352,0)</f>
        <v>14</v>
      </c>
      <c r="S352" s="13"/>
      <c r="T352" s="13">
        <f>R352</f>
        <v>14</v>
      </c>
      <c r="U352" s="1327">
        <f t="shared" ref="U352" si="308">I352/V352</f>
        <v>2373.8444304971722</v>
      </c>
      <c r="V352" s="22">
        <v>5</v>
      </c>
      <c r="W352" s="22">
        <f>104*5</f>
        <v>520</v>
      </c>
      <c r="X352" s="21">
        <f>ROUNDUP(IF(J352&gt;I352,V352,J352/U352),0)</f>
        <v>3</v>
      </c>
      <c r="Y352" s="22">
        <f>W352*L352</f>
        <v>246.32901331108039</v>
      </c>
      <c r="Z352" s="22">
        <v>1.5</v>
      </c>
      <c r="AA352" s="22">
        <f>Z352*X352</f>
        <v>4.5</v>
      </c>
      <c r="AB352" s="22"/>
      <c r="AC352" s="22">
        <f>ROUNDUP(AA352*3,0)</f>
        <v>14</v>
      </c>
      <c r="AD352" s="22" t="s">
        <v>1560</v>
      </c>
      <c r="AE352" s="22"/>
      <c r="AF352" s="1325"/>
      <c r="AG352" s="22"/>
      <c r="AH352" s="22"/>
      <c r="AI352" s="22"/>
      <c r="AJ352" s="130"/>
      <c r="AK352" s="130"/>
      <c r="AL352" s="130"/>
      <c r="AM352" s="130"/>
      <c r="AN352" s="22"/>
      <c r="AO352" s="22"/>
      <c r="AP352" s="22"/>
      <c r="AQ352" s="22"/>
      <c r="AR352" s="22"/>
      <c r="AS352" s="22"/>
      <c r="AT352" s="316"/>
      <c r="AU352" s="316"/>
      <c r="AV352" s="316"/>
      <c r="AW352" s="316"/>
      <c r="AX352" s="316"/>
      <c r="AY352" s="316"/>
      <c r="AZ352" s="316"/>
      <c r="BA352" s="316"/>
      <c r="BB352" s="316"/>
      <c r="BC352" s="316"/>
      <c r="BD352" s="316"/>
      <c r="BE352" s="316"/>
      <c r="BF352" s="316"/>
      <c r="BG352" s="316"/>
      <c r="BH352" s="316"/>
      <c r="BI352" s="316"/>
      <c r="BJ352" s="316"/>
      <c r="BK352" s="316"/>
      <c r="BL352" s="316"/>
      <c r="BM352" s="316"/>
      <c r="BN352" s="316"/>
      <c r="BO352" s="149">
        <f>ROUNDUP((5*1.5)*3,0)</f>
        <v>23</v>
      </c>
    </row>
    <row r="353" spans="1:67" ht="15.5">
      <c r="A353" s="3" t="s">
        <v>256</v>
      </c>
      <c r="B353" s="3" t="s">
        <v>256</v>
      </c>
      <c r="C353" s="5">
        <v>46143</v>
      </c>
      <c r="D353" s="1070">
        <f>'YN01'!$J$265</f>
        <v>65.293107678069291</v>
      </c>
      <c r="E353" s="1318">
        <f>'YN01'!$L$265</f>
        <v>2556.5694852620586</v>
      </c>
      <c r="F353" s="1070">
        <f>'YN01'!$K$265</f>
        <v>519.99999999999989</v>
      </c>
      <c r="G353" s="8">
        <f>'YN01'!$H$265</f>
        <v>0.94957983193277296</v>
      </c>
      <c r="H353" s="8">
        <f>'YN01'!$I$265</f>
        <v>0.9</v>
      </c>
      <c r="I353" s="9">
        <f t="shared" si="303"/>
        <v>11869.222152485861</v>
      </c>
      <c r="J353" s="10">
        <f>Multiply!D29</f>
        <v>6890.4034571148713</v>
      </c>
      <c r="K353" s="10"/>
      <c r="L353" s="11">
        <f t="shared" si="304"/>
        <v>0.58052696028372519</v>
      </c>
      <c r="M353" s="12">
        <f t="shared" ref="M353:M363" si="309">IF((L353*F353)&gt;F353,F353,(L353*F353))</f>
        <v>301.87401934753706</v>
      </c>
      <c r="N353" s="12">
        <f t="shared" ref="N353:N363" si="310">M353/104</f>
        <v>2.9026348014186256</v>
      </c>
      <c r="O353" s="12">
        <f t="shared" si="305"/>
        <v>3</v>
      </c>
      <c r="P353" s="13">
        <f t="shared" ref="P353:P363" si="311">O353*1.5</f>
        <v>4.5</v>
      </c>
      <c r="Q353" s="13">
        <f t="shared" si="306"/>
        <v>13.5</v>
      </c>
      <c r="R353" s="13">
        <f t="shared" si="307"/>
        <v>14</v>
      </c>
      <c r="S353" s="13"/>
      <c r="T353" s="13">
        <f t="shared" ref="T353:T363" si="312">R353</f>
        <v>14</v>
      </c>
      <c r="U353" s="1327">
        <f t="shared" ref="U353:U363" si="313">I353/V353</f>
        <v>2373.8444304971722</v>
      </c>
      <c r="V353" s="22">
        <v>5</v>
      </c>
      <c r="W353" s="22">
        <f t="shared" ref="W353:W363" si="314">104*5</f>
        <v>520</v>
      </c>
      <c r="X353" s="21">
        <f t="shared" ref="X353:X363" si="315">ROUNDUP(IF(J353&gt;I353,V353,J353/U353),0)</f>
        <v>3</v>
      </c>
      <c r="Y353" s="22">
        <f t="shared" ref="Y353:Y363" si="316">W353*L353</f>
        <v>301.87401934753711</v>
      </c>
      <c r="Z353" s="22">
        <v>1.5</v>
      </c>
      <c r="AA353" s="22">
        <f t="shared" ref="AA353:AA363" si="317">Z353*X353</f>
        <v>4.5</v>
      </c>
      <c r="AB353" s="22"/>
      <c r="AC353" s="22">
        <f t="shared" ref="AC353:AC363" si="318">ROUNDUP(AA353*3,0)</f>
        <v>14</v>
      </c>
      <c r="AD353" s="22"/>
      <c r="AE353" s="22"/>
      <c r="AF353" s="1325"/>
      <c r="AG353" s="22"/>
      <c r="AH353" s="22"/>
      <c r="AI353" s="22"/>
      <c r="AJ353" s="130"/>
      <c r="AK353" s="130"/>
      <c r="AL353" s="130"/>
      <c r="AM353" s="130"/>
      <c r="AN353" s="22"/>
      <c r="AO353" s="22"/>
      <c r="AP353" s="22"/>
      <c r="AQ353" s="22"/>
      <c r="AR353" s="22"/>
      <c r="AS353" s="22"/>
    </row>
    <row r="354" spans="1:67" ht="15.5">
      <c r="A354" s="3" t="s">
        <v>256</v>
      </c>
      <c r="B354" s="3" t="s">
        <v>256</v>
      </c>
      <c r="C354" s="5">
        <v>46174</v>
      </c>
      <c r="D354" s="1070">
        <f>'YN01'!$J$265</f>
        <v>65.293107678069291</v>
      </c>
      <c r="E354" s="1318">
        <f>'YN01'!$L$265</f>
        <v>2556.5694852620586</v>
      </c>
      <c r="F354" s="1070">
        <f>'YN01'!$K$265</f>
        <v>519.99999999999989</v>
      </c>
      <c r="G354" s="8">
        <f>'YN01'!$H$265</f>
        <v>0.94957983193277296</v>
      </c>
      <c r="H354" s="8">
        <f>'YN01'!$I$265</f>
        <v>0.9</v>
      </c>
      <c r="I354" s="9">
        <f t="shared" si="303"/>
        <v>11869.222152485861</v>
      </c>
      <c r="J354" s="10">
        <f>Multiply!D30</f>
        <v>7301.7361695315067</v>
      </c>
      <c r="K354" s="10"/>
      <c r="L354" s="11">
        <f t="shared" si="304"/>
        <v>0.61518236626839518</v>
      </c>
      <c r="M354" s="12">
        <f t="shared" si="309"/>
        <v>319.89483045956541</v>
      </c>
      <c r="N354" s="12">
        <f t="shared" si="310"/>
        <v>3.0759118313419753</v>
      </c>
      <c r="O354" s="12">
        <f t="shared" si="305"/>
        <v>4</v>
      </c>
      <c r="P354" s="13">
        <f t="shared" si="311"/>
        <v>6</v>
      </c>
      <c r="Q354" s="13">
        <f t="shared" si="306"/>
        <v>18</v>
      </c>
      <c r="R354" s="13">
        <f t="shared" si="307"/>
        <v>18</v>
      </c>
      <c r="S354" s="13"/>
      <c r="T354" s="13">
        <f t="shared" si="312"/>
        <v>18</v>
      </c>
      <c r="U354" s="1327">
        <f t="shared" si="313"/>
        <v>2373.8444304971722</v>
      </c>
      <c r="V354" s="22">
        <v>5</v>
      </c>
      <c r="W354" s="22">
        <f t="shared" si="314"/>
        <v>520</v>
      </c>
      <c r="X354" s="21">
        <f t="shared" si="315"/>
        <v>4</v>
      </c>
      <c r="Y354" s="22">
        <f t="shared" si="316"/>
        <v>319.89483045956547</v>
      </c>
      <c r="Z354" s="22">
        <v>1.5</v>
      </c>
      <c r="AA354" s="22">
        <f t="shared" si="317"/>
        <v>6</v>
      </c>
      <c r="AB354" s="22"/>
      <c r="AC354" s="22">
        <f t="shared" si="318"/>
        <v>18</v>
      </c>
      <c r="AD354" s="22"/>
      <c r="AE354" s="22"/>
      <c r="AF354" s="1325"/>
      <c r="AG354" s="22"/>
      <c r="AH354" s="22"/>
      <c r="AI354" s="22"/>
      <c r="AJ354" s="130"/>
      <c r="AK354" s="130"/>
      <c r="AL354" s="130"/>
      <c r="AM354" s="130"/>
      <c r="AN354" s="22"/>
      <c r="AO354" s="22"/>
      <c r="AP354" s="22"/>
      <c r="AQ354" s="22"/>
      <c r="AR354" s="22"/>
      <c r="AS354" s="22"/>
    </row>
    <row r="355" spans="1:67" ht="15.5">
      <c r="A355" s="3" t="s">
        <v>256</v>
      </c>
      <c r="B355" s="3" t="s">
        <v>256</v>
      </c>
      <c r="C355" s="5">
        <v>46204</v>
      </c>
      <c r="D355" s="1070">
        <f>'YN01'!$J$265</f>
        <v>65.293107678069291</v>
      </c>
      <c r="E355" s="1318">
        <f>'YN01'!$L$265</f>
        <v>2556.5694852620586</v>
      </c>
      <c r="F355" s="1070">
        <f>'YN01'!$K$265</f>
        <v>519.99999999999989</v>
      </c>
      <c r="G355" s="8">
        <f>'YN01'!$H$265</f>
        <v>0.94957983193277296</v>
      </c>
      <c r="H355" s="8">
        <f>'YN01'!$I$265</f>
        <v>0.9</v>
      </c>
      <c r="I355" s="9">
        <f t="shared" si="303"/>
        <v>11869.222152485861</v>
      </c>
      <c r="J355" s="10">
        <f>Multiply!D31</f>
        <v>6087.6181532175024</v>
      </c>
      <c r="K355" s="10"/>
      <c r="L355" s="11">
        <f t="shared" si="304"/>
        <v>0.51289107870834871</v>
      </c>
      <c r="M355" s="12">
        <f t="shared" si="309"/>
        <v>266.70336092834128</v>
      </c>
      <c r="N355" s="12">
        <f t="shared" si="310"/>
        <v>2.5644553935417429</v>
      </c>
      <c r="O355" s="12">
        <f t="shared" si="305"/>
        <v>3</v>
      </c>
      <c r="P355" s="13">
        <f t="shared" si="311"/>
        <v>4.5</v>
      </c>
      <c r="Q355" s="13">
        <f t="shared" si="306"/>
        <v>13.5</v>
      </c>
      <c r="R355" s="13">
        <f t="shared" si="307"/>
        <v>14</v>
      </c>
      <c r="S355" s="13"/>
      <c r="T355" s="13">
        <f t="shared" si="312"/>
        <v>14</v>
      </c>
      <c r="U355" s="1327">
        <f t="shared" si="313"/>
        <v>2373.8444304971722</v>
      </c>
      <c r="V355" s="22">
        <v>5</v>
      </c>
      <c r="W355" s="22">
        <f t="shared" si="314"/>
        <v>520</v>
      </c>
      <c r="X355" s="21">
        <f t="shared" si="315"/>
        <v>3</v>
      </c>
      <c r="Y355" s="22">
        <f t="shared" si="316"/>
        <v>266.70336092834134</v>
      </c>
      <c r="Z355" s="22">
        <v>1.5</v>
      </c>
      <c r="AA355" s="22">
        <f t="shared" si="317"/>
        <v>4.5</v>
      </c>
      <c r="AB355" s="22"/>
      <c r="AC355" s="22">
        <f t="shared" si="318"/>
        <v>14</v>
      </c>
      <c r="AD355" s="22"/>
      <c r="AE355" s="22"/>
      <c r="AF355" s="1325"/>
      <c r="AG355" s="22"/>
      <c r="AH355" s="22"/>
      <c r="AI355" s="22"/>
      <c r="AJ355" s="130"/>
      <c r="AK355" s="130"/>
      <c r="AL355" s="130"/>
      <c r="AM355" s="130"/>
      <c r="AN355" s="22"/>
      <c r="AO355" s="22"/>
      <c r="AP355" s="22"/>
      <c r="AQ355" s="22"/>
      <c r="AR355" s="22"/>
      <c r="AS355" s="22"/>
    </row>
    <row r="356" spans="1:67" ht="15.5">
      <c r="A356" s="3" t="s">
        <v>256</v>
      </c>
      <c r="B356" s="3" t="s">
        <v>256</v>
      </c>
      <c r="C356" s="5">
        <v>46235</v>
      </c>
      <c r="D356" s="1070">
        <f>'YN01'!$J$265</f>
        <v>65.293107678069291</v>
      </c>
      <c r="E356" s="1318">
        <f>'YN01'!$L$265</f>
        <v>2556.5694852620586</v>
      </c>
      <c r="F356" s="1070">
        <f>'YN01'!$K$265</f>
        <v>519.99999999999989</v>
      </c>
      <c r="G356" s="8">
        <f>'YN01'!$H$265</f>
        <v>0.94957983193277296</v>
      </c>
      <c r="H356" s="8">
        <f>'YN01'!$I$265</f>
        <v>0.9</v>
      </c>
      <c r="I356" s="9">
        <f t="shared" si="303"/>
        <v>11869.222152485861</v>
      </c>
      <c r="J356" s="10">
        <f>Multiply!D32</f>
        <v>7138.41850740468</v>
      </c>
      <c r="K356" s="10"/>
      <c r="L356" s="11">
        <f t="shared" si="304"/>
        <v>0.60142260509545076</v>
      </c>
      <c r="M356" s="12">
        <f t="shared" si="309"/>
        <v>312.73975464963434</v>
      </c>
      <c r="N356" s="12">
        <f t="shared" si="310"/>
        <v>3.0071130254772531</v>
      </c>
      <c r="O356" s="12">
        <f t="shared" si="305"/>
        <v>4</v>
      </c>
      <c r="P356" s="13">
        <f t="shared" si="311"/>
        <v>6</v>
      </c>
      <c r="Q356" s="13">
        <f t="shared" si="306"/>
        <v>18</v>
      </c>
      <c r="R356" s="13">
        <f t="shared" si="307"/>
        <v>18</v>
      </c>
      <c r="S356" s="13"/>
      <c r="T356" s="13">
        <f t="shared" si="312"/>
        <v>18</v>
      </c>
      <c r="U356" s="1327">
        <f t="shared" si="313"/>
        <v>2373.8444304971722</v>
      </c>
      <c r="V356" s="22">
        <v>5</v>
      </c>
      <c r="W356" s="22">
        <f t="shared" si="314"/>
        <v>520</v>
      </c>
      <c r="X356" s="21">
        <f t="shared" si="315"/>
        <v>4</v>
      </c>
      <c r="Y356" s="22">
        <f t="shared" si="316"/>
        <v>312.73975464963439</v>
      </c>
      <c r="Z356" s="22">
        <v>1.5</v>
      </c>
      <c r="AA356" s="22">
        <f t="shared" si="317"/>
        <v>6</v>
      </c>
      <c r="AB356" s="22"/>
      <c r="AC356" s="22">
        <f t="shared" si="318"/>
        <v>18</v>
      </c>
      <c r="AD356" s="22"/>
      <c r="AE356" s="22"/>
      <c r="AF356" s="1325"/>
      <c r="AG356" s="22"/>
      <c r="AH356" s="22"/>
      <c r="AI356" s="22"/>
      <c r="AJ356" s="130"/>
      <c r="AK356" s="130"/>
      <c r="AL356" s="130"/>
      <c r="AM356" s="130"/>
      <c r="AN356" s="22"/>
      <c r="AO356" s="22"/>
      <c r="AP356" s="22"/>
      <c r="AQ356" s="22"/>
      <c r="AR356" s="22"/>
      <c r="AS356" s="22"/>
    </row>
    <row r="357" spans="1:67" ht="15.5">
      <c r="A357" s="3" t="s">
        <v>256</v>
      </c>
      <c r="B357" s="3" t="s">
        <v>256</v>
      </c>
      <c r="C357" s="5">
        <v>46266</v>
      </c>
      <c r="D357" s="1070">
        <f>'YN01'!$J$265</f>
        <v>65.293107678069291</v>
      </c>
      <c r="E357" s="1318">
        <f>'YN01'!$L$265</f>
        <v>2556.5694852620586</v>
      </c>
      <c r="F357" s="1070">
        <f>'YN01'!$K$265</f>
        <v>519.99999999999989</v>
      </c>
      <c r="G357" s="8">
        <f>'YN01'!$H$265</f>
        <v>0.94957983193277296</v>
      </c>
      <c r="H357" s="8">
        <f>'YN01'!$I$265</f>
        <v>0.9</v>
      </c>
      <c r="I357" s="9">
        <f t="shared" si="303"/>
        <v>11869.222152485861</v>
      </c>
      <c r="J357" s="10">
        <f>Multiply!D33</f>
        <v>6981.954758677788</v>
      </c>
      <c r="K357" s="10"/>
      <c r="L357" s="11">
        <f t="shared" si="304"/>
        <v>0.58824029654003096</v>
      </c>
      <c r="M357" s="12">
        <f t="shared" si="309"/>
        <v>305.88495420081603</v>
      </c>
      <c r="N357" s="12">
        <f t="shared" si="310"/>
        <v>2.941201482700154</v>
      </c>
      <c r="O357" s="12">
        <f t="shared" si="305"/>
        <v>3</v>
      </c>
      <c r="P357" s="13">
        <f t="shared" si="311"/>
        <v>4.5</v>
      </c>
      <c r="Q357" s="13">
        <f t="shared" si="306"/>
        <v>13.5</v>
      </c>
      <c r="R357" s="13">
        <f t="shared" si="307"/>
        <v>14</v>
      </c>
      <c r="S357" s="13"/>
      <c r="T357" s="13">
        <f t="shared" si="312"/>
        <v>14</v>
      </c>
      <c r="U357" s="1327">
        <f t="shared" si="313"/>
        <v>2373.8444304971722</v>
      </c>
      <c r="V357" s="22">
        <v>5</v>
      </c>
      <c r="W357" s="22">
        <f t="shared" si="314"/>
        <v>520</v>
      </c>
      <c r="X357" s="21">
        <f t="shared" si="315"/>
        <v>3</v>
      </c>
      <c r="Y357" s="22">
        <f t="shared" si="316"/>
        <v>305.88495420081608</v>
      </c>
      <c r="Z357" s="22">
        <v>1.5</v>
      </c>
      <c r="AA357" s="22">
        <f t="shared" si="317"/>
        <v>4.5</v>
      </c>
      <c r="AB357" s="22"/>
      <c r="AC357" s="22">
        <f t="shared" si="318"/>
        <v>14</v>
      </c>
      <c r="AD357" s="22"/>
      <c r="AE357" s="22"/>
      <c r="AF357" s="1325"/>
      <c r="AG357" s="22"/>
      <c r="AH357" s="22"/>
      <c r="AI357" s="22"/>
      <c r="AJ357" s="130"/>
      <c r="AK357" s="130"/>
      <c r="AL357" s="130"/>
      <c r="AM357" s="130"/>
      <c r="AN357" s="22"/>
      <c r="AO357" s="22"/>
      <c r="AP357" s="22"/>
      <c r="AQ357" s="22"/>
      <c r="AR357" s="22"/>
      <c r="AS357" s="22"/>
    </row>
    <row r="358" spans="1:67" ht="15.5">
      <c r="A358" s="3" t="s">
        <v>256</v>
      </c>
      <c r="B358" s="3" t="s">
        <v>256</v>
      </c>
      <c r="C358" s="5">
        <v>46296</v>
      </c>
      <c r="D358" s="1070">
        <f>'YN01'!$J$265</f>
        <v>65.293107678069291</v>
      </c>
      <c r="E358" s="1318">
        <f>'YN01'!$L$265</f>
        <v>2556.5694852620586</v>
      </c>
      <c r="F358" s="1070">
        <f>'YN01'!$K$265</f>
        <v>519.99999999999989</v>
      </c>
      <c r="G358" s="8">
        <f>'YN01'!$H$265</f>
        <v>0.94957983193277296</v>
      </c>
      <c r="H358" s="8">
        <f>'YN01'!$I$265</f>
        <v>0.9</v>
      </c>
      <c r="I358" s="9">
        <f t="shared" si="303"/>
        <v>11869.222152485861</v>
      </c>
      <c r="J358" s="10">
        <f>Multiply!D34</f>
        <v>7277.1793683538617</v>
      </c>
      <c r="K358" s="10"/>
      <c r="L358" s="11">
        <f t="shared" si="304"/>
        <v>0.61311341845849154</v>
      </c>
      <c r="M358" s="12">
        <f t="shared" si="309"/>
        <v>318.81897759841553</v>
      </c>
      <c r="N358" s="12">
        <f t="shared" si="310"/>
        <v>3.0655670922924569</v>
      </c>
      <c r="O358" s="12">
        <f t="shared" si="305"/>
        <v>4</v>
      </c>
      <c r="P358" s="13">
        <f t="shared" si="311"/>
        <v>6</v>
      </c>
      <c r="Q358" s="13">
        <f t="shared" si="306"/>
        <v>18</v>
      </c>
      <c r="R358" s="13">
        <f t="shared" si="307"/>
        <v>18</v>
      </c>
      <c r="S358" s="13"/>
      <c r="T358" s="13">
        <f t="shared" si="312"/>
        <v>18</v>
      </c>
      <c r="U358" s="1327">
        <f t="shared" si="313"/>
        <v>2373.8444304971722</v>
      </c>
      <c r="V358" s="22">
        <v>5</v>
      </c>
      <c r="W358" s="22">
        <f t="shared" si="314"/>
        <v>520</v>
      </c>
      <c r="X358" s="21">
        <f t="shared" si="315"/>
        <v>4</v>
      </c>
      <c r="Y358" s="22">
        <f t="shared" si="316"/>
        <v>318.81897759841559</v>
      </c>
      <c r="Z358" s="22">
        <v>1.5</v>
      </c>
      <c r="AA358" s="22">
        <f t="shared" si="317"/>
        <v>6</v>
      </c>
      <c r="AB358" s="22"/>
      <c r="AC358" s="22">
        <f t="shared" si="318"/>
        <v>18</v>
      </c>
      <c r="AD358" s="22"/>
      <c r="AE358" s="22"/>
      <c r="AF358" s="1325"/>
      <c r="AG358" s="22"/>
      <c r="AH358" s="22"/>
      <c r="AI358" s="22"/>
      <c r="AJ358" s="130"/>
      <c r="AK358" s="130"/>
      <c r="AL358" s="130"/>
      <c r="AM358" s="130"/>
      <c r="AN358" s="22"/>
      <c r="AO358" s="22"/>
      <c r="AP358" s="22"/>
      <c r="AQ358" s="22"/>
      <c r="AR358" s="22"/>
      <c r="AS358" s="22"/>
    </row>
    <row r="359" spans="1:67" ht="15.5">
      <c r="A359" s="3" t="s">
        <v>256</v>
      </c>
      <c r="B359" s="3" t="s">
        <v>256</v>
      </c>
      <c r="C359" s="5">
        <v>46327</v>
      </c>
      <c r="D359" s="1070">
        <f>'YN01'!$J$265</f>
        <v>65.293107678069291</v>
      </c>
      <c r="E359" s="1318">
        <f>'YN01'!$L$265</f>
        <v>2556.5694852620586</v>
      </c>
      <c r="F359" s="1070">
        <f>'YN01'!$K$265</f>
        <v>519.99999999999989</v>
      </c>
      <c r="G359" s="8">
        <f>'YN01'!$H$265</f>
        <v>0.94957983193277296</v>
      </c>
      <c r="H359" s="8">
        <f>'YN01'!$I$265</f>
        <v>0.9</v>
      </c>
      <c r="I359" s="9">
        <f t="shared" si="303"/>
        <v>11869.222152485861</v>
      </c>
      <c r="J359" s="10">
        <f>Multiply!D35</f>
        <v>8173.2848880736401</v>
      </c>
      <c r="K359" s="10"/>
      <c r="L359" s="11">
        <f t="shared" si="304"/>
        <v>0.68861167000415835</v>
      </c>
      <c r="M359" s="12">
        <f t="shared" si="309"/>
        <v>358.07806840216227</v>
      </c>
      <c r="N359" s="12">
        <f t="shared" si="310"/>
        <v>3.4430583500207912</v>
      </c>
      <c r="O359" s="12">
        <f t="shared" si="305"/>
        <v>4</v>
      </c>
      <c r="P359" s="13">
        <f t="shared" si="311"/>
        <v>6</v>
      </c>
      <c r="Q359" s="13">
        <f t="shared" si="306"/>
        <v>18</v>
      </c>
      <c r="R359" s="13">
        <f t="shared" si="307"/>
        <v>18</v>
      </c>
      <c r="S359" s="13"/>
      <c r="T359" s="13">
        <f t="shared" si="312"/>
        <v>18</v>
      </c>
      <c r="U359" s="1327">
        <f t="shared" si="313"/>
        <v>2373.8444304971722</v>
      </c>
      <c r="V359" s="22">
        <v>5</v>
      </c>
      <c r="W359" s="22">
        <f t="shared" si="314"/>
        <v>520</v>
      </c>
      <c r="X359" s="21">
        <f t="shared" si="315"/>
        <v>4</v>
      </c>
      <c r="Y359" s="22">
        <f t="shared" si="316"/>
        <v>358.07806840216233</v>
      </c>
      <c r="Z359" s="22">
        <v>1.5</v>
      </c>
      <c r="AA359" s="22">
        <f t="shared" si="317"/>
        <v>6</v>
      </c>
      <c r="AB359" s="22"/>
      <c r="AC359" s="22">
        <f t="shared" si="318"/>
        <v>18</v>
      </c>
      <c r="AD359" s="22"/>
      <c r="AE359" s="22"/>
      <c r="AF359" s="1325"/>
      <c r="AG359" s="22"/>
      <c r="AH359" s="22"/>
      <c r="AI359" s="22"/>
      <c r="AJ359" s="130"/>
      <c r="AK359" s="130"/>
      <c r="AL359" s="130"/>
      <c r="AM359" s="130"/>
      <c r="AN359" s="22"/>
      <c r="AO359" s="22"/>
      <c r="AP359" s="22"/>
      <c r="AQ359" s="22"/>
      <c r="AR359" s="22"/>
      <c r="AS359" s="22"/>
    </row>
    <row r="360" spans="1:67" ht="15.5">
      <c r="A360" s="3" t="s">
        <v>256</v>
      </c>
      <c r="B360" s="3" t="s">
        <v>256</v>
      </c>
      <c r="C360" s="5">
        <v>46357</v>
      </c>
      <c r="D360" s="1070">
        <f>'YN01'!$J$265</f>
        <v>65.293107678069291</v>
      </c>
      <c r="E360" s="1318">
        <f>'YN01'!$L$265</f>
        <v>2556.5694852620586</v>
      </c>
      <c r="F360" s="1070">
        <f>'YN01'!$K$265</f>
        <v>519.99999999999989</v>
      </c>
      <c r="G360" s="8">
        <f>'YN01'!$H$265</f>
        <v>0.94957983193277296</v>
      </c>
      <c r="H360" s="8">
        <f>'YN01'!$I$265</f>
        <v>0.9</v>
      </c>
      <c r="I360" s="9">
        <f t="shared" si="303"/>
        <v>11869.222152485861</v>
      </c>
      <c r="J360" s="10">
        <f>Multiply!D36</f>
        <v>11712.603854551255</v>
      </c>
      <c r="K360" s="10"/>
      <c r="L360" s="11">
        <f t="shared" si="304"/>
        <v>0.98680467043901399</v>
      </c>
      <c r="M360" s="12">
        <f t="shared" si="309"/>
        <v>513.13842862828722</v>
      </c>
      <c r="N360" s="12">
        <f t="shared" si="310"/>
        <v>4.9340233521950694</v>
      </c>
      <c r="O360" s="12">
        <f t="shared" si="305"/>
        <v>5</v>
      </c>
      <c r="P360" s="13">
        <f t="shared" si="311"/>
        <v>7.5</v>
      </c>
      <c r="Q360" s="13">
        <f t="shared" si="306"/>
        <v>22.5</v>
      </c>
      <c r="R360" s="13">
        <f t="shared" si="307"/>
        <v>23</v>
      </c>
      <c r="S360" s="13"/>
      <c r="T360" s="13">
        <f t="shared" si="312"/>
        <v>23</v>
      </c>
      <c r="U360" s="1327">
        <f t="shared" si="313"/>
        <v>2373.8444304971722</v>
      </c>
      <c r="V360" s="22">
        <v>5</v>
      </c>
      <c r="W360" s="22">
        <f t="shared" si="314"/>
        <v>520</v>
      </c>
      <c r="X360" s="21">
        <f t="shared" si="315"/>
        <v>5</v>
      </c>
      <c r="Y360" s="22">
        <f t="shared" si="316"/>
        <v>513.13842862828733</v>
      </c>
      <c r="Z360" s="22">
        <v>1.5</v>
      </c>
      <c r="AA360" s="22">
        <f t="shared" si="317"/>
        <v>7.5</v>
      </c>
      <c r="AB360" s="22"/>
      <c r="AC360" s="22">
        <f t="shared" si="318"/>
        <v>23</v>
      </c>
      <c r="AD360" s="22"/>
      <c r="AE360" s="22"/>
      <c r="AF360" s="1325"/>
      <c r="AG360" s="22"/>
      <c r="AH360" s="22"/>
      <c r="AI360" s="22"/>
      <c r="AJ360" s="130"/>
      <c r="AK360" s="130"/>
      <c r="AL360" s="130"/>
      <c r="AM360" s="130"/>
      <c r="AN360" s="22"/>
      <c r="AO360" s="22"/>
      <c r="AP360" s="22"/>
      <c r="AQ360" s="22"/>
      <c r="AR360" s="22"/>
      <c r="AS360" s="22"/>
    </row>
    <row r="361" spans="1:67" ht="15.5">
      <c r="A361" s="3" t="s">
        <v>256</v>
      </c>
      <c r="B361" s="3" t="s">
        <v>256</v>
      </c>
      <c r="C361" s="5">
        <v>46388</v>
      </c>
      <c r="D361" s="1070">
        <f>'YN01'!$J$265</f>
        <v>65.293107678069291</v>
      </c>
      <c r="E361" s="1318">
        <f>'YN01'!$L$265</f>
        <v>2556.5694852620586</v>
      </c>
      <c r="F361" s="1070">
        <f>'YN01'!$K$265</f>
        <v>519.99999999999989</v>
      </c>
      <c r="G361" s="8">
        <f>'YN01'!$H$265</f>
        <v>0.94957983193277296</v>
      </c>
      <c r="H361" s="8">
        <f>'YN01'!$I$265</f>
        <v>0.9</v>
      </c>
      <c r="I361" s="9">
        <f t="shared" si="303"/>
        <v>11869.222152485861</v>
      </c>
      <c r="J361" s="10">
        <f>Multiply!D37</f>
        <v>6657.2644062060244</v>
      </c>
      <c r="K361" s="10"/>
      <c r="L361" s="11">
        <f t="shared" si="304"/>
        <v>0.56088464102188385</v>
      </c>
      <c r="M361" s="12">
        <f t="shared" si="309"/>
        <v>291.66001333137956</v>
      </c>
      <c r="N361" s="12">
        <f t="shared" si="310"/>
        <v>2.8044232051094187</v>
      </c>
      <c r="O361" s="12">
        <f t="shared" si="305"/>
        <v>3</v>
      </c>
      <c r="P361" s="13">
        <f t="shared" si="311"/>
        <v>4.5</v>
      </c>
      <c r="Q361" s="13">
        <f t="shared" si="306"/>
        <v>13.5</v>
      </c>
      <c r="R361" s="13">
        <f t="shared" si="307"/>
        <v>14</v>
      </c>
      <c r="S361" s="13"/>
      <c r="T361" s="13">
        <f t="shared" si="312"/>
        <v>14</v>
      </c>
      <c r="U361" s="1327">
        <f t="shared" si="313"/>
        <v>2373.8444304971722</v>
      </c>
      <c r="V361" s="22">
        <v>5</v>
      </c>
      <c r="W361" s="22">
        <f t="shared" si="314"/>
        <v>520</v>
      </c>
      <c r="X361" s="21">
        <f t="shared" si="315"/>
        <v>3</v>
      </c>
      <c r="Y361" s="22">
        <f t="shared" si="316"/>
        <v>291.66001333137962</v>
      </c>
      <c r="Z361" s="22">
        <v>1.5</v>
      </c>
      <c r="AA361" s="22">
        <f t="shared" si="317"/>
        <v>4.5</v>
      </c>
      <c r="AB361" s="22"/>
      <c r="AC361" s="22">
        <f t="shared" si="318"/>
        <v>14</v>
      </c>
      <c r="AD361" s="22"/>
      <c r="AE361" s="22"/>
      <c r="AF361" s="1325"/>
      <c r="AG361" s="22"/>
      <c r="AH361" s="22"/>
      <c r="AI361" s="22"/>
      <c r="AJ361" s="130"/>
      <c r="AK361" s="130"/>
      <c r="AL361" s="130"/>
      <c r="AM361" s="130"/>
      <c r="AN361" s="22"/>
      <c r="AO361" s="22"/>
      <c r="AP361" s="22"/>
      <c r="AQ361" s="22"/>
      <c r="AR361" s="22"/>
      <c r="AS361" s="22"/>
    </row>
    <row r="362" spans="1:67" ht="15.5">
      <c r="A362" s="3" t="s">
        <v>256</v>
      </c>
      <c r="B362" s="3" t="s">
        <v>256</v>
      </c>
      <c r="C362" s="5">
        <v>46419</v>
      </c>
      <c r="D362" s="1070">
        <f>'YN01'!$J$265</f>
        <v>65.293107678069291</v>
      </c>
      <c r="E362" s="1318">
        <f>'YN01'!$L$265</f>
        <v>2556.5694852620586</v>
      </c>
      <c r="F362" s="1070">
        <f>'YN01'!$K$265</f>
        <v>519.99999999999989</v>
      </c>
      <c r="G362" s="8">
        <f>'YN01'!$H$265</f>
        <v>0.94957983193277296</v>
      </c>
      <c r="H362" s="8">
        <f>'YN01'!$I$265</f>
        <v>0.9</v>
      </c>
      <c r="I362" s="9">
        <f t="shared" si="303"/>
        <v>11869.222152485861</v>
      </c>
      <c r="J362" s="10">
        <f>Multiply!D38</f>
        <v>7963.8524180259901</v>
      </c>
      <c r="K362" s="10"/>
      <c r="L362" s="11">
        <f t="shared" si="304"/>
        <v>0.67096666619876688</v>
      </c>
      <c r="M362" s="12">
        <f t="shared" si="309"/>
        <v>348.90266642335871</v>
      </c>
      <c r="N362" s="12">
        <f t="shared" si="310"/>
        <v>3.3548333309938339</v>
      </c>
      <c r="O362" s="12">
        <f t="shared" si="305"/>
        <v>4</v>
      </c>
      <c r="P362" s="13">
        <f t="shared" si="311"/>
        <v>6</v>
      </c>
      <c r="Q362" s="13">
        <f t="shared" si="306"/>
        <v>18</v>
      </c>
      <c r="R362" s="13">
        <f t="shared" si="307"/>
        <v>18</v>
      </c>
      <c r="S362" s="13"/>
      <c r="T362" s="13">
        <f t="shared" si="312"/>
        <v>18</v>
      </c>
      <c r="U362" s="1327">
        <f t="shared" si="313"/>
        <v>2373.8444304971722</v>
      </c>
      <c r="V362" s="22">
        <v>5</v>
      </c>
      <c r="W362" s="22">
        <f t="shared" si="314"/>
        <v>520</v>
      </c>
      <c r="X362" s="21">
        <f t="shared" si="315"/>
        <v>4</v>
      </c>
      <c r="Y362" s="22">
        <f t="shared" si="316"/>
        <v>348.90266642335877</v>
      </c>
      <c r="Z362" s="22">
        <v>1.5</v>
      </c>
      <c r="AA362" s="22">
        <f t="shared" si="317"/>
        <v>6</v>
      </c>
      <c r="AB362" s="22"/>
      <c r="AC362" s="22">
        <f t="shared" si="318"/>
        <v>18</v>
      </c>
      <c r="AD362" s="22"/>
      <c r="AE362" s="22"/>
      <c r="AF362" s="1325"/>
      <c r="AG362" s="22"/>
      <c r="AH362" s="22"/>
      <c r="AI362" s="22"/>
      <c r="AJ362" s="130"/>
      <c r="AK362" s="130"/>
      <c r="AL362" s="130"/>
      <c r="AM362" s="130"/>
      <c r="AN362" s="22"/>
      <c r="AO362" s="22"/>
      <c r="AP362" s="22"/>
      <c r="AQ362" s="22"/>
      <c r="AR362" s="22"/>
      <c r="AS362" s="22"/>
    </row>
    <row r="363" spans="1:67" ht="15.5">
      <c r="A363" s="3" t="s">
        <v>256</v>
      </c>
      <c r="B363" s="3" t="s">
        <v>256</v>
      </c>
      <c r="C363" s="5">
        <v>46447</v>
      </c>
      <c r="D363" s="1070">
        <f>'YN01'!$J$265</f>
        <v>65.293107678069291</v>
      </c>
      <c r="E363" s="1318">
        <f>'YN01'!$L$265</f>
        <v>2556.5694852620586</v>
      </c>
      <c r="F363" s="1070">
        <f>'YN01'!$K$265</f>
        <v>519.99999999999989</v>
      </c>
      <c r="G363" s="8">
        <f>'YN01'!$H$265</f>
        <v>0.94957983193277296</v>
      </c>
      <c r="H363" s="8">
        <f>'YN01'!$I$265</f>
        <v>0.9</v>
      </c>
      <c r="I363" s="9">
        <f t="shared" si="303"/>
        <v>11869.222152485861</v>
      </c>
      <c r="J363" s="10">
        <f>Multiply!D39</f>
        <v>5910.8985164476026</v>
      </c>
      <c r="K363" s="10"/>
      <c r="L363" s="11">
        <f t="shared" si="304"/>
        <v>0.49800218080926545</v>
      </c>
      <c r="M363" s="12">
        <f t="shared" si="309"/>
        <v>258.96113402081795</v>
      </c>
      <c r="N363" s="12">
        <f t="shared" si="310"/>
        <v>2.4900109040463265</v>
      </c>
      <c r="O363" s="12">
        <f t="shared" si="305"/>
        <v>3</v>
      </c>
      <c r="P363" s="13">
        <f t="shared" si="311"/>
        <v>4.5</v>
      </c>
      <c r="Q363" s="13">
        <f t="shared" si="306"/>
        <v>13.5</v>
      </c>
      <c r="R363" s="13">
        <f t="shared" si="307"/>
        <v>14</v>
      </c>
      <c r="S363" s="13"/>
      <c r="T363" s="13">
        <f t="shared" si="312"/>
        <v>14</v>
      </c>
      <c r="U363" s="1327">
        <f t="shared" si="313"/>
        <v>2373.8444304971722</v>
      </c>
      <c r="V363" s="22">
        <v>5</v>
      </c>
      <c r="W363" s="22">
        <f t="shared" si="314"/>
        <v>520</v>
      </c>
      <c r="X363" s="21">
        <f t="shared" si="315"/>
        <v>3</v>
      </c>
      <c r="Y363" s="22">
        <f t="shared" si="316"/>
        <v>258.96113402081801</v>
      </c>
      <c r="Z363" s="22">
        <v>1.5</v>
      </c>
      <c r="AA363" s="22">
        <f t="shared" si="317"/>
        <v>4.5</v>
      </c>
      <c r="AB363" s="22"/>
      <c r="AC363" s="22">
        <f t="shared" si="318"/>
        <v>14</v>
      </c>
      <c r="AD363" s="22"/>
      <c r="AE363" s="22"/>
      <c r="AF363" s="1325"/>
      <c r="AG363" s="22"/>
      <c r="AH363" s="22"/>
      <c r="AI363" s="22"/>
      <c r="AJ363" s="130"/>
      <c r="AK363" s="130"/>
      <c r="AL363" s="130"/>
      <c r="AM363" s="130"/>
      <c r="AN363" s="22"/>
      <c r="AO363" s="22"/>
      <c r="AP363" s="22"/>
      <c r="AQ363" s="22"/>
      <c r="AR363" s="22"/>
      <c r="AS363" s="22"/>
    </row>
    <row r="364" spans="1:67">
      <c r="O364" s="44"/>
      <c r="P364" s="322"/>
      <c r="Q364" s="322"/>
      <c r="R364" s="322"/>
      <c r="S364" s="322"/>
      <c r="T364" s="213"/>
      <c r="U364" s="130"/>
      <c r="V364" s="130"/>
      <c r="W364" s="130"/>
      <c r="X364" s="130"/>
      <c r="Y364" s="130"/>
      <c r="Z364" s="130"/>
      <c r="AA364" s="130"/>
      <c r="AB364" s="130"/>
      <c r="AC364" s="130"/>
      <c r="AD364" s="130"/>
      <c r="AE364" s="130"/>
      <c r="AF364" s="1336"/>
      <c r="AG364" s="130"/>
      <c r="AH364" s="130"/>
      <c r="AI364" s="130"/>
      <c r="AJ364" s="130"/>
      <c r="AK364" s="130"/>
      <c r="AL364" s="130"/>
      <c r="AM364" s="130"/>
      <c r="AN364" s="130"/>
      <c r="AO364" s="130"/>
      <c r="AP364" s="130"/>
      <c r="AQ364" s="130"/>
      <c r="AR364" s="130"/>
      <c r="AS364" s="130"/>
    </row>
    <row r="366" spans="1:67" ht="43.5">
      <c r="A366" s="1" t="s">
        <v>0</v>
      </c>
      <c r="B366" s="1" t="s">
        <v>1</v>
      </c>
      <c r="C366" s="1" t="s">
        <v>2</v>
      </c>
      <c r="D366" s="799" t="s">
        <v>3</v>
      </c>
      <c r="E366" s="1" t="s">
        <v>4</v>
      </c>
      <c r="F366" s="1" t="s">
        <v>5</v>
      </c>
      <c r="G366" s="1" t="s">
        <v>6</v>
      </c>
      <c r="H366" s="1" t="s">
        <v>7</v>
      </c>
      <c r="I366" s="1" t="s">
        <v>8</v>
      </c>
      <c r="J366" s="1" t="s">
        <v>9</v>
      </c>
      <c r="K366" s="1"/>
      <c r="L366" s="1" t="s">
        <v>10</v>
      </c>
      <c r="M366" s="1" t="s">
        <v>342</v>
      </c>
      <c r="N366" s="1" t="s">
        <v>28</v>
      </c>
      <c r="O366" s="1" t="s">
        <v>343</v>
      </c>
      <c r="P366" s="1" t="s">
        <v>12</v>
      </c>
      <c r="Q366" s="1" t="s">
        <v>13</v>
      </c>
      <c r="R366" s="1" t="s">
        <v>13</v>
      </c>
      <c r="S366" s="1"/>
      <c r="T366" s="1" t="s">
        <v>14</v>
      </c>
      <c r="U366" s="851" t="s">
        <v>1561</v>
      </c>
      <c r="V366" s="851" t="s">
        <v>1517</v>
      </c>
      <c r="W366" s="851" t="s">
        <v>1518</v>
      </c>
      <c r="X366" s="851" t="s">
        <v>873</v>
      </c>
      <c r="Y366" s="851" t="s">
        <v>1519</v>
      </c>
      <c r="Z366" s="851" t="s">
        <v>1520</v>
      </c>
      <c r="AA366" s="851" t="s">
        <v>1521</v>
      </c>
      <c r="AB366" s="851" t="s">
        <v>1521</v>
      </c>
      <c r="AC366" s="851" t="s">
        <v>1562</v>
      </c>
      <c r="AD366" s="851" t="s">
        <v>537</v>
      </c>
      <c r="AE366" s="851"/>
      <c r="AF366" s="1337"/>
      <c r="AG366" s="851"/>
      <c r="AH366" s="851"/>
      <c r="AI366" s="851"/>
      <c r="AJ366" s="935"/>
      <c r="AK366" s="935"/>
      <c r="AL366" s="935"/>
      <c r="AM366" s="935"/>
      <c r="AN366" s="851"/>
      <c r="AO366" s="851"/>
      <c r="AP366" s="851"/>
      <c r="AQ366" s="851"/>
      <c r="AR366" s="851"/>
      <c r="AS366" s="851"/>
      <c r="BO366" s="320">
        <v>3</v>
      </c>
    </row>
    <row r="367" spans="1:67" ht="15.5">
      <c r="A367" s="3" t="s">
        <v>254</v>
      </c>
      <c r="B367" s="3" t="s">
        <v>254</v>
      </c>
      <c r="C367" s="5">
        <v>46113</v>
      </c>
      <c r="D367" s="769"/>
      <c r="E367" s="7"/>
      <c r="F367" s="4"/>
      <c r="G367" s="8"/>
      <c r="H367" s="8"/>
      <c r="I367" s="9">
        <f>(24/2.33)*294*2.5</f>
        <v>7570.8154506437768</v>
      </c>
      <c r="J367" s="10">
        <f>Multiply!F28</f>
        <v>2505.3433584891382</v>
      </c>
      <c r="K367" s="10"/>
      <c r="L367" s="11">
        <f t="shared" ref="L367:L378" si="319">J367/I367</f>
        <v>0.33092120324714808</v>
      </c>
      <c r="M367" s="12">
        <f>J367/I367</f>
        <v>0.33092120324714808</v>
      </c>
      <c r="N367" s="854">
        <f>M367/0.33</f>
        <v>1.0027915249913577</v>
      </c>
      <c r="O367" s="854">
        <f t="shared" ref="O367:O378" si="320">ROUNDUP(N367,0)</f>
        <v>2</v>
      </c>
      <c r="P367" s="13">
        <v>3</v>
      </c>
      <c r="Q367" s="13"/>
      <c r="R367" s="13"/>
      <c r="S367" s="13"/>
      <c r="T367" s="13">
        <f>P367*O367</f>
        <v>6</v>
      </c>
      <c r="U367" s="1327">
        <f t="shared" ref="U367" si="321">I367/V367</f>
        <v>7570.8154506437768</v>
      </c>
      <c r="V367" s="22">
        <v>1</v>
      </c>
      <c r="W367" s="22"/>
      <c r="X367" s="21">
        <f>IF(J367&gt;I367,V367,J367/U367)</f>
        <v>0.33092120324714808</v>
      </c>
      <c r="Y367" s="22"/>
      <c r="Z367" s="22">
        <v>3</v>
      </c>
      <c r="AA367" s="22">
        <f t="shared" ref="AA367" si="322">Z367*X367</f>
        <v>0.99276360974144429</v>
      </c>
      <c r="AB367" s="22"/>
      <c r="AC367" s="614">
        <f>(IF(X367&lt;0.34,1,IF(X367&gt;0.34,IF(X367&gt;0.66,3,2))))*Z367</f>
        <v>3</v>
      </c>
      <c r="AD367" s="22"/>
      <c r="AE367" s="22"/>
      <c r="AF367" s="1325"/>
      <c r="AG367" s="22"/>
      <c r="AH367" s="22"/>
      <c r="AI367" s="22"/>
      <c r="AJ367" s="130"/>
      <c r="AK367" s="130"/>
      <c r="AL367" s="130"/>
      <c r="AM367" s="130"/>
      <c r="AN367" s="22"/>
      <c r="AO367" s="22"/>
      <c r="AP367" s="22"/>
      <c r="AQ367" s="22"/>
      <c r="AR367" s="22"/>
      <c r="AS367" s="22"/>
      <c r="AT367">
        <f>T367+T352+T337+T322+T307</f>
        <v>83</v>
      </c>
      <c r="AV367">
        <f>SUM('Manpower Allocation'!$N$7:$N$11)</f>
        <v>24</v>
      </c>
      <c r="AW367">
        <f t="shared" ref="AW367:AW378" si="323">AV367+AT367</f>
        <v>107</v>
      </c>
    </row>
    <row r="368" spans="1:67" ht="15.5">
      <c r="A368" s="3" t="s">
        <v>254</v>
      </c>
      <c r="B368" s="3" t="s">
        <v>254</v>
      </c>
      <c r="C368" s="5">
        <v>46143</v>
      </c>
      <c r="D368" s="769"/>
      <c r="E368" s="7"/>
      <c r="F368" s="4"/>
      <c r="G368" s="8"/>
      <c r="H368" s="8"/>
      <c r="I368" s="9">
        <f t="shared" ref="I368:I378" si="324">(24/2.33)*294*2.5</f>
        <v>7570.8154506437768</v>
      </c>
      <c r="J368" s="10">
        <f>Multiply!F29</f>
        <v>2671.3540583544168</v>
      </c>
      <c r="K368" s="10"/>
      <c r="L368" s="11">
        <f t="shared" si="319"/>
        <v>0.35284892040622401</v>
      </c>
      <c r="M368" s="12">
        <f t="shared" ref="M368:M378" si="325">J368/I368</f>
        <v>0.35284892040622401</v>
      </c>
      <c r="N368" s="854">
        <f t="shared" ref="N368:N378" si="326">M368/0.33</f>
        <v>1.0692391527461333</v>
      </c>
      <c r="O368" s="854">
        <f t="shared" si="320"/>
        <v>2</v>
      </c>
      <c r="P368" s="13">
        <v>3</v>
      </c>
      <c r="Q368" s="13"/>
      <c r="R368" s="13"/>
      <c r="S368" s="13"/>
      <c r="T368" s="13">
        <f t="shared" ref="T368:T378" si="327">P368*O368</f>
        <v>6</v>
      </c>
      <c r="U368" s="1327">
        <f t="shared" ref="U368:U378" si="328">I368/V368</f>
        <v>7570.8154506437768</v>
      </c>
      <c r="V368" s="22">
        <v>1</v>
      </c>
      <c r="W368" s="22"/>
      <c r="X368" s="21">
        <f t="shared" ref="X368:X378" si="329">IF(J368&gt;I368,V368,J368/U368)</f>
        <v>0.35284892040622401</v>
      </c>
      <c r="Y368" s="22"/>
      <c r="Z368" s="22">
        <v>3</v>
      </c>
      <c r="AA368" s="22">
        <f t="shared" ref="AA368:AA378" si="330">Z368*X368</f>
        <v>1.0585467612186721</v>
      </c>
      <c r="AB368" s="22"/>
      <c r="AC368" s="614">
        <f t="shared" ref="AC368:AC370" si="331">(IF(X368&lt;0.34,1,IF(X368&gt;0.34,IF(X368&gt;0.66,3,2))))*Z368</f>
        <v>6</v>
      </c>
      <c r="AD368" s="22"/>
      <c r="AE368" s="22"/>
      <c r="AF368" s="1325"/>
      <c r="AG368" s="22"/>
      <c r="AH368" s="22"/>
      <c r="AI368" s="22"/>
      <c r="AJ368" s="130"/>
      <c r="AK368" s="130"/>
      <c r="AL368" s="130"/>
      <c r="AM368" s="130"/>
      <c r="AN368" s="22"/>
      <c r="AO368" s="22"/>
      <c r="AP368" s="22"/>
      <c r="AQ368" s="22"/>
      <c r="AR368" s="22"/>
      <c r="AS368" s="22"/>
      <c r="AT368">
        <f>T368+T353+T338+T323+T308</f>
        <v>97</v>
      </c>
      <c r="AV368">
        <f>SUM('Manpower Allocation'!$N$7:$N$11)</f>
        <v>24</v>
      </c>
      <c r="AW368">
        <f t="shared" si="323"/>
        <v>121</v>
      </c>
    </row>
    <row r="369" spans="1:49" ht="15.5">
      <c r="A369" s="3" t="s">
        <v>254</v>
      </c>
      <c r="B369" s="3" t="s">
        <v>254</v>
      </c>
      <c r="C369" s="5">
        <v>46174</v>
      </c>
      <c r="D369" s="769"/>
      <c r="E369" s="7"/>
      <c r="F369" s="4"/>
      <c r="G369" s="8"/>
      <c r="H369" s="8"/>
      <c r="I369" s="9">
        <f t="shared" si="324"/>
        <v>7570.8154506437768</v>
      </c>
      <c r="J369" s="10">
        <f>Multiply!F30</f>
        <v>2540.7190704652007</v>
      </c>
      <c r="K369" s="10"/>
      <c r="L369" s="11">
        <f t="shared" si="319"/>
        <v>0.33559384547527876</v>
      </c>
      <c r="M369" s="12">
        <f t="shared" si="325"/>
        <v>0.33559384547527876</v>
      </c>
      <c r="N369" s="854">
        <f t="shared" si="326"/>
        <v>1.016951046894784</v>
      </c>
      <c r="O369" s="854">
        <f t="shared" si="320"/>
        <v>2</v>
      </c>
      <c r="P369" s="13">
        <v>3</v>
      </c>
      <c r="Q369" s="13"/>
      <c r="R369" s="13"/>
      <c r="S369" s="13"/>
      <c r="T369" s="13">
        <f t="shared" si="327"/>
        <v>6</v>
      </c>
      <c r="U369" s="1327">
        <f t="shared" si="328"/>
        <v>7570.8154506437768</v>
      </c>
      <c r="V369" s="22">
        <v>1</v>
      </c>
      <c r="W369" s="22"/>
      <c r="X369" s="21">
        <f t="shared" si="329"/>
        <v>0.33559384547527876</v>
      </c>
      <c r="Y369" s="22"/>
      <c r="Z369" s="22">
        <v>3</v>
      </c>
      <c r="AA369" s="22">
        <f t="shared" si="330"/>
        <v>1.0067815364258363</v>
      </c>
      <c r="AB369" s="22"/>
      <c r="AC369" s="1338">
        <f t="shared" si="331"/>
        <v>3</v>
      </c>
      <c r="AD369" s="22"/>
      <c r="AE369" s="22"/>
      <c r="AF369" s="1325"/>
      <c r="AG369" s="22"/>
      <c r="AH369" s="22"/>
      <c r="AI369" s="22"/>
      <c r="AJ369" s="130"/>
      <c r="AK369" s="130"/>
      <c r="AL369" s="130"/>
      <c r="AM369" s="130"/>
      <c r="AN369" s="22"/>
      <c r="AO369" s="22"/>
      <c r="AP369" s="22"/>
      <c r="AQ369" s="22"/>
      <c r="AR369" s="22"/>
      <c r="AS369" s="22"/>
      <c r="AT369">
        <f t="shared" ref="AT369:AT378" si="332">T369+T354+T339+T324+T309</f>
        <v>104</v>
      </c>
      <c r="AV369">
        <f>SUM('Manpower Allocation'!$N$7:$N$11)</f>
        <v>24</v>
      </c>
      <c r="AW369">
        <f t="shared" si="323"/>
        <v>128</v>
      </c>
    </row>
    <row r="370" spans="1:49" ht="15.5">
      <c r="A370" s="3" t="s">
        <v>254</v>
      </c>
      <c r="B370" s="3" t="s">
        <v>254</v>
      </c>
      <c r="C370" s="5">
        <v>46204</v>
      </c>
      <c r="D370" s="769"/>
      <c r="E370" s="7"/>
      <c r="F370" s="4"/>
      <c r="G370" s="8"/>
      <c r="H370" s="8"/>
      <c r="I370" s="9">
        <f t="shared" si="324"/>
        <v>7570.8154506437768</v>
      </c>
      <c r="J370" s="10">
        <f>Multiply!F31</f>
        <v>2770.1589874852198</v>
      </c>
      <c r="K370" s="10"/>
      <c r="L370" s="11">
        <f t="shared" si="319"/>
        <v>0.36589968485490715</v>
      </c>
      <c r="M370" s="12">
        <f t="shared" si="325"/>
        <v>0.36589968485490715</v>
      </c>
      <c r="N370" s="854">
        <f t="shared" si="326"/>
        <v>1.1087869238027488</v>
      </c>
      <c r="O370" s="854">
        <f t="shared" si="320"/>
        <v>2</v>
      </c>
      <c r="P370" s="13">
        <v>3</v>
      </c>
      <c r="Q370" s="13"/>
      <c r="R370" s="13"/>
      <c r="S370" s="13"/>
      <c r="T370" s="13">
        <f t="shared" si="327"/>
        <v>6</v>
      </c>
      <c r="U370" s="1327">
        <f t="shared" si="328"/>
        <v>7570.8154506437768</v>
      </c>
      <c r="V370" s="22">
        <v>1</v>
      </c>
      <c r="W370" s="22"/>
      <c r="X370" s="21">
        <f t="shared" si="329"/>
        <v>0.36589968485490715</v>
      </c>
      <c r="Y370" s="22"/>
      <c r="Z370" s="22">
        <v>3</v>
      </c>
      <c r="AA370" s="22">
        <f t="shared" si="330"/>
        <v>1.0976990545647214</v>
      </c>
      <c r="AB370" s="22"/>
      <c r="AC370" s="614">
        <f t="shared" si="331"/>
        <v>6</v>
      </c>
      <c r="AD370" s="22"/>
      <c r="AE370" s="22"/>
      <c r="AF370" s="1325"/>
      <c r="AG370" s="22"/>
      <c r="AH370" s="22"/>
      <c r="AI370" s="22"/>
      <c r="AJ370" s="130"/>
      <c r="AK370" s="130"/>
      <c r="AL370" s="130"/>
      <c r="AM370" s="130"/>
      <c r="AN370" s="22"/>
      <c r="AO370" s="22"/>
      <c r="AP370" s="22"/>
      <c r="AQ370" s="22"/>
      <c r="AR370" s="22"/>
      <c r="AS370" s="22"/>
      <c r="AT370">
        <f t="shared" si="332"/>
        <v>86</v>
      </c>
      <c r="AV370">
        <f>SUM('Manpower Allocation'!$N$7:$N$11)</f>
        <v>24</v>
      </c>
      <c r="AW370">
        <f t="shared" si="323"/>
        <v>110</v>
      </c>
    </row>
    <row r="371" spans="1:49" ht="15.5">
      <c r="A371" s="3" t="s">
        <v>254</v>
      </c>
      <c r="B371" s="3" t="s">
        <v>254</v>
      </c>
      <c r="C371" s="5">
        <v>46235</v>
      </c>
      <c r="D371" s="769"/>
      <c r="E371" s="7"/>
      <c r="F371" s="4"/>
      <c r="G371" s="8"/>
      <c r="H371" s="8"/>
      <c r="I371" s="9">
        <f t="shared" si="324"/>
        <v>7570.8154506437768</v>
      </c>
      <c r="J371" s="10">
        <f>Multiply!F32</f>
        <v>2383.0684442240977</v>
      </c>
      <c r="K371" s="10"/>
      <c r="L371" s="11">
        <f t="shared" si="319"/>
        <v>0.31477037840374988</v>
      </c>
      <c r="M371" s="12">
        <f t="shared" si="325"/>
        <v>0.31477037840374988</v>
      </c>
      <c r="N371" s="854">
        <f t="shared" si="326"/>
        <v>0.95384963152651481</v>
      </c>
      <c r="O371" s="854">
        <f t="shared" si="320"/>
        <v>1</v>
      </c>
      <c r="P371" s="13">
        <v>3</v>
      </c>
      <c r="Q371" s="13"/>
      <c r="R371" s="13"/>
      <c r="S371" s="13"/>
      <c r="T371" s="13">
        <f t="shared" si="327"/>
        <v>3</v>
      </c>
      <c r="U371" s="1327">
        <f t="shared" si="328"/>
        <v>7570.8154506437768</v>
      </c>
      <c r="V371" s="22">
        <v>1</v>
      </c>
      <c r="W371" s="22"/>
      <c r="X371" s="21">
        <f t="shared" si="329"/>
        <v>0.31477037840374988</v>
      </c>
      <c r="Y371" s="22"/>
      <c r="Z371" s="22">
        <v>3</v>
      </c>
      <c r="AA371" s="22">
        <f t="shared" si="330"/>
        <v>0.94431113521124965</v>
      </c>
      <c r="AB371" s="22"/>
      <c r="AC371" s="614">
        <f t="shared" ref="AC371:AC378" si="333">(IF(X371&lt;0.35,1,IF(X371&gt;0.34,IF(X371&gt;0.66,3,2))))*Z371</f>
        <v>3</v>
      </c>
      <c r="AD371" s="22"/>
      <c r="AE371" s="22"/>
      <c r="AF371" s="1325"/>
      <c r="AG371" s="22"/>
      <c r="AH371" s="22"/>
      <c r="AI371" s="22"/>
      <c r="AJ371" s="130"/>
      <c r="AK371" s="130"/>
      <c r="AL371" s="130"/>
      <c r="AM371" s="130"/>
      <c r="AN371" s="22"/>
      <c r="AO371" s="22"/>
      <c r="AP371" s="22"/>
      <c r="AQ371" s="22"/>
      <c r="AR371" s="22"/>
      <c r="AS371" s="22"/>
      <c r="AT371">
        <f t="shared" si="332"/>
        <v>101</v>
      </c>
      <c r="AV371">
        <f>SUM('Manpower Allocation'!$N$7:$N$11)</f>
        <v>24</v>
      </c>
      <c r="AW371">
        <f t="shared" si="323"/>
        <v>125</v>
      </c>
    </row>
    <row r="372" spans="1:49" ht="15.5">
      <c r="A372" s="3" t="s">
        <v>254</v>
      </c>
      <c r="B372" s="3" t="s">
        <v>254</v>
      </c>
      <c r="C372" s="5">
        <v>46266</v>
      </c>
      <c r="D372" s="769"/>
      <c r="E372" s="7"/>
      <c r="F372" s="4"/>
      <c r="G372" s="8"/>
      <c r="H372" s="8"/>
      <c r="I372" s="9">
        <f t="shared" si="324"/>
        <v>7570.8154506437768</v>
      </c>
      <c r="J372" s="10">
        <f>Multiply!F33</f>
        <v>2551.1421627286522</v>
      </c>
      <c r="K372" s="10"/>
      <c r="L372" s="11">
        <f t="shared" si="319"/>
        <v>0.33697059178898864</v>
      </c>
      <c r="M372" s="12">
        <f t="shared" si="325"/>
        <v>0.33697059178898864</v>
      </c>
      <c r="N372" s="854">
        <f t="shared" si="326"/>
        <v>1.0211230054211777</v>
      </c>
      <c r="O372" s="854">
        <f t="shared" si="320"/>
        <v>2</v>
      </c>
      <c r="P372" s="13">
        <v>3</v>
      </c>
      <c r="Q372" s="13"/>
      <c r="R372" s="13"/>
      <c r="S372" s="13"/>
      <c r="T372" s="13">
        <f t="shared" si="327"/>
        <v>6</v>
      </c>
      <c r="U372" s="1327">
        <f t="shared" si="328"/>
        <v>7570.8154506437768</v>
      </c>
      <c r="V372" s="22">
        <v>1</v>
      </c>
      <c r="W372" s="22"/>
      <c r="X372" s="21">
        <f t="shared" si="329"/>
        <v>0.33697059178898864</v>
      </c>
      <c r="Y372" s="22"/>
      <c r="Z372" s="22">
        <v>3</v>
      </c>
      <c r="AA372" s="22">
        <f t="shared" si="330"/>
        <v>1.0109117753669659</v>
      </c>
      <c r="AB372" s="22"/>
      <c r="AC372" s="1338">
        <f t="shared" si="333"/>
        <v>3</v>
      </c>
      <c r="AD372" s="22"/>
      <c r="AE372" s="22"/>
      <c r="AF372" s="1325"/>
      <c r="AG372" s="22"/>
      <c r="AH372" s="22"/>
      <c r="AI372" s="22"/>
      <c r="AJ372" s="130"/>
      <c r="AK372" s="130"/>
      <c r="AL372" s="130"/>
      <c r="AM372" s="130"/>
      <c r="AN372" s="22"/>
      <c r="AO372" s="22"/>
      <c r="AP372" s="22"/>
      <c r="AQ372" s="22"/>
      <c r="AR372" s="22"/>
      <c r="AS372" s="22"/>
      <c r="AT372">
        <f t="shared" si="332"/>
        <v>97</v>
      </c>
      <c r="AV372">
        <f>SUM('Manpower Allocation'!$N$7:$N$11)</f>
        <v>24</v>
      </c>
      <c r="AW372">
        <f t="shared" si="323"/>
        <v>121</v>
      </c>
    </row>
    <row r="373" spans="1:49" ht="15.5">
      <c r="A373" s="3" t="s">
        <v>254</v>
      </c>
      <c r="B373" s="3" t="s">
        <v>254</v>
      </c>
      <c r="C373" s="5">
        <v>46296</v>
      </c>
      <c r="D373" s="769"/>
      <c r="E373" s="7"/>
      <c r="F373" s="4"/>
      <c r="G373" s="8"/>
      <c r="H373" s="8"/>
      <c r="I373" s="9">
        <f t="shared" si="324"/>
        <v>7570.8154506437768</v>
      </c>
      <c r="J373" s="10">
        <f>Multiply!F34</f>
        <v>2528.115222206307</v>
      </c>
      <c r="K373" s="10"/>
      <c r="L373" s="11">
        <f t="shared" si="319"/>
        <v>0.33392905145922308</v>
      </c>
      <c r="M373" s="12">
        <f t="shared" si="325"/>
        <v>0.33392905145922308</v>
      </c>
      <c r="N373" s="854">
        <f t="shared" si="326"/>
        <v>1.0119062165431001</v>
      </c>
      <c r="O373" s="854">
        <f t="shared" si="320"/>
        <v>2</v>
      </c>
      <c r="P373" s="13">
        <v>3</v>
      </c>
      <c r="Q373" s="13"/>
      <c r="R373" s="13"/>
      <c r="S373" s="13"/>
      <c r="T373" s="13">
        <f t="shared" si="327"/>
        <v>6</v>
      </c>
      <c r="U373" s="1327">
        <f t="shared" si="328"/>
        <v>7570.8154506437768</v>
      </c>
      <c r="V373" s="22">
        <v>1</v>
      </c>
      <c r="W373" s="22"/>
      <c r="X373" s="21">
        <f t="shared" si="329"/>
        <v>0.33392905145922308</v>
      </c>
      <c r="Y373" s="22"/>
      <c r="Z373" s="22">
        <v>3</v>
      </c>
      <c r="AA373" s="22">
        <f t="shared" si="330"/>
        <v>1.0017871543776693</v>
      </c>
      <c r="AB373" s="22"/>
      <c r="AC373" s="1338">
        <f t="shared" si="333"/>
        <v>3</v>
      </c>
      <c r="AD373" s="22"/>
      <c r="AE373" s="22"/>
      <c r="AF373" s="1325"/>
      <c r="AG373" s="22"/>
      <c r="AH373" s="22"/>
      <c r="AI373" s="22"/>
      <c r="AJ373" s="130"/>
      <c r="AK373" s="130"/>
      <c r="AL373" s="130"/>
      <c r="AM373" s="130"/>
      <c r="AN373" s="22"/>
      <c r="AO373" s="22"/>
      <c r="AP373" s="22"/>
      <c r="AQ373" s="22"/>
      <c r="AR373" s="22"/>
      <c r="AS373" s="22"/>
      <c r="AT373">
        <f t="shared" si="332"/>
        <v>104</v>
      </c>
      <c r="AV373">
        <f>SUM('Manpower Allocation'!$N$7:$N$11)</f>
        <v>24</v>
      </c>
      <c r="AW373">
        <f t="shared" si="323"/>
        <v>128</v>
      </c>
    </row>
    <row r="374" spans="1:49" ht="15.5">
      <c r="A374" s="3" t="s">
        <v>254</v>
      </c>
      <c r="B374" s="3" t="s">
        <v>254</v>
      </c>
      <c r="C374" s="5">
        <v>46327</v>
      </c>
      <c r="D374" s="769"/>
      <c r="E374" s="7"/>
      <c r="F374" s="4"/>
      <c r="G374" s="8"/>
      <c r="H374" s="8"/>
      <c r="I374" s="9">
        <f t="shared" si="324"/>
        <v>7570.8154506437768</v>
      </c>
      <c r="J374" s="10">
        <f>Multiply!F35</f>
        <v>1092.8065184737245</v>
      </c>
      <c r="K374" s="10"/>
      <c r="L374" s="11">
        <f t="shared" si="319"/>
        <v>0.14434462517254978</v>
      </c>
      <c r="M374" s="12">
        <f t="shared" si="325"/>
        <v>0.14434462517254978</v>
      </c>
      <c r="N374" s="854">
        <f t="shared" si="326"/>
        <v>0.43740795506833263</v>
      </c>
      <c r="O374" s="854">
        <f t="shared" si="320"/>
        <v>1</v>
      </c>
      <c r="P374" s="13">
        <v>3</v>
      </c>
      <c r="Q374" s="13"/>
      <c r="R374" s="13"/>
      <c r="S374" s="13"/>
      <c r="T374" s="13">
        <f t="shared" si="327"/>
        <v>3</v>
      </c>
      <c r="U374" s="1327">
        <f t="shared" si="328"/>
        <v>7570.8154506437768</v>
      </c>
      <c r="V374" s="22">
        <v>1</v>
      </c>
      <c r="W374" s="22"/>
      <c r="X374" s="21">
        <f t="shared" si="329"/>
        <v>0.14434462517254978</v>
      </c>
      <c r="Y374" s="22"/>
      <c r="Z374" s="22">
        <v>3</v>
      </c>
      <c r="AA374" s="22">
        <f t="shared" si="330"/>
        <v>0.43303387551764938</v>
      </c>
      <c r="AB374" s="22"/>
      <c r="AC374" s="614">
        <f t="shared" si="333"/>
        <v>3</v>
      </c>
      <c r="AD374" s="22"/>
      <c r="AE374" s="22"/>
      <c r="AF374" s="1325"/>
      <c r="AG374" s="22"/>
      <c r="AH374" s="22"/>
      <c r="AI374" s="22"/>
      <c r="AJ374" s="130"/>
      <c r="AK374" s="130"/>
      <c r="AL374" s="130"/>
      <c r="AM374" s="130"/>
      <c r="AN374" s="22"/>
      <c r="AO374" s="22"/>
      <c r="AP374" s="22"/>
      <c r="AQ374" s="22"/>
      <c r="AR374" s="22"/>
      <c r="AS374" s="22"/>
      <c r="AT374">
        <f t="shared" si="332"/>
        <v>114</v>
      </c>
      <c r="AV374">
        <f>SUM('Manpower Allocation'!$N$7:$N$11)</f>
        <v>24</v>
      </c>
      <c r="AW374">
        <f t="shared" si="323"/>
        <v>138</v>
      </c>
    </row>
    <row r="375" spans="1:49" ht="15.5">
      <c r="A375" s="3" t="s">
        <v>254</v>
      </c>
      <c r="B375" s="3" t="s">
        <v>254</v>
      </c>
      <c r="C375" s="5">
        <v>46357</v>
      </c>
      <c r="D375" s="769"/>
      <c r="E375" s="7"/>
      <c r="F375" s="4"/>
      <c r="G375" s="8"/>
      <c r="H375" s="8"/>
      <c r="I375" s="9">
        <f t="shared" si="324"/>
        <v>7570.8154506437768</v>
      </c>
      <c r="J375" s="10">
        <f>Multiply!E36</f>
        <v>4534.5402808047429</v>
      </c>
      <c r="K375" s="10"/>
      <c r="L375" s="11">
        <f t="shared" si="319"/>
        <v>0.59895004842829092</v>
      </c>
      <c r="M375" s="12">
        <f t="shared" si="325"/>
        <v>0.59895004842829092</v>
      </c>
      <c r="N375" s="854">
        <f t="shared" si="326"/>
        <v>1.8150001467523966</v>
      </c>
      <c r="O375" s="854">
        <f t="shared" si="320"/>
        <v>2</v>
      </c>
      <c r="P375" s="13">
        <v>3</v>
      </c>
      <c r="Q375" s="13"/>
      <c r="R375" s="13"/>
      <c r="S375" s="13"/>
      <c r="T375" s="13">
        <f t="shared" si="327"/>
        <v>6</v>
      </c>
      <c r="U375" s="1327">
        <f t="shared" si="328"/>
        <v>7570.8154506437768</v>
      </c>
      <c r="V375" s="22">
        <v>1</v>
      </c>
      <c r="W375" s="22"/>
      <c r="X375" s="21">
        <f t="shared" si="329"/>
        <v>0.59895004842829092</v>
      </c>
      <c r="Y375" s="22"/>
      <c r="Z375" s="22">
        <v>3</v>
      </c>
      <c r="AA375" s="22">
        <f t="shared" si="330"/>
        <v>1.7968501452848726</v>
      </c>
      <c r="AB375" s="22"/>
      <c r="AC375" s="614">
        <f t="shared" si="333"/>
        <v>6</v>
      </c>
      <c r="AD375" s="22"/>
      <c r="AE375" s="22"/>
      <c r="AF375" s="1325"/>
      <c r="AG375" s="22"/>
      <c r="AH375" s="22"/>
      <c r="AI375" s="22"/>
      <c r="AJ375" s="130"/>
      <c r="AK375" s="130"/>
      <c r="AL375" s="130"/>
      <c r="AM375" s="130"/>
      <c r="AN375" s="22"/>
      <c r="AO375" s="22"/>
      <c r="AP375" s="22"/>
      <c r="AQ375" s="22"/>
      <c r="AR375" s="22"/>
      <c r="AS375" s="22"/>
      <c r="AT375">
        <f t="shared" si="332"/>
        <v>137</v>
      </c>
      <c r="AV375">
        <f>SUM('Manpower Allocation'!$N$7:$N$11)</f>
        <v>24</v>
      </c>
      <c r="AW375">
        <f t="shared" si="323"/>
        <v>161</v>
      </c>
    </row>
    <row r="376" spans="1:49" ht="15.5">
      <c r="A376" s="3" t="s">
        <v>254</v>
      </c>
      <c r="B376" s="3" t="s">
        <v>254</v>
      </c>
      <c r="C376" s="5">
        <v>46388</v>
      </c>
      <c r="D376" s="769"/>
      <c r="E376" s="7"/>
      <c r="F376" s="4"/>
      <c r="G376" s="8"/>
      <c r="H376" s="8"/>
      <c r="I376" s="9">
        <f t="shared" si="324"/>
        <v>7570.8154506437768</v>
      </c>
      <c r="J376" s="10">
        <f>Multiply!F37</f>
        <v>2907.5455147222001</v>
      </c>
      <c r="K376" s="10"/>
      <c r="L376" s="11">
        <f t="shared" si="319"/>
        <v>0.38404654474505251</v>
      </c>
      <c r="M376" s="12">
        <f t="shared" si="325"/>
        <v>0.38404654474505251</v>
      </c>
      <c r="N376" s="854">
        <f t="shared" si="326"/>
        <v>1.163777408318341</v>
      </c>
      <c r="O376" s="854">
        <f t="shared" si="320"/>
        <v>2</v>
      </c>
      <c r="P376" s="13">
        <v>3</v>
      </c>
      <c r="Q376" s="13"/>
      <c r="R376" s="13"/>
      <c r="S376" s="13"/>
      <c r="T376" s="13">
        <f t="shared" si="327"/>
        <v>6</v>
      </c>
      <c r="U376" s="1327">
        <f t="shared" si="328"/>
        <v>7570.8154506437768</v>
      </c>
      <c r="V376" s="22">
        <v>1</v>
      </c>
      <c r="W376" s="22"/>
      <c r="X376" s="21">
        <f t="shared" si="329"/>
        <v>0.38404654474505251</v>
      </c>
      <c r="Y376" s="22"/>
      <c r="Z376" s="22">
        <v>3</v>
      </c>
      <c r="AA376" s="22">
        <f t="shared" si="330"/>
        <v>1.1521396342351575</v>
      </c>
      <c r="AB376" s="22"/>
      <c r="AC376" s="614">
        <f t="shared" si="333"/>
        <v>6</v>
      </c>
      <c r="AD376" s="22"/>
      <c r="AE376" s="22"/>
      <c r="AF376" s="1325"/>
      <c r="AG376" s="22"/>
      <c r="AH376" s="22"/>
      <c r="AI376" s="22"/>
      <c r="AJ376" s="130"/>
      <c r="AK376" s="130"/>
      <c r="AL376" s="130"/>
      <c r="AM376" s="130"/>
      <c r="AN376" s="22"/>
      <c r="AO376" s="22"/>
      <c r="AP376" s="22"/>
      <c r="AQ376" s="22"/>
      <c r="AR376" s="22"/>
      <c r="AS376" s="22"/>
      <c r="AT376">
        <f t="shared" si="332"/>
        <v>89</v>
      </c>
      <c r="AV376">
        <f>SUM('Manpower Allocation'!$N$7:$N$11)</f>
        <v>24</v>
      </c>
      <c r="AW376">
        <f t="shared" si="323"/>
        <v>113</v>
      </c>
    </row>
    <row r="377" spans="1:49" ht="15.5">
      <c r="A377" s="3" t="s">
        <v>254</v>
      </c>
      <c r="B377" s="3" t="s">
        <v>254</v>
      </c>
      <c r="C377" s="5">
        <v>46419</v>
      </c>
      <c r="D377" s="769"/>
      <c r="E377" s="7"/>
      <c r="F377" s="4"/>
      <c r="G377" s="8"/>
      <c r="H377" s="8"/>
      <c r="I377" s="9">
        <f t="shared" si="324"/>
        <v>7570.8154506437768</v>
      </c>
      <c r="J377" s="10">
        <f>Multiply!F38</f>
        <v>2481.1906642775202</v>
      </c>
      <c r="K377" s="10"/>
      <c r="L377" s="11">
        <f t="shared" si="319"/>
        <v>0.32773096642667926</v>
      </c>
      <c r="M377" s="12">
        <f t="shared" si="325"/>
        <v>0.32773096642667926</v>
      </c>
      <c r="N377" s="854">
        <f t="shared" si="326"/>
        <v>0.9931241406869068</v>
      </c>
      <c r="O377" s="854">
        <f t="shared" si="320"/>
        <v>1</v>
      </c>
      <c r="P377" s="13">
        <v>3</v>
      </c>
      <c r="Q377" s="13"/>
      <c r="R377" s="13"/>
      <c r="S377" s="13"/>
      <c r="T377" s="13">
        <f t="shared" si="327"/>
        <v>3</v>
      </c>
      <c r="U377" s="1327">
        <f t="shared" si="328"/>
        <v>7570.8154506437768</v>
      </c>
      <c r="V377" s="22">
        <v>1</v>
      </c>
      <c r="W377" s="22"/>
      <c r="X377" s="21">
        <f t="shared" si="329"/>
        <v>0.32773096642667926</v>
      </c>
      <c r="Y377" s="22"/>
      <c r="Z377" s="22">
        <v>3</v>
      </c>
      <c r="AA377" s="22">
        <f t="shared" si="330"/>
        <v>0.98319289928003784</v>
      </c>
      <c r="AB377" s="22"/>
      <c r="AC377" s="614">
        <f t="shared" si="333"/>
        <v>3</v>
      </c>
      <c r="AD377" s="22"/>
      <c r="AE377" s="22"/>
      <c r="AF377" s="1325"/>
      <c r="AG377" s="22"/>
      <c r="AH377" s="22"/>
      <c r="AI377" s="22"/>
      <c r="AJ377" s="130"/>
      <c r="AK377" s="130"/>
      <c r="AL377" s="130"/>
      <c r="AM377" s="130"/>
      <c r="AN377" s="22"/>
      <c r="AO377" s="22"/>
      <c r="AP377" s="22"/>
      <c r="AQ377" s="22"/>
      <c r="AR377" s="22"/>
      <c r="AS377" s="22"/>
      <c r="AT377">
        <f t="shared" si="332"/>
        <v>107</v>
      </c>
      <c r="AV377">
        <f>SUM('Manpower Allocation'!$N$7:$N$11)</f>
        <v>24</v>
      </c>
      <c r="AW377">
        <f t="shared" si="323"/>
        <v>131</v>
      </c>
    </row>
    <row r="378" spans="1:49" ht="15.5">
      <c r="A378" s="3" t="s">
        <v>254</v>
      </c>
      <c r="B378" s="3" t="s">
        <v>254</v>
      </c>
      <c r="C378" s="5">
        <v>46447</v>
      </c>
      <c r="D378" s="769"/>
      <c r="E378" s="7"/>
      <c r="F378" s="4"/>
      <c r="G378" s="8"/>
      <c r="H378" s="8"/>
      <c r="I378" s="9">
        <f t="shared" si="324"/>
        <v>7570.8154506437768</v>
      </c>
      <c r="J378" s="10">
        <f>Multiply!F39</f>
        <v>2455.4525354764696</v>
      </c>
      <c r="K378" s="10"/>
      <c r="L378" s="11">
        <f t="shared" si="319"/>
        <v>0.32433131562699402</v>
      </c>
      <c r="M378" s="12">
        <f t="shared" si="325"/>
        <v>0.32433131562699402</v>
      </c>
      <c r="N378" s="854">
        <f t="shared" si="326"/>
        <v>0.9828221685666485</v>
      </c>
      <c r="O378" s="854">
        <f t="shared" si="320"/>
        <v>1</v>
      </c>
      <c r="P378" s="13">
        <v>3</v>
      </c>
      <c r="Q378" s="13"/>
      <c r="R378" s="13"/>
      <c r="S378" s="13"/>
      <c r="T378" s="13">
        <f t="shared" si="327"/>
        <v>3</v>
      </c>
      <c r="U378" s="1327">
        <f t="shared" si="328"/>
        <v>7570.8154506437768</v>
      </c>
      <c r="V378" s="22">
        <v>1</v>
      </c>
      <c r="W378" s="22"/>
      <c r="X378" s="21">
        <f t="shared" si="329"/>
        <v>0.32433131562699402</v>
      </c>
      <c r="Y378" s="22"/>
      <c r="Z378" s="22">
        <v>3</v>
      </c>
      <c r="AA378" s="22">
        <f t="shared" si="330"/>
        <v>0.97299394688098206</v>
      </c>
      <c r="AB378" s="22"/>
      <c r="AC378" s="614">
        <f t="shared" si="333"/>
        <v>3</v>
      </c>
      <c r="AD378" s="22"/>
      <c r="AE378" s="22"/>
      <c r="AF378" s="1325"/>
      <c r="AG378" s="22"/>
      <c r="AH378" s="22"/>
      <c r="AI378" s="22"/>
      <c r="AJ378" s="130"/>
      <c r="AK378" s="130"/>
      <c r="AL378" s="130"/>
      <c r="AM378" s="130"/>
      <c r="AN378" s="22"/>
      <c r="AO378" s="22"/>
      <c r="AP378" s="22"/>
      <c r="AQ378" s="22"/>
      <c r="AR378" s="22"/>
      <c r="AS378" s="22"/>
      <c r="AT378">
        <f t="shared" si="332"/>
        <v>83</v>
      </c>
      <c r="AV378">
        <f>SUM('Manpower Allocation'!$N$7:$N$11)</f>
        <v>24</v>
      </c>
      <c r="AW378">
        <f t="shared" si="323"/>
        <v>107</v>
      </c>
    </row>
    <row r="379" spans="1:49">
      <c r="AW379">
        <f>AVERAGE(AW367:AW378)</f>
        <v>124.16666666666667</v>
      </c>
    </row>
    <row r="381" spans="1:49" ht="46.5" customHeight="1">
      <c r="A381" s="1" t="s">
        <v>0</v>
      </c>
      <c r="B381" s="1" t="s">
        <v>1</v>
      </c>
      <c r="C381" s="1" t="s">
        <v>2</v>
      </c>
      <c r="D381" s="799" t="s">
        <v>3</v>
      </c>
      <c r="E381" s="1" t="s">
        <v>4</v>
      </c>
      <c r="F381" s="1" t="s">
        <v>5</v>
      </c>
      <c r="G381" s="1" t="s">
        <v>6</v>
      </c>
      <c r="H381" s="1" t="s">
        <v>7</v>
      </c>
      <c r="I381" s="1" t="s">
        <v>8</v>
      </c>
      <c r="J381" s="1" t="s">
        <v>9</v>
      </c>
      <c r="K381" s="1"/>
      <c r="L381" s="1" t="s">
        <v>10</v>
      </c>
      <c r="M381" s="1" t="s">
        <v>342</v>
      </c>
      <c r="N381" s="1" t="s">
        <v>28</v>
      </c>
      <c r="O381" s="1" t="s">
        <v>343</v>
      </c>
      <c r="P381" s="1" t="s">
        <v>12</v>
      </c>
      <c r="Q381" s="1" t="s">
        <v>13</v>
      </c>
      <c r="R381" s="1" t="s">
        <v>13</v>
      </c>
      <c r="S381" s="1"/>
      <c r="T381" s="1" t="s">
        <v>14</v>
      </c>
      <c r="U381" s="851"/>
      <c r="V381" s="851"/>
      <c r="W381" s="851"/>
      <c r="X381" s="851"/>
      <c r="Y381" s="851"/>
      <c r="Z381" s="851"/>
      <c r="AA381" s="851"/>
      <c r="AB381" s="851"/>
      <c r="AC381" s="851"/>
      <c r="AD381" s="851"/>
      <c r="AE381" s="851"/>
      <c r="AF381" s="1337"/>
      <c r="AG381" s="851"/>
      <c r="AH381" s="851"/>
      <c r="AI381" s="851"/>
      <c r="AJ381" s="935"/>
      <c r="AK381" s="935"/>
      <c r="AL381" s="935"/>
      <c r="AM381" s="935"/>
      <c r="AN381" s="851"/>
      <c r="AO381" s="851"/>
      <c r="AP381" s="851"/>
      <c r="AQ381" s="851"/>
      <c r="AR381" s="851"/>
      <c r="AS381" s="851"/>
    </row>
    <row r="382" spans="1:49">
      <c r="A382" s="13" t="s">
        <v>252</v>
      </c>
      <c r="B382" s="13" t="s">
        <v>366</v>
      </c>
      <c r="C382" s="5">
        <v>46113</v>
      </c>
      <c r="D382" s="38"/>
      <c r="E382" s="13"/>
      <c r="F382" s="13"/>
      <c r="G382" s="13"/>
      <c r="H382" s="13"/>
      <c r="I382" s="13"/>
      <c r="J382" s="13"/>
      <c r="K382" s="13"/>
      <c r="L382" s="13"/>
      <c r="M382" s="13"/>
      <c r="N382" s="13"/>
      <c r="O382" s="13"/>
      <c r="P382" s="13"/>
      <c r="Q382" s="13"/>
      <c r="R382" s="13"/>
      <c r="S382" s="13"/>
      <c r="T382" s="13">
        <f t="shared" ref="T382:T393" si="334">AW367</f>
        <v>107</v>
      </c>
      <c r="U382" s="22" t="s">
        <v>1575</v>
      </c>
      <c r="V382" s="22"/>
      <c r="W382" s="22"/>
      <c r="X382" s="22"/>
      <c r="Y382" s="22"/>
      <c r="Z382" s="22"/>
      <c r="AA382" s="22"/>
      <c r="AB382" s="22"/>
      <c r="AC382" s="22"/>
      <c r="AD382" s="22"/>
      <c r="AE382" s="22"/>
      <c r="AF382" s="1325"/>
      <c r="AG382" s="22"/>
      <c r="AH382" s="22"/>
      <c r="AI382" s="22"/>
      <c r="AJ382" s="130"/>
      <c r="AK382" s="130"/>
      <c r="AL382" s="130"/>
      <c r="AM382" s="130"/>
      <c r="AN382" s="22"/>
      <c r="AO382" s="22"/>
      <c r="AP382" s="22"/>
      <c r="AQ382" s="22"/>
      <c r="AR382" s="22"/>
      <c r="AS382" s="22"/>
      <c r="AU382" s="33" t="s">
        <v>142</v>
      </c>
      <c r="AV382" s="33">
        <v>45</v>
      </c>
      <c r="AW382" s="33">
        <v>45</v>
      </c>
    </row>
    <row r="383" spans="1:49">
      <c r="A383" s="13" t="s">
        <v>252</v>
      </c>
      <c r="B383" s="13" t="s">
        <v>366</v>
      </c>
      <c r="C383" s="5">
        <v>46143</v>
      </c>
      <c r="D383" s="38"/>
      <c r="E383" s="13"/>
      <c r="F383" s="13"/>
      <c r="G383" s="13"/>
      <c r="H383" s="13"/>
      <c r="I383" s="13"/>
      <c r="J383" s="13"/>
      <c r="K383" s="13"/>
      <c r="L383" s="13"/>
      <c r="M383" s="13"/>
      <c r="N383" s="13"/>
      <c r="O383" s="13"/>
      <c r="P383" s="13"/>
      <c r="Q383" s="13"/>
      <c r="R383" s="13"/>
      <c r="S383" s="13"/>
      <c r="T383" s="13">
        <f t="shared" si="334"/>
        <v>121</v>
      </c>
      <c r="U383" s="22"/>
      <c r="V383" s="22"/>
      <c r="W383" s="22"/>
      <c r="X383" s="22"/>
      <c r="Y383" s="22"/>
      <c r="Z383" s="22"/>
      <c r="AA383" s="22"/>
      <c r="AB383" s="22"/>
      <c r="AC383" s="22"/>
      <c r="AD383" s="22"/>
      <c r="AE383" s="22"/>
      <c r="AF383" s="1325"/>
      <c r="AG383" s="22"/>
      <c r="AH383" s="22"/>
      <c r="AI383" s="22"/>
      <c r="AJ383" s="130"/>
      <c r="AK383" s="130"/>
      <c r="AL383" s="130"/>
      <c r="AM383" s="130"/>
      <c r="AN383" s="22"/>
      <c r="AO383" s="22"/>
      <c r="AP383" s="22"/>
      <c r="AQ383" s="22"/>
      <c r="AR383" s="22"/>
      <c r="AS383" s="22"/>
      <c r="AU383" s="378" t="s">
        <v>319</v>
      </c>
      <c r="AV383" s="33">
        <v>12</v>
      </c>
      <c r="AW383" s="33">
        <v>12</v>
      </c>
    </row>
    <row r="384" spans="1:49">
      <c r="A384" s="13" t="s">
        <v>252</v>
      </c>
      <c r="B384" s="13" t="s">
        <v>366</v>
      </c>
      <c r="C384" s="5">
        <v>46174</v>
      </c>
      <c r="D384" s="38"/>
      <c r="E384" s="13"/>
      <c r="F384" s="13"/>
      <c r="G384" s="13"/>
      <c r="H384" s="13"/>
      <c r="I384" s="13"/>
      <c r="J384" s="13"/>
      <c r="K384" s="13"/>
      <c r="L384" s="13"/>
      <c r="M384" s="13"/>
      <c r="N384" s="13"/>
      <c r="O384" s="13"/>
      <c r="P384" s="13"/>
      <c r="Q384" s="13"/>
      <c r="R384" s="13"/>
      <c r="S384" s="13"/>
      <c r="T384" s="13">
        <f t="shared" si="334"/>
        <v>128</v>
      </c>
      <c r="U384" s="22"/>
      <c r="V384" s="22"/>
      <c r="W384" s="22"/>
      <c r="X384" s="22"/>
      <c r="Y384" s="22"/>
      <c r="Z384" s="22"/>
      <c r="AA384" s="22"/>
      <c r="AB384" s="22"/>
      <c r="AC384" s="22"/>
      <c r="AD384" s="22"/>
      <c r="AE384" s="22"/>
      <c r="AF384" s="1325"/>
      <c r="AG384" s="22"/>
      <c r="AH384" s="22"/>
      <c r="AI384" s="22"/>
      <c r="AJ384" s="130"/>
      <c r="AK384" s="130"/>
      <c r="AL384" s="130"/>
      <c r="AM384" s="130"/>
      <c r="AN384" s="22"/>
      <c r="AO384" s="22"/>
      <c r="AP384" s="22"/>
      <c r="AQ384" s="22"/>
      <c r="AR384" s="22"/>
      <c r="AS384" s="22"/>
      <c r="AU384" s="378" t="s">
        <v>256</v>
      </c>
      <c r="AV384" s="33">
        <v>18</v>
      </c>
      <c r="AW384" s="33">
        <v>18</v>
      </c>
    </row>
    <row r="385" spans="1:49">
      <c r="A385" s="13" t="s">
        <v>252</v>
      </c>
      <c r="B385" s="13" t="s">
        <v>366</v>
      </c>
      <c r="C385" s="5">
        <v>46204</v>
      </c>
      <c r="D385" s="38"/>
      <c r="E385" s="13"/>
      <c r="F385" s="13"/>
      <c r="G385" s="13"/>
      <c r="H385" s="13"/>
      <c r="I385" s="13"/>
      <c r="J385" s="13"/>
      <c r="K385" s="13"/>
      <c r="L385" s="13"/>
      <c r="M385" s="13"/>
      <c r="N385" s="13"/>
      <c r="O385" s="13"/>
      <c r="P385" s="13"/>
      <c r="Q385" s="13"/>
      <c r="R385" s="13"/>
      <c r="S385" s="13"/>
      <c r="T385" s="13">
        <f t="shared" si="334"/>
        <v>110</v>
      </c>
      <c r="U385" s="22"/>
      <c r="V385" s="22"/>
      <c r="W385" s="22"/>
      <c r="X385" s="22"/>
      <c r="Y385" s="22"/>
      <c r="Z385" s="22"/>
      <c r="AA385" s="22"/>
      <c r="AB385" s="22"/>
      <c r="AC385" s="22"/>
      <c r="AD385" s="22"/>
      <c r="AE385" s="22"/>
      <c r="AF385" s="1325"/>
      <c r="AG385" s="22"/>
      <c r="AH385" s="22"/>
      <c r="AI385" s="22"/>
      <c r="AJ385" s="130"/>
      <c r="AK385" s="130"/>
      <c r="AL385" s="130"/>
      <c r="AM385" s="130"/>
      <c r="AN385" s="22"/>
      <c r="AO385" s="22"/>
      <c r="AP385" s="22"/>
      <c r="AQ385" s="22"/>
      <c r="AR385" s="22"/>
      <c r="AS385" s="22"/>
      <c r="AU385" s="69" t="s">
        <v>320</v>
      </c>
      <c r="AV385" s="33">
        <v>36</v>
      </c>
      <c r="AW385" s="33">
        <v>36</v>
      </c>
    </row>
    <row r="386" spans="1:49">
      <c r="A386" s="13" t="s">
        <v>252</v>
      </c>
      <c r="B386" s="13" t="s">
        <v>366</v>
      </c>
      <c r="C386" s="5">
        <v>46235</v>
      </c>
      <c r="D386" s="38"/>
      <c r="E386" s="13"/>
      <c r="F386" s="13"/>
      <c r="G386" s="13"/>
      <c r="H386" s="13"/>
      <c r="I386" s="13"/>
      <c r="J386" s="13"/>
      <c r="K386" s="13"/>
      <c r="L386" s="13"/>
      <c r="M386" s="13"/>
      <c r="N386" s="13"/>
      <c r="O386" s="13"/>
      <c r="P386" s="13"/>
      <c r="Q386" s="13"/>
      <c r="R386" s="13"/>
      <c r="S386" s="13"/>
      <c r="T386" s="13">
        <f t="shared" si="334"/>
        <v>125</v>
      </c>
      <c r="U386" s="22"/>
      <c r="V386" s="22"/>
      <c r="W386" s="22"/>
      <c r="X386" s="22"/>
      <c r="Y386" s="22"/>
      <c r="Z386" s="22"/>
      <c r="AA386" s="22"/>
      <c r="AB386" s="22"/>
      <c r="AC386" s="22"/>
      <c r="AD386" s="22"/>
      <c r="AE386" s="22"/>
      <c r="AF386" s="1325"/>
      <c r="AG386" s="22"/>
      <c r="AH386" s="22"/>
      <c r="AI386" s="22"/>
      <c r="AJ386" s="130"/>
      <c r="AK386" s="130"/>
      <c r="AL386" s="130"/>
      <c r="AM386" s="130"/>
      <c r="AN386" s="22"/>
      <c r="AO386" s="22"/>
      <c r="AP386" s="22"/>
      <c r="AQ386" s="22"/>
      <c r="AR386" s="22"/>
      <c r="AS386" s="22"/>
      <c r="AU386" s="69" t="s">
        <v>321</v>
      </c>
      <c r="AV386" s="33">
        <v>4</v>
      </c>
      <c r="AW386" s="33">
        <v>4</v>
      </c>
    </row>
    <row r="387" spans="1:49">
      <c r="A387" s="13" t="s">
        <v>252</v>
      </c>
      <c r="B387" s="13" t="s">
        <v>366</v>
      </c>
      <c r="C387" s="5">
        <v>46266</v>
      </c>
      <c r="D387" s="38"/>
      <c r="E387" s="13"/>
      <c r="F387" s="13"/>
      <c r="G387" s="13"/>
      <c r="H387" s="13"/>
      <c r="I387" s="13"/>
      <c r="J387" s="13"/>
      <c r="K387" s="13"/>
      <c r="L387" s="13"/>
      <c r="M387" s="13"/>
      <c r="N387" s="13"/>
      <c r="O387" s="13"/>
      <c r="P387" s="13"/>
      <c r="Q387" s="13"/>
      <c r="R387" s="13"/>
      <c r="S387" s="13"/>
      <c r="T387" s="13">
        <f t="shared" si="334"/>
        <v>121</v>
      </c>
      <c r="U387" s="22"/>
      <c r="V387" s="22"/>
      <c r="W387" s="22"/>
      <c r="X387" s="22"/>
      <c r="Y387" s="22"/>
      <c r="Z387" s="22"/>
      <c r="AA387" s="22"/>
      <c r="AB387" s="22"/>
      <c r="AC387" s="22"/>
      <c r="AD387" s="22"/>
      <c r="AE387" s="22"/>
      <c r="AF387" s="1325"/>
      <c r="AG387" s="22"/>
      <c r="AH387" s="22"/>
      <c r="AI387" s="22"/>
      <c r="AJ387" s="130"/>
      <c r="AK387" s="130"/>
      <c r="AL387" s="130"/>
      <c r="AM387" s="130"/>
      <c r="AN387" s="22"/>
      <c r="AO387" s="22"/>
      <c r="AP387" s="22"/>
      <c r="AQ387" s="22"/>
      <c r="AR387" s="22"/>
      <c r="AS387" s="22"/>
      <c r="AU387" s="69" t="s">
        <v>134</v>
      </c>
      <c r="AV387" s="33">
        <v>12</v>
      </c>
      <c r="AW387" s="33">
        <v>12</v>
      </c>
    </row>
    <row r="388" spans="1:49">
      <c r="A388" s="13" t="s">
        <v>252</v>
      </c>
      <c r="B388" s="13" t="s">
        <v>366</v>
      </c>
      <c r="C388" s="5">
        <v>46296</v>
      </c>
      <c r="D388" s="38"/>
      <c r="E388" s="13"/>
      <c r="F388" s="13"/>
      <c r="G388" s="13"/>
      <c r="H388" s="13"/>
      <c r="I388" s="13"/>
      <c r="J388" s="13"/>
      <c r="K388" s="13"/>
      <c r="L388" s="13"/>
      <c r="M388" s="13"/>
      <c r="N388" s="13"/>
      <c r="O388" s="13"/>
      <c r="P388" s="13"/>
      <c r="Q388" s="13"/>
      <c r="R388" s="13"/>
      <c r="S388" s="13"/>
      <c r="T388" s="13">
        <f t="shared" si="334"/>
        <v>128</v>
      </c>
      <c r="U388" s="22"/>
      <c r="V388" s="22"/>
      <c r="W388" s="22"/>
      <c r="X388" s="22"/>
      <c r="Y388" s="22"/>
      <c r="Z388" s="22"/>
      <c r="AA388" s="22"/>
      <c r="AB388" s="22"/>
      <c r="AC388" s="22"/>
      <c r="AD388" s="22"/>
      <c r="AE388" s="22"/>
      <c r="AF388" s="1325"/>
      <c r="AG388" s="22"/>
      <c r="AH388" s="22"/>
      <c r="AI388" s="22"/>
      <c r="AJ388" s="130"/>
      <c r="AK388" s="130"/>
      <c r="AL388" s="130"/>
      <c r="AM388" s="130"/>
      <c r="AN388" s="22"/>
      <c r="AO388" s="22"/>
      <c r="AP388" s="22"/>
      <c r="AQ388" s="22"/>
      <c r="AR388" s="22"/>
      <c r="AS388" s="22"/>
      <c r="AU388" s="69" t="s">
        <v>121</v>
      </c>
      <c r="AV388" s="33">
        <v>3</v>
      </c>
      <c r="AW388" s="33">
        <v>3</v>
      </c>
    </row>
    <row r="389" spans="1:49">
      <c r="A389" s="13" t="s">
        <v>252</v>
      </c>
      <c r="B389" s="13" t="s">
        <v>366</v>
      </c>
      <c r="C389" s="5">
        <v>46327</v>
      </c>
      <c r="D389" s="38"/>
      <c r="E389" s="13"/>
      <c r="F389" s="13"/>
      <c r="G389" s="13"/>
      <c r="H389" s="13"/>
      <c r="I389" s="13"/>
      <c r="J389" s="13"/>
      <c r="K389" s="13"/>
      <c r="L389" s="13"/>
      <c r="M389" s="13"/>
      <c r="N389" s="13"/>
      <c r="O389" s="13"/>
      <c r="P389" s="13"/>
      <c r="Q389" s="13"/>
      <c r="R389" s="13"/>
      <c r="S389" s="13"/>
      <c r="T389" s="13">
        <f t="shared" si="334"/>
        <v>138</v>
      </c>
      <c r="U389" s="22"/>
      <c r="V389" s="22"/>
      <c r="W389" s="22"/>
      <c r="X389" s="22"/>
      <c r="Y389" s="22"/>
      <c r="Z389" s="22"/>
      <c r="AA389" s="22"/>
      <c r="AB389" s="22"/>
      <c r="AC389" s="22"/>
      <c r="AD389" s="22"/>
      <c r="AE389" s="22"/>
      <c r="AF389" s="1325"/>
      <c r="AG389" s="22"/>
      <c r="AH389" s="22"/>
      <c r="AI389" s="22"/>
      <c r="AJ389" s="130"/>
      <c r="AK389" s="130"/>
      <c r="AL389" s="130"/>
      <c r="AM389" s="130"/>
      <c r="AN389" s="22"/>
      <c r="AO389" s="22"/>
      <c r="AP389" s="22"/>
      <c r="AQ389" s="22"/>
      <c r="AR389" s="22"/>
      <c r="AS389" s="22"/>
      <c r="AU389" s="69" t="s">
        <v>122</v>
      </c>
      <c r="AV389" s="33">
        <v>3</v>
      </c>
      <c r="AW389" s="33">
        <v>3</v>
      </c>
    </row>
    <row r="390" spans="1:49">
      <c r="A390" s="13" t="s">
        <v>252</v>
      </c>
      <c r="B390" s="13" t="s">
        <v>366</v>
      </c>
      <c r="C390" s="5">
        <v>46357</v>
      </c>
      <c r="D390" s="38"/>
      <c r="E390" s="13"/>
      <c r="F390" s="13"/>
      <c r="G390" s="13"/>
      <c r="H390" s="13"/>
      <c r="I390" s="13"/>
      <c r="J390" s="13"/>
      <c r="K390" s="13"/>
      <c r="L390" s="13"/>
      <c r="M390" s="13"/>
      <c r="N390" s="13"/>
      <c r="O390" s="13"/>
      <c r="P390" s="13"/>
      <c r="Q390" s="13"/>
      <c r="R390" s="13"/>
      <c r="S390" s="13"/>
      <c r="T390" s="13">
        <f t="shared" si="334"/>
        <v>161</v>
      </c>
      <c r="U390" s="22"/>
      <c r="V390" s="22"/>
      <c r="W390" s="22"/>
      <c r="X390" s="22"/>
      <c r="Y390" s="22"/>
      <c r="Z390" s="22"/>
      <c r="AA390" s="22"/>
      <c r="AB390" s="22"/>
      <c r="AC390" s="22"/>
      <c r="AD390" s="22"/>
      <c r="AE390" s="22"/>
      <c r="AF390" s="1325"/>
      <c r="AG390" s="22"/>
      <c r="AH390" s="22"/>
      <c r="AI390" s="22"/>
      <c r="AJ390" s="130"/>
      <c r="AK390" s="130"/>
      <c r="AL390" s="130"/>
      <c r="AM390" s="130"/>
      <c r="AN390" s="22"/>
      <c r="AO390" s="22"/>
      <c r="AP390" s="22"/>
      <c r="AQ390" s="22"/>
      <c r="AR390" s="22"/>
      <c r="AS390" s="22"/>
      <c r="AU390" s="69" t="s">
        <v>215</v>
      </c>
      <c r="AV390" s="33">
        <v>3</v>
      </c>
      <c r="AW390" s="33">
        <v>0</v>
      </c>
    </row>
    <row r="391" spans="1:49">
      <c r="A391" s="13" t="s">
        <v>252</v>
      </c>
      <c r="B391" s="13" t="s">
        <v>366</v>
      </c>
      <c r="C391" s="5">
        <v>46388</v>
      </c>
      <c r="D391" s="38"/>
      <c r="E391" s="13"/>
      <c r="F391" s="13"/>
      <c r="G391" s="13"/>
      <c r="H391" s="13"/>
      <c r="I391" s="13"/>
      <c r="J391" s="13"/>
      <c r="K391" s="13"/>
      <c r="L391" s="13"/>
      <c r="M391" s="13"/>
      <c r="N391" s="13"/>
      <c r="O391" s="13"/>
      <c r="P391" s="13"/>
      <c r="Q391" s="13"/>
      <c r="R391" s="13"/>
      <c r="S391" s="13"/>
      <c r="T391" s="13">
        <f t="shared" si="334"/>
        <v>113</v>
      </c>
      <c r="U391" s="22"/>
      <c r="V391" s="22"/>
      <c r="W391" s="22"/>
      <c r="X391" s="22"/>
      <c r="Y391" s="22"/>
      <c r="Z391" s="22"/>
      <c r="AA391" s="22"/>
      <c r="AB391" s="22"/>
      <c r="AC391" s="22"/>
      <c r="AD391" s="22"/>
      <c r="AE391" s="22"/>
      <c r="AF391" s="1325"/>
      <c r="AG391" s="22"/>
      <c r="AH391" s="22"/>
      <c r="AI391" s="22"/>
      <c r="AJ391" s="130"/>
      <c r="AK391" s="130"/>
      <c r="AL391" s="130"/>
      <c r="AM391" s="130"/>
      <c r="AN391" s="22"/>
      <c r="AO391" s="22"/>
      <c r="AP391" s="22"/>
      <c r="AQ391" s="22"/>
      <c r="AR391" s="22"/>
      <c r="AS391" s="22"/>
      <c r="AU391" s="69" t="s">
        <v>322</v>
      </c>
      <c r="AV391" s="33">
        <v>3</v>
      </c>
      <c r="AW391" s="33">
        <v>1</v>
      </c>
    </row>
    <row r="392" spans="1:49">
      <c r="A392" s="13" t="s">
        <v>252</v>
      </c>
      <c r="B392" s="13" t="s">
        <v>366</v>
      </c>
      <c r="C392" s="5">
        <v>46419</v>
      </c>
      <c r="D392" s="38"/>
      <c r="E392" s="13"/>
      <c r="F392" s="13"/>
      <c r="G392" s="13"/>
      <c r="H392" s="13"/>
      <c r="I392" s="13"/>
      <c r="J392" s="13"/>
      <c r="K392" s="13"/>
      <c r="L392" s="13"/>
      <c r="M392" s="13"/>
      <c r="N392" s="13"/>
      <c r="O392" s="13"/>
      <c r="P392" s="13"/>
      <c r="Q392" s="13"/>
      <c r="R392" s="13"/>
      <c r="S392" s="13"/>
      <c r="T392" s="13">
        <f t="shared" si="334"/>
        <v>131</v>
      </c>
      <c r="U392" s="22"/>
      <c r="V392" s="22"/>
      <c r="W392" s="22"/>
      <c r="X392" s="22"/>
      <c r="Y392" s="22"/>
      <c r="Z392" s="22"/>
      <c r="AA392" s="22"/>
      <c r="AB392" s="22"/>
      <c r="AC392" s="22"/>
      <c r="AD392" s="22"/>
      <c r="AE392" s="22"/>
      <c r="AF392" s="1325"/>
      <c r="AG392" s="22"/>
      <c r="AH392" s="22"/>
      <c r="AI392" s="22"/>
      <c r="AJ392" s="130"/>
      <c r="AK392" s="130"/>
      <c r="AL392" s="130"/>
      <c r="AM392" s="130"/>
      <c r="AN392" s="22"/>
      <c r="AO392" s="22"/>
      <c r="AP392" s="22"/>
      <c r="AQ392" s="22"/>
      <c r="AR392" s="22"/>
      <c r="AS392" s="22"/>
      <c r="AU392" s="69" t="s">
        <v>383</v>
      </c>
      <c r="AV392" s="33">
        <v>14</v>
      </c>
      <c r="AW392" s="33">
        <f>14</f>
        <v>14</v>
      </c>
    </row>
    <row r="393" spans="1:49">
      <c r="A393" s="13" t="s">
        <v>252</v>
      </c>
      <c r="B393" s="13" t="s">
        <v>366</v>
      </c>
      <c r="C393" s="5">
        <v>46447</v>
      </c>
      <c r="D393" s="38"/>
      <c r="E393" s="13"/>
      <c r="F393" s="13"/>
      <c r="G393" s="13"/>
      <c r="H393" s="13"/>
      <c r="I393" s="13"/>
      <c r="J393" s="13"/>
      <c r="K393" s="13"/>
      <c r="L393" s="13"/>
      <c r="M393" s="13"/>
      <c r="N393" s="13"/>
      <c r="O393" s="13"/>
      <c r="P393" s="13"/>
      <c r="Q393" s="13"/>
      <c r="R393" s="13"/>
      <c r="S393" s="13"/>
      <c r="T393" s="13">
        <f t="shared" si="334"/>
        <v>107</v>
      </c>
      <c r="U393" s="22"/>
      <c r="V393" s="22"/>
      <c r="W393" s="22"/>
      <c r="X393" s="22"/>
      <c r="Y393" s="22"/>
      <c r="Z393" s="22"/>
      <c r="AA393" s="22"/>
      <c r="AB393" s="22"/>
      <c r="AC393" s="22"/>
      <c r="AD393" s="22"/>
      <c r="AE393" s="22"/>
      <c r="AF393" s="1325"/>
      <c r="AG393" s="22"/>
      <c r="AH393" s="22"/>
      <c r="AI393" s="22"/>
      <c r="AJ393" s="130"/>
      <c r="AK393" s="130"/>
      <c r="AL393" s="130"/>
      <c r="AM393" s="130"/>
      <c r="AN393" s="22"/>
      <c r="AO393" s="22"/>
      <c r="AP393" s="22"/>
      <c r="AQ393" s="22"/>
      <c r="AR393" s="22"/>
      <c r="AS393" s="22"/>
      <c r="AU393" s="69" t="s">
        <v>561</v>
      </c>
      <c r="AV393" s="33">
        <f>SUM(AV382:AV392)</f>
        <v>153</v>
      </c>
      <c r="AW393" s="33">
        <f>SUM(AW382:AW392)</f>
        <v>148</v>
      </c>
    </row>
    <row r="394" spans="1:49">
      <c r="A394" s="213" t="s">
        <v>383</v>
      </c>
      <c r="T394">
        <v>14</v>
      </c>
    </row>
    <row r="395" spans="1:49">
      <c r="A395" t="s">
        <v>351</v>
      </c>
      <c r="B395" t="s">
        <v>351</v>
      </c>
      <c r="T395" s="40">
        <v>24</v>
      </c>
      <c r="U395" s="40"/>
      <c r="V395" s="40"/>
      <c r="W395" s="40"/>
      <c r="X395" s="40"/>
      <c r="Y395" s="40"/>
      <c r="Z395" s="40"/>
      <c r="AA395" s="40"/>
      <c r="AB395" s="40"/>
      <c r="AC395" s="40"/>
      <c r="AD395" s="40"/>
      <c r="AE395" s="40"/>
      <c r="AG395" s="40"/>
      <c r="AH395" s="40"/>
      <c r="AI395" s="40"/>
      <c r="AJ395" s="922"/>
      <c r="AK395" s="922"/>
      <c r="AL395" s="922"/>
      <c r="AM395" s="922"/>
      <c r="AN395" s="40"/>
      <c r="AO395" s="40"/>
      <c r="AP395" s="40"/>
      <c r="AQ395" s="40"/>
      <c r="AR395" s="40"/>
      <c r="AS395" s="40"/>
    </row>
    <row r="396" spans="1:49">
      <c r="A396" t="s">
        <v>344</v>
      </c>
      <c r="B396" t="s">
        <v>344</v>
      </c>
      <c r="T396" s="40">
        <v>33</v>
      </c>
      <c r="U396" s="40"/>
      <c r="V396" s="40"/>
      <c r="W396" s="40"/>
      <c r="X396" s="40"/>
      <c r="Y396" s="40"/>
      <c r="Z396" s="40"/>
      <c r="AA396" s="40"/>
      <c r="AB396" s="40"/>
      <c r="AC396" s="40"/>
      <c r="AD396" s="40"/>
      <c r="AE396" s="40"/>
      <c r="AG396" s="40"/>
      <c r="AH396" s="40"/>
      <c r="AI396" s="40"/>
      <c r="AJ396" s="922"/>
      <c r="AK396" s="922"/>
      <c r="AL396" s="922"/>
      <c r="AM396" s="922"/>
      <c r="AN396" s="40"/>
      <c r="AO396" s="40"/>
      <c r="AP396" s="40"/>
      <c r="AQ396" s="40"/>
      <c r="AR396" s="40"/>
      <c r="AS396" s="40"/>
    </row>
    <row r="397" spans="1:49">
      <c r="A397" t="s">
        <v>295</v>
      </c>
      <c r="B397" t="s">
        <v>295</v>
      </c>
      <c r="T397">
        <v>165</v>
      </c>
    </row>
  </sheetData>
  <mergeCells count="1">
    <mergeCell ref="AU281:AW281"/>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7"/>
  <sheetViews>
    <sheetView workbookViewId="0">
      <selection activeCell="I16" sqref="I16"/>
    </sheetView>
  </sheetViews>
  <sheetFormatPr defaultRowHeight="14.5"/>
  <cols>
    <col min="1" max="1" width="17.81640625" customWidth="1"/>
    <col min="2" max="2" width="17.26953125" customWidth="1"/>
    <col min="5" max="5" width="8.7265625" style="44" customWidth="1"/>
    <col min="6" max="6" width="11.08984375" customWidth="1"/>
    <col min="7" max="7" width="8.7265625" style="44"/>
    <col min="8" max="8" width="12.90625" customWidth="1"/>
    <col min="9" max="9" width="9.36328125" bestFit="1" customWidth="1"/>
  </cols>
  <sheetData>
    <row r="1" spans="1:9" ht="29">
      <c r="A1" s="1348" t="s">
        <v>0</v>
      </c>
      <c r="B1" s="1348" t="s">
        <v>1</v>
      </c>
      <c r="C1" s="1348" t="s">
        <v>2</v>
      </c>
      <c r="D1" s="1348" t="s">
        <v>1640</v>
      </c>
      <c r="E1" s="1347" t="s">
        <v>1643</v>
      </c>
      <c r="F1" s="1348" t="s">
        <v>1641</v>
      </c>
      <c r="G1" s="1347" t="s">
        <v>1642</v>
      </c>
      <c r="H1" s="1348" t="s">
        <v>1639</v>
      </c>
      <c r="I1" s="1348" t="s">
        <v>1638</v>
      </c>
    </row>
    <row r="2" spans="1:9">
      <c r="A2" s="348" t="s">
        <v>18</v>
      </c>
      <c r="B2" s="348" t="s">
        <v>18</v>
      </c>
      <c r="C2" s="1352">
        <v>46113</v>
      </c>
      <c r="D2" s="348">
        <f>'Sectionwise Working'!I4</f>
        <v>21686.572054917757</v>
      </c>
      <c r="E2" s="12">
        <f>D2/H2</f>
        <v>2710.8215068647196</v>
      </c>
      <c r="F2" s="1351">
        <f>BP_Strucured!B2</f>
        <v>190053.55776565865</v>
      </c>
      <c r="G2" s="1353">
        <f>F2/DAY(EOMONTH(C2,0))</f>
        <v>6335.1185921886217</v>
      </c>
      <c r="H2" s="348">
        <v>8</v>
      </c>
      <c r="I2" s="12">
        <f>IF(G2&gt;D2,H2,G2/E2)</f>
        <v>2.3369737093150369</v>
      </c>
    </row>
    <row r="3" spans="1:9">
      <c r="A3" s="348" t="s">
        <v>16</v>
      </c>
      <c r="B3" s="348" t="s">
        <v>16</v>
      </c>
      <c r="C3" s="1352">
        <v>46113</v>
      </c>
      <c r="D3" s="348">
        <f>'Sectionwise Working'!I18</f>
        <v>32121.952127873319</v>
      </c>
      <c r="E3" s="12">
        <f t="shared" ref="E3:E17" si="0">D3/H3</f>
        <v>2676.8293439894433</v>
      </c>
      <c r="F3" s="348">
        <f>BP_Strucured!B6</f>
        <v>1518410.0261645445</v>
      </c>
      <c r="G3" s="1353">
        <f t="shared" ref="G3:G17" si="1">F3/DAY(EOMONTH(C3,0))</f>
        <v>50613.667538818154</v>
      </c>
      <c r="H3" s="348">
        <v>12</v>
      </c>
      <c r="I3" s="12">
        <f t="shared" ref="I3:I17" si="2">IF(G3&gt;D3,H3,G3/E3)</f>
        <v>12</v>
      </c>
    </row>
    <row r="4" spans="1:9">
      <c r="A4" s="348" t="s">
        <v>20</v>
      </c>
      <c r="B4" s="348" t="s">
        <v>20</v>
      </c>
      <c r="C4" s="1352">
        <v>46113</v>
      </c>
      <c r="D4" s="348">
        <f>'Sectionwise Working'!I33</f>
        <v>29388.132885879077</v>
      </c>
      <c r="E4" s="12">
        <f t="shared" si="0"/>
        <v>3673.5166107348846</v>
      </c>
      <c r="F4" s="348">
        <f>BP_Strucured!B7</f>
        <v>1442558.3095265913</v>
      </c>
      <c r="G4" s="1353">
        <f t="shared" si="1"/>
        <v>48085.276984219709</v>
      </c>
      <c r="H4" s="348">
        <v>8</v>
      </c>
      <c r="I4" s="12">
        <f t="shared" si="2"/>
        <v>8</v>
      </c>
    </row>
    <row r="5" spans="1:9">
      <c r="A5" s="348" t="s">
        <v>501</v>
      </c>
      <c r="B5" s="348" t="s">
        <v>501</v>
      </c>
      <c r="C5" s="1352">
        <v>46113</v>
      </c>
      <c r="D5" s="348">
        <f>'Sectionwise Working'!I49</f>
        <v>14098.760124344617</v>
      </c>
      <c r="E5" s="12">
        <f t="shared" si="0"/>
        <v>3524.6900310861542</v>
      </c>
      <c r="F5" s="348">
        <f>BP_Strucured!B8</f>
        <v>772731.27404659346</v>
      </c>
      <c r="G5" s="1353">
        <f t="shared" si="1"/>
        <v>25757.709134886449</v>
      </c>
      <c r="H5" s="348">
        <v>4</v>
      </c>
      <c r="I5" s="12">
        <f t="shared" si="2"/>
        <v>4</v>
      </c>
    </row>
    <row r="6" spans="1:9">
      <c r="A6" s="348" t="s">
        <v>23</v>
      </c>
      <c r="B6" s="348" t="s">
        <v>23</v>
      </c>
      <c r="C6" s="1352">
        <v>46113</v>
      </c>
      <c r="D6" s="348">
        <v>39644.342969220605</v>
      </c>
      <c r="E6" s="12">
        <f t="shared" si="0"/>
        <v>2086.5443668010844</v>
      </c>
      <c r="F6" s="348">
        <f>BP_Strucured!B3</f>
        <v>1238788.4569386472</v>
      </c>
      <c r="G6" s="1353">
        <f t="shared" si="1"/>
        <v>41292.948564621576</v>
      </c>
      <c r="H6" s="348">
        <v>19</v>
      </c>
      <c r="I6" s="12">
        <f t="shared" si="2"/>
        <v>19</v>
      </c>
    </row>
    <row r="7" spans="1:9">
      <c r="A7" s="348" t="s">
        <v>149</v>
      </c>
      <c r="B7" s="348" t="s">
        <v>506</v>
      </c>
      <c r="C7" s="1352">
        <v>46113</v>
      </c>
      <c r="D7" s="348">
        <f>'Sectionwise Working'!I79</f>
        <v>36510.719570498157</v>
      </c>
      <c r="E7" s="12">
        <f t="shared" si="0"/>
        <v>7302.1439140996317</v>
      </c>
      <c r="F7" s="348">
        <f>BP_Strucured!B5</f>
        <v>1108335.1661479664</v>
      </c>
      <c r="G7" s="1353">
        <f t="shared" si="1"/>
        <v>36944.505538265548</v>
      </c>
      <c r="H7" s="348">
        <v>5</v>
      </c>
      <c r="I7" s="12">
        <f t="shared" si="2"/>
        <v>5</v>
      </c>
    </row>
    <row r="8" spans="1:9">
      <c r="A8" s="348" t="s">
        <v>149</v>
      </c>
      <c r="B8" s="348" t="s">
        <v>505</v>
      </c>
      <c r="C8" s="1352">
        <v>46113</v>
      </c>
      <c r="D8" s="348">
        <f>'Sectionwise Working'!I93</f>
        <v>8671.7067023751606</v>
      </c>
      <c r="E8" s="12">
        <f t="shared" si="0"/>
        <v>8671.7067023751606</v>
      </c>
      <c r="F8" s="348">
        <f>BP_Strucured!B4</f>
        <v>100470.29317355703</v>
      </c>
      <c r="G8" s="1353">
        <f t="shared" si="1"/>
        <v>3349.009772451901</v>
      </c>
      <c r="H8" s="348">
        <v>1</v>
      </c>
      <c r="I8" s="12">
        <f t="shared" si="2"/>
        <v>0.38619961299366995</v>
      </c>
    </row>
    <row r="9" spans="1:9">
      <c r="A9" s="348" t="s">
        <v>31</v>
      </c>
      <c r="B9" s="348" t="s">
        <v>1631</v>
      </c>
      <c r="C9" s="1352">
        <v>46113</v>
      </c>
      <c r="D9" s="348">
        <f>'Sectionwise Working'!I139</f>
        <v>3314.4422400000003</v>
      </c>
      <c r="E9" s="12">
        <f t="shared" si="0"/>
        <v>3314.4422400000003</v>
      </c>
      <c r="F9" s="1361">
        <f>BP_Strucured!B13</f>
        <v>112252.91138398668</v>
      </c>
      <c r="G9" s="1353">
        <f t="shared" si="1"/>
        <v>3741.7637127995558</v>
      </c>
      <c r="H9" s="348">
        <v>1</v>
      </c>
      <c r="I9" s="12">
        <f t="shared" si="2"/>
        <v>1</v>
      </c>
    </row>
    <row r="10" spans="1:9">
      <c r="A10" s="348" t="s">
        <v>31</v>
      </c>
      <c r="B10" s="348" t="s">
        <v>1632</v>
      </c>
      <c r="C10" s="1352">
        <v>46113</v>
      </c>
      <c r="D10" s="348">
        <f>'Sectionwise Working'!I152</f>
        <v>2480.0255999999995</v>
      </c>
      <c r="E10" s="12">
        <f t="shared" si="0"/>
        <v>2480.0255999999995</v>
      </c>
      <c r="F10" s="1361">
        <f>BP_Strucured!B14</f>
        <v>24776.394560000001</v>
      </c>
      <c r="G10" s="1353">
        <f t="shared" si="1"/>
        <v>825.87981866666667</v>
      </c>
      <c r="H10" s="348">
        <v>1</v>
      </c>
      <c r="I10" s="12">
        <f t="shared" si="2"/>
        <v>0.33301261836436963</v>
      </c>
    </row>
    <row r="11" spans="1:9">
      <c r="A11" s="348" t="s">
        <v>32</v>
      </c>
      <c r="B11" s="348" t="s">
        <v>1635</v>
      </c>
      <c r="C11" s="1352">
        <v>46113</v>
      </c>
      <c r="D11" s="348">
        <f>'Sectionwise Working'!I168</f>
        <v>14758.224657534249</v>
      </c>
      <c r="E11" s="12">
        <f t="shared" si="0"/>
        <v>14758.224657534249</v>
      </c>
      <c r="F11" s="1361">
        <f>BP_Strucured!B15</f>
        <v>96326.28842105261</v>
      </c>
      <c r="G11" s="1353">
        <f t="shared" si="1"/>
        <v>3210.8762807017538</v>
      </c>
      <c r="H11" s="348">
        <v>1</v>
      </c>
      <c r="I11" s="12">
        <f t="shared" si="2"/>
        <v>0.21756521229418765</v>
      </c>
    </row>
    <row r="12" spans="1:9">
      <c r="A12" s="348" t="s">
        <v>32</v>
      </c>
      <c r="B12" s="348" t="s">
        <v>33</v>
      </c>
      <c r="C12" s="1352">
        <v>46113</v>
      </c>
      <c r="D12" s="348">
        <f>'Sectionwise Working'!I182</f>
        <v>19608.370339724454</v>
      </c>
      <c r="E12" s="12">
        <f t="shared" si="0"/>
        <v>19608.370339724454</v>
      </c>
      <c r="F12" s="1361">
        <f>BP_Strucured!B16</f>
        <v>129572.20436027308</v>
      </c>
      <c r="G12" s="1353">
        <f t="shared" si="1"/>
        <v>4319.0734786757694</v>
      </c>
      <c r="H12" s="348">
        <v>1</v>
      </c>
      <c r="I12" s="12">
        <f t="shared" si="2"/>
        <v>0.2202668250265444</v>
      </c>
    </row>
    <row r="13" spans="1:9">
      <c r="A13" s="348" t="s">
        <v>340</v>
      </c>
      <c r="B13" s="348" t="s">
        <v>340</v>
      </c>
      <c r="C13" s="1352">
        <v>46113</v>
      </c>
      <c r="D13" s="348">
        <f>'Sectionwise Working'!I307</f>
        <v>8432.052022485288</v>
      </c>
      <c r="E13" s="12">
        <f t="shared" si="0"/>
        <v>2108.013005621322</v>
      </c>
      <c r="F13" s="348">
        <f>BP_Strucured!B17</f>
        <v>96546.648183317797</v>
      </c>
      <c r="G13" s="1353">
        <f t="shared" si="1"/>
        <v>3218.2216061105933</v>
      </c>
      <c r="H13" s="348">
        <v>4</v>
      </c>
      <c r="I13" s="12">
        <f t="shared" si="2"/>
        <v>1.5266611721695924</v>
      </c>
    </row>
    <row r="14" spans="1:9">
      <c r="A14" s="348" t="s">
        <v>341</v>
      </c>
      <c r="B14" s="348" t="s">
        <v>341</v>
      </c>
      <c r="C14" s="1352">
        <v>46113</v>
      </c>
      <c r="D14" s="348">
        <f>'Sectionwise Working'!I322</f>
        <v>6355.8245922683145</v>
      </c>
      <c r="E14" s="12">
        <f t="shared" si="0"/>
        <v>423.72163948455432</v>
      </c>
      <c r="F14" s="348">
        <f>BP_Strucured!B18</f>
        <v>96546.648183317797</v>
      </c>
      <c r="G14" s="1353">
        <f t="shared" si="1"/>
        <v>3218.2216061105933</v>
      </c>
      <c r="H14" s="348">
        <v>15</v>
      </c>
      <c r="I14" s="12">
        <f t="shared" si="2"/>
        <v>7.5951315821997456</v>
      </c>
    </row>
    <row r="15" spans="1:9">
      <c r="A15" s="348" t="s">
        <v>255</v>
      </c>
      <c r="B15" s="348" t="s">
        <v>255</v>
      </c>
      <c r="C15" s="1352">
        <v>46113</v>
      </c>
      <c r="D15" s="348">
        <f>'Sectionwise Working'!I337</f>
        <v>21534.375779107126</v>
      </c>
      <c r="E15" s="12">
        <f t="shared" si="0"/>
        <v>5383.5939447767814</v>
      </c>
      <c r="F15" s="348">
        <f>BP_Strucured!B11</f>
        <v>168676.94893799193</v>
      </c>
      <c r="G15" s="1353">
        <f t="shared" si="1"/>
        <v>5622.564964599731</v>
      </c>
      <c r="H15" s="348">
        <v>4</v>
      </c>
      <c r="I15" s="12">
        <f>ROUNDUP(IF(G15&gt;D15,H15,G15/E15),0)</f>
        <v>2</v>
      </c>
    </row>
    <row r="16" spans="1:9">
      <c r="A16" s="348" t="s">
        <v>256</v>
      </c>
      <c r="B16" s="348" t="s">
        <v>256</v>
      </c>
      <c r="C16" s="1352">
        <v>46113</v>
      </c>
      <c r="D16" s="348">
        <f>'Sectionwise Working'!I352</f>
        <v>11869.222152485861</v>
      </c>
      <c r="E16" s="12">
        <f t="shared" si="0"/>
        <v>2373.8444304971722</v>
      </c>
      <c r="F16" s="348">
        <f>BP_Strucured!B12</f>
        <v>168676.94893799193</v>
      </c>
      <c r="G16" s="1353">
        <f t="shared" si="1"/>
        <v>5622.564964599731</v>
      </c>
      <c r="H16" s="348">
        <v>5</v>
      </c>
      <c r="I16" s="12">
        <f t="shared" si="2"/>
        <v>2.3685482049142346</v>
      </c>
    </row>
    <row r="17" spans="1:9">
      <c r="A17" s="348" t="s">
        <v>254</v>
      </c>
      <c r="B17" s="348" t="s">
        <v>254</v>
      </c>
      <c r="C17" s="1352">
        <v>46113</v>
      </c>
      <c r="D17" s="348">
        <f>'Sectionwise Working'!I367</f>
        <v>7570.8154506437768</v>
      </c>
      <c r="E17" s="12">
        <f t="shared" si="0"/>
        <v>7570.8154506437768</v>
      </c>
      <c r="F17" s="348">
        <f>BP_Strucured!B10</f>
        <v>72130.300754674143</v>
      </c>
      <c r="G17" s="1353">
        <f t="shared" si="1"/>
        <v>2404.3433584891382</v>
      </c>
      <c r="H17" s="348">
        <v>1</v>
      </c>
      <c r="I17" s="12">
        <f t="shared" si="2"/>
        <v>0.31758050029930224</v>
      </c>
    </row>
    <row r="18" spans="1:9">
      <c r="A18" s="348" t="s">
        <v>252</v>
      </c>
      <c r="B18" s="348" t="s">
        <v>252</v>
      </c>
      <c r="C18" s="1352">
        <v>46113</v>
      </c>
      <c r="D18" s="348">
        <f>'Sectionwise Working'!I288</f>
        <v>11869.222152485861</v>
      </c>
      <c r="E18" s="12" t="e">
        <f>D18/H18</f>
        <v>#DIV/0!</v>
      </c>
      <c r="F18" s="348">
        <f>BP_Strucured!B9</f>
        <v>96546.648183317797</v>
      </c>
      <c r="G18" s="1353">
        <f>F18/DAY(EOMONTH(C18,0))</f>
        <v>3218.2216061105933</v>
      </c>
      <c r="H18" s="348"/>
      <c r="I18" s="12" t="e">
        <f>IF(G18&gt;D18,H18,G18/E18)</f>
        <v>#DIV/0!</v>
      </c>
    </row>
    <row r="19" spans="1:9">
      <c r="A19" s="348"/>
      <c r="B19" s="348"/>
      <c r="C19" s="348"/>
      <c r="D19" s="348"/>
      <c r="E19" s="12"/>
      <c r="F19" s="348"/>
      <c r="G19" s="12"/>
      <c r="H19" s="348"/>
      <c r="I19" s="13"/>
    </row>
    <row r="20" spans="1:9">
      <c r="A20" s="348"/>
      <c r="B20" s="348"/>
      <c r="C20" s="348"/>
      <c r="D20" s="348"/>
      <c r="E20" s="12"/>
      <c r="F20" s="348"/>
      <c r="G20" s="12"/>
      <c r="H20" s="348"/>
      <c r="I20" s="13"/>
    </row>
    <row r="21" spans="1:9">
      <c r="A21" s="348"/>
      <c r="B21" s="348"/>
      <c r="C21" s="348"/>
      <c r="D21" s="348"/>
      <c r="E21" s="12"/>
      <c r="F21" s="348"/>
      <c r="G21" s="12"/>
      <c r="H21" s="348"/>
      <c r="I21" s="13"/>
    </row>
    <row r="22" spans="1:9">
      <c r="A22" s="348"/>
      <c r="B22" s="348"/>
      <c r="C22" s="348"/>
      <c r="D22" s="348"/>
      <c r="E22" s="12"/>
      <c r="F22" s="348"/>
      <c r="G22" s="12"/>
      <c r="H22" s="348"/>
      <c r="I22" s="13"/>
    </row>
    <row r="23" spans="1:9">
      <c r="A23" s="348"/>
      <c r="B23" s="348"/>
      <c r="C23" s="348"/>
      <c r="D23" s="348"/>
      <c r="E23" s="12"/>
      <c r="F23" s="348"/>
      <c r="G23" s="12"/>
      <c r="H23" s="348"/>
      <c r="I23" s="13"/>
    </row>
    <row r="24" spans="1:9">
      <c r="A24" s="348"/>
      <c r="B24" s="348"/>
      <c r="C24" s="348"/>
      <c r="D24" s="348"/>
      <c r="E24" s="12"/>
      <c r="F24" s="348"/>
      <c r="G24" s="12"/>
      <c r="H24" s="348"/>
      <c r="I24" s="13"/>
    </row>
    <row r="25" spans="1:9">
      <c r="A25" s="348"/>
      <c r="B25" s="348"/>
      <c r="C25" s="348"/>
      <c r="D25" s="348"/>
      <c r="E25" s="12"/>
      <c r="F25" s="348"/>
      <c r="G25" s="12"/>
      <c r="H25" s="348"/>
      <c r="I25" s="13"/>
    </row>
    <row r="26" spans="1:9">
      <c r="A26" s="348"/>
      <c r="B26" s="348"/>
      <c r="C26" s="348"/>
      <c r="D26" s="348"/>
      <c r="E26" s="12"/>
      <c r="F26" s="348"/>
      <c r="G26" s="12"/>
      <c r="H26" s="348"/>
      <c r="I26" s="13"/>
    </row>
    <row r="27" spans="1:9">
      <c r="A27" s="348"/>
      <c r="B27" s="348"/>
      <c r="C27" s="348"/>
      <c r="D27" s="348"/>
      <c r="E27" s="12"/>
      <c r="F27" s="348"/>
      <c r="G27" s="12"/>
      <c r="H27" s="348"/>
      <c r="I27" s="13"/>
    </row>
    <row r="28" spans="1:9">
      <c r="A28" s="348"/>
      <c r="B28" s="348"/>
      <c r="C28" s="348"/>
      <c r="D28" s="348"/>
      <c r="E28" s="12"/>
      <c r="F28" s="348"/>
      <c r="G28" s="12"/>
      <c r="H28" s="348"/>
      <c r="I28" s="13"/>
    </row>
    <row r="29" spans="1:9">
      <c r="A29" s="348"/>
      <c r="B29" s="348"/>
      <c r="C29" s="348"/>
      <c r="D29" s="348"/>
      <c r="E29" s="12"/>
      <c r="F29" s="348"/>
      <c r="G29" s="12"/>
      <c r="H29" s="348"/>
      <c r="I29" s="13"/>
    </row>
    <row r="30" spans="1:9">
      <c r="A30" s="348"/>
      <c r="B30" s="348"/>
      <c r="C30" s="348"/>
      <c r="D30" s="348"/>
      <c r="E30" s="12"/>
      <c r="F30" s="348"/>
      <c r="G30" s="12"/>
      <c r="H30" s="348"/>
      <c r="I30" s="13"/>
    </row>
    <row r="31" spans="1:9">
      <c r="A31" s="348"/>
      <c r="B31" s="348"/>
      <c r="C31" s="348"/>
      <c r="D31" s="348"/>
      <c r="E31" s="12"/>
      <c r="F31" s="348"/>
      <c r="G31" s="12"/>
      <c r="H31" s="348"/>
      <c r="I31" s="13"/>
    </row>
    <row r="32" spans="1:9">
      <c r="A32" s="348"/>
      <c r="B32" s="348"/>
      <c r="C32" s="348"/>
      <c r="D32" s="348"/>
      <c r="E32" s="12"/>
      <c r="F32" s="348"/>
      <c r="G32" s="12"/>
      <c r="H32" s="348"/>
      <c r="I32" s="13"/>
    </row>
    <row r="33" spans="1:9">
      <c r="A33" s="348"/>
      <c r="B33" s="348"/>
      <c r="C33" s="348"/>
      <c r="D33" s="348"/>
      <c r="E33" s="12"/>
      <c r="F33" s="348"/>
      <c r="G33" s="12"/>
      <c r="H33" s="348"/>
      <c r="I33" s="13"/>
    </row>
    <row r="34" spans="1:9">
      <c r="A34" s="348"/>
      <c r="B34" s="348"/>
      <c r="C34" s="348"/>
      <c r="D34" s="348"/>
      <c r="E34" s="12"/>
      <c r="F34" s="348"/>
      <c r="G34" s="12"/>
      <c r="H34" s="348"/>
      <c r="I34" s="13"/>
    </row>
    <row r="35" spans="1:9">
      <c r="A35" s="348"/>
      <c r="B35" s="348"/>
      <c r="C35" s="348"/>
      <c r="D35" s="348"/>
      <c r="E35" s="12"/>
      <c r="F35" s="348"/>
      <c r="G35" s="12"/>
      <c r="H35" s="348"/>
      <c r="I35" s="13"/>
    </row>
    <row r="36" spans="1:9">
      <c r="A36" s="348"/>
      <c r="B36" s="348"/>
      <c r="C36" s="348"/>
      <c r="D36" s="348"/>
      <c r="E36" s="12"/>
      <c r="F36" s="348"/>
      <c r="G36" s="12"/>
      <c r="H36" s="348"/>
      <c r="I36" s="13"/>
    </row>
    <row r="37" spans="1:9">
      <c r="A37" s="348"/>
      <c r="B37" s="348"/>
      <c r="C37" s="348"/>
      <c r="D37" s="348"/>
      <c r="E37" s="12"/>
      <c r="F37" s="348"/>
      <c r="G37" s="12"/>
      <c r="H37" s="348"/>
      <c r="I37" s="13"/>
    </row>
    <row r="38" spans="1:9">
      <c r="A38" s="348"/>
      <c r="B38" s="348"/>
      <c r="C38" s="348"/>
      <c r="D38" s="348"/>
      <c r="E38" s="12"/>
      <c r="F38" s="348"/>
      <c r="G38" s="12"/>
      <c r="H38" s="348"/>
      <c r="I38" s="13"/>
    </row>
    <row r="39" spans="1:9">
      <c r="A39" s="348"/>
      <c r="B39" s="348"/>
      <c r="C39" s="348"/>
      <c r="D39" s="348"/>
      <c r="E39" s="12"/>
      <c r="F39" s="348"/>
      <c r="G39" s="12"/>
      <c r="H39" s="348"/>
      <c r="I39" s="13"/>
    </row>
    <row r="40" spans="1:9">
      <c r="A40" s="348"/>
      <c r="B40" s="348"/>
      <c r="C40" s="348"/>
      <c r="D40" s="348"/>
      <c r="E40" s="12"/>
      <c r="F40" s="348"/>
      <c r="G40" s="12"/>
      <c r="H40" s="348"/>
      <c r="I40" s="13"/>
    </row>
    <row r="41" spans="1:9">
      <c r="A41" s="348"/>
      <c r="B41" s="348"/>
      <c r="C41" s="348"/>
      <c r="D41" s="348"/>
      <c r="E41" s="12"/>
      <c r="F41" s="348"/>
      <c r="G41" s="12"/>
      <c r="H41" s="348"/>
      <c r="I41" s="13"/>
    </row>
    <row r="42" spans="1:9">
      <c r="A42" s="348"/>
      <c r="B42" s="348"/>
      <c r="C42" s="348"/>
      <c r="D42" s="348"/>
      <c r="E42" s="12"/>
      <c r="F42" s="348"/>
      <c r="G42" s="12"/>
      <c r="H42" s="348"/>
      <c r="I42" s="13"/>
    </row>
    <row r="43" spans="1:9">
      <c r="A43" s="348"/>
      <c r="B43" s="348"/>
      <c r="C43" s="348"/>
      <c r="D43" s="348"/>
      <c r="E43" s="12"/>
      <c r="F43" s="348"/>
      <c r="G43" s="12"/>
      <c r="H43" s="348"/>
      <c r="I43" s="13"/>
    </row>
    <row r="44" spans="1:9">
      <c r="A44" s="348"/>
      <c r="B44" s="348"/>
      <c r="C44" s="348"/>
      <c r="D44" s="348"/>
      <c r="E44" s="12"/>
      <c r="F44" s="348"/>
      <c r="G44" s="12"/>
      <c r="H44" s="348"/>
      <c r="I44" s="13"/>
    </row>
    <row r="45" spans="1:9">
      <c r="A45" s="348"/>
      <c r="B45" s="348"/>
      <c r="C45" s="348"/>
      <c r="D45" s="348"/>
      <c r="E45" s="12"/>
      <c r="F45" s="348"/>
      <c r="G45" s="12"/>
      <c r="H45" s="348"/>
      <c r="I45" s="13"/>
    </row>
    <row r="46" spans="1:9">
      <c r="A46" s="348"/>
      <c r="B46" s="348"/>
      <c r="C46" s="348"/>
      <c r="D46" s="348"/>
      <c r="E46" s="12"/>
      <c r="F46" s="348"/>
      <c r="G46" s="12"/>
      <c r="H46" s="348"/>
      <c r="I46" s="13"/>
    </row>
    <row r="47" spans="1:9">
      <c r="A47" s="348"/>
      <c r="B47" s="348"/>
      <c r="C47" s="348"/>
      <c r="D47" s="348"/>
      <c r="E47" s="12"/>
      <c r="F47" s="348"/>
      <c r="G47" s="12"/>
      <c r="H47" s="348"/>
      <c r="I47" s="13"/>
    </row>
    <row r="48" spans="1:9">
      <c r="A48" s="348"/>
      <c r="B48" s="348"/>
      <c r="C48" s="348"/>
      <c r="D48" s="348"/>
      <c r="E48" s="12"/>
      <c r="F48" s="348"/>
      <c r="G48" s="12"/>
      <c r="H48" s="348"/>
      <c r="I48" s="13"/>
    </row>
    <row r="49" spans="1:9">
      <c r="A49" s="348"/>
      <c r="B49" s="348"/>
      <c r="C49" s="348"/>
      <c r="D49" s="348"/>
      <c r="E49" s="12"/>
      <c r="F49" s="348"/>
      <c r="G49" s="12"/>
      <c r="H49" s="348"/>
      <c r="I49" s="13"/>
    </row>
    <row r="50" spans="1:9">
      <c r="A50" s="348"/>
      <c r="B50" s="348"/>
      <c r="C50" s="348"/>
      <c r="D50" s="348"/>
      <c r="E50" s="12"/>
      <c r="F50" s="348"/>
      <c r="G50" s="12"/>
      <c r="H50" s="348"/>
      <c r="I50" s="13"/>
    </row>
    <row r="51" spans="1:9">
      <c r="A51" s="348"/>
      <c r="B51" s="348"/>
      <c r="C51" s="348"/>
      <c r="D51" s="348"/>
      <c r="E51" s="12"/>
      <c r="F51" s="348"/>
      <c r="G51" s="12"/>
      <c r="H51" s="348"/>
      <c r="I51" s="13"/>
    </row>
    <row r="52" spans="1:9">
      <c r="A52" s="348"/>
      <c r="B52" s="348"/>
      <c r="C52" s="348"/>
      <c r="D52" s="348"/>
      <c r="E52" s="12"/>
      <c r="F52" s="348"/>
      <c r="G52" s="12"/>
      <c r="H52" s="348"/>
      <c r="I52" s="13"/>
    </row>
    <row r="53" spans="1:9">
      <c r="A53" s="348"/>
      <c r="B53" s="348"/>
      <c r="C53" s="348"/>
      <c r="D53" s="348"/>
      <c r="E53" s="12"/>
      <c r="F53" s="348"/>
      <c r="G53" s="12"/>
      <c r="H53" s="348"/>
      <c r="I53" s="13"/>
    </row>
    <row r="54" spans="1:9">
      <c r="A54" s="348"/>
      <c r="B54" s="348"/>
      <c r="C54" s="348"/>
      <c r="D54" s="348"/>
      <c r="E54" s="12"/>
      <c r="F54" s="348"/>
      <c r="G54" s="12"/>
      <c r="H54" s="348"/>
      <c r="I54" s="13"/>
    </row>
    <row r="55" spans="1:9">
      <c r="A55" s="348"/>
      <c r="B55" s="348"/>
      <c r="C55" s="348"/>
      <c r="D55" s="348"/>
      <c r="E55" s="12"/>
      <c r="F55" s="348"/>
      <c r="G55" s="12"/>
      <c r="H55" s="348"/>
      <c r="I55" s="13"/>
    </row>
    <row r="56" spans="1:9">
      <c r="A56" s="348"/>
      <c r="B56" s="348"/>
      <c r="C56" s="348"/>
      <c r="D56" s="348"/>
      <c r="E56" s="12"/>
      <c r="F56" s="348"/>
      <c r="G56" s="12"/>
      <c r="H56" s="348"/>
      <c r="I56" s="13"/>
    </row>
    <row r="57" spans="1:9">
      <c r="A57" s="348"/>
      <c r="B57" s="348"/>
      <c r="C57" s="348"/>
      <c r="D57" s="348"/>
      <c r="E57" s="12"/>
      <c r="F57" s="348"/>
      <c r="G57" s="12"/>
      <c r="H57" s="348"/>
      <c r="I57" s="13"/>
    </row>
    <row r="58" spans="1:9">
      <c r="A58" s="348"/>
      <c r="B58" s="348"/>
      <c r="C58" s="348"/>
      <c r="D58" s="348"/>
      <c r="E58" s="12"/>
      <c r="F58" s="348"/>
      <c r="G58" s="12"/>
      <c r="H58" s="348"/>
      <c r="I58" s="13"/>
    </row>
    <row r="59" spans="1:9">
      <c r="A59" s="348"/>
      <c r="B59" s="348"/>
      <c r="C59" s="348"/>
      <c r="D59" s="348"/>
      <c r="E59" s="12"/>
      <c r="F59" s="348"/>
      <c r="G59" s="12"/>
      <c r="H59" s="348"/>
      <c r="I59" s="13"/>
    </row>
    <row r="60" spans="1:9">
      <c r="A60" s="348"/>
      <c r="B60" s="348"/>
      <c r="C60" s="348"/>
      <c r="D60" s="348"/>
      <c r="E60" s="12"/>
      <c r="F60" s="348"/>
      <c r="G60" s="12"/>
      <c r="H60" s="348"/>
      <c r="I60" s="13"/>
    </row>
    <row r="61" spans="1:9">
      <c r="A61" s="348"/>
      <c r="B61" s="348"/>
      <c r="C61" s="348"/>
      <c r="D61" s="348"/>
      <c r="E61" s="12"/>
      <c r="F61" s="348"/>
      <c r="G61" s="12"/>
      <c r="H61" s="348"/>
      <c r="I61" s="13"/>
    </row>
    <row r="62" spans="1:9">
      <c r="A62" s="348"/>
      <c r="B62" s="348"/>
      <c r="C62" s="348"/>
      <c r="D62" s="348"/>
      <c r="E62" s="12"/>
      <c r="F62" s="348"/>
      <c r="G62" s="12"/>
      <c r="H62" s="348"/>
      <c r="I62" s="13"/>
    </row>
    <row r="63" spans="1:9">
      <c r="A63" s="348"/>
      <c r="B63" s="348"/>
      <c r="C63" s="348"/>
      <c r="D63" s="348"/>
      <c r="E63" s="12"/>
      <c r="F63" s="348"/>
      <c r="G63" s="12"/>
      <c r="H63" s="348"/>
      <c r="I63" s="13"/>
    </row>
    <row r="64" spans="1:9">
      <c r="A64" s="348"/>
      <c r="B64" s="348"/>
      <c r="C64" s="348"/>
      <c r="D64" s="348"/>
      <c r="E64" s="12"/>
      <c r="F64" s="348"/>
      <c r="G64" s="12"/>
      <c r="H64" s="348"/>
      <c r="I64" s="13"/>
    </row>
    <row r="65" spans="1:9">
      <c r="A65" s="348"/>
      <c r="B65" s="348"/>
      <c r="C65" s="348"/>
      <c r="D65" s="348"/>
      <c r="E65" s="12"/>
      <c r="F65" s="348"/>
      <c r="G65" s="12"/>
      <c r="H65" s="348"/>
      <c r="I65" s="13"/>
    </row>
    <row r="66" spans="1:9">
      <c r="A66" s="348"/>
      <c r="B66" s="348"/>
      <c r="C66" s="348"/>
      <c r="D66" s="348"/>
      <c r="E66" s="12"/>
      <c r="F66" s="348"/>
      <c r="G66" s="12"/>
      <c r="H66" s="348"/>
      <c r="I66" s="13"/>
    </row>
    <row r="67" spans="1:9">
      <c r="A67" s="348"/>
      <c r="B67" s="348"/>
      <c r="C67" s="348"/>
      <c r="D67" s="348"/>
      <c r="E67" s="12"/>
      <c r="F67" s="348"/>
      <c r="G67" s="12"/>
      <c r="H67" s="348"/>
      <c r="I67" s="13"/>
    </row>
    <row r="68" spans="1:9">
      <c r="A68" s="348"/>
      <c r="B68" s="348"/>
      <c r="C68" s="348"/>
      <c r="D68" s="348"/>
      <c r="E68" s="12"/>
      <c r="F68" s="348"/>
      <c r="G68" s="12"/>
      <c r="H68" s="348"/>
      <c r="I68" s="13"/>
    </row>
    <row r="69" spans="1:9">
      <c r="A69" s="348"/>
      <c r="B69" s="348"/>
      <c r="C69" s="348"/>
      <c r="D69" s="348"/>
      <c r="E69" s="12"/>
      <c r="F69" s="348"/>
      <c r="G69" s="12"/>
      <c r="H69" s="348"/>
      <c r="I69" s="13"/>
    </row>
    <row r="70" spans="1:9">
      <c r="A70" s="348"/>
      <c r="B70" s="348"/>
      <c r="C70" s="348"/>
      <c r="D70" s="348"/>
      <c r="E70" s="12"/>
      <c r="F70" s="348"/>
      <c r="G70" s="12"/>
      <c r="H70" s="348"/>
      <c r="I70" s="13"/>
    </row>
    <row r="71" spans="1:9">
      <c r="A71" s="348"/>
      <c r="B71" s="348"/>
      <c r="C71" s="348"/>
      <c r="D71" s="348"/>
      <c r="E71" s="12"/>
      <c r="F71" s="348"/>
      <c r="G71" s="12"/>
      <c r="H71" s="348"/>
      <c r="I71" s="13"/>
    </row>
    <row r="72" spans="1:9">
      <c r="A72" s="348"/>
      <c r="B72" s="348"/>
      <c r="C72" s="348"/>
      <c r="D72" s="348"/>
      <c r="E72" s="12"/>
      <c r="F72" s="348"/>
      <c r="G72" s="12"/>
      <c r="H72" s="348"/>
      <c r="I72" s="13"/>
    </row>
    <row r="73" spans="1:9">
      <c r="A73" s="348"/>
      <c r="B73" s="348"/>
      <c r="C73" s="348"/>
      <c r="D73" s="348"/>
      <c r="E73" s="12"/>
      <c r="F73" s="348"/>
      <c r="G73" s="12"/>
      <c r="H73" s="348"/>
      <c r="I73" s="13"/>
    </row>
    <row r="74" spans="1:9">
      <c r="A74" s="348"/>
      <c r="B74" s="348"/>
      <c r="C74" s="348"/>
      <c r="D74" s="348"/>
      <c r="E74" s="12"/>
      <c r="F74" s="348"/>
      <c r="G74" s="12"/>
      <c r="H74" s="348"/>
      <c r="I74" s="13"/>
    </row>
    <row r="75" spans="1:9">
      <c r="A75" s="348"/>
      <c r="B75" s="348"/>
      <c r="C75" s="348"/>
      <c r="D75" s="348"/>
      <c r="E75" s="12"/>
      <c r="F75" s="348"/>
      <c r="G75" s="12"/>
      <c r="H75" s="348"/>
      <c r="I75" s="13"/>
    </row>
    <row r="76" spans="1:9">
      <c r="A76" s="348"/>
      <c r="B76" s="348"/>
      <c r="C76" s="348"/>
      <c r="D76" s="348"/>
      <c r="E76" s="12"/>
      <c r="F76" s="348"/>
      <c r="G76" s="12"/>
      <c r="H76" s="348"/>
      <c r="I76" s="13"/>
    </row>
    <row r="77" spans="1:9">
      <c r="A77" s="348"/>
      <c r="B77" s="348"/>
      <c r="C77" s="348"/>
      <c r="D77" s="348"/>
      <c r="E77" s="12"/>
      <c r="F77" s="348"/>
      <c r="G77" s="12"/>
      <c r="H77" s="348"/>
      <c r="I77" s="13"/>
    </row>
    <row r="78" spans="1:9">
      <c r="A78" s="348"/>
      <c r="B78" s="348"/>
      <c r="C78" s="348"/>
      <c r="D78" s="348"/>
      <c r="E78" s="12"/>
      <c r="F78" s="348"/>
      <c r="G78" s="12"/>
      <c r="H78" s="348"/>
      <c r="I78" s="13"/>
    </row>
    <row r="79" spans="1:9">
      <c r="A79" s="348"/>
      <c r="B79" s="348"/>
      <c r="C79" s="348"/>
      <c r="D79" s="348"/>
      <c r="E79" s="12"/>
      <c r="F79" s="348"/>
      <c r="G79" s="12"/>
      <c r="H79" s="348"/>
      <c r="I79" s="13"/>
    </row>
    <row r="80" spans="1:9">
      <c r="A80" s="348"/>
      <c r="B80" s="348"/>
      <c r="C80" s="348"/>
      <c r="D80" s="348"/>
      <c r="E80" s="12"/>
      <c r="F80" s="348"/>
      <c r="G80" s="12"/>
      <c r="H80" s="348"/>
      <c r="I80" s="13"/>
    </row>
    <row r="81" spans="1:9">
      <c r="A81" s="348"/>
      <c r="B81" s="348"/>
      <c r="C81" s="348"/>
      <c r="D81" s="348"/>
      <c r="E81" s="12"/>
      <c r="F81" s="348"/>
      <c r="G81" s="12"/>
      <c r="H81" s="348"/>
      <c r="I81" s="13"/>
    </row>
    <row r="82" spans="1:9">
      <c r="A82" s="348"/>
      <c r="B82" s="348"/>
      <c r="C82" s="348"/>
      <c r="D82" s="348"/>
      <c r="E82" s="12"/>
      <c r="F82" s="348"/>
      <c r="G82" s="12"/>
      <c r="H82" s="348"/>
      <c r="I82" s="13"/>
    </row>
    <row r="83" spans="1:9">
      <c r="A83" s="348"/>
      <c r="B83" s="348"/>
      <c r="C83" s="348"/>
      <c r="D83" s="348"/>
      <c r="E83" s="12"/>
      <c r="F83" s="348"/>
      <c r="G83" s="12"/>
      <c r="H83" s="348"/>
      <c r="I83" s="13"/>
    </row>
    <row r="84" spans="1:9">
      <c r="A84" s="348"/>
      <c r="B84" s="348"/>
      <c r="C84" s="348"/>
      <c r="D84" s="348"/>
      <c r="E84" s="12"/>
      <c r="F84" s="348"/>
      <c r="G84" s="12"/>
      <c r="H84" s="348"/>
      <c r="I84" s="13"/>
    </row>
    <row r="85" spans="1:9">
      <c r="A85" s="348"/>
      <c r="B85" s="348"/>
      <c r="C85" s="348"/>
      <c r="D85" s="348"/>
      <c r="E85" s="12"/>
      <c r="F85" s="348"/>
      <c r="G85" s="12"/>
      <c r="H85" s="348"/>
      <c r="I85" s="13"/>
    </row>
    <row r="86" spans="1:9">
      <c r="A86" s="348"/>
      <c r="B86" s="348"/>
      <c r="C86" s="348"/>
      <c r="D86" s="348"/>
      <c r="E86" s="12"/>
      <c r="F86" s="348"/>
      <c r="G86" s="12"/>
      <c r="H86" s="348"/>
      <c r="I86" s="13"/>
    </row>
    <row r="87" spans="1:9">
      <c r="A87" s="348"/>
      <c r="B87" s="348"/>
      <c r="C87" s="348"/>
      <c r="D87" s="348"/>
      <c r="E87" s="12"/>
      <c r="F87" s="348"/>
      <c r="G87" s="12"/>
      <c r="H87" s="348"/>
      <c r="I87" s="13"/>
    </row>
    <row r="88" spans="1:9">
      <c r="A88" s="348"/>
      <c r="B88" s="348"/>
      <c r="C88" s="348"/>
      <c r="D88" s="348"/>
      <c r="E88" s="12"/>
      <c r="F88" s="348"/>
      <c r="G88" s="12"/>
      <c r="H88" s="348"/>
      <c r="I88" s="13"/>
    </row>
    <row r="89" spans="1:9">
      <c r="A89" s="348"/>
      <c r="B89" s="348"/>
      <c r="C89" s="348"/>
      <c r="D89" s="348"/>
      <c r="E89" s="12"/>
      <c r="F89" s="348"/>
      <c r="G89" s="12"/>
      <c r="H89" s="348"/>
      <c r="I89" s="13"/>
    </row>
    <row r="90" spans="1:9">
      <c r="A90" s="348"/>
      <c r="B90" s="348"/>
      <c r="C90" s="348"/>
      <c r="D90" s="348"/>
      <c r="E90" s="12"/>
      <c r="F90" s="348"/>
      <c r="G90" s="12"/>
      <c r="H90" s="348"/>
      <c r="I90" s="13"/>
    </row>
    <row r="91" spans="1:9">
      <c r="A91" s="348"/>
      <c r="B91" s="348"/>
      <c r="C91" s="348"/>
      <c r="D91" s="348"/>
      <c r="E91" s="12"/>
      <c r="F91" s="348"/>
      <c r="G91" s="12"/>
      <c r="H91" s="348"/>
      <c r="I91" s="13"/>
    </row>
    <row r="92" spans="1:9">
      <c r="A92" s="348"/>
      <c r="B92" s="348"/>
      <c r="C92" s="348"/>
      <c r="D92" s="348"/>
      <c r="E92" s="12"/>
      <c r="F92" s="348"/>
      <c r="G92" s="12"/>
      <c r="H92" s="348"/>
      <c r="I92" s="13"/>
    </row>
    <row r="93" spans="1:9">
      <c r="A93" s="348"/>
      <c r="B93" s="348"/>
      <c r="C93" s="348"/>
      <c r="D93" s="348"/>
      <c r="E93" s="12"/>
      <c r="F93" s="348"/>
      <c r="G93" s="12"/>
      <c r="H93" s="348"/>
      <c r="I93" s="13"/>
    </row>
    <row r="94" spans="1:9">
      <c r="A94" s="348"/>
      <c r="B94" s="348"/>
      <c r="C94" s="348"/>
      <c r="D94" s="348"/>
      <c r="E94" s="12"/>
      <c r="F94" s="348"/>
      <c r="G94" s="12"/>
      <c r="H94" s="348"/>
      <c r="I94" s="13"/>
    </row>
    <row r="95" spans="1:9">
      <c r="A95" s="348"/>
      <c r="B95" s="348"/>
      <c r="C95" s="348"/>
      <c r="D95" s="348"/>
      <c r="E95" s="12"/>
      <c r="F95" s="348"/>
      <c r="G95" s="12"/>
      <c r="H95" s="348"/>
      <c r="I95" s="13"/>
    </row>
    <row r="96" spans="1:9">
      <c r="A96" s="348"/>
      <c r="B96" s="348"/>
      <c r="C96" s="348"/>
      <c r="D96" s="348"/>
      <c r="E96" s="12"/>
      <c r="F96" s="348"/>
      <c r="G96" s="12"/>
      <c r="H96" s="348"/>
      <c r="I96" s="13"/>
    </row>
    <row r="97" spans="1:9">
      <c r="A97" s="348"/>
      <c r="B97" s="348"/>
      <c r="C97" s="348"/>
      <c r="D97" s="348"/>
      <c r="E97" s="12"/>
      <c r="F97" s="348"/>
      <c r="G97" s="12"/>
      <c r="H97" s="348"/>
      <c r="I97" s="13"/>
    </row>
    <row r="98" spans="1:9">
      <c r="A98" s="348"/>
      <c r="B98" s="348"/>
      <c r="C98" s="348"/>
      <c r="D98" s="348"/>
      <c r="E98" s="12"/>
      <c r="F98" s="348"/>
      <c r="G98" s="12"/>
      <c r="H98" s="348"/>
      <c r="I98" s="13"/>
    </row>
    <row r="99" spans="1:9">
      <c r="A99" s="348"/>
      <c r="B99" s="348"/>
      <c r="C99" s="348"/>
      <c r="D99" s="348"/>
      <c r="E99" s="12"/>
      <c r="F99" s="348"/>
      <c r="G99" s="12"/>
      <c r="H99" s="348"/>
      <c r="I99" s="13"/>
    </row>
    <row r="100" spans="1:9">
      <c r="A100" s="348"/>
      <c r="B100" s="348"/>
      <c r="C100" s="348"/>
      <c r="D100" s="348"/>
      <c r="E100" s="12"/>
      <c r="F100" s="348"/>
      <c r="G100" s="12"/>
      <c r="H100" s="348"/>
      <c r="I100" s="13"/>
    </row>
    <row r="101" spans="1:9">
      <c r="A101" s="348"/>
      <c r="B101" s="348"/>
      <c r="C101" s="348"/>
      <c r="D101" s="348"/>
      <c r="E101" s="12"/>
      <c r="F101" s="348"/>
      <c r="G101" s="12"/>
      <c r="H101" s="348"/>
      <c r="I101" s="13"/>
    </row>
    <row r="102" spans="1:9">
      <c r="A102" s="348"/>
      <c r="B102" s="348"/>
      <c r="C102" s="348"/>
      <c r="D102" s="348"/>
      <c r="E102" s="12"/>
      <c r="F102" s="348"/>
      <c r="G102" s="12"/>
      <c r="H102" s="348"/>
      <c r="I102" s="13"/>
    </row>
    <row r="103" spans="1:9">
      <c r="A103" s="348"/>
      <c r="B103" s="348"/>
      <c r="C103" s="348"/>
      <c r="D103" s="348"/>
      <c r="E103" s="12"/>
      <c r="F103" s="348"/>
      <c r="G103" s="12"/>
      <c r="H103" s="348"/>
      <c r="I103" s="13"/>
    </row>
    <row r="104" spans="1:9">
      <c r="A104" s="348"/>
      <c r="B104" s="348"/>
      <c r="C104" s="348"/>
      <c r="D104" s="348"/>
      <c r="E104" s="12"/>
      <c r="F104" s="348"/>
      <c r="G104" s="12"/>
      <c r="H104" s="348"/>
      <c r="I104" s="13"/>
    </row>
    <row r="105" spans="1:9">
      <c r="A105" s="348"/>
      <c r="B105" s="348"/>
      <c r="C105" s="348"/>
      <c r="D105" s="348"/>
      <c r="E105" s="12"/>
      <c r="F105" s="348"/>
      <c r="G105" s="12"/>
      <c r="H105" s="348"/>
      <c r="I105" s="13"/>
    </row>
    <row r="106" spans="1:9">
      <c r="A106" s="348"/>
      <c r="B106" s="348"/>
      <c r="C106" s="348"/>
      <c r="D106" s="348"/>
      <c r="E106" s="12"/>
      <c r="F106" s="348"/>
      <c r="G106" s="12"/>
      <c r="H106" s="348"/>
      <c r="I106" s="13"/>
    </row>
    <row r="107" spans="1:9">
      <c r="A107" s="348"/>
      <c r="B107" s="348"/>
      <c r="C107" s="348"/>
      <c r="D107" s="348"/>
      <c r="E107" s="12"/>
      <c r="F107" s="348"/>
      <c r="G107" s="12"/>
      <c r="H107" s="348"/>
      <c r="I107" s="13"/>
    </row>
    <row r="108" spans="1:9">
      <c r="A108" s="348"/>
      <c r="B108" s="348"/>
      <c r="C108" s="348"/>
      <c r="D108" s="348"/>
      <c r="E108" s="12"/>
      <c r="F108" s="348"/>
      <c r="G108" s="12"/>
      <c r="H108" s="348"/>
      <c r="I108" s="13"/>
    </row>
    <row r="109" spans="1:9">
      <c r="A109" s="348"/>
      <c r="B109" s="348"/>
      <c r="C109" s="348"/>
      <c r="D109" s="348"/>
      <c r="E109" s="12"/>
      <c r="F109" s="348"/>
      <c r="G109" s="12"/>
      <c r="H109" s="348"/>
      <c r="I109" s="13"/>
    </row>
    <row r="110" spans="1:9">
      <c r="A110" s="348"/>
      <c r="B110" s="348"/>
      <c r="C110" s="348"/>
      <c r="D110" s="348"/>
      <c r="E110" s="12"/>
      <c r="F110" s="348"/>
      <c r="G110" s="12"/>
      <c r="H110" s="348"/>
      <c r="I110" s="13"/>
    </row>
    <row r="111" spans="1:9">
      <c r="A111" s="348"/>
      <c r="B111" s="348"/>
      <c r="C111" s="348"/>
      <c r="D111" s="348"/>
      <c r="E111" s="12"/>
      <c r="F111" s="348"/>
      <c r="G111" s="12"/>
      <c r="H111" s="348"/>
      <c r="I111" s="13"/>
    </row>
    <row r="112" spans="1:9">
      <c r="A112" s="348"/>
      <c r="B112" s="348"/>
      <c r="C112" s="348"/>
      <c r="D112" s="348"/>
      <c r="E112" s="12"/>
      <c r="F112" s="348"/>
      <c r="G112" s="12"/>
      <c r="H112" s="348"/>
      <c r="I112" s="13"/>
    </row>
    <row r="113" spans="1:9">
      <c r="A113" s="348"/>
      <c r="B113" s="348"/>
      <c r="C113" s="348"/>
      <c r="D113" s="348"/>
      <c r="E113" s="12"/>
      <c r="F113" s="348"/>
      <c r="G113" s="12"/>
      <c r="H113" s="348"/>
      <c r="I113" s="13"/>
    </row>
    <row r="114" spans="1:9">
      <c r="A114" s="348"/>
      <c r="B114" s="348"/>
      <c r="C114" s="348"/>
      <c r="D114" s="348"/>
      <c r="E114" s="12"/>
      <c r="F114" s="348"/>
      <c r="G114" s="12"/>
      <c r="H114" s="348"/>
      <c r="I114" s="13"/>
    </row>
    <row r="115" spans="1:9">
      <c r="A115" s="348"/>
      <c r="B115" s="348"/>
      <c r="C115" s="348"/>
      <c r="D115" s="348"/>
      <c r="E115" s="12"/>
      <c r="F115" s="348"/>
      <c r="G115" s="12"/>
      <c r="H115" s="348"/>
      <c r="I115" s="13"/>
    </row>
    <row r="116" spans="1:9">
      <c r="A116" s="348"/>
      <c r="B116" s="348"/>
      <c r="C116" s="348"/>
      <c r="D116" s="348"/>
      <c r="E116" s="12"/>
      <c r="F116" s="348"/>
      <c r="G116" s="12"/>
      <c r="H116" s="348"/>
      <c r="I116" s="13"/>
    </row>
    <row r="117" spans="1:9">
      <c r="A117" s="348"/>
      <c r="B117" s="348"/>
      <c r="C117" s="348"/>
      <c r="D117" s="348"/>
      <c r="E117" s="12"/>
      <c r="F117" s="348"/>
      <c r="G117" s="12"/>
      <c r="H117" s="348"/>
      <c r="I117" s="13"/>
    </row>
    <row r="118" spans="1:9">
      <c r="A118" s="348"/>
      <c r="B118" s="348"/>
      <c r="C118" s="348"/>
      <c r="D118" s="348"/>
      <c r="E118" s="12"/>
      <c r="F118" s="348"/>
      <c r="G118" s="12"/>
      <c r="H118" s="348"/>
      <c r="I118" s="13"/>
    </row>
    <row r="119" spans="1:9">
      <c r="A119" s="348"/>
      <c r="B119" s="348"/>
      <c r="C119" s="348"/>
      <c r="D119" s="348"/>
      <c r="E119" s="12"/>
      <c r="F119" s="348"/>
      <c r="G119" s="12"/>
      <c r="H119" s="348"/>
      <c r="I119" s="13"/>
    </row>
    <row r="120" spans="1:9">
      <c r="A120" s="348"/>
      <c r="B120" s="348"/>
      <c r="C120" s="348"/>
      <c r="D120" s="348"/>
      <c r="E120" s="12"/>
      <c r="F120" s="348"/>
      <c r="G120" s="12"/>
      <c r="H120" s="348"/>
      <c r="I120" s="13"/>
    </row>
    <row r="121" spans="1:9">
      <c r="A121" s="348"/>
      <c r="B121" s="348"/>
      <c r="C121" s="348"/>
      <c r="D121" s="348"/>
      <c r="E121" s="12"/>
      <c r="F121" s="348"/>
      <c r="G121" s="12"/>
      <c r="H121" s="348"/>
      <c r="I121" s="13"/>
    </row>
    <row r="122" spans="1:9">
      <c r="A122" s="348"/>
      <c r="B122" s="348"/>
      <c r="C122" s="348"/>
      <c r="D122" s="348"/>
      <c r="E122" s="12"/>
      <c r="F122" s="348"/>
      <c r="G122" s="12"/>
      <c r="H122" s="348"/>
      <c r="I122" s="13"/>
    </row>
    <row r="123" spans="1:9">
      <c r="A123" s="348"/>
      <c r="B123" s="348"/>
      <c r="C123" s="348"/>
      <c r="D123" s="348"/>
      <c r="E123" s="12"/>
      <c r="F123" s="348"/>
      <c r="G123" s="12"/>
      <c r="H123" s="348"/>
      <c r="I123" s="13"/>
    </row>
    <row r="124" spans="1:9">
      <c r="A124" s="348"/>
      <c r="B124" s="348"/>
      <c r="C124" s="348"/>
      <c r="D124" s="348"/>
      <c r="E124" s="12"/>
      <c r="F124" s="348"/>
      <c r="G124" s="12"/>
      <c r="H124" s="348"/>
      <c r="I124" s="13"/>
    </row>
    <row r="125" spans="1:9">
      <c r="A125" s="348"/>
      <c r="B125" s="348"/>
      <c r="C125" s="348"/>
      <c r="D125" s="348"/>
      <c r="E125" s="12"/>
      <c r="F125" s="348"/>
      <c r="G125" s="12"/>
      <c r="H125" s="348"/>
      <c r="I125" s="13"/>
    </row>
    <row r="126" spans="1:9">
      <c r="A126" s="348"/>
      <c r="B126" s="348"/>
      <c r="C126" s="348"/>
      <c r="D126" s="348"/>
      <c r="E126" s="12"/>
      <c r="F126" s="348"/>
      <c r="G126" s="12"/>
      <c r="H126" s="348"/>
      <c r="I126" s="13"/>
    </row>
    <row r="127" spans="1:9">
      <c r="A127" s="348"/>
      <c r="B127" s="348"/>
      <c r="C127" s="348"/>
      <c r="D127" s="348"/>
      <c r="E127" s="12"/>
      <c r="F127" s="348"/>
      <c r="G127" s="12"/>
      <c r="H127" s="348"/>
      <c r="I127" s="13"/>
    </row>
    <row r="128" spans="1:9">
      <c r="A128" s="348"/>
      <c r="B128" s="348"/>
      <c r="C128" s="348"/>
      <c r="D128" s="348"/>
      <c r="E128" s="12"/>
      <c r="F128" s="348"/>
      <c r="G128" s="12"/>
      <c r="H128" s="348"/>
      <c r="I128" s="13"/>
    </row>
    <row r="129" spans="1:9">
      <c r="A129" s="348"/>
      <c r="B129" s="348"/>
      <c r="C129" s="348"/>
      <c r="D129" s="348"/>
      <c r="E129" s="12"/>
      <c r="F129" s="348"/>
      <c r="G129" s="12"/>
      <c r="H129" s="348"/>
      <c r="I129" s="13"/>
    </row>
    <row r="130" spans="1:9">
      <c r="A130" s="348"/>
      <c r="B130" s="348"/>
      <c r="C130" s="348"/>
      <c r="D130" s="348"/>
      <c r="E130" s="12"/>
      <c r="F130" s="348"/>
      <c r="G130" s="12"/>
      <c r="H130" s="348"/>
      <c r="I130" s="13"/>
    </row>
    <row r="131" spans="1:9">
      <c r="A131" s="348"/>
      <c r="B131" s="348"/>
      <c r="C131" s="348"/>
      <c r="D131" s="348"/>
      <c r="E131" s="12"/>
      <c r="F131" s="348"/>
      <c r="G131" s="12"/>
      <c r="H131" s="348"/>
      <c r="I131" s="13"/>
    </row>
    <row r="132" spans="1:9">
      <c r="A132" s="348"/>
      <c r="B132" s="348"/>
      <c r="C132" s="348"/>
      <c r="D132" s="348"/>
      <c r="E132" s="12"/>
      <c r="F132" s="348"/>
      <c r="G132" s="12"/>
      <c r="H132" s="348"/>
      <c r="I132" s="13"/>
    </row>
    <row r="133" spans="1:9">
      <c r="A133" s="348"/>
      <c r="B133" s="348"/>
      <c r="C133" s="348"/>
      <c r="D133" s="348"/>
      <c r="E133" s="12"/>
      <c r="F133" s="348"/>
      <c r="G133" s="12"/>
      <c r="H133" s="348"/>
      <c r="I133" s="13"/>
    </row>
    <row r="134" spans="1:9">
      <c r="A134" s="348"/>
      <c r="B134" s="348"/>
      <c r="C134" s="348"/>
      <c r="D134" s="348"/>
      <c r="E134" s="12"/>
      <c r="F134" s="348"/>
      <c r="G134" s="12"/>
      <c r="H134" s="348"/>
      <c r="I134" s="13"/>
    </row>
    <row r="135" spans="1:9">
      <c r="A135" s="348"/>
      <c r="B135" s="348"/>
      <c r="C135" s="348"/>
      <c r="D135" s="348"/>
      <c r="E135" s="12"/>
      <c r="F135" s="348"/>
      <c r="G135" s="12"/>
      <c r="H135" s="348"/>
      <c r="I135" s="13"/>
    </row>
    <row r="136" spans="1:9">
      <c r="A136" s="348"/>
      <c r="B136" s="348"/>
      <c r="C136" s="348"/>
      <c r="D136" s="348"/>
      <c r="E136" s="12"/>
      <c r="F136" s="348"/>
      <c r="G136" s="12"/>
      <c r="H136" s="348"/>
      <c r="I136" s="13"/>
    </row>
    <row r="137" spans="1:9">
      <c r="A137" s="348"/>
      <c r="B137" s="348"/>
      <c r="C137" s="348"/>
      <c r="D137" s="348"/>
      <c r="E137" s="12"/>
      <c r="F137" s="348"/>
      <c r="G137" s="12"/>
      <c r="H137" s="348"/>
      <c r="I137" s="13"/>
    </row>
    <row r="138" spans="1:9">
      <c r="A138" s="348"/>
      <c r="B138" s="348"/>
      <c r="C138" s="348"/>
      <c r="D138" s="348"/>
      <c r="E138" s="12"/>
      <c r="F138" s="348"/>
      <c r="G138" s="12"/>
      <c r="H138" s="348"/>
      <c r="I138" s="13"/>
    </row>
    <row r="139" spans="1:9">
      <c r="A139" s="348"/>
      <c r="B139" s="348"/>
      <c r="C139" s="348"/>
      <c r="D139" s="348"/>
      <c r="E139" s="12"/>
      <c r="F139" s="348"/>
      <c r="G139" s="12"/>
      <c r="H139" s="348"/>
      <c r="I139" s="13"/>
    </row>
    <row r="140" spans="1:9">
      <c r="A140" s="348"/>
      <c r="B140" s="348"/>
      <c r="C140" s="348"/>
      <c r="D140" s="348"/>
      <c r="E140" s="12"/>
      <c r="F140" s="348"/>
      <c r="G140" s="12"/>
      <c r="H140" s="348"/>
      <c r="I140" s="13"/>
    </row>
    <row r="141" spans="1:9">
      <c r="A141" s="348"/>
      <c r="B141" s="348"/>
      <c r="C141" s="348"/>
      <c r="D141" s="348"/>
      <c r="E141" s="12"/>
      <c r="F141" s="348"/>
      <c r="G141" s="12"/>
      <c r="H141" s="348"/>
      <c r="I141" s="13"/>
    </row>
    <row r="142" spans="1:9">
      <c r="A142" s="348"/>
      <c r="B142" s="348"/>
      <c r="C142" s="348"/>
      <c r="D142" s="348"/>
      <c r="E142" s="12"/>
      <c r="F142" s="348"/>
      <c r="G142" s="12"/>
      <c r="H142" s="348"/>
      <c r="I142" s="13"/>
    </row>
    <row r="143" spans="1:9">
      <c r="A143" s="348"/>
      <c r="B143" s="348"/>
      <c r="C143" s="348"/>
      <c r="D143" s="348"/>
      <c r="E143" s="12"/>
      <c r="F143" s="348"/>
      <c r="G143" s="12"/>
      <c r="H143" s="348"/>
      <c r="I143" s="13"/>
    </row>
    <row r="144" spans="1:9">
      <c r="A144" s="348"/>
      <c r="B144" s="348"/>
      <c r="C144" s="348"/>
      <c r="D144" s="348"/>
      <c r="E144" s="12"/>
      <c r="F144" s="348"/>
      <c r="G144" s="12"/>
      <c r="H144" s="348"/>
      <c r="I144" s="13"/>
    </row>
    <row r="145" spans="1:9">
      <c r="A145" s="348"/>
      <c r="B145" s="348"/>
      <c r="C145" s="348"/>
      <c r="D145" s="348"/>
      <c r="E145" s="12"/>
      <c r="F145" s="348"/>
      <c r="G145" s="12"/>
      <c r="H145" s="348"/>
      <c r="I145" s="13"/>
    </row>
    <row r="146" spans="1:9">
      <c r="A146" s="348"/>
      <c r="B146" s="348"/>
      <c r="C146" s="348"/>
      <c r="D146" s="348"/>
      <c r="E146" s="12"/>
      <c r="F146" s="348"/>
      <c r="G146" s="12"/>
      <c r="H146" s="348"/>
      <c r="I146" s="13"/>
    </row>
    <row r="147" spans="1:9">
      <c r="A147" s="348"/>
      <c r="B147" s="348"/>
      <c r="C147" s="348"/>
      <c r="D147" s="348"/>
      <c r="E147" s="12"/>
      <c r="F147" s="348"/>
      <c r="G147" s="12"/>
      <c r="H147" s="348"/>
      <c r="I147" s="13"/>
    </row>
    <row r="148" spans="1:9">
      <c r="A148" s="348"/>
      <c r="B148" s="348"/>
      <c r="C148" s="348"/>
      <c r="D148" s="348"/>
      <c r="E148" s="12"/>
      <c r="F148" s="348"/>
      <c r="G148" s="12"/>
      <c r="H148" s="348"/>
      <c r="I148" s="13"/>
    </row>
    <row r="149" spans="1:9">
      <c r="A149" s="348"/>
      <c r="B149" s="348"/>
      <c r="C149" s="348"/>
      <c r="D149" s="348"/>
      <c r="E149" s="12"/>
      <c r="F149" s="348"/>
      <c r="G149" s="12"/>
      <c r="H149" s="348"/>
      <c r="I149" s="13"/>
    </row>
    <row r="150" spans="1:9">
      <c r="A150" s="348"/>
      <c r="B150" s="348"/>
      <c r="C150" s="348"/>
      <c r="D150" s="348"/>
      <c r="E150" s="12"/>
      <c r="F150" s="348"/>
      <c r="G150" s="12"/>
      <c r="H150" s="348"/>
      <c r="I150" s="13"/>
    </row>
    <row r="151" spans="1:9">
      <c r="A151" s="348"/>
      <c r="B151" s="348"/>
      <c r="C151" s="348"/>
      <c r="D151" s="348"/>
      <c r="E151" s="12"/>
      <c r="F151" s="348"/>
      <c r="G151" s="12"/>
      <c r="H151" s="348"/>
      <c r="I151" s="13"/>
    </row>
    <row r="152" spans="1:9">
      <c r="A152" s="348"/>
      <c r="B152" s="348"/>
      <c r="C152" s="348"/>
      <c r="D152" s="348"/>
      <c r="E152" s="12"/>
      <c r="F152" s="348"/>
      <c r="G152" s="12"/>
      <c r="H152" s="348"/>
      <c r="I152" s="13"/>
    </row>
    <row r="153" spans="1:9">
      <c r="A153" s="348"/>
      <c r="B153" s="348"/>
      <c r="C153" s="348"/>
      <c r="D153" s="348"/>
      <c r="E153" s="12"/>
      <c r="F153" s="348"/>
      <c r="G153" s="12"/>
      <c r="H153" s="348"/>
      <c r="I153" s="13"/>
    </row>
    <row r="154" spans="1:9">
      <c r="A154" s="348"/>
      <c r="B154" s="348"/>
      <c r="C154" s="348"/>
      <c r="D154" s="348"/>
      <c r="E154" s="12"/>
      <c r="F154" s="348"/>
      <c r="G154" s="12"/>
      <c r="H154" s="348"/>
      <c r="I154" s="13"/>
    </row>
    <row r="155" spans="1:9">
      <c r="A155" s="348"/>
      <c r="B155" s="348"/>
      <c r="C155" s="348"/>
      <c r="D155" s="348"/>
      <c r="E155" s="12"/>
      <c r="F155" s="348"/>
      <c r="G155" s="12"/>
      <c r="H155" s="348"/>
      <c r="I155" s="13"/>
    </row>
    <row r="156" spans="1:9">
      <c r="A156" s="348"/>
      <c r="B156" s="348"/>
      <c r="C156" s="348"/>
      <c r="D156" s="348"/>
      <c r="E156" s="12"/>
      <c r="F156" s="348"/>
      <c r="G156" s="12"/>
      <c r="H156" s="348"/>
      <c r="I156" s="13"/>
    </row>
    <row r="157" spans="1:9">
      <c r="A157" s="348"/>
      <c r="B157" s="348"/>
      <c r="C157" s="348"/>
      <c r="D157" s="348"/>
      <c r="E157" s="12"/>
      <c r="F157" s="348"/>
      <c r="G157" s="12"/>
      <c r="H157" s="348"/>
      <c r="I157" s="1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170"/>
  <sheetViews>
    <sheetView tabSelected="1" topLeftCell="B86" zoomScaleNormal="100" workbookViewId="0">
      <selection activeCell="G97" sqref="G97"/>
    </sheetView>
  </sheetViews>
  <sheetFormatPr defaultRowHeight="14.5"/>
  <cols>
    <col min="1" max="1" width="10" bestFit="1" customWidth="1"/>
    <col min="2" max="2" width="10" customWidth="1"/>
    <col min="3" max="3" width="18.1796875" customWidth="1"/>
    <col min="4" max="4" width="7.81640625" customWidth="1"/>
    <col min="5" max="5" width="21" customWidth="1"/>
    <col min="6" max="6" width="26.26953125" customWidth="1"/>
    <col min="7" max="7" width="16.08984375" customWidth="1"/>
    <col min="8" max="8" width="9.36328125" customWidth="1"/>
    <col min="9" max="9" width="9.453125" customWidth="1"/>
    <col min="10" max="10" width="11.54296875" customWidth="1"/>
    <col min="11" max="11" width="26" customWidth="1"/>
    <col min="12" max="12" width="10.54296875" customWidth="1"/>
    <col min="13" max="13" width="14" customWidth="1"/>
    <col min="14" max="14" width="15.54296875" customWidth="1"/>
    <col min="15" max="15" width="12.7265625" customWidth="1"/>
    <col min="16" max="16" width="19.6328125" customWidth="1"/>
    <col min="17" max="17" width="20" style="40" customWidth="1"/>
    <col min="18" max="18" width="14.1796875" customWidth="1"/>
    <col min="19" max="19" width="8.81640625" customWidth="1"/>
    <col min="20" max="21" width="8.7265625" customWidth="1"/>
    <col min="22" max="22" width="9.453125" customWidth="1"/>
    <col min="23" max="23" width="10.08984375" customWidth="1"/>
  </cols>
  <sheetData>
    <row r="1" spans="1:23">
      <c r="A1" s="1366" t="s">
        <v>1602</v>
      </c>
      <c r="B1" s="1367" t="s">
        <v>1603</v>
      </c>
      <c r="C1" s="1367" t="s">
        <v>0</v>
      </c>
      <c r="D1" s="1367" t="s">
        <v>1604</v>
      </c>
      <c r="E1" s="1367" t="s">
        <v>1605</v>
      </c>
      <c r="F1" s="1367" t="s">
        <v>1606</v>
      </c>
      <c r="G1" s="1367" t="s">
        <v>1607</v>
      </c>
      <c r="H1" s="1367" t="s">
        <v>1608</v>
      </c>
      <c r="I1" s="1367" t="s">
        <v>1644</v>
      </c>
      <c r="J1" s="1367" t="s">
        <v>1609</v>
      </c>
      <c r="K1" s="1367" t="s">
        <v>1610</v>
      </c>
      <c r="L1" s="1367" t="s">
        <v>1611</v>
      </c>
      <c r="M1" s="1367" t="s">
        <v>1612</v>
      </c>
      <c r="N1" s="1367" t="s">
        <v>1613</v>
      </c>
      <c r="O1" s="1367" t="s">
        <v>1614</v>
      </c>
      <c r="P1" s="1367" t="s">
        <v>1615</v>
      </c>
      <c r="Q1" s="1368" t="s">
        <v>1616</v>
      </c>
      <c r="R1" s="1367" t="s">
        <v>1617</v>
      </c>
      <c r="S1" s="1367" t="s">
        <v>1618</v>
      </c>
      <c r="T1" s="1367" t="s">
        <v>1619</v>
      </c>
      <c r="U1" s="1367" t="s">
        <v>1620</v>
      </c>
      <c r="V1" s="1367" t="s">
        <v>1621</v>
      </c>
      <c r="W1" s="1369" t="s">
        <v>537</v>
      </c>
    </row>
    <row r="2" spans="1:23">
      <c r="A2" s="1370" t="s">
        <v>1622</v>
      </c>
      <c r="B2" s="1370" t="s">
        <v>1623</v>
      </c>
      <c r="C2" s="1370" t="s">
        <v>18</v>
      </c>
      <c r="D2" s="1370">
        <v>1</v>
      </c>
      <c r="E2" s="1370" t="s">
        <v>18</v>
      </c>
      <c r="F2" s="1370" t="s">
        <v>142</v>
      </c>
      <c r="G2" s="1371">
        <f>Reqd_MC!I2</f>
        <v>2.3369737093150369</v>
      </c>
      <c r="H2" s="1371"/>
      <c r="I2" s="1370">
        <v>3</v>
      </c>
      <c r="J2" s="1372">
        <v>0.8</v>
      </c>
      <c r="K2" s="1373" t="s">
        <v>1624</v>
      </c>
      <c r="L2" s="1370"/>
      <c r="M2" s="1355">
        <f>IF(MOD(G2*J2,1)&lt;0.3,ROUNDUP(G2*J2*3,0),ROUNDUP(G2*J2,0)*3)</f>
        <v>6</v>
      </c>
      <c r="N2" s="1370"/>
      <c r="O2" s="1370"/>
      <c r="P2" s="1370"/>
      <c r="Q2" s="1374">
        <f t="shared" ref="Q2:Q33" si="0">M2</f>
        <v>6</v>
      </c>
      <c r="R2" s="1370"/>
      <c r="S2" s="1370"/>
      <c r="T2" s="1370"/>
      <c r="U2" s="1370"/>
      <c r="V2" s="1370"/>
      <c r="W2" s="1375"/>
    </row>
    <row r="3" spans="1:23">
      <c r="A3" s="1376" t="s">
        <v>1622</v>
      </c>
      <c r="B3" s="1376" t="s">
        <v>1623</v>
      </c>
      <c r="C3" s="1376" t="s">
        <v>18</v>
      </c>
      <c r="D3" s="1376">
        <v>2</v>
      </c>
      <c r="E3" s="1376" t="s">
        <v>18</v>
      </c>
      <c r="F3" s="1376" t="s">
        <v>128</v>
      </c>
      <c r="G3" s="1376"/>
      <c r="H3" s="1376"/>
      <c r="I3" s="1376">
        <v>3</v>
      </c>
      <c r="J3" s="1377"/>
      <c r="K3" s="1376"/>
      <c r="L3" s="1376"/>
      <c r="M3" s="1376">
        <v>3</v>
      </c>
      <c r="N3" s="1376"/>
      <c r="O3" s="1376"/>
      <c r="P3" s="1376"/>
      <c r="Q3" s="1378">
        <f t="shared" si="0"/>
        <v>3</v>
      </c>
      <c r="R3" s="1376"/>
      <c r="S3" s="1376"/>
      <c r="T3" s="1376"/>
      <c r="U3" s="1376"/>
      <c r="V3" s="1376"/>
      <c r="W3" s="1379"/>
    </row>
    <row r="4" spans="1:23">
      <c r="A4" s="1370" t="s">
        <v>1622</v>
      </c>
      <c r="B4" s="1370" t="s">
        <v>1623</v>
      </c>
      <c r="C4" s="1370" t="s">
        <v>18</v>
      </c>
      <c r="D4" s="1370">
        <v>3</v>
      </c>
      <c r="E4" s="1370" t="s">
        <v>18</v>
      </c>
      <c r="F4" s="1370" t="s">
        <v>129</v>
      </c>
      <c r="G4" s="1370"/>
      <c r="H4" s="1370"/>
      <c r="I4" s="1370">
        <v>3</v>
      </c>
      <c r="J4" s="1372"/>
      <c r="K4" s="1370"/>
      <c r="L4" s="1370"/>
      <c r="M4" s="1370">
        <v>4</v>
      </c>
      <c r="N4" s="1370"/>
      <c r="O4" s="1370"/>
      <c r="P4" s="1370"/>
      <c r="Q4" s="1374">
        <f t="shared" si="0"/>
        <v>4</v>
      </c>
      <c r="R4" s="1370"/>
      <c r="S4" s="1370"/>
      <c r="T4" s="1370"/>
      <c r="U4" s="1370"/>
      <c r="V4" s="1370"/>
      <c r="W4" s="1375"/>
    </row>
    <row r="5" spans="1:23">
      <c r="A5" s="1376" t="s">
        <v>1622</v>
      </c>
      <c r="B5" s="1376" t="s">
        <v>1623</v>
      </c>
      <c r="C5" s="1376" t="s">
        <v>18</v>
      </c>
      <c r="D5" s="1376">
        <v>4</v>
      </c>
      <c r="E5" s="1376" t="s">
        <v>18</v>
      </c>
      <c r="F5" s="1376" t="s">
        <v>130</v>
      </c>
      <c r="G5" s="1376"/>
      <c r="H5" s="1376"/>
      <c r="I5" s="1376">
        <v>3</v>
      </c>
      <c r="J5" s="1377"/>
      <c r="K5" s="1376"/>
      <c r="L5" s="1376"/>
      <c r="M5" s="1376">
        <v>0</v>
      </c>
      <c r="N5" s="1376"/>
      <c r="O5" s="1376"/>
      <c r="P5" s="1376"/>
      <c r="Q5" s="1378">
        <f t="shared" si="0"/>
        <v>0</v>
      </c>
      <c r="R5" s="1376"/>
      <c r="S5" s="1376"/>
      <c r="T5" s="1376"/>
      <c r="U5" s="1376"/>
      <c r="V5" s="1376"/>
      <c r="W5" s="1379"/>
    </row>
    <row r="6" spans="1:23">
      <c r="A6" s="1370" t="s">
        <v>1622</v>
      </c>
      <c r="B6" s="1370" t="s">
        <v>1623</v>
      </c>
      <c r="C6" s="1370" t="s">
        <v>18</v>
      </c>
      <c r="D6" s="1370">
        <v>5</v>
      </c>
      <c r="E6" s="1370" t="s">
        <v>18</v>
      </c>
      <c r="F6" s="1370" t="s">
        <v>131</v>
      </c>
      <c r="G6" s="1370"/>
      <c r="H6" s="1370"/>
      <c r="I6" s="1370">
        <v>3</v>
      </c>
      <c r="J6" s="1372"/>
      <c r="K6" s="1370"/>
      <c r="L6" s="1370"/>
      <c r="M6" s="1370">
        <v>4</v>
      </c>
      <c r="N6" s="1370"/>
      <c r="O6" s="1370"/>
      <c r="P6" s="1370"/>
      <c r="Q6" s="1374">
        <f t="shared" si="0"/>
        <v>4</v>
      </c>
      <c r="R6" s="1370"/>
      <c r="S6" s="1370"/>
      <c r="T6" s="1370"/>
      <c r="U6" s="1370"/>
      <c r="V6" s="1370"/>
      <c r="W6" s="1375"/>
    </row>
    <row r="7" spans="1:23">
      <c r="A7" s="1376" t="s">
        <v>1622</v>
      </c>
      <c r="B7" s="1376" t="s">
        <v>1623</v>
      </c>
      <c r="C7" s="1376" t="s">
        <v>18</v>
      </c>
      <c r="D7" s="1376">
        <v>6</v>
      </c>
      <c r="E7" s="1376" t="s">
        <v>18</v>
      </c>
      <c r="F7" s="1376" t="s">
        <v>132</v>
      </c>
      <c r="G7" s="1376"/>
      <c r="H7" s="1376"/>
      <c r="I7" s="1376">
        <v>3</v>
      </c>
      <c r="J7" s="1377"/>
      <c r="K7" s="1376"/>
      <c r="L7" s="1376"/>
      <c r="M7" s="1376">
        <v>3</v>
      </c>
      <c r="N7" s="1376"/>
      <c r="O7" s="1376"/>
      <c r="P7" s="1376"/>
      <c r="Q7" s="1378">
        <f t="shared" si="0"/>
        <v>3</v>
      </c>
      <c r="R7" s="1376"/>
      <c r="S7" s="1376"/>
      <c r="T7" s="1376"/>
      <c r="U7" s="1376"/>
      <c r="V7" s="1376"/>
      <c r="W7" s="1379"/>
    </row>
    <row r="8" spans="1:23">
      <c r="A8" s="1370" t="s">
        <v>1622</v>
      </c>
      <c r="B8" s="1370" t="s">
        <v>1623</v>
      </c>
      <c r="C8" s="1370" t="s">
        <v>18</v>
      </c>
      <c r="D8" s="1370">
        <v>7</v>
      </c>
      <c r="E8" s="1370" t="s">
        <v>18</v>
      </c>
      <c r="F8" s="1370" t="s">
        <v>133</v>
      </c>
      <c r="G8" s="1370"/>
      <c r="H8" s="1370"/>
      <c r="I8" s="1370">
        <v>3</v>
      </c>
      <c r="J8" s="1372"/>
      <c r="K8" s="1370"/>
      <c r="L8" s="1370"/>
      <c r="M8" s="1370">
        <v>3</v>
      </c>
      <c r="N8" s="1370"/>
      <c r="O8" s="1370">
        <v>1</v>
      </c>
      <c r="P8" s="1370"/>
      <c r="Q8" s="1374">
        <f t="shared" si="0"/>
        <v>3</v>
      </c>
      <c r="R8" s="1370"/>
      <c r="S8" s="1370"/>
      <c r="T8" s="1370"/>
      <c r="U8" s="1370"/>
      <c r="V8" s="1370"/>
      <c r="W8" s="1375"/>
    </row>
    <row r="9" spans="1:23">
      <c r="A9" s="1376" t="s">
        <v>1622</v>
      </c>
      <c r="B9" s="1376" t="s">
        <v>1623</v>
      </c>
      <c r="C9" s="1376" t="s">
        <v>16</v>
      </c>
      <c r="D9" s="1376">
        <v>1</v>
      </c>
      <c r="E9" s="1376" t="s">
        <v>16</v>
      </c>
      <c r="F9" s="1376" t="s">
        <v>142</v>
      </c>
      <c r="G9" s="1380">
        <f>Reqd_MC!I3</f>
        <v>12</v>
      </c>
      <c r="H9" s="1376">
        <v>2</v>
      </c>
      <c r="I9" s="1376">
        <v>3</v>
      </c>
      <c r="J9" s="1377">
        <v>0.5</v>
      </c>
      <c r="K9" s="1376" t="s">
        <v>1625</v>
      </c>
      <c r="L9" s="1376"/>
      <c r="M9" s="1355">
        <f>IF(MOD(G9*J9,1)&lt;0.3,ROUNDUP(G9*J9*3,0),ROUNDUP(G9*J9,0)*3)</f>
        <v>18</v>
      </c>
      <c r="N9" s="1376"/>
      <c r="O9" s="1376"/>
      <c r="P9" s="1376"/>
      <c r="Q9" s="1378">
        <f t="shared" si="0"/>
        <v>18</v>
      </c>
      <c r="R9" s="1376"/>
      <c r="S9" s="1376"/>
      <c r="T9" s="1376"/>
      <c r="U9" s="1376"/>
      <c r="V9" s="1376"/>
      <c r="W9" s="1379"/>
    </row>
    <row r="10" spans="1:23">
      <c r="A10" s="1370" t="s">
        <v>1622</v>
      </c>
      <c r="B10" s="1370" t="s">
        <v>1623</v>
      </c>
      <c r="C10" s="1370" t="s">
        <v>16</v>
      </c>
      <c r="D10" s="1370">
        <v>2</v>
      </c>
      <c r="E10" s="1370" t="s">
        <v>16</v>
      </c>
      <c r="F10" s="1370" t="s">
        <v>133</v>
      </c>
      <c r="G10" s="1370"/>
      <c r="H10" s="1370"/>
      <c r="I10" s="1370">
        <v>3</v>
      </c>
      <c r="J10" s="1372"/>
      <c r="K10" s="1370"/>
      <c r="L10" s="1370"/>
      <c r="M10" s="1370">
        <v>3</v>
      </c>
      <c r="N10" s="1370"/>
      <c r="O10" s="1370">
        <v>1</v>
      </c>
      <c r="P10" s="1370"/>
      <c r="Q10" s="1374">
        <f t="shared" si="0"/>
        <v>3</v>
      </c>
      <c r="R10" s="1370"/>
      <c r="S10" s="1370"/>
      <c r="T10" s="1370"/>
      <c r="U10" s="1370"/>
      <c r="V10" s="1370"/>
      <c r="W10" s="1375"/>
    </row>
    <row r="11" spans="1:23">
      <c r="A11" s="1376" t="s">
        <v>1622</v>
      </c>
      <c r="B11" s="1376" t="s">
        <v>1623</v>
      </c>
      <c r="C11" s="1376" t="s">
        <v>16</v>
      </c>
      <c r="D11" s="1376">
        <v>3</v>
      </c>
      <c r="E11" s="1376" t="s">
        <v>16</v>
      </c>
      <c r="F11" s="1376" t="s">
        <v>136</v>
      </c>
      <c r="G11" s="1376"/>
      <c r="H11" s="1376"/>
      <c r="I11" s="1376">
        <v>3</v>
      </c>
      <c r="J11" s="1377"/>
      <c r="K11" s="1376"/>
      <c r="L11" s="1376"/>
      <c r="M11" s="1376">
        <v>6</v>
      </c>
      <c r="N11" s="1376"/>
      <c r="O11" s="1376"/>
      <c r="P11" s="1376"/>
      <c r="Q11" s="1378">
        <f t="shared" si="0"/>
        <v>6</v>
      </c>
      <c r="R11" s="1376"/>
      <c r="S11" s="1376"/>
      <c r="T11" s="1376"/>
      <c r="U11" s="1376"/>
      <c r="V11" s="1376"/>
      <c r="W11" s="1379"/>
    </row>
    <row r="12" spans="1:23">
      <c r="A12" s="1370" t="s">
        <v>1622</v>
      </c>
      <c r="B12" s="1370" t="s">
        <v>1623</v>
      </c>
      <c r="C12" s="1370" t="s">
        <v>16</v>
      </c>
      <c r="D12" s="1370">
        <v>4</v>
      </c>
      <c r="E12" s="1370" t="s">
        <v>16</v>
      </c>
      <c r="F12" s="1370" t="s">
        <v>632</v>
      </c>
      <c r="G12" s="1370"/>
      <c r="H12" s="1370"/>
      <c r="I12" s="1370">
        <v>3</v>
      </c>
      <c r="J12" s="1372"/>
      <c r="K12" s="1370"/>
      <c r="L12" s="1370"/>
      <c r="M12" s="1370">
        <v>9</v>
      </c>
      <c r="N12" s="1370"/>
      <c r="O12" s="1370"/>
      <c r="P12" s="1370"/>
      <c r="Q12" s="1374">
        <f t="shared" si="0"/>
        <v>9</v>
      </c>
      <c r="R12" s="1370"/>
      <c r="S12" s="1370"/>
      <c r="T12" s="1370"/>
      <c r="U12" s="1370"/>
      <c r="V12" s="1370"/>
      <c r="W12" s="1375"/>
    </row>
    <row r="13" spans="1:23">
      <c r="A13" s="1376" t="s">
        <v>1622</v>
      </c>
      <c r="B13" s="1376" t="s">
        <v>1623</v>
      </c>
      <c r="C13" s="1376" t="s">
        <v>16</v>
      </c>
      <c r="D13" s="1376">
        <v>5</v>
      </c>
      <c r="E13" s="1376" t="s">
        <v>16</v>
      </c>
      <c r="F13" s="1376" t="s">
        <v>137</v>
      </c>
      <c r="G13" s="1376"/>
      <c r="H13" s="1376"/>
      <c r="I13" s="1376">
        <v>3</v>
      </c>
      <c r="J13" s="1377"/>
      <c r="K13" s="1376"/>
      <c r="L13" s="1376"/>
      <c r="M13" s="1376">
        <v>1</v>
      </c>
      <c r="N13" s="1376"/>
      <c r="O13" s="1376"/>
      <c r="P13" s="1376"/>
      <c r="Q13" s="1378">
        <f t="shared" si="0"/>
        <v>1</v>
      </c>
      <c r="R13" s="1376"/>
      <c r="S13" s="1376"/>
      <c r="T13" s="1376"/>
      <c r="U13" s="1376"/>
      <c r="V13" s="1376"/>
      <c r="W13" s="1379"/>
    </row>
    <row r="14" spans="1:23">
      <c r="A14" s="1370" t="s">
        <v>1622</v>
      </c>
      <c r="B14" s="1370" t="s">
        <v>1623</v>
      </c>
      <c r="C14" s="1370" t="s">
        <v>16</v>
      </c>
      <c r="D14" s="1370">
        <v>6</v>
      </c>
      <c r="E14" s="1370" t="s">
        <v>16</v>
      </c>
      <c r="F14" s="1370" t="s">
        <v>139</v>
      </c>
      <c r="G14" s="1370"/>
      <c r="H14" s="1370"/>
      <c r="I14" s="1370">
        <v>3</v>
      </c>
      <c r="J14" s="1372"/>
      <c r="K14" s="1370"/>
      <c r="L14" s="1370"/>
      <c r="M14" s="1370">
        <v>6</v>
      </c>
      <c r="N14" s="1370"/>
      <c r="O14" s="1370"/>
      <c r="P14" s="1370"/>
      <c r="Q14" s="1374">
        <f t="shared" si="0"/>
        <v>6</v>
      </c>
      <c r="R14" s="1370"/>
      <c r="S14" s="1370"/>
      <c r="T14" s="1370"/>
      <c r="U14" s="1370"/>
      <c r="V14" s="1370"/>
      <c r="W14" s="1375"/>
    </row>
    <row r="15" spans="1:23">
      <c r="A15" s="1376" t="s">
        <v>1622</v>
      </c>
      <c r="B15" s="1376" t="s">
        <v>1623</v>
      </c>
      <c r="C15" s="1376" t="s">
        <v>16</v>
      </c>
      <c r="D15" s="1376">
        <v>7</v>
      </c>
      <c r="E15" s="1376" t="s">
        <v>16</v>
      </c>
      <c r="F15" s="1376" t="s">
        <v>140</v>
      </c>
      <c r="G15" s="1376"/>
      <c r="H15" s="1376"/>
      <c r="I15" s="1376">
        <v>3</v>
      </c>
      <c r="J15" s="1377"/>
      <c r="K15" s="1376"/>
      <c r="L15" s="1376"/>
      <c r="M15" s="1376"/>
      <c r="N15" s="1376"/>
      <c r="O15" s="1376"/>
      <c r="P15" s="1376"/>
      <c r="Q15" s="1378">
        <f t="shared" si="0"/>
        <v>0</v>
      </c>
      <c r="R15" s="1376"/>
      <c r="S15" s="1376"/>
      <c r="T15" s="1376"/>
      <c r="U15" s="1376"/>
      <c r="V15" s="1376"/>
      <c r="W15" s="1379"/>
    </row>
    <row r="16" spans="1:23">
      <c r="A16" s="1370" t="s">
        <v>1622</v>
      </c>
      <c r="B16" s="1370" t="s">
        <v>1623</v>
      </c>
      <c r="C16" s="1370" t="s">
        <v>20</v>
      </c>
      <c r="D16" s="1370">
        <v>1</v>
      </c>
      <c r="E16" s="1370" t="s">
        <v>20</v>
      </c>
      <c r="F16" s="1370" t="s">
        <v>142</v>
      </c>
      <c r="G16" s="1372">
        <f>Reqd_MC!I4</f>
        <v>8</v>
      </c>
      <c r="H16" s="1370"/>
      <c r="I16" s="1370">
        <v>3</v>
      </c>
      <c r="J16" s="1372">
        <v>2.5625</v>
      </c>
      <c r="K16" s="1370" t="s">
        <v>1626</v>
      </c>
      <c r="L16" s="1370"/>
      <c r="M16" s="1355">
        <f>IF(MOD(G16*J16,1)&lt;0.3,ROUNDUP(G16*J16*3,0),ROUNDUP(G16*J16,0)*3)</f>
        <v>63</v>
      </c>
      <c r="N16" s="1370"/>
      <c r="O16" s="1370">
        <v>1</v>
      </c>
      <c r="P16" s="1370"/>
      <c r="Q16" s="1374">
        <f t="shared" si="0"/>
        <v>63</v>
      </c>
      <c r="R16" s="1370"/>
      <c r="S16" s="1370"/>
      <c r="T16" s="1370"/>
      <c r="U16" s="1370"/>
      <c r="V16" s="1370"/>
      <c r="W16" s="1375"/>
    </row>
    <row r="17" spans="1:23">
      <c r="A17" s="1376" t="s">
        <v>1622</v>
      </c>
      <c r="B17" s="1376" t="s">
        <v>1623</v>
      </c>
      <c r="C17" s="1376" t="s">
        <v>20</v>
      </c>
      <c r="D17" s="1376">
        <v>2</v>
      </c>
      <c r="E17" s="1376" t="s">
        <v>20</v>
      </c>
      <c r="F17" s="1376" t="s">
        <v>134</v>
      </c>
      <c r="G17" s="1376"/>
      <c r="H17" s="1376"/>
      <c r="I17" s="1376">
        <v>3</v>
      </c>
      <c r="J17" s="1377"/>
      <c r="K17" s="1376"/>
      <c r="L17" s="1376"/>
      <c r="M17" s="1376">
        <v>9</v>
      </c>
      <c r="N17" s="1376"/>
      <c r="O17" s="1376">
        <v>1</v>
      </c>
      <c r="P17" s="1376"/>
      <c r="Q17" s="1378">
        <f t="shared" si="0"/>
        <v>9</v>
      </c>
      <c r="R17" s="1376"/>
      <c r="S17" s="1376"/>
      <c r="T17" s="1376"/>
      <c r="U17" s="1376"/>
      <c r="V17" s="1376"/>
      <c r="W17" s="1379"/>
    </row>
    <row r="18" spans="1:23">
      <c r="A18" s="1370" t="s">
        <v>1622</v>
      </c>
      <c r="B18" s="1370" t="s">
        <v>1623</v>
      </c>
      <c r="C18" s="1370" t="s">
        <v>20</v>
      </c>
      <c r="D18" s="1370">
        <v>3</v>
      </c>
      <c r="E18" s="1370" t="s">
        <v>20</v>
      </c>
      <c r="F18" s="1370" t="s">
        <v>143</v>
      </c>
      <c r="G18" s="1370"/>
      <c r="H18" s="1370"/>
      <c r="I18" s="1370">
        <v>3</v>
      </c>
      <c r="J18" s="1372"/>
      <c r="K18" s="1370"/>
      <c r="L18" s="1370"/>
      <c r="M18" s="1370"/>
      <c r="N18" s="1370"/>
      <c r="O18" s="1370">
        <v>1</v>
      </c>
      <c r="P18" s="1370"/>
      <c r="Q18" s="1374">
        <f t="shared" si="0"/>
        <v>0</v>
      </c>
      <c r="R18" s="1370"/>
      <c r="S18" s="1370"/>
      <c r="T18" s="1370"/>
      <c r="U18" s="1370"/>
      <c r="V18" s="1370"/>
      <c r="W18" s="1375"/>
    </row>
    <row r="19" spans="1:23">
      <c r="A19" s="1376" t="s">
        <v>1622</v>
      </c>
      <c r="B19" s="1376" t="s">
        <v>1623</v>
      </c>
      <c r="C19" s="1376" t="s">
        <v>20</v>
      </c>
      <c r="D19" s="1376">
        <v>4</v>
      </c>
      <c r="E19" s="1376" t="s">
        <v>20</v>
      </c>
      <c r="F19" s="1376" t="s">
        <v>122</v>
      </c>
      <c r="G19" s="1376"/>
      <c r="H19" s="1376"/>
      <c r="I19" s="1376">
        <v>3</v>
      </c>
      <c r="J19" s="1377"/>
      <c r="K19" s="1376"/>
      <c r="L19" s="1376"/>
      <c r="M19" s="1376">
        <v>3</v>
      </c>
      <c r="N19" s="1376"/>
      <c r="O19" s="1376">
        <v>1</v>
      </c>
      <c r="P19" s="1376"/>
      <c r="Q19" s="1378">
        <f t="shared" si="0"/>
        <v>3</v>
      </c>
      <c r="R19" s="1376"/>
      <c r="S19" s="1376"/>
      <c r="T19" s="1376"/>
      <c r="U19" s="1376"/>
      <c r="V19" s="1376"/>
      <c r="W19" s="1379"/>
    </row>
    <row r="20" spans="1:23">
      <c r="A20" s="1370" t="s">
        <v>1622</v>
      </c>
      <c r="B20" s="1370" t="s">
        <v>1623</v>
      </c>
      <c r="C20" s="1370" t="s">
        <v>20</v>
      </c>
      <c r="D20" s="1370">
        <v>5</v>
      </c>
      <c r="E20" s="1370" t="s">
        <v>20</v>
      </c>
      <c r="F20" s="1370" t="s">
        <v>121</v>
      </c>
      <c r="G20" s="1370"/>
      <c r="H20" s="1370"/>
      <c r="I20" s="1370">
        <v>3</v>
      </c>
      <c r="J20" s="1372"/>
      <c r="K20" s="1370"/>
      <c r="L20" s="1370"/>
      <c r="M20" s="1370">
        <v>3</v>
      </c>
      <c r="N20" s="1370"/>
      <c r="O20" s="1370">
        <v>1</v>
      </c>
      <c r="P20" s="1370"/>
      <c r="Q20" s="1374">
        <f t="shared" si="0"/>
        <v>3</v>
      </c>
      <c r="R20" s="1370"/>
      <c r="S20" s="1370"/>
      <c r="T20" s="1370"/>
      <c r="U20" s="1370"/>
      <c r="V20" s="1370"/>
      <c r="W20" s="1375"/>
    </row>
    <row r="21" spans="1:23">
      <c r="A21" s="1376" t="s">
        <v>1622</v>
      </c>
      <c r="B21" s="1376" t="s">
        <v>1623</v>
      </c>
      <c r="C21" s="1376" t="s">
        <v>20</v>
      </c>
      <c r="D21" s="1376">
        <v>6</v>
      </c>
      <c r="E21" s="1376" t="s">
        <v>20</v>
      </c>
      <c r="F21" s="1376" t="s">
        <v>144</v>
      </c>
      <c r="G21" s="1376"/>
      <c r="H21" s="1376"/>
      <c r="I21" s="1376">
        <v>3</v>
      </c>
      <c r="J21" s="1377"/>
      <c r="K21" s="1376"/>
      <c r="L21" s="1376"/>
      <c r="M21" s="1376">
        <v>3</v>
      </c>
      <c r="N21" s="1376"/>
      <c r="O21" s="1376">
        <v>1</v>
      </c>
      <c r="P21" s="1376"/>
      <c r="Q21" s="1378">
        <f t="shared" si="0"/>
        <v>3</v>
      </c>
      <c r="R21" s="1376"/>
      <c r="S21" s="1376"/>
      <c r="T21" s="1376"/>
      <c r="U21" s="1376"/>
      <c r="V21" s="1376"/>
      <c r="W21" s="1379"/>
    </row>
    <row r="22" spans="1:23">
      <c r="A22" s="1370" t="s">
        <v>1622</v>
      </c>
      <c r="B22" s="1370" t="s">
        <v>1623</v>
      </c>
      <c r="C22" s="1370" t="s">
        <v>20</v>
      </c>
      <c r="D22" s="1370">
        <v>7</v>
      </c>
      <c r="E22" s="1370" t="s">
        <v>20</v>
      </c>
      <c r="F22" s="1370" t="s">
        <v>145</v>
      </c>
      <c r="G22" s="1370"/>
      <c r="H22" s="1370"/>
      <c r="I22" s="1370">
        <v>3</v>
      </c>
      <c r="J22" s="1372"/>
      <c r="K22" s="1370"/>
      <c r="L22" s="1370"/>
      <c r="M22" s="1370">
        <v>1</v>
      </c>
      <c r="N22" s="1370"/>
      <c r="O22" s="1370">
        <v>1</v>
      </c>
      <c r="P22" s="1370"/>
      <c r="Q22" s="1374">
        <f t="shared" si="0"/>
        <v>1</v>
      </c>
      <c r="R22" s="1370"/>
      <c r="S22" s="1370"/>
      <c r="T22" s="1370"/>
      <c r="U22" s="1370"/>
      <c r="V22" s="1370"/>
      <c r="W22" s="1375"/>
    </row>
    <row r="23" spans="1:23">
      <c r="A23" s="1376" t="s">
        <v>1622</v>
      </c>
      <c r="B23" s="1376" t="s">
        <v>1623</v>
      </c>
      <c r="C23" s="1376" t="s">
        <v>20</v>
      </c>
      <c r="D23" s="1376">
        <v>8</v>
      </c>
      <c r="E23" s="1376" t="s">
        <v>20</v>
      </c>
      <c r="F23" s="1376" t="s">
        <v>146</v>
      </c>
      <c r="G23" s="1376"/>
      <c r="H23" s="1376"/>
      <c r="I23" s="1376">
        <v>3</v>
      </c>
      <c r="J23" s="1377"/>
      <c r="K23" s="1376"/>
      <c r="L23" s="1376"/>
      <c r="M23" s="1376">
        <v>3</v>
      </c>
      <c r="N23" s="1376"/>
      <c r="O23" s="1376">
        <v>1</v>
      </c>
      <c r="P23" s="1376"/>
      <c r="Q23" s="1378">
        <f t="shared" si="0"/>
        <v>3</v>
      </c>
      <c r="R23" s="1376"/>
      <c r="S23" s="1376"/>
      <c r="T23" s="1376"/>
      <c r="U23" s="1376"/>
      <c r="V23" s="1376"/>
      <c r="W23" s="1379"/>
    </row>
    <row r="24" spans="1:23">
      <c r="A24" s="1370" t="s">
        <v>1622</v>
      </c>
      <c r="B24" s="1370" t="s">
        <v>1623</v>
      </c>
      <c r="C24" s="1370" t="s">
        <v>501</v>
      </c>
      <c r="D24" s="1370">
        <v>1</v>
      </c>
      <c r="E24" s="1370" t="s">
        <v>501</v>
      </c>
      <c r="F24" s="1370" t="s">
        <v>142</v>
      </c>
      <c r="G24" s="1372">
        <f>Reqd_MC!H5</f>
        <v>4</v>
      </c>
      <c r="H24" s="1370"/>
      <c r="I24" s="1370">
        <v>3</v>
      </c>
      <c r="J24" s="1372">
        <v>2</v>
      </c>
      <c r="K24" s="1370" t="s">
        <v>1627</v>
      </c>
      <c r="L24" s="1370"/>
      <c r="M24" s="1355">
        <f>IF(MOD(G24*J24,1)&lt;0.3,ROUNDUP(G24*J24*3,0),ROUNDUP(G24*J24,0)*3)</f>
        <v>24</v>
      </c>
      <c r="N24" s="1370"/>
      <c r="O24" s="1370">
        <v>1</v>
      </c>
      <c r="P24" s="1370"/>
      <c r="Q24" s="1374">
        <f t="shared" si="0"/>
        <v>24</v>
      </c>
      <c r="R24" s="1370"/>
      <c r="S24" s="1370"/>
      <c r="T24" s="1370"/>
      <c r="U24" s="1370"/>
      <c r="V24" s="1370"/>
      <c r="W24" s="1375"/>
    </row>
    <row r="25" spans="1:23">
      <c r="A25" s="1376" t="s">
        <v>1622</v>
      </c>
      <c r="B25" s="1376" t="s">
        <v>1623</v>
      </c>
      <c r="C25" s="1376" t="s">
        <v>501</v>
      </c>
      <c r="D25" s="1376">
        <v>2</v>
      </c>
      <c r="E25" s="1376" t="s">
        <v>501</v>
      </c>
      <c r="F25" s="1376" t="s">
        <v>122</v>
      </c>
      <c r="G25" s="1376"/>
      <c r="H25" s="1376"/>
      <c r="I25" s="1376">
        <v>3</v>
      </c>
      <c r="J25" s="1377"/>
      <c r="K25" s="1376"/>
      <c r="L25" s="1376"/>
      <c r="M25" s="1376">
        <v>3</v>
      </c>
      <c r="N25" s="1376"/>
      <c r="O25" s="1376">
        <v>1</v>
      </c>
      <c r="P25" s="1376"/>
      <c r="Q25" s="1378">
        <f t="shared" si="0"/>
        <v>3</v>
      </c>
      <c r="R25" s="1376"/>
      <c r="S25" s="1376"/>
      <c r="T25" s="1376"/>
      <c r="U25" s="1376"/>
      <c r="V25" s="1376"/>
      <c r="W25" s="1379"/>
    </row>
    <row r="26" spans="1:23">
      <c r="A26" s="1370" t="s">
        <v>1622</v>
      </c>
      <c r="B26" s="1370" t="s">
        <v>1623</v>
      </c>
      <c r="C26" s="1370" t="s">
        <v>23</v>
      </c>
      <c r="D26" s="1370">
        <v>1</v>
      </c>
      <c r="E26" s="1370" t="s">
        <v>23</v>
      </c>
      <c r="F26" s="1370" t="s">
        <v>142</v>
      </c>
      <c r="G26" s="1372">
        <f>Reqd_MC!H6</f>
        <v>19</v>
      </c>
      <c r="H26" s="1370"/>
      <c r="I26" s="1370">
        <v>3</v>
      </c>
      <c r="J26" s="1372">
        <v>1</v>
      </c>
      <c r="K26" s="1370" t="s">
        <v>1629</v>
      </c>
      <c r="L26" s="1370"/>
      <c r="M26" s="1355">
        <f>IF(MOD(G26*J26,1)&lt;0.3,ROUNDUP(G26*J26*3,0),ROUNDUP(G26*J26,0)*3)</f>
        <v>57</v>
      </c>
      <c r="N26" s="1370"/>
      <c r="O26" s="1370">
        <v>1</v>
      </c>
      <c r="P26" s="1370"/>
      <c r="Q26" s="1374">
        <f t="shared" si="0"/>
        <v>57</v>
      </c>
      <c r="R26" s="1370"/>
      <c r="S26" s="1370"/>
      <c r="T26" s="1370"/>
      <c r="U26" s="1370"/>
      <c r="V26" s="1370"/>
      <c r="W26" s="1375"/>
    </row>
    <row r="27" spans="1:23">
      <c r="A27" s="1376" t="s">
        <v>1622</v>
      </c>
      <c r="B27" s="1376" t="s">
        <v>1623</v>
      </c>
      <c r="C27" s="1376" t="s">
        <v>23</v>
      </c>
      <c r="D27" s="1376">
        <v>2</v>
      </c>
      <c r="E27" s="1376" t="s">
        <v>23</v>
      </c>
      <c r="F27" s="1381" t="s">
        <v>143</v>
      </c>
      <c r="G27" s="1376"/>
      <c r="H27" s="1376"/>
      <c r="I27" s="1376">
        <v>3</v>
      </c>
      <c r="J27" s="1377"/>
      <c r="K27" s="1376"/>
      <c r="L27" s="1376"/>
      <c r="M27" s="1376">
        <f>0</f>
        <v>0</v>
      </c>
      <c r="N27" s="1376"/>
      <c r="O27" s="1376">
        <v>1</v>
      </c>
      <c r="P27" s="1376"/>
      <c r="Q27" s="1378">
        <f t="shared" si="0"/>
        <v>0</v>
      </c>
      <c r="R27" s="1376"/>
      <c r="S27" s="1376"/>
      <c r="T27" s="1376"/>
      <c r="U27" s="1376"/>
      <c r="V27" s="1376"/>
      <c r="W27" s="1379"/>
    </row>
    <row r="28" spans="1:23">
      <c r="A28" s="1370" t="s">
        <v>1622</v>
      </c>
      <c r="B28" s="1370" t="s">
        <v>1623</v>
      </c>
      <c r="C28" s="1370" t="s">
        <v>23</v>
      </c>
      <c r="D28" s="1370">
        <v>3</v>
      </c>
      <c r="E28" s="1370" t="s">
        <v>23</v>
      </c>
      <c r="F28" s="1382" t="s">
        <v>122</v>
      </c>
      <c r="G28" s="1370"/>
      <c r="H28" s="1370"/>
      <c r="I28" s="1370">
        <v>3</v>
      </c>
      <c r="J28" s="1372"/>
      <c r="K28" s="1370"/>
      <c r="L28" s="1370"/>
      <c r="M28" s="1370">
        <f>1*3</f>
        <v>3</v>
      </c>
      <c r="N28" s="1370"/>
      <c r="O28" s="1370">
        <v>1</v>
      </c>
      <c r="P28" s="1370"/>
      <c r="Q28" s="1374">
        <f t="shared" si="0"/>
        <v>3</v>
      </c>
      <c r="R28" s="1370"/>
      <c r="S28" s="1370"/>
      <c r="T28" s="1370"/>
      <c r="U28" s="1370"/>
      <c r="V28" s="1370"/>
      <c r="W28" s="1375"/>
    </row>
    <row r="29" spans="1:23">
      <c r="A29" s="1376" t="s">
        <v>1622</v>
      </c>
      <c r="B29" s="1376" t="s">
        <v>1623</v>
      </c>
      <c r="C29" s="1376" t="s">
        <v>23</v>
      </c>
      <c r="D29" s="1376">
        <v>4</v>
      </c>
      <c r="E29" s="1376" t="s">
        <v>23</v>
      </c>
      <c r="F29" s="1381" t="s">
        <v>121</v>
      </c>
      <c r="G29" s="1376"/>
      <c r="H29" s="1376"/>
      <c r="I29" s="1376">
        <v>3</v>
      </c>
      <c r="J29" s="1377"/>
      <c r="K29" s="1376"/>
      <c r="L29" s="1376"/>
      <c r="M29" s="1376">
        <f>1*3</f>
        <v>3</v>
      </c>
      <c r="N29" s="1376"/>
      <c r="O29" s="1376">
        <v>1</v>
      </c>
      <c r="P29" s="1376"/>
      <c r="Q29" s="1378">
        <f t="shared" si="0"/>
        <v>3</v>
      </c>
      <c r="R29" s="1376"/>
      <c r="S29" s="1376"/>
      <c r="T29" s="1376"/>
      <c r="U29" s="1376"/>
      <c r="V29" s="1376"/>
      <c r="W29" s="1379"/>
    </row>
    <row r="30" spans="1:23">
      <c r="A30" s="1370" t="s">
        <v>1622</v>
      </c>
      <c r="B30" s="1370" t="s">
        <v>1623</v>
      </c>
      <c r="C30" s="1370" t="s">
        <v>23</v>
      </c>
      <c r="D30" s="1370">
        <v>5</v>
      </c>
      <c r="E30" s="1370" t="s">
        <v>23</v>
      </c>
      <c r="F30" s="1382" t="s">
        <v>144</v>
      </c>
      <c r="G30" s="1370"/>
      <c r="H30" s="1370"/>
      <c r="I30" s="1370">
        <v>3</v>
      </c>
      <c r="J30" s="1372"/>
      <c r="K30" s="1370"/>
      <c r="L30" s="1370"/>
      <c r="M30" s="1370">
        <f>1*3</f>
        <v>3</v>
      </c>
      <c r="N30" s="1370"/>
      <c r="O30" s="1370">
        <v>1</v>
      </c>
      <c r="P30" s="1370"/>
      <c r="Q30" s="1374">
        <f t="shared" si="0"/>
        <v>3</v>
      </c>
      <c r="R30" s="1370"/>
      <c r="S30" s="1370"/>
      <c r="T30" s="1370"/>
      <c r="U30" s="1370"/>
      <c r="V30" s="1370"/>
      <c r="W30" s="1375"/>
    </row>
    <row r="31" spans="1:23">
      <c r="A31" s="1376" t="s">
        <v>1622</v>
      </c>
      <c r="B31" s="1376" t="s">
        <v>1623</v>
      </c>
      <c r="C31" s="1376" t="s">
        <v>23</v>
      </c>
      <c r="D31" s="1376">
        <v>6</v>
      </c>
      <c r="E31" s="1376" t="s">
        <v>23</v>
      </c>
      <c r="F31" s="1381" t="s">
        <v>134</v>
      </c>
      <c r="G31" s="1376"/>
      <c r="H31" s="1376"/>
      <c r="I31" s="1376">
        <v>3</v>
      </c>
      <c r="J31" s="1377"/>
      <c r="K31" s="1376"/>
      <c r="L31" s="1376"/>
      <c r="M31" s="1376">
        <f>1*3</f>
        <v>3</v>
      </c>
      <c r="N31" s="1376"/>
      <c r="O31" s="1376">
        <v>1</v>
      </c>
      <c r="P31" s="1376"/>
      <c r="Q31" s="1378">
        <f t="shared" si="0"/>
        <v>3</v>
      </c>
      <c r="R31" s="1376"/>
      <c r="S31" s="1376"/>
      <c r="T31" s="1376"/>
      <c r="U31" s="1376"/>
      <c r="V31" s="1376"/>
      <c r="W31" s="1379"/>
    </row>
    <row r="32" spans="1:23">
      <c r="A32" s="1370" t="s">
        <v>1622</v>
      </c>
      <c r="B32" s="1370" t="s">
        <v>1623</v>
      </c>
      <c r="C32" s="1370" t="s">
        <v>149</v>
      </c>
      <c r="D32" s="1370">
        <v>1</v>
      </c>
      <c r="E32" s="1370" t="s">
        <v>506</v>
      </c>
      <c r="F32" s="1370" t="s">
        <v>142</v>
      </c>
      <c r="G32" s="1372">
        <f>Reqd_MC!H7</f>
        <v>5</v>
      </c>
      <c r="H32" s="1370"/>
      <c r="I32" s="1370">
        <v>3</v>
      </c>
      <c r="J32" s="1372">
        <v>4</v>
      </c>
      <c r="K32" s="1370" t="s">
        <v>1628</v>
      </c>
      <c r="L32" s="1370"/>
      <c r="M32" s="1355">
        <f>IF(MOD(G32*J32,1)&lt;0.3,ROUNDUP(G32*J32*3,0),ROUNDUP(G32*J32,0)*3)</f>
        <v>60</v>
      </c>
      <c r="N32" s="1370"/>
      <c r="O32" s="1370"/>
      <c r="P32" s="1370"/>
      <c r="Q32" s="1374">
        <f t="shared" si="0"/>
        <v>60</v>
      </c>
      <c r="R32" s="1370"/>
      <c r="S32" s="1370"/>
      <c r="T32" s="1370"/>
      <c r="U32" s="1370"/>
      <c r="V32" s="1370"/>
      <c r="W32" s="1375"/>
    </row>
    <row r="33" spans="1:23">
      <c r="A33" s="1376" t="s">
        <v>1622</v>
      </c>
      <c r="B33" s="1376" t="s">
        <v>1623</v>
      </c>
      <c r="C33" s="1376" t="s">
        <v>149</v>
      </c>
      <c r="D33" s="1376">
        <v>2</v>
      </c>
      <c r="E33" s="1376" t="s">
        <v>506</v>
      </c>
      <c r="F33" s="1376" t="s">
        <v>143</v>
      </c>
      <c r="G33" s="1376"/>
      <c r="H33" s="1376"/>
      <c r="I33" s="1376">
        <v>3</v>
      </c>
      <c r="J33" s="1377"/>
      <c r="K33" s="1376"/>
      <c r="L33" s="1376"/>
      <c r="M33" s="1376">
        <v>0</v>
      </c>
      <c r="N33" s="1376"/>
      <c r="O33" s="1376"/>
      <c r="P33" s="1376"/>
      <c r="Q33" s="1378">
        <f t="shared" si="0"/>
        <v>0</v>
      </c>
      <c r="R33" s="1376"/>
      <c r="S33" s="1376"/>
      <c r="T33" s="1376"/>
      <c r="U33" s="1376"/>
      <c r="V33" s="1376"/>
      <c r="W33" s="1379"/>
    </row>
    <row r="34" spans="1:23">
      <c r="A34" s="1370" t="s">
        <v>1622</v>
      </c>
      <c r="B34" s="1370" t="s">
        <v>1623</v>
      </c>
      <c r="C34" s="1370" t="s">
        <v>149</v>
      </c>
      <c r="D34" s="1370">
        <v>3</v>
      </c>
      <c r="E34" s="1370" t="s">
        <v>506</v>
      </c>
      <c r="F34" s="1370" t="s">
        <v>122</v>
      </c>
      <c r="G34" s="1370"/>
      <c r="H34" s="1370"/>
      <c r="I34" s="1370">
        <v>3</v>
      </c>
      <c r="J34" s="1372"/>
      <c r="K34" s="1370"/>
      <c r="L34" s="1370"/>
      <c r="M34" s="1370">
        <v>3</v>
      </c>
      <c r="N34" s="1370"/>
      <c r="O34" s="1370"/>
      <c r="P34" s="1370"/>
      <c r="Q34" s="1374">
        <f t="shared" ref="Q34:Q97" si="1">M34</f>
        <v>3</v>
      </c>
      <c r="R34" s="1370"/>
      <c r="S34" s="1370"/>
      <c r="T34" s="1370"/>
      <c r="U34" s="1370"/>
      <c r="V34" s="1370"/>
      <c r="W34" s="1375"/>
    </row>
    <row r="35" spans="1:23">
      <c r="A35" s="1376" t="s">
        <v>1622</v>
      </c>
      <c r="B35" s="1376" t="s">
        <v>1623</v>
      </c>
      <c r="C35" s="1376" t="s">
        <v>149</v>
      </c>
      <c r="D35" s="1376">
        <v>4</v>
      </c>
      <c r="E35" s="1376" t="s">
        <v>506</v>
      </c>
      <c r="F35" s="1376" t="s">
        <v>144</v>
      </c>
      <c r="G35" s="1376"/>
      <c r="H35" s="1376"/>
      <c r="I35" s="1376">
        <v>3</v>
      </c>
      <c r="J35" s="1377"/>
      <c r="K35" s="1376"/>
      <c r="L35" s="1376"/>
      <c r="M35" s="1376">
        <v>3</v>
      </c>
      <c r="N35" s="1376"/>
      <c r="O35" s="1376">
        <v>1</v>
      </c>
      <c r="P35" s="1376"/>
      <c r="Q35" s="1378">
        <f t="shared" si="1"/>
        <v>3</v>
      </c>
      <c r="R35" s="1376"/>
      <c r="S35" s="1376"/>
      <c r="T35" s="1376"/>
      <c r="U35" s="1376"/>
      <c r="V35" s="1376"/>
      <c r="W35" s="1379"/>
    </row>
    <row r="36" spans="1:23">
      <c r="A36" s="1370" t="s">
        <v>1622</v>
      </c>
      <c r="B36" s="1370" t="s">
        <v>1623</v>
      </c>
      <c r="C36" s="1370" t="s">
        <v>149</v>
      </c>
      <c r="D36" s="1370">
        <v>5</v>
      </c>
      <c r="E36" s="1370" t="s">
        <v>506</v>
      </c>
      <c r="F36" s="1370" t="s">
        <v>150</v>
      </c>
      <c r="G36" s="1370"/>
      <c r="H36" s="1370"/>
      <c r="I36" s="1370">
        <v>3</v>
      </c>
      <c r="J36" s="1372"/>
      <c r="K36" s="1370"/>
      <c r="L36" s="1370"/>
      <c r="M36" s="1370">
        <v>3</v>
      </c>
      <c r="N36" s="1370"/>
      <c r="O36" s="1370">
        <v>1</v>
      </c>
      <c r="P36" s="1370"/>
      <c r="Q36" s="1374">
        <f t="shared" si="1"/>
        <v>3</v>
      </c>
      <c r="R36" s="1370"/>
      <c r="S36" s="1370"/>
      <c r="T36" s="1370"/>
      <c r="U36" s="1370"/>
      <c r="V36" s="1370"/>
      <c r="W36" s="1375"/>
    </row>
    <row r="37" spans="1:23">
      <c r="A37" s="1376" t="s">
        <v>1622</v>
      </c>
      <c r="B37" s="1376" t="s">
        <v>1623</v>
      </c>
      <c r="C37" s="1376" t="s">
        <v>149</v>
      </c>
      <c r="D37" s="1376">
        <v>6</v>
      </c>
      <c r="E37" s="1376" t="s">
        <v>506</v>
      </c>
      <c r="F37" s="1376" t="s">
        <v>121</v>
      </c>
      <c r="G37" s="1376"/>
      <c r="H37" s="1376"/>
      <c r="I37" s="1376">
        <v>3</v>
      </c>
      <c r="J37" s="1377"/>
      <c r="K37" s="1376"/>
      <c r="L37" s="1376"/>
      <c r="M37" s="1376">
        <v>3</v>
      </c>
      <c r="N37" s="1376"/>
      <c r="O37" s="1376"/>
      <c r="P37" s="1376"/>
      <c r="Q37" s="1378">
        <f t="shared" si="1"/>
        <v>3</v>
      </c>
      <c r="R37" s="1376"/>
      <c r="S37" s="1376"/>
      <c r="T37" s="1376"/>
      <c r="U37" s="1376"/>
      <c r="V37" s="1376"/>
      <c r="W37" s="1379"/>
    </row>
    <row r="38" spans="1:23">
      <c r="A38" s="1370" t="s">
        <v>1622</v>
      </c>
      <c r="B38" s="1370" t="s">
        <v>1623</v>
      </c>
      <c r="C38" s="1370" t="s">
        <v>149</v>
      </c>
      <c r="D38" s="1370">
        <v>1</v>
      </c>
      <c r="E38" s="1370" t="s">
        <v>505</v>
      </c>
      <c r="F38" s="1370" t="s">
        <v>142</v>
      </c>
      <c r="G38" s="1372">
        <f>Reqd_MC!H8</f>
        <v>1</v>
      </c>
      <c r="H38" s="1370"/>
      <c r="I38" s="1370">
        <v>3</v>
      </c>
      <c r="J38" s="1372">
        <v>4</v>
      </c>
      <c r="K38" s="1370" t="s">
        <v>1628</v>
      </c>
      <c r="L38" s="1370"/>
      <c r="M38" s="1355">
        <f>IF(MOD(G38*J38,1)&lt;0.3,ROUNDUP(G38*J38*3,0),ROUNDUP(G38*J38,0)*3)</f>
        <v>12</v>
      </c>
      <c r="N38" s="1370"/>
      <c r="O38" s="1370"/>
      <c r="P38" s="1370"/>
      <c r="Q38" s="1374">
        <f t="shared" si="1"/>
        <v>12</v>
      </c>
      <c r="R38" s="1370"/>
      <c r="S38" s="1370"/>
      <c r="T38" s="1370"/>
      <c r="U38" s="1370"/>
      <c r="V38" s="1370"/>
      <c r="W38" s="1375"/>
    </row>
    <row r="39" spans="1:23">
      <c r="A39" s="1376" t="s">
        <v>1622</v>
      </c>
      <c r="B39" s="1376" t="s">
        <v>1623</v>
      </c>
      <c r="C39" s="1376" t="s">
        <v>31</v>
      </c>
      <c r="D39" s="1376">
        <v>1</v>
      </c>
      <c r="E39" s="1376" t="s">
        <v>1631</v>
      </c>
      <c r="F39" s="1376" t="s">
        <v>142</v>
      </c>
      <c r="G39" s="1377">
        <f>Reqd_MC!I9</f>
        <v>1</v>
      </c>
      <c r="H39" s="1376"/>
      <c r="I39" s="1376">
        <v>3</v>
      </c>
      <c r="J39" s="1377">
        <v>9</v>
      </c>
      <c r="K39" s="1376" t="s">
        <v>1630</v>
      </c>
      <c r="L39" s="1376"/>
      <c r="M39" s="1376">
        <f>IF(G39&lt;=0.33,1,(IF(G39&lt;=0.66,2,3)))*J39</f>
        <v>27</v>
      </c>
      <c r="N39" s="1376"/>
      <c r="O39" s="1376"/>
      <c r="P39" s="1376"/>
      <c r="Q39" s="1378">
        <f t="shared" si="1"/>
        <v>27</v>
      </c>
      <c r="R39" s="1376"/>
      <c r="S39" s="1376"/>
      <c r="T39" s="1376"/>
      <c r="U39" s="1376"/>
      <c r="V39" s="1376"/>
      <c r="W39" s="1379"/>
    </row>
    <row r="40" spans="1:23">
      <c r="A40" s="1370" t="s">
        <v>1622</v>
      </c>
      <c r="B40" s="1370" t="s">
        <v>1623</v>
      </c>
      <c r="C40" s="1370" t="s">
        <v>31</v>
      </c>
      <c r="D40" s="1370">
        <v>2</v>
      </c>
      <c r="E40" s="1370" t="s">
        <v>1631</v>
      </c>
      <c r="F40" s="1370" t="s">
        <v>1634</v>
      </c>
      <c r="G40" s="1370"/>
      <c r="H40" s="1370"/>
      <c r="I40" s="1370">
        <v>3</v>
      </c>
      <c r="J40" s="1372"/>
      <c r="K40" s="1370"/>
      <c r="L40" s="1370"/>
      <c r="M40" s="1370">
        <v>6</v>
      </c>
      <c r="N40" s="1370"/>
      <c r="O40" s="1370"/>
      <c r="P40" s="1370"/>
      <c r="Q40" s="1374">
        <f t="shared" si="1"/>
        <v>6</v>
      </c>
      <c r="R40" s="1370"/>
      <c r="S40" s="1370"/>
      <c r="T40" s="1370"/>
      <c r="U40" s="1370"/>
      <c r="V40" s="1370"/>
      <c r="W40" s="1375"/>
    </row>
    <row r="41" spans="1:23">
      <c r="A41" s="1376" t="s">
        <v>1622</v>
      </c>
      <c r="B41" s="1376" t="s">
        <v>1623</v>
      </c>
      <c r="C41" s="1376" t="s">
        <v>31</v>
      </c>
      <c r="D41" s="1376">
        <v>1</v>
      </c>
      <c r="E41" s="1376" t="s">
        <v>1632</v>
      </c>
      <c r="F41" s="1376" t="s">
        <v>142</v>
      </c>
      <c r="G41" s="1377">
        <f>Reqd_MC!I10</f>
        <v>0.33301261836436963</v>
      </c>
      <c r="H41" s="1376"/>
      <c r="I41" s="1376">
        <v>3</v>
      </c>
      <c r="J41" s="1377">
        <v>6</v>
      </c>
      <c r="K41" s="1376" t="s">
        <v>1633</v>
      </c>
      <c r="L41" s="1376"/>
      <c r="M41" s="1376">
        <f>IF(G41&lt;=0.33,1,(IF(G41&lt;=0.66,2,3)))*J41</f>
        <v>12</v>
      </c>
      <c r="N41" s="1376"/>
      <c r="O41" s="1376"/>
      <c r="P41" s="1376"/>
      <c r="Q41" s="1378">
        <f t="shared" si="1"/>
        <v>12</v>
      </c>
      <c r="R41" s="1376"/>
      <c r="S41" s="1376"/>
      <c r="T41" s="1376"/>
      <c r="U41" s="1376"/>
      <c r="V41" s="1376"/>
      <c r="W41" s="1379"/>
    </row>
    <row r="42" spans="1:23">
      <c r="A42" s="1370" t="s">
        <v>1622</v>
      </c>
      <c r="B42" s="1370" t="s">
        <v>1623</v>
      </c>
      <c r="C42" s="1370" t="s">
        <v>31</v>
      </c>
      <c r="D42" s="1370">
        <v>2</v>
      </c>
      <c r="E42" s="1370" t="s">
        <v>1632</v>
      </c>
      <c r="F42" s="1370" t="s">
        <v>172</v>
      </c>
      <c r="G42" s="1370"/>
      <c r="H42" s="1370"/>
      <c r="I42" s="1370">
        <v>3</v>
      </c>
      <c r="J42" s="1372"/>
      <c r="K42" s="1370"/>
      <c r="L42" s="1370"/>
      <c r="M42" s="1370">
        <v>3</v>
      </c>
      <c r="N42" s="1370"/>
      <c r="O42" s="1370"/>
      <c r="P42" s="1370"/>
      <c r="Q42" s="1374">
        <f t="shared" si="1"/>
        <v>3</v>
      </c>
      <c r="R42" s="1370"/>
      <c r="S42" s="1370"/>
      <c r="T42" s="1370"/>
      <c r="U42" s="1370"/>
      <c r="V42" s="1370"/>
      <c r="W42" s="1375"/>
    </row>
    <row r="43" spans="1:23">
      <c r="A43" s="1376" t="s">
        <v>1622</v>
      </c>
      <c r="B43" s="1376" t="s">
        <v>1623</v>
      </c>
      <c r="C43" s="1376" t="s">
        <v>32</v>
      </c>
      <c r="D43" s="1376">
        <v>1</v>
      </c>
      <c r="E43" s="1376" t="s">
        <v>1646</v>
      </c>
      <c r="F43" s="1376" t="s">
        <v>142</v>
      </c>
      <c r="G43" s="1377">
        <f>Reqd_MC!I11</f>
        <v>0.21756521229418765</v>
      </c>
      <c r="H43" s="1376"/>
      <c r="I43" s="1376">
        <v>3</v>
      </c>
      <c r="J43" s="1377">
        <v>21</v>
      </c>
      <c r="K43" s="1376" t="s">
        <v>1636</v>
      </c>
      <c r="L43" s="1376"/>
      <c r="M43" s="1376">
        <f>IF(G43&lt;=0.33,1,(IF(G43&lt;=0.66,2,3)))*J43</f>
        <v>21</v>
      </c>
      <c r="N43" s="1376"/>
      <c r="O43" s="1376"/>
      <c r="P43" s="1376"/>
      <c r="Q43" s="1378">
        <f t="shared" si="1"/>
        <v>21</v>
      </c>
      <c r="R43" s="1376"/>
      <c r="S43" s="1376"/>
      <c r="T43" s="1376"/>
      <c r="U43" s="1376"/>
      <c r="V43" s="1376"/>
      <c r="W43" s="1379"/>
    </row>
    <row r="44" spans="1:23">
      <c r="A44" s="1370" t="s">
        <v>1622</v>
      </c>
      <c r="B44" s="1370" t="s">
        <v>1623</v>
      </c>
      <c r="C44" s="1370" t="s">
        <v>32</v>
      </c>
      <c r="D44" s="1370">
        <v>2</v>
      </c>
      <c r="E44" s="1370" t="s">
        <v>1646</v>
      </c>
      <c r="F44" s="1370" t="s">
        <v>190</v>
      </c>
      <c r="G44" s="1370"/>
      <c r="H44" s="1370"/>
      <c r="I44" s="1370">
        <v>3</v>
      </c>
      <c r="J44" s="1372"/>
      <c r="K44" s="1370"/>
      <c r="L44" s="1370"/>
      <c r="M44" s="1370">
        <v>2</v>
      </c>
      <c r="N44" s="1370"/>
      <c r="O44" s="1370"/>
      <c r="P44" s="1370"/>
      <c r="Q44" s="1374">
        <f t="shared" si="1"/>
        <v>2</v>
      </c>
      <c r="R44" s="1370"/>
      <c r="S44" s="1370"/>
      <c r="T44" s="1370"/>
      <c r="U44" s="1370"/>
      <c r="V44" s="1370"/>
      <c r="W44" s="1375"/>
    </row>
    <row r="45" spans="1:23">
      <c r="A45" s="1376" t="s">
        <v>1622</v>
      </c>
      <c r="B45" s="1376" t="s">
        <v>1623</v>
      </c>
      <c r="C45" s="1376" t="s">
        <v>32</v>
      </c>
      <c r="D45" s="1376">
        <v>3</v>
      </c>
      <c r="E45" s="1376" t="s">
        <v>1646</v>
      </c>
      <c r="F45" s="1376" t="s">
        <v>191</v>
      </c>
      <c r="G45" s="1376"/>
      <c r="H45" s="1376"/>
      <c r="I45" s="1376">
        <v>3</v>
      </c>
      <c r="J45" s="1377"/>
      <c r="K45" s="1376"/>
      <c r="L45" s="1376"/>
      <c r="M45" s="1376">
        <v>5</v>
      </c>
      <c r="N45" s="1376"/>
      <c r="O45" s="1376"/>
      <c r="P45" s="1376"/>
      <c r="Q45" s="1378">
        <f t="shared" si="1"/>
        <v>5</v>
      </c>
      <c r="R45" s="1376"/>
      <c r="S45" s="1376"/>
      <c r="T45" s="1376"/>
      <c r="U45" s="1376"/>
      <c r="V45" s="1376"/>
      <c r="W45" s="1379"/>
    </row>
    <row r="46" spans="1:23">
      <c r="A46" s="1370" t="s">
        <v>1622</v>
      </c>
      <c r="B46" s="1370" t="s">
        <v>1623</v>
      </c>
      <c r="C46" s="1370" t="s">
        <v>32</v>
      </c>
      <c r="D46" s="1370">
        <v>4</v>
      </c>
      <c r="E46" s="1370" t="s">
        <v>1646</v>
      </c>
      <c r="F46" s="1370" t="s">
        <v>192</v>
      </c>
      <c r="G46" s="1370"/>
      <c r="H46" s="1370"/>
      <c r="I46" s="1370">
        <v>3</v>
      </c>
      <c r="J46" s="1372"/>
      <c r="K46" s="1370"/>
      <c r="L46" s="1370"/>
      <c r="M46" s="1370">
        <v>5</v>
      </c>
      <c r="N46" s="1370"/>
      <c r="O46" s="1370"/>
      <c r="P46" s="1370"/>
      <c r="Q46" s="1374">
        <f t="shared" si="1"/>
        <v>5</v>
      </c>
      <c r="R46" s="1370"/>
      <c r="S46" s="1370"/>
      <c r="T46" s="1370"/>
      <c r="U46" s="1370"/>
      <c r="V46" s="1370"/>
      <c r="W46" s="1375"/>
    </row>
    <row r="47" spans="1:23">
      <c r="A47" s="1376" t="s">
        <v>1622</v>
      </c>
      <c r="B47" s="1376" t="s">
        <v>1623</v>
      </c>
      <c r="C47" s="1376" t="s">
        <v>32</v>
      </c>
      <c r="D47" s="1376">
        <v>1</v>
      </c>
      <c r="E47" s="1376" t="s">
        <v>1647</v>
      </c>
      <c r="F47" s="1376" t="s">
        <v>142</v>
      </c>
      <c r="G47" s="1377">
        <f>Reqd_MC!I12</f>
        <v>0.2202668250265444</v>
      </c>
      <c r="H47" s="1376"/>
      <c r="I47" s="1376">
        <v>3</v>
      </c>
      <c r="J47" s="1377">
        <v>10</v>
      </c>
      <c r="K47" s="1376" t="s">
        <v>1637</v>
      </c>
      <c r="L47" s="1376"/>
      <c r="M47" s="1376">
        <f>IF(G47&lt;=0.33,1,(IF(G47&lt;=0.66,2,3)))*J47</f>
        <v>10</v>
      </c>
      <c r="N47" s="1376"/>
      <c r="O47" s="1376"/>
      <c r="P47" s="1376"/>
      <c r="Q47" s="1378">
        <f t="shared" si="1"/>
        <v>10</v>
      </c>
      <c r="R47" s="1376"/>
      <c r="S47" s="1376"/>
      <c r="T47" s="1376"/>
      <c r="U47" s="1376"/>
      <c r="V47" s="1376"/>
      <c r="W47" s="1379"/>
    </row>
    <row r="48" spans="1:23">
      <c r="A48" s="1370" t="s">
        <v>1622</v>
      </c>
      <c r="B48" s="1370" t="s">
        <v>1623</v>
      </c>
      <c r="C48" s="1370" t="s">
        <v>32</v>
      </c>
      <c r="D48" s="1370">
        <v>2</v>
      </c>
      <c r="E48" s="1370" t="s">
        <v>1647</v>
      </c>
      <c r="F48" s="1370" t="s">
        <v>193</v>
      </c>
      <c r="G48" s="1370"/>
      <c r="H48" s="1370"/>
      <c r="I48" s="1370">
        <v>3</v>
      </c>
      <c r="J48" s="1372"/>
      <c r="K48" s="1370"/>
      <c r="L48" s="1370"/>
      <c r="M48" s="1370">
        <v>9</v>
      </c>
      <c r="N48" s="1370"/>
      <c r="O48" s="1370"/>
      <c r="P48" s="1370"/>
      <c r="Q48" s="1374">
        <f t="shared" si="1"/>
        <v>9</v>
      </c>
      <c r="R48" s="1370"/>
      <c r="S48" s="1370"/>
      <c r="T48" s="1370"/>
      <c r="U48" s="1370"/>
      <c r="V48" s="1370"/>
      <c r="W48" s="1375"/>
    </row>
    <row r="49" spans="1:23">
      <c r="A49" s="1376" t="s">
        <v>1622</v>
      </c>
      <c r="B49" s="1376" t="s">
        <v>1623</v>
      </c>
      <c r="C49" s="1376" t="s">
        <v>32</v>
      </c>
      <c r="D49" s="1376">
        <v>3</v>
      </c>
      <c r="E49" s="1376" t="s">
        <v>1647</v>
      </c>
      <c r="F49" s="1376" t="s">
        <v>194</v>
      </c>
      <c r="G49" s="1376"/>
      <c r="H49" s="1376"/>
      <c r="I49" s="1376">
        <v>3</v>
      </c>
      <c r="J49" s="1377"/>
      <c r="K49" s="1376"/>
      <c r="L49" s="1376"/>
      <c r="M49" s="1376">
        <v>6</v>
      </c>
      <c r="N49" s="1376"/>
      <c r="O49" s="1376"/>
      <c r="P49" s="1376"/>
      <c r="Q49" s="1378">
        <f t="shared" si="1"/>
        <v>6</v>
      </c>
      <c r="R49" s="1376"/>
      <c r="S49" s="1376"/>
      <c r="T49" s="1376"/>
      <c r="U49" s="1376"/>
      <c r="V49" s="1376"/>
      <c r="W49" s="1379"/>
    </row>
    <row r="50" spans="1:23">
      <c r="A50" s="1370" t="s">
        <v>1622</v>
      </c>
      <c r="B50" s="1370" t="s">
        <v>1623</v>
      </c>
      <c r="C50" s="1370" t="s">
        <v>32</v>
      </c>
      <c r="D50" s="1370">
        <v>4</v>
      </c>
      <c r="E50" s="1370" t="s">
        <v>1647</v>
      </c>
      <c r="F50" s="1370" t="s">
        <v>195</v>
      </c>
      <c r="G50" s="1370"/>
      <c r="H50" s="1370"/>
      <c r="I50" s="1370">
        <v>3</v>
      </c>
      <c r="J50" s="1372"/>
      <c r="K50" s="1370"/>
      <c r="L50" s="1370"/>
      <c r="M50" s="1370">
        <v>8</v>
      </c>
      <c r="N50" s="1370"/>
      <c r="O50" s="1370"/>
      <c r="P50" s="1370"/>
      <c r="Q50" s="1374">
        <f t="shared" si="1"/>
        <v>8</v>
      </c>
      <c r="R50" s="1370"/>
      <c r="S50" s="1370"/>
      <c r="T50" s="1370"/>
      <c r="U50" s="1370"/>
      <c r="V50" s="1370"/>
      <c r="W50" s="1375"/>
    </row>
    <row r="51" spans="1:23">
      <c r="A51" s="1376" t="s">
        <v>1622</v>
      </c>
      <c r="B51" s="1376" t="s">
        <v>1623</v>
      </c>
      <c r="C51" s="1376" t="s">
        <v>32</v>
      </c>
      <c r="D51" s="1376">
        <v>5</v>
      </c>
      <c r="E51" s="1376" t="s">
        <v>1647</v>
      </c>
      <c r="F51" s="1376" t="s">
        <v>287</v>
      </c>
      <c r="G51" s="1376"/>
      <c r="H51" s="1376"/>
      <c r="I51" s="1376">
        <v>3</v>
      </c>
      <c r="J51" s="1377"/>
      <c r="K51" s="1376"/>
      <c r="L51" s="1376"/>
      <c r="M51" s="1376">
        <v>6</v>
      </c>
      <c r="N51" s="1376"/>
      <c r="O51" s="1376"/>
      <c r="P51" s="1376"/>
      <c r="Q51" s="1378">
        <f t="shared" si="1"/>
        <v>6</v>
      </c>
      <c r="R51" s="1376"/>
      <c r="S51" s="1376"/>
      <c r="T51" s="1376"/>
      <c r="U51" s="1376"/>
      <c r="V51" s="1376"/>
      <c r="W51" s="1379"/>
    </row>
    <row r="52" spans="1:23">
      <c r="A52" s="1370" t="s">
        <v>1622</v>
      </c>
      <c r="B52" s="1370" t="s">
        <v>1623</v>
      </c>
      <c r="C52" s="1370" t="s">
        <v>32</v>
      </c>
      <c r="D52" s="1370">
        <v>6</v>
      </c>
      <c r="E52" s="1370" t="s">
        <v>1647</v>
      </c>
      <c r="F52" s="1370" t="s">
        <v>196</v>
      </c>
      <c r="G52" s="1370"/>
      <c r="H52" s="1370"/>
      <c r="I52" s="1370">
        <v>3</v>
      </c>
      <c r="J52" s="1372"/>
      <c r="K52" s="1370"/>
      <c r="L52" s="1370"/>
      <c r="M52" s="1370">
        <v>6</v>
      </c>
      <c r="N52" s="1370"/>
      <c r="O52" s="1370"/>
      <c r="P52" s="1370"/>
      <c r="Q52" s="1374">
        <f t="shared" si="1"/>
        <v>6</v>
      </c>
      <c r="R52" s="1370"/>
      <c r="S52" s="1370"/>
      <c r="T52" s="1370"/>
      <c r="U52" s="1370"/>
      <c r="V52" s="1370"/>
      <c r="W52" s="1375"/>
    </row>
    <row r="53" spans="1:23">
      <c r="A53" s="1376" t="s">
        <v>1622</v>
      </c>
      <c r="B53" s="1376" t="s">
        <v>1623</v>
      </c>
      <c r="C53" s="1376" t="s">
        <v>308</v>
      </c>
      <c r="D53" s="1376">
        <v>1</v>
      </c>
      <c r="E53" s="1376"/>
      <c r="F53" s="1376" t="s">
        <v>301</v>
      </c>
      <c r="G53" s="1376"/>
      <c r="H53" s="1376"/>
      <c r="I53" s="1376">
        <v>3</v>
      </c>
      <c r="J53" s="1377"/>
      <c r="K53" s="1376"/>
      <c r="L53" s="1376"/>
      <c r="M53" s="1376">
        <v>34</v>
      </c>
      <c r="N53" s="1376"/>
      <c r="O53" s="1376"/>
      <c r="P53" s="1376"/>
      <c r="Q53" s="1378">
        <f t="shared" si="1"/>
        <v>34</v>
      </c>
      <c r="R53" s="1376"/>
      <c r="S53" s="1376"/>
      <c r="T53" s="1376"/>
      <c r="U53" s="1376"/>
      <c r="V53" s="1376"/>
      <c r="W53" s="1379"/>
    </row>
    <row r="54" spans="1:23">
      <c r="A54" s="1370" t="s">
        <v>1622</v>
      </c>
      <c r="B54" s="1370" t="s">
        <v>1623</v>
      </c>
      <c r="C54" s="1370" t="s">
        <v>308</v>
      </c>
      <c r="D54" s="1370">
        <v>2</v>
      </c>
      <c r="E54" s="1370"/>
      <c r="F54" s="1383" t="s">
        <v>26</v>
      </c>
      <c r="G54" s="1370"/>
      <c r="H54" s="1370"/>
      <c r="I54" s="1370">
        <v>3</v>
      </c>
      <c r="J54" s="1372"/>
      <c r="K54" s="1370"/>
      <c r="L54" s="1370"/>
      <c r="M54" s="1370">
        <v>3</v>
      </c>
      <c r="N54" s="1370"/>
      <c r="O54" s="1370"/>
      <c r="P54" s="1370"/>
      <c r="Q54" s="1374">
        <f t="shared" si="1"/>
        <v>3</v>
      </c>
      <c r="R54" s="1370"/>
      <c r="S54" s="1370"/>
      <c r="T54" s="1370"/>
      <c r="U54" s="1370"/>
      <c r="V54" s="1370"/>
      <c r="W54" s="1375"/>
    </row>
    <row r="55" spans="1:23">
      <c r="A55" s="1376" t="s">
        <v>1622</v>
      </c>
      <c r="B55" s="1376" t="s">
        <v>1623</v>
      </c>
      <c r="C55" s="1376" t="s">
        <v>308</v>
      </c>
      <c r="D55" s="1376">
        <v>3</v>
      </c>
      <c r="E55" s="1376"/>
      <c r="F55" s="1384" t="s">
        <v>31</v>
      </c>
      <c r="G55" s="1376"/>
      <c r="H55" s="1376"/>
      <c r="I55" s="1376">
        <v>3</v>
      </c>
      <c r="J55" s="1377"/>
      <c r="K55" s="1376"/>
      <c r="L55" s="1376"/>
      <c r="M55" s="1376">
        <v>3</v>
      </c>
      <c r="N55" s="1376"/>
      <c r="O55" s="1376"/>
      <c r="P55" s="1376"/>
      <c r="Q55" s="1378">
        <f t="shared" si="1"/>
        <v>3</v>
      </c>
      <c r="R55" s="1376"/>
      <c r="S55" s="1376"/>
      <c r="T55" s="1376"/>
      <c r="U55" s="1376"/>
      <c r="V55" s="1376"/>
      <c r="W55" s="1379"/>
    </row>
    <row r="56" spans="1:23">
      <c r="A56" s="1370" t="s">
        <v>1622</v>
      </c>
      <c r="B56" s="1370" t="s">
        <v>1623</v>
      </c>
      <c r="C56" s="1370" t="s">
        <v>308</v>
      </c>
      <c r="D56" s="1370">
        <v>4</v>
      </c>
      <c r="E56" s="1370"/>
      <c r="F56" s="1383" t="s">
        <v>32</v>
      </c>
      <c r="G56" s="1370"/>
      <c r="H56" s="1370"/>
      <c r="I56" s="1370">
        <v>3</v>
      </c>
      <c r="J56" s="1372"/>
      <c r="K56" s="1370"/>
      <c r="L56" s="1370"/>
      <c r="M56" s="1370">
        <v>19</v>
      </c>
      <c r="N56" s="1370"/>
      <c r="O56" s="1370"/>
      <c r="P56" s="1370"/>
      <c r="Q56" s="1374">
        <f t="shared" si="1"/>
        <v>19</v>
      </c>
      <c r="R56" s="1370"/>
      <c r="S56" s="1370"/>
      <c r="T56" s="1370"/>
      <c r="U56" s="1370"/>
      <c r="V56" s="1370"/>
      <c r="W56" s="1375"/>
    </row>
    <row r="57" spans="1:23">
      <c r="A57" s="1376" t="s">
        <v>1622</v>
      </c>
      <c r="B57" s="1376" t="s">
        <v>1623</v>
      </c>
      <c r="C57" s="1376" t="s">
        <v>308</v>
      </c>
      <c r="D57" s="1376">
        <v>5</v>
      </c>
      <c r="E57" s="1376"/>
      <c r="F57" s="1384" t="s">
        <v>49</v>
      </c>
      <c r="G57" s="1376"/>
      <c r="H57" s="1376"/>
      <c r="I57" s="1376">
        <v>3</v>
      </c>
      <c r="J57" s="1377"/>
      <c r="K57" s="1376"/>
      <c r="L57" s="1376"/>
      <c r="M57" s="1376">
        <v>37</v>
      </c>
      <c r="N57" s="1376"/>
      <c r="O57" s="1376"/>
      <c r="P57" s="1376"/>
      <c r="Q57" s="1378">
        <f t="shared" si="1"/>
        <v>37</v>
      </c>
      <c r="R57" s="1376"/>
      <c r="S57" s="1376"/>
      <c r="T57" s="1376"/>
      <c r="U57" s="1376"/>
      <c r="V57" s="1376"/>
      <c r="W57" s="1379"/>
    </row>
    <row r="58" spans="1:23">
      <c r="A58" s="1370" t="s">
        <v>1622</v>
      </c>
      <c r="B58" s="1370" t="s">
        <v>1623</v>
      </c>
      <c r="C58" s="1370" t="s">
        <v>308</v>
      </c>
      <c r="D58" s="1370">
        <v>6</v>
      </c>
      <c r="E58" s="1370"/>
      <c r="F58" s="1370" t="s">
        <v>295</v>
      </c>
      <c r="G58" s="1370"/>
      <c r="H58" s="1370"/>
      <c r="I58" s="1370">
        <v>3</v>
      </c>
      <c r="J58" s="1372"/>
      <c r="K58" s="1370"/>
      <c r="L58" s="1370"/>
      <c r="M58" s="1370">
        <v>4</v>
      </c>
      <c r="N58" s="1370"/>
      <c r="O58" s="1370"/>
      <c r="P58" s="1370"/>
      <c r="Q58" s="1374">
        <f t="shared" si="1"/>
        <v>4</v>
      </c>
      <c r="R58" s="1370"/>
      <c r="S58" s="1370"/>
      <c r="T58" s="1370"/>
      <c r="U58" s="1370"/>
      <c r="V58" s="1370"/>
      <c r="W58" s="1375"/>
    </row>
    <row r="59" spans="1:23">
      <c r="A59" s="1376" t="s">
        <v>1622</v>
      </c>
      <c r="B59" s="1376" t="s">
        <v>1623</v>
      </c>
      <c r="C59" s="1376" t="s">
        <v>316</v>
      </c>
      <c r="D59" s="1376">
        <v>1</v>
      </c>
      <c r="E59" s="1376"/>
      <c r="F59" s="1376" t="s">
        <v>393</v>
      </c>
      <c r="G59" s="1376"/>
      <c r="H59" s="1376"/>
      <c r="I59" s="1376">
        <v>3</v>
      </c>
      <c r="J59" s="1377"/>
      <c r="K59" s="1376"/>
      <c r="L59" s="1376"/>
      <c r="M59" s="1376">
        <v>1</v>
      </c>
      <c r="N59" s="1376"/>
      <c r="O59" s="1376"/>
      <c r="P59" s="1376"/>
      <c r="Q59" s="1378">
        <f t="shared" si="1"/>
        <v>1</v>
      </c>
      <c r="R59" s="1376"/>
      <c r="S59" s="1376"/>
      <c r="T59" s="1376"/>
      <c r="U59" s="1376"/>
      <c r="V59" s="1376"/>
      <c r="W59" s="1379"/>
    </row>
    <row r="60" spans="1:23">
      <c r="A60" s="1370" t="s">
        <v>1622</v>
      </c>
      <c r="B60" s="1370" t="s">
        <v>1623</v>
      </c>
      <c r="C60" s="1370" t="s">
        <v>316</v>
      </c>
      <c r="D60" s="1370">
        <v>2</v>
      </c>
      <c r="E60" s="1370"/>
      <c r="F60" s="1370"/>
      <c r="G60" s="1370"/>
      <c r="H60" s="1370"/>
      <c r="I60" s="1370">
        <v>3</v>
      </c>
      <c r="J60" s="1372"/>
      <c r="K60" s="1370"/>
      <c r="L60" s="1370"/>
      <c r="M60" s="1370"/>
      <c r="N60" s="1370"/>
      <c r="O60" s="1370"/>
      <c r="P60" s="1370"/>
      <c r="Q60" s="1374">
        <f t="shared" si="1"/>
        <v>0</v>
      </c>
      <c r="R60" s="1370"/>
      <c r="S60" s="1370"/>
      <c r="T60" s="1370"/>
      <c r="U60" s="1370"/>
      <c r="V60" s="1370"/>
      <c r="W60" s="1375"/>
    </row>
    <row r="61" spans="1:23">
      <c r="A61" s="1376" t="s">
        <v>1622</v>
      </c>
      <c r="B61" s="1376" t="s">
        <v>1623</v>
      </c>
      <c r="C61" s="1376" t="s">
        <v>316</v>
      </c>
      <c r="D61" s="1376">
        <v>3</v>
      </c>
      <c r="E61" s="1376"/>
      <c r="F61" s="1376" t="s">
        <v>394</v>
      </c>
      <c r="G61" s="1376"/>
      <c r="H61" s="1376"/>
      <c r="I61" s="1376">
        <v>3</v>
      </c>
      <c r="J61" s="1377"/>
      <c r="K61" s="1376"/>
      <c r="L61" s="1376"/>
      <c r="M61" s="1376" t="s">
        <v>395</v>
      </c>
      <c r="N61" s="1376"/>
      <c r="O61" s="1376"/>
      <c r="P61" s="1376"/>
      <c r="Q61" s="1378" t="str">
        <f t="shared" si="1"/>
        <v>-</v>
      </c>
      <c r="R61" s="1376"/>
      <c r="S61" s="1376"/>
      <c r="T61" s="1376"/>
      <c r="U61" s="1376"/>
      <c r="V61" s="1376"/>
      <c r="W61" s="1379"/>
    </row>
    <row r="62" spans="1:23">
      <c r="A62" s="1370" t="s">
        <v>1622</v>
      </c>
      <c r="B62" s="1370" t="s">
        <v>1623</v>
      </c>
      <c r="C62" s="1370" t="s">
        <v>316</v>
      </c>
      <c r="D62" s="1370">
        <v>4</v>
      </c>
      <c r="E62" s="1370"/>
      <c r="F62" s="1370" t="s">
        <v>396</v>
      </c>
      <c r="G62" s="1370"/>
      <c r="H62" s="1370"/>
      <c r="I62" s="1370">
        <v>3</v>
      </c>
      <c r="J62" s="1372"/>
      <c r="K62" s="1370"/>
      <c r="L62" s="1370"/>
      <c r="M62" s="1370">
        <v>3</v>
      </c>
      <c r="N62" s="1370"/>
      <c r="O62" s="1370"/>
      <c r="P62" s="1370"/>
      <c r="Q62" s="1374">
        <f t="shared" si="1"/>
        <v>3</v>
      </c>
      <c r="R62" s="1370"/>
      <c r="S62" s="1370"/>
      <c r="T62" s="1370"/>
      <c r="U62" s="1370"/>
      <c r="V62" s="1370"/>
      <c r="W62" s="1375"/>
    </row>
    <row r="63" spans="1:23">
      <c r="A63" s="1376" t="s">
        <v>1622</v>
      </c>
      <c r="B63" s="1376" t="s">
        <v>1623</v>
      </c>
      <c r="C63" s="1376" t="s">
        <v>316</v>
      </c>
      <c r="D63" s="1376">
        <v>5</v>
      </c>
      <c r="E63" s="1376"/>
      <c r="F63" s="1376" t="s">
        <v>397</v>
      </c>
      <c r="G63" s="1376"/>
      <c r="H63" s="1376"/>
      <c r="I63" s="1376">
        <v>3</v>
      </c>
      <c r="J63" s="1377"/>
      <c r="K63" s="1376"/>
      <c r="L63" s="1376"/>
      <c r="M63" s="1376">
        <v>1</v>
      </c>
      <c r="N63" s="1376"/>
      <c r="O63" s="1376"/>
      <c r="P63" s="1376"/>
      <c r="Q63" s="1378">
        <f t="shared" si="1"/>
        <v>1</v>
      </c>
      <c r="R63" s="1376"/>
      <c r="S63" s="1376"/>
      <c r="T63" s="1376"/>
      <c r="U63" s="1376"/>
      <c r="V63" s="1376"/>
      <c r="W63" s="1379"/>
    </row>
    <row r="64" spans="1:23">
      <c r="A64" s="1370" t="s">
        <v>1622</v>
      </c>
      <c r="B64" s="1370" t="s">
        <v>1623</v>
      </c>
      <c r="C64" s="1370" t="s">
        <v>316</v>
      </c>
      <c r="D64" s="1370">
        <v>6</v>
      </c>
      <c r="E64" s="1370"/>
      <c r="F64" s="1370" t="s">
        <v>398</v>
      </c>
      <c r="G64" s="1370"/>
      <c r="H64" s="1370"/>
      <c r="I64" s="1370">
        <v>3</v>
      </c>
      <c r="J64" s="1372"/>
      <c r="K64" s="1370"/>
      <c r="L64" s="1370"/>
      <c r="M64" s="1370">
        <v>6</v>
      </c>
      <c r="N64" s="1370"/>
      <c r="O64" s="1370"/>
      <c r="P64" s="1370"/>
      <c r="Q64" s="1374">
        <f t="shared" si="1"/>
        <v>6</v>
      </c>
      <c r="R64" s="1370"/>
      <c r="S64" s="1370"/>
      <c r="T64" s="1370"/>
      <c r="U64" s="1370"/>
      <c r="V64" s="1370"/>
      <c r="W64" s="1375"/>
    </row>
    <row r="65" spans="1:23">
      <c r="A65" s="1376" t="s">
        <v>1622</v>
      </c>
      <c r="B65" s="1376" t="s">
        <v>1623</v>
      </c>
      <c r="C65" s="1376" t="s">
        <v>316</v>
      </c>
      <c r="D65" s="1376">
        <v>7</v>
      </c>
      <c r="E65" s="1376"/>
      <c r="F65" s="1376" t="s">
        <v>399</v>
      </c>
      <c r="G65" s="1376"/>
      <c r="H65" s="1376"/>
      <c r="I65" s="1376">
        <v>3</v>
      </c>
      <c r="J65" s="1377"/>
      <c r="K65" s="1376"/>
      <c r="L65" s="1376"/>
      <c r="M65" s="1376">
        <v>1</v>
      </c>
      <c r="N65" s="1376"/>
      <c r="O65" s="1376"/>
      <c r="P65" s="1376"/>
      <c r="Q65" s="1378">
        <f t="shared" si="1"/>
        <v>1</v>
      </c>
      <c r="R65" s="1376"/>
      <c r="S65" s="1376"/>
      <c r="T65" s="1376"/>
      <c r="U65" s="1376"/>
      <c r="V65" s="1376"/>
      <c r="W65" s="1379"/>
    </row>
    <row r="66" spans="1:23">
      <c r="A66" s="1370" t="s">
        <v>1622</v>
      </c>
      <c r="B66" s="1370" t="s">
        <v>1623</v>
      </c>
      <c r="C66" s="1370" t="s">
        <v>316</v>
      </c>
      <c r="D66" s="1370">
        <v>8</v>
      </c>
      <c r="E66" s="1370"/>
      <c r="F66" s="1370" t="s">
        <v>400</v>
      </c>
      <c r="G66" s="1370"/>
      <c r="H66" s="1370"/>
      <c r="I66" s="1370">
        <v>3</v>
      </c>
      <c r="J66" s="1372"/>
      <c r="K66" s="1370"/>
      <c r="L66" s="1370"/>
      <c r="M66" s="1370">
        <v>2</v>
      </c>
      <c r="N66" s="1370"/>
      <c r="O66" s="1370"/>
      <c r="P66" s="1370"/>
      <c r="Q66" s="1374">
        <f t="shared" si="1"/>
        <v>2</v>
      </c>
      <c r="R66" s="1370"/>
      <c r="S66" s="1370"/>
      <c r="T66" s="1370"/>
      <c r="U66" s="1370"/>
      <c r="V66" s="1370"/>
      <c r="W66" s="1375"/>
    </row>
    <row r="67" spans="1:23">
      <c r="A67" s="1376" t="s">
        <v>1622</v>
      </c>
      <c r="B67" s="1376" t="s">
        <v>1623</v>
      </c>
      <c r="C67" s="1376" t="s">
        <v>316</v>
      </c>
      <c r="D67" s="1376">
        <v>9</v>
      </c>
      <c r="E67" s="1376"/>
      <c r="F67" s="1376" t="s">
        <v>401</v>
      </c>
      <c r="G67" s="1376"/>
      <c r="H67" s="1376"/>
      <c r="I67" s="1376">
        <v>3</v>
      </c>
      <c r="J67" s="1377"/>
      <c r="K67" s="1376"/>
      <c r="L67" s="1376"/>
      <c r="M67" s="1376">
        <v>2</v>
      </c>
      <c r="N67" s="1376"/>
      <c r="O67" s="1376"/>
      <c r="P67" s="1376"/>
      <c r="Q67" s="1378">
        <f t="shared" si="1"/>
        <v>2</v>
      </c>
      <c r="R67" s="1376"/>
      <c r="S67" s="1376"/>
      <c r="T67" s="1376"/>
      <c r="U67" s="1376"/>
      <c r="V67" s="1376"/>
      <c r="W67" s="1379"/>
    </row>
    <row r="68" spans="1:23">
      <c r="A68" s="1370" t="s">
        <v>1622</v>
      </c>
      <c r="B68" s="1370" t="s">
        <v>1623</v>
      </c>
      <c r="C68" s="1370" t="s">
        <v>316</v>
      </c>
      <c r="D68" s="1370">
        <v>10</v>
      </c>
      <c r="E68" s="1370"/>
      <c r="F68" s="1370" t="s">
        <v>402</v>
      </c>
      <c r="G68" s="1370"/>
      <c r="H68" s="1370"/>
      <c r="I68" s="1370">
        <v>3</v>
      </c>
      <c r="J68" s="1372"/>
      <c r="K68" s="1370"/>
      <c r="L68" s="1370"/>
      <c r="M68" s="1370">
        <v>3</v>
      </c>
      <c r="N68" s="1370"/>
      <c r="O68" s="1370"/>
      <c r="P68" s="1370"/>
      <c r="Q68" s="1374">
        <f t="shared" si="1"/>
        <v>3</v>
      </c>
      <c r="R68" s="1370"/>
      <c r="S68" s="1370"/>
      <c r="T68" s="1370"/>
      <c r="U68" s="1370"/>
      <c r="V68" s="1370"/>
      <c r="W68" s="1375"/>
    </row>
    <row r="69" spans="1:23">
      <c r="A69" s="1376" t="s">
        <v>1622</v>
      </c>
      <c r="B69" s="1376" t="s">
        <v>1623</v>
      </c>
      <c r="C69" s="1376" t="s">
        <v>316</v>
      </c>
      <c r="D69" s="1376">
        <v>11</v>
      </c>
      <c r="E69" s="1376"/>
      <c r="F69" s="1376" t="s">
        <v>403</v>
      </c>
      <c r="G69" s="1376"/>
      <c r="H69" s="1376"/>
      <c r="I69" s="1376">
        <v>3</v>
      </c>
      <c r="J69" s="1377"/>
      <c r="K69" s="1376"/>
      <c r="L69" s="1376"/>
      <c r="M69" s="1376">
        <v>3</v>
      </c>
      <c r="N69" s="1376"/>
      <c r="O69" s="1376"/>
      <c r="P69" s="1376"/>
      <c r="Q69" s="1378">
        <f t="shared" si="1"/>
        <v>3</v>
      </c>
      <c r="R69" s="1376"/>
      <c r="S69" s="1376"/>
      <c r="T69" s="1376"/>
      <c r="U69" s="1376"/>
      <c r="V69" s="1376"/>
      <c r="W69" s="1379"/>
    </row>
    <row r="70" spans="1:23">
      <c r="A70" s="1370" t="s">
        <v>1622</v>
      </c>
      <c r="B70" s="1370" t="s">
        <v>1623</v>
      </c>
      <c r="C70" s="1370" t="s">
        <v>316</v>
      </c>
      <c r="D70" s="1370">
        <v>12</v>
      </c>
      <c r="E70" s="1370"/>
      <c r="F70" s="1370" t="s">
        <v>404</v>
      </c>
      <c r="G70" s="1370"/>
      <c r="H70" s="1370"/>
      <c r="I70" s="1376">
        <v>3</v>
      </c>
      <c r="J70" s="1372"/>
      <c r="K70" s="1370"/>
      <c r="L70" s="1370"/>
      <c r="M70" s="1370">
        <v>4</v>
      </c>
      <c r="N70" s="1370"/>
      <c r="O70" s="1370"/>
      <c r="P70" s="1370"/>
      <c r="Q70" s="1374">
        <f t="shared" si="1"/>
        <v>4</v>
      </c>
      <c r="R70" s="1370"/>
      <c r="S70" s="1370"/>
      <c r="T70" s="1370"/>
      <c r="U70" s="1370"/>
      <c r="V70" s="1370"/>
      <c r="W70" s="1375"/>
    </row>
    <row r="71" spans="1:23">
      <c r="A71" s="1376" t="s">
        <v>1622</v>
      </c>
      <c r="B71" s="1376" t="s">
        <v>1623</v>
      </c>
      <c r="C71" s="1376" t="s">
        <v>316</v>
      </c>
      <c r="D71" s="1376">
        <v>13</v>
      </c>
      <c r="E71" s="1376"/>
      <c r="F71" s="1376" t="s">
        <v>405</v>
      </c>
      <c r="G71" s="1376"/>
      <c r="H71" s="1376"/>
      <c r="I71" s="1376">
        <v>3</v>
      </c>
      <c r="J71" s="1377"/>
      <c r="K71" s="1376"/>
      <c r="L71" s="1376"/>
      <c r="M71" s="1376">
        <v>0</v>
      </c>
      <c r="N71" s="1376"/>
      <c r="O71" s="1376"/>
      <c r="P71" s="1376"/>
      <c r="Q71" s="1378">
        <f t="shared" si="1"/>
        <v>0</v>
      </c>
      <c r="R71" s="1376"/>
      <c r="S71" s="1376"/>
      <c r="T71" s="1376"/>
      <c r="U71" s="1376"/>
      <c r="V71" s="1376"/>
      <c r="W71" s="1379"/>
    </row>
    <row r="72" spans="1:23">
      <c r="A72" s="1370" t="s">
        <v>1622</v>
      </c>
      <c r="B72" s="1370" t="s">
        <v>1623</v>
      </c>
      <c r="C72" s="1370" t="s">
        <v>316</v>
      </c>
      <c r="D72" s="1370">
        <v>14</v>
      </c>
      <c r="E72" s="1370"/>
      <c r="F72" s="1370" t="s">
        <v>406</v>
      </c>
      <c r="G72" s="1370"/>
      <c r="H72" s="1370"/>
      <c r="I72" s="1376">
        <v>3</v>
      </c>
      <c r="J72" s="1372"/>
      <c r="K72" s="1370"/>
      <c r="L72" s="1370"/>
      <c r="M72" s="1370">
        <v>2</v>
      </c>
      <c r="N72" s="1370"/>
      <c r="O72" s="1370"/>
      <c r="P72" s="1370"/>
      <c r="Q72" s="1374">
        <f t="shared" si="1"/>
        <v>2</v>
      </c>
      <c r="R72" s="1370"/>
      <c r="S72" s="1370"/>
      <c r="T72" s="1370"/>
      <c r="U72" s="1370"/>
      <c r="V72" s="1370"/>
      <c r="W72" s="1375"/>
    </row>
    <row r="73" spans="1:23">
      <c r="A73" s="1376" t="s">
        <v>1622</v>
      </c>
      <c r="B73" s="1376" t="s">
        <v>1623</v>
      </c>
      <c r="C73" s="1376" t="s">
        <v>316</v>
      </c>
      <c r="D73" s="1376">
        <v>15</v>
      </c>
      <c r="E73" s="1376"/>
      <c r="F73" s="1376" t="s">
        <v>407</v>
      </c>
      <c r="G73" s="1376"/>
      <c r="H73" s="1376"/>
      <c r="I73" s="1376">
        <v>3</v>
      </c>
      <c r="J73" s="1377"/>
      <c r="K73" s="1376"/>
      <c r="L73" s="1376"/>
      <c r="M73" s="1376"/>
      <c r="N73" s="1376"/>
      <c r="O73" s="1376"/>
      <c r="P73" s="1376"/>
      <c r="Q73" s="1378">
        <f t="shared" si="1"/>
        <v>0</v>
      </c>
      <c r="R73" s="1376"/>
      <c r="S73" s="1376"/>
      <c r="T73" s="1376"/>
      <c r="U73" s="1376"/>
      <c r="V73" s="1376"/>
      <c r="W73" s="1379"/>
    </row>
    <row r="74" spans="1:23">
      <c r="A74" s="1370" t="s">
        <v>1622</v>
      </c>
      <c r="B74" s="1370" t="s">
        <v>1623</v>
      </c>
      <c r="C74" s="1370" t="s">
        <v>316</v>
      </c>
      <c r="D74" s="1370">
        <v>16</v>
      </c>
      <c r="E74" s="1370"/>
      <c r="F74" s="1370" t="s">
        <v>408</v>
      </c>
      <c r="G74" s="1370"/>
      <c r="H74" s="1370"/>
      <c r="I74" s="1376">
        <v>3</v>
      </c>
      <c r="J74" s="1372"/>
      <c r="K74" s="1370"/>
      <c r="L74" s="1370"/>
      <c r="M74" s="1370">
        <v>8</v>
      </c>
      <c r="N74" s="1370"/>
      <c r="O74" s="1370"/>
      <c r="P74" s="1370"/>
      <c r="Q74" s="1374">
        <f t="shared" si="1"/>
        <v>8</v>
      </c>
      <c r="R74" s="1370"/>
      <c r="S74" s="1370"/>
      <c r="T74" s="1370"/>
      <c r="U74" s="1370"/>
      <c r="V74" s="1370"/>
      <c r="W74" s="1375"/>
    </row>
    <row r="75" spans="1:23">
      <c r="A75" s="1376" t="s">
        <v>1622</v>
      </c>
      <c r="B75" s="1376" t="s">
        <v>1623</v>
      </c>
      <c r="C75" s="1376" t="s">
        <v>316</v>
      </c>
      <c r="D75" s="1376">
        <v>17</v>
      </c>
      <c r="E75" s="1376"/>
      <c r="F75" s="1376" t="s">
        <v>409</v>
      </c>
      <c r="G75" s="1376"/>
      <c r="H75" s="1376"/>
      <c r="I75" s="1376">
        <v>3</v>
      </c>
      <c r="J75" s="1377"/>
      <c r="K75" s="1376"/>
      <c r="L75" s="1376"/>
      <c r="M75" s="1376">
        <v>2</v>
      </c>
      <c r="N75" s="1376"/>
      <c r="O75" s="1376"/>
      <c r="P75" s="1376"/>
      <c r="Q75" s="1378">
        <f t="shared" si="1"/>
        <v>2</v>
      </c>
      <c r="R75" s="1376"/>
      <c r="S75" s="1376"/>
      <c r="T75" s="1376"/>
      <c r="U75" s="1376"/>
      <c r="V75" s="1376"/>
      <c r="W75" s="1379"/>
    </row>
    <row r="76" spans="1:23">
      <c r="A76" s="1370" t="s">
        <v>1622</v>
      </c>
      <c r="B76" s="1370" t="s">
        <v>1623</v>
      </c>
      <c r="C76" s="1370" t="s">
        <v>316</v>
      </c>
      <c r="D76" s="1370">
        <v>18</v>
      </c>
      <c r="E76" s="1370"/>
      <c r="F76" s="1370" t="s">
        <v>410</v>
      </c>
      <c r="G76" s="1370"/>
      <c r="H76" s="1370"/>
      <c r="I76" s="1376">
        <v>3</v>
      </c>
      <c r="J76" s="1372"/>
      <c r="K76" s="1370"/>
      <c r="L76" s="1370"/>
      <c r="M76" s="1370">
        <v>7</v>
      </c>
      <c r="N76" s="1370"/>
      <c r="O76" s="1370"/>
      <c r="P76" s="1370"/>
      <c r="Q76" s="1374">
        <f t="shared" si="1"/>
        <v>7</v>
      </c>
      <c r="R76" s="1370"/>
      <c r="S76" s="1370"/>
      <c r="T76" s="1370"/>
      <c r="U76" s="1370"/>
      <c r="V76" s="1370"/>
      <c r="W76" s="1375"/>
    </row>
    <row r="77" spans="1:23">
      <c r="A77" s="1376" t="s">
        <v>1622</v>
      </c>
      <c r="B77" s="1376" t="s">
        <v>1623</v>
      </c>
      <c r="C77" s="1376" t="s">
        <v>316</v>
      </c>
      <c r="D77" s="1376">
        <v>19</v>
      </c>
      <c r="E77" s="1376"/>
      <c r="F77" s="1376" t="s">
        <v>411</v>
      </c>
      <c r="G77" s="1376"/>
      <c r="H77" s="1376"/>
      <c r="I77" s="1376">
        <v>3</v>
      </c>
      <c r="J77" s="1377"/>
      <c r="K77" s="1376"/>
      <c r="L77" s="1376"/>
      <c r="M77" s="1376">
        <v>9</v>
      </c>
      <c r="N77" s="1376"/>
      <c r="O77" s="1376"/>
      <c r="P77" s="1376"/>
      <c r="Q77" s="1378">
        <f t="shared" si="1"/>
        <v>9</v>
      </c>
      <c r="R77" s="1376"/>
      <c r="S77" s="1376"/>
      <c r="T77" s="1376"/>
      <c r="U77" s="1376"/>
      <c r="V77" s="1376"/>
      <c r="W77" s="1379"/>
    </row>
    <row r="78" spans="1:23">
      <c r="A78" s="1370" t="s">
        <v>1622</v>
      </c>
      <c r="B78" s="1370" t="s">
        <v>1623</v>
      </c>
      <c r="C78" s="1370" t="s">
        <v>316</v>
      </c>
      <c r="D78" s="1370">
        <v>20</v>
      </c>
      <c r="E78" s="1370"/>
      <c r="F78" s="1370" t="s">
        <v>412</v>
      </c>
      <c r="G78" s="1370"/>
      <c r="H78" s="1370"/>
      <c r="I78" s="1376">
        <v>3</v>
      </c>
      <c r="J78" s="1372"/>
      <c r="K78" s="1370"/>
      <c r="L78" s="1370"/>
      <c r="M78" s="1370">
        <v>2</v>
      </c>
      <c r="N78" s="1370"/>
      <c r="O78" s="1370"/>
      <c r="P78" s="1370"/>
      <c r="Q78" s="1374">
        <f t="shared" si="1"/>
        <v>2</v>
      </c>
      <c r="R78" s="1370"/>
      <c r="S78" s="1370"/>
      <c r="T78" s="1370"/>
      <c r="U78" s="1370"/>
      <c r="V78" s="1370"/>
      <c r="W78" s="1375"/>
    </row>
    <row r="79" spans="1:23">
      <c r="A79" s="1376" t="s">
        <v>1622</v>
      </c>
      <c r="B79" s="1376" t="s">
        <v>1623</v>
      </c>
      <c r="C79" s="1376" t="s">
        <v>316</v>
      </c>
      <c r="D79" s="1376">
        <v>21</v>
      </c>
      <c r="E79" s="1376"/>
      <c r="F79" s="1376" t="s">
        <v>413</v>
      </c>
      <c r="G79" s="1376"/>
      <c r="H79" s="1376"/>
      <c r="I79" s="1376">
        <v>3</v>
      </c>
      <c r="J79" s="1377"/>
      <c r="K79" s="1376"/>
      <c r="L79" s="1376"/>
      <c r="M79" s="1376">
        <v>1</v>
      </c>
      <c r="N79" s="1376"/>
      <c r="O79" s="1376"/>
      <c r="P79" s="1376"/>
      <c r="Q79" s="1378">
        <f t="shared" si="1"/>
        <v>1</v>
      </c>
      <c r="R79" s="1376"/>
      <c r="S79" s="1376"/>
      <c r="T79" s="1376"/>
      <c r="U79" s="1376"/>
      <c r="V79" s="1376"/>
      <c r="W79" s="1379"/>
    </row>
    <row r="80" spans="1:23">
      <c r="A80" s="1370" t="s">
        <v>1622</v>
      </c>
      <c r="B80" s="1370" t="s">
        <v>1623</v>
      </c>
      <c r="C80" s="1370" t="s">
        <v>316</v>
      </c>
      <c r="D80" s="1370">
        <v>22</v>
      </c>
      <c r="E80" s="1370"/>
      <c r="F80" s="1370" t="s">
        <v>121</v>
      </c>
      <c r="G80" s="1370"/>
      <c r="H80" s="1370"/>
      <c r="I80" s="1376">
        <v>3</v>
      </c>
      <c r="J80" s="1372"/>
      <c r="K80" s="1370"/>
      <c r="L80" s="1370"/>
      <c r="M80" s="1370">
        <v>1</v>
      </c>
      <c r="N80" s="1370"/>
      <c r="O80" s="1370"/>
      <c r="P80" s="1370"/>
      <c r="Q80" s="1374">
        <f t="shared" si="1"/>
        <v>1</v>
      </c>
      <c r="R80" s="1370"/>
      <c r="S80" s="1370"/>
      <c r="T80" s="1370"/>
      <c r="U80" s="1370"/>
      <c r="V80" s="1370"/>
      <c r="W80" s="1375"/>
    </row>
    <row r="81" spans="1:23">
      <c r="A81" s="1376" t="s">
        <v>1622</v>
      </c>
      <c r="B81" s="1376" t="s">
        <v>1623</v>
      </c>
      <c r="C81" s="1376" t="s">
        <v>316</v>
      </c>
      <c r="D81" s="1376">
        <v>23</v>
      </c>
      <c r="E81" s="1376"/>
      <c r="F81" s="1376" t="s">
        <v>414</v>
      </c>
      <c r="G81" s="1376"/>
      <c r="H81" s="1376"/>
      <c r="I81" s="1376">
        <v>3</v>
      </c>
      <c r="J81" s="1377"/>
      <c r="K81" s="1376"/>
      <c r="L81" s="1376"/>
      <c r="M81" s="1376">
        <v>2</v>
      </c>
      <c r="N81" s="1376"/>
      <c r="O81" s="1376"/>
      <c r="P81" s="1376"/>
      <c r="Q81" s="1378">
        <f t="shared" si="1"/>
        <v>2</v>
      </c>
      <c r="R81" s="1376"/>
      <c r="S81" s="1376"/>
      <c r="T81" s="1376"/>
      <c r="U81" s="1376"/>
      <c r="V81" s="1376"/>
      <c r="W81" s="1379"/>
    </row>
    <row r="82" spans="1:23">
      <c r="A82" s="1370" t="s">
        <v>1622</v>
      </c>
      <c r="B82" s="1370" t="s">
        <v>1623</v>
      </c>
      <c r="C82" s="1370" t="s">
        <v>316</v>
      </c>
      <c r="D82" s="1370">
        <v>24</v>
      </c>
      <c r="E82" s="1370"/>
      <c r="F82" s="1370" t="s">
        <v>415</v>
      </c>
      <c r="G82" s="1370"/>
      <c r="H82" s="1370"/>
      <c r="I82" s="1376">
        <v>3</v>
      </c>
      <c r="J82" s="1372"/>
      <c r="K82" s="1370"/>
      <c r="L82" s="1370"/>
      <c r="M82" s="1370">
        <v>1</v>
      </c>
      <c r="N82" s="1370"/>
      <c r="O82" s="1370"/>
      <c r="P82" s="1370"/>
      <c r="Q82" s="1374">
        <f t="shared" si="1"/>
        <v>1</v>
      </c>
      <c r="R82" s="1370"/>
      <c r="S82" s="1370"/>
      <c r="T82" s="1370"/>
      <c r="U82" s="1370"/>
      <c r="V82" s="1370"/>
      <c r="W82" s="1375"/>
    </row>
    <row r="83" spans="1:23">
      <c r="A83" s="1376" t="s">
        <v>1622</v>
      </c>
      <c r="B83" s="1376" t="s">
        <v>1623</v>
      </c>
      <c r="C83" s="1376" t="s">
        <v>316</v>
      </c>
      <c r="D83" s="1376">
        <v>25</v>
      </c>
      <c r="E83" s="1376"/>
      <c r="F83" s="1376" t="s">
        <v>416</v>
      </c>
      <c r="G83" s="1376"/>
      <c r="H83" s="1376"/>
      <c r="I83" s="1376">
        <v>3</v>
      </c>
      <c r="J83" s="1377"/>
      <c r="K83" s="1376"/>
      <c r="L83" s="1376"/>
      <c r="M83" s="1376">
        <v>2</v>
      </c>
      <c r="N83" s="1376"/>
      <c r="O83" s="1376"/>
      <c r="P83" s="1376"/>
      <c r="Q83" s="1378">
        <f t="shared" si="1"/>
        <v>2</v>
      </c>
      <c r="R83" s="1376"/>
      <c r="S83" s="1376"/>
      <c r="T83" s="1376"/>
      <c r="U83" s="1376"/>
      <c r="V83" s="1376"/>
      <c r="W83" s="1379"/>
    </row>
    <row r="84" spans="1:23">
      <c r="A84" s="1370" t="s">
        <v>1622</v>
      </c>
      <c r="B84" s="1370" t="s">
        <v>1623</v>
      </c>
      <c r="C84" s="1370" t="s">
        <v>316</v>
      </c>
      <c r="D84" s="1370">
        <v>26</v>
      </c>
      <c r="E84" s="1370"/>
      <c r="F84" s="1370" t="s">
        <v>301</v>
      </c>
      <c r="G84" s="1370"/>
      <c r="H84" s="1370"/>
      <c r="I84" s="1376">
        <v>3</v>
      </c>
      <c r="J84" s="1372"/>
      <c r="K84" s="1370"/>
      <c r="L84" s="1370"/>
      <c r="M84" s="1370">
        <v>28</v>
      </c>
      <c r="N84" s="1370"/>
      <c r="O84" s="1370"/>
      <c r="P84" s="1370"/>
      <c r="Q84" s="1374">
        <f t="shared" si="1"/>
        <v>28</v>
      </c>
      <c r="R84" s="1370"/>
      <c r="S84" s="1370"/>
      <c r="T84" s="1370"/>
      <c r="U84" s="1370"/>
      <c r="V84" s="1370"/>
      <c r="W84" s="1375"/>
    </row>
    <row r="85" spans="1:23">
      <c r="A85" s="1376" t="s">
        <v>1622</v>
      </c>
      <c r="B85" s="1376" t="s">
        <v>1623</v>
      </c>
      <c r="C85" s="1376" t="s">
        <v>316</v>
      </c>
      <c r="D85" s="1376">
        <v>27</v>
      </c>
      <c r="E85" s="1376"/>
      <c r="F85" s="1376" t="s">
        <v>304</v>
      </c>
      <c r="G85" s="1376"/>
      <c r="H85" s="1376"/>
      <c r="I85" s="1376">
        <v>3</v>
      </c>
      <c r="J85" s="1377"/>
      <c r="K85" s="1376"/>
      <c r="L85" s="1376"/>
      <c r="M85" s="1376">
        <v>22</v>
      </c>
      <c r="N85" s="1376"/>
      <c r="O85" s="1376"/>
      <c r="P85" s="1376"/>
      <c r="Q85" s="1378">
        <f t="shared" si="1"/>
        <v>22</v>
      </c>
      <c r="R85" s="1376"/>
      <c r="S85" s="1376"/>
      <c r="T85" s="1376"/>
      <c r="U85" s="1376"/>
      <c r="V85" s="1376"/>
      <c r="W85" s="1379"/>
    </row>
    <row r="86" spans="1:23">
      <c r="A86" s="1370" t="s">
        <v>1622</v>
      </c>
      <c r="B86" s="1370" t="s">
        <v>1623</v>
      </c>
      <c r="C86" s="1370" t="s">
        <v>316</v>
      </c>
      <c r="D86" s="1370">
        <v>28</v>
      </c>
      <c r="E86" s="1370"/>
      <c r="F86" s="1370"/>
      <c r="G86" s="1370"/>
      <c r="H86" s="1370"/>
      <c r="I86" s="1376">
        <v>3</v>
      </c>
      <c r="J86" s="1372"/>
      <c r="K86" s="1370"/>
      <c r="L86" s="1370"/>
      <c r="M86" s="1370">
        <v>4</v>
      </c>
      <c r="N86" s="1370"/>
      <c r="O86" s="1370"/>
      <c r="P86" s="1370"/>
      <c r="Q86" s="1374">
        <f t="shared" si="1"/>
        <v>4</v>
      </c>
      <c r="R86" s="1370"/>
      <c r="S86" s="1370"/>
      <c r="T86" s="1370"/>
      <c r="U86" s="1370"/>
      <c r="V86" s="1370"/>
      <c r="W86" s="1375"/>
    </row>
    <row r="87" spans="1:23">
      <c r="A87" s="1376" t="s">
        <v>1622</v>
      </c>
      <c r="B87" s="1376" t="s">
        <v>1623</v>
      </c>
      <c r="C87" s="1376" t="s">
        <v>478</v>
      </c>
      <c r="D87" s="1376">
        <v>1</v>
      </c>
      <c r="E87" s="1376"/>
      <c r="F87" s="1376" t="s">
        <v>301</v>
      </c>
      <c r="G87" s="1376"/>
      <c r="H87" s="1376"/>
      <c r="I87" s="1376">
        <v>3</v>
      </c>
      <c r="J87" s="1377"/>
      <c r="K87" s="1376"/>
      <c r="L87" s="1376"/>
      <c r="M87" s="1376">
        <v>3</v>
      </c>
      <c r="N87" s="1376"/>
      <c r="O87" s="1376"/>
      <c r="P87" s="1376"/>
      <c r="Q87" s="1378">
        <f t="shared" si="1"/>
        <v>3</v>
      </c>
      <c r="R87" s="1376"/>
      <c r="S87" s="1376"/>
      <c r="T87" s="1376"/>
      <c r="U87" s="1376"/>
      <c r="V87" s="1376"/>
      <c r="W87" s="1379"/>
    </row>
    <row r="88" spans="1:23">
      <c r="A88" s="1370" t="s">
        <v>1622</v>
      </c>
      <c r="B88" s="1370" t="s">
        <v>1623</v>
      </c>
      <c r="C88" s="1370" t="s">
        <v>478</v>
      </c>
      <c r="D88" s="1370">
        <v>2</v>
      </c>
      <c r="E88" s="1370"/>
      <c r="F88" s="1370" t="s">
        <v>26</v>
      </c>
      <c r="G88" s="1370"/>
      <c r="H88" s="1370"/>
      <c r="I88" s="1376">
        <v>3</v>
      </c>
      <c r="J88" s="1372"/>
      <c r="K88" s="1370"/>
      <c r="L88" s="1370"/>
      <c r="M88" s="1370">
        <v>3</v>
      </c>
      <c r="N88" s="1370"/>
      <c r="O88" s="1370"/>
      <c r="P88" s="1370"/>
      <c r="Q88" s="1374">
        <f t="shared" si="1"/>
        <v>3</v>
      </c>
      <c r="R88" s="1370"/>
      <c r="S88" s="1370"/>
      <c r="T88" s="1370"/>
      <c r="U88" s="1370"/>
      <c r="V88" s="1370"/>
      <c r="W88" s="1375"/>
    </row>
    <row r="89" spans="1:23">
      <c r="A89" s="1376" t="s">
        <v>1622</v>
      </c>
      <c r="B89" s="1376" t="s">
        <v>1623</v>
      </c>
      <c r="C89" s="1376" t="s">
        <v>478</v>
      </c>
      <c r="D89" s="1376">
        <v>3</v>
      </c>
      <c r="E89" s="1376"/>
      <c r="F89" s="1376" t="s">
        <v>31</v>
      </c>
      <c r="G89" s="1376"/>
      <c r="H89" s="1376"/>
      <c r="I89" s="1376">
        <v>3</v>
      </c>
      <c r="J89" s="1377"/>
      <c r="K89" s="1376"/>
      <c r="L89" s="1376"/>
      <c r="M89" s="1376">
        <v>3</v>
      </c>
      <c r="N89" s="1376"/>
      <c r="O89" s="1376"/>
      <c r="P89" s="1376"/>
      <c r="Q89" s="1378">
        <f t="shared" si="1"/>
        <v>3</v>
      </c>
      <c r="R89" s="1376"/>
      <c r="S89" s="1376"/>
      <c r="T89" s="1376"/>
      <c r="U89" s="1376"/>
      <c r="V89" s="1376"/>
      <c r="W89" s="1379"/>
    </row>
    <row r="90" spans="1:23">
      <c r="A90" s="1370" t="s">
        <v>1622</v>
      </c>
      <c r="B90" s="1370" t="s">
        <v>1623</v>
      </c>
      <c r="C90" s="1370" t="s">
        <v>478</v>
      </c>
      <c r="D90" s="1370">
        <v>4</v>
      </c>
      <c r="E90" s="1370"/>
      <c r="F90" s="1370" t="s">
        <v>32</v>
      </c>
      <c r="G90" s="1370"/>
      <c r="H90" s="1370"/>
      <c r="I90" s="1376">
        <v>3</v>
      </c>
      <c r="J90" s="1372"/>
      <c r="K90" s="1370"/>
      <c r="L90" s="1370"/>
      <c r="M90" s="1370">
        <v>24</v>
      </c>
      <c r="N90" s="1370"/>
      <c r="O90" s="1370"/>
      <c r="P90" s="1370"/>
      <c r="Q90" s="1374">
        <f t="shared" si="1"/>
        <v>24</v>
      </c>
      <c r="R90" s="1370"/>
      <c r="S90" s="1370"/>
      <c r="T90" s="1370"/>
      <c r="U90" s="1370"/>
      <c r="V90" s="1370"/>
      <c r="W90" s="1375"/>
    </row>
    <row r="91" spans="1:23">
      <c r="A91" s="1376" t="s">
        <v>1622</v>
      </c>
      <c r="B91" s="1376" t="s">
        <v>1623</v>
      </c>
      <c r="C91" s="1376" t="s">
        <v>478</v>
      </c>
      <c r="D91" s="1376">
        <v>5</v>
      </c>
      <c r="E91" s="1376"/>
      <c r="F91" s="1376" t="s">
        <v>295</v>
      </c>
      <c r="G91" s="1376"/>
      <c r="H91" s="1376"/>
      <c r="I91" s="1376">
        <v>3</v>
      </c>
      <c r="J91" s="1377"/>
      <c r="K91" s="1376"/>
      <c r="L91" s="1376"/>
      <c r="M91" s="1376">
        <v>6</v>
      </c>
      <c r="N91" s="1376"/>
      <c r="O91" s="1376"/>
      <c r="P91" s="1376"/>
      <c r="Q91" s="1378">
        <f t="shared" si="1"/>
        <v>6</v>
      </c>
      <c r="R91" s="1376"/>
      <c r="S91" s="1376"/>
      <c r="T91" s="1376"/>
      <c r="U91" s="1376"/>
      <c r="V91" s="1376"/>
      <c r="W91" s="1379"/>
    </row>
    <row r="92" spans="1:23">
      <c r="A92" s="1370" t="s">
        <v>1622</v>
      </c>
      <c r="B92" s="1370" t="s">
        <v>1623</v>
      </c>
      <c r="C92" s="1370" t="s">
        <v>610</v>
      </c>
      <c r="D92" s="1370">
        <v>1</v>
      </c>
      <c r="E92" s="1370"/>
      <c r="F92" s="1370" t="s">
        <v>307</v>
      </c>
      <c r="G92" s="1370"/>
      <c r="H92" s="1370"/>
      <c r="I92" s="1376">
        <v>3</v>
      </c>
      <c r="J92" s="1372"/>
      <c r="K92" s="1370"/>
      <c r="L92" s="1370"/>
      <c r="M92" s="1370">
        <v>30</v>
      </c>
      <c r="N92" s="1370"/>
      <c r="O92" s="1370"/>
      <c r="P92" s="1370"/>
      <c r="Q92" s="1374">
        <f t="shared" si="1"/>
        <v>30</v>
      </c>
      <c r="R92" s="1370"/>
      <c r="S92" s="1370"/>
      <c r="T92" s="1370"/>
      <c r="U92" s="1370"/>
      <c r="V92" s="1370"/>
      <c r="W92" s="1375"/>
    </row>
    <row r="93" spans="1:23">
      <c r="A93" s="1376" t="s">
        <v>1622</v>
      </c>
      <c r="B93" s="1376" t="s">
        <v>1623</v>
      </c>
      <c r="C93" s="1376" t="s">
        <v>610</v>
      </c>
      <c r="D93" s="1376">
        <v>2</v>
      </c>
      <c r="E93" s="1376"/>
      <c r="F93" s="1376" t="s">
        <v>302</v>
      </c>
      <c r="G93" s="1376"/>
      <c r="H93" s="1376"/>
      <c r="I93" s="1376">
        <v>3</v>
      </c>
      <c r="J93" s="1377"/>
      <c r="K93" s="1376"/>
      <c r="L93" s="1376"/>
      <c r="M93" s="1376">
        <v>9</v>
      </c>
      <c r="N93" s="1376"/>
      <c r="O93" s="1376"/>
      <c r="P93" s="1376"/>
      <c r="Q93" s="1378">
        <f t="shared" si="1"/>
        <v>9</v>
      </c>
      <c r="R93" s="1376"/>
      <c r="S93" s="1376"/>
      <c r="T93" s="1376"/>
      <c r="U93" s="1376"/>
      <c r="V93" s="1376"/>
      <c r="W93" s="1379"/>
    </row>
    <row r="94" spans="1:23">
      <c r="A94" s="1370" t="s">
        <v>1622</v>
      </c>
      <c r="B94" s="1370" t="s">
        <v>1623</v>
      </c>
      <c r="C94" s="1370" t="s">
        <v>610</v>
      </c>
      <c r="D94" s="1370">
        <v>3</v>
      </c>
      <c r="E94" s="1370"/>
      <c r="F94" s="1370" t="s">
        <v>303</v>
      </c>
      <c r="G94" s="1370"/>
      <c r="H94" s="1370"/>
      <c r="I94" s="1376">
        <v>3</v>
      </c>
      <c r="J94" s="1372"/>
      <c r="K94" s="1370"/>
      <c r="L94" s="1370"/>
      <c r="M94" s="1370">
        <v>0</v>
      </c>
      <c r="N94" s="1370"/>
      <c r="O94" s="1370"/>
      <c r="P94" s="1370"/>
      <c r="Q94" s="1374">
        <f t="shared" si="1"/>
        <v>0</v>
      </c>
      <c r="R94" s="1370"/>
      <c r="S94" s="1370"/>
      <c r="T94" s="1370"/>
      <c r="U94" s="1370"/>
      <c r="V94" s="1370"/>
      <c r="W94" s="1375"/>
    </row>
    <row r="95" spans="1:23">
      <c r="A95" s="1376" t="s">
        <v>1622</v>
      </c>
      <c r="B95" s="1376" t="s">
        <v>1623</v>
      </c>
      <c r="C95" s="1376" t="s">
        <v>610</v>
      </c>
      <c r="D95" s="1376">
        <v>4</v>
      </c>
      <c r="E95" s="1376"/>
      <c r="F95" s="1376" t="s">
        <v>305</v>
      </c>
      <c r="G95" s="1376"/>
      <c r="H95" s="1376"/>
      <c r="I95" s="1376">
        <v>3</v>
      </c>
      <c r="J95" s="1377"/>
      <c r="K95" s="1376"/>
      <c r="L95" s="1376"/>
      <c r="M95" s="1376">
        <v>0</v>
      </c>
      <c r="N95" s="1376"/>
      <c r="O95" s="1376"/>
      <c r="P95" s="1376"/>
      <c r="Q95" s="1378">
        <f t="shared" si="1"/>
        <v>0</v>
      </c>
      <c r="R95" s="1376"/>
      <c r="S95" s="1376"/>
      <c r="T95" s="1376"/>
      <c r="U95" s="1376"/>
      <c r="V95" s="1376"/>
      <c r="W95" s="1379"/>
    </row>
    <row r="96" spans="1:23">
      <c r="A96" s="1370" t="s">
        <v>1622</v>
      </c>
      <c r="B96" s="1370" t="s">
        <v>1623</v>
      </c>
      <c r="C96" s="1370" t="s">
        <v>610</v>
      </c>
      <c r="D96" s="1370">
        <v>5</v>
      </c>
      <c r="E96" s="1370"/>
      <c r="F96" s="1370" t="s">
        <v>306</v>
      </c>
      <c r="G96" s="1370"/>
      <c r="H96" s="1370"/>
      <c r="I96" s="1376">
        <v>3</v>
      </c>
      <c r="J96" s="1372"/>
      <c r="K96" s="1370"/>
      <c r="L96" s="1370"/>
      <c r="M96" s="1370">
        <v>63</v>
      </c>
      <c r="N96" s="1370"/>
      <c r="O96" s="1370"/>
      <c r="P96" s="1370"/>
      <c r="Q96" s="1374">
        <f t="shared" si="1"/>
        <v>63</v>
      </c>
      <c r="R96" s="1370"/>
      <c r="S96" s="1370"/>
      <c r="T96" s="1370"/>
      <c r="U96" s="1370"/>
      <c r="V96" s="1370"/>
      <c r="W96" s="1375"/>
    </row>
    <row r="97" spans="1:23">
      <c r="A97" s="1376" t="s">
        <v>1622</v>
      </c>
      <c r="B97" s="1376" t="s">
        <v>1623</v>
      </c>
      <c r="C97" s="1376" t="s">
        <v>610</v>
      </c>
      <c r="D97" s="1376">
        <v>6</v>
      </c>
      <c r="E97" s="1376"/>
      <c r="F97" s="1376" t="s">
        <v>295</v>
      </c>
      <c r="G97" s="1376"/>
      <c r="H97" s="1376"/>
      <c r="I97" s="1376">
        <v>3</v>
      </c>
      <c r="J97" s="1377"/>
      <c r="K97" s="1376"/>
      <c r="L97" s="1376"/>
      <c r="M97" s="1376">
        <v>17</v>
      </c>
      <c r="N97" s="1376"/>
      <c r="O97" s="1376"/>
      <c r="P97" s="1376"/>
      <c r="Q97" s="1378">
        <f t="shared" si="1"/>
        <v>17</v>
      </c>
      <c r="R97" s="1376"/>
      <c r="S97" s="1376"/>
      <c r="T97" s="1376"/>
      <c r="U97" s="1376"/>
      <c r="V97" s="1376"/>
      <c r="W97" s="1379"/>
    </row>
    <row r="98" spans="1:23">
      <c r="A98" s="1370" t="s">
        <v>1622</v>
      </c>
      <c r="B98" s="1370" t="s">
        <v>1623</v>
      </c>
      <c r="C98" s="1370" t="s">
        <v>307</v>
      </c>
      <c r="D98" s="1370">
        <v>1</v>
      </c>
      <c r="E98" s="1370"/>
      <c r="F98" s="1370" t="s">
        <v>309</v>
      </c>
      <c r="G98" s="1370"/>
      <c r="H98" s="1370"/>
      <c r="I98" s="1376">
        <v>3</v>
      </c>
      <c r="J98" s="1372"/>
      <c r="K98" s="1370"/>
      <c r="L98" s="1370"/>
      <c r="M98" s="1370">
        <v>5</v>
      </c>
      <c r="N98" s="1370"/>
      <c r="O98" s="1370"/>
      <c r="P98" s="1370"/>
      <c r="Q98" s="1374">
        <f t="shared" ref="Q98:Q161" si="2">M98</f>
        <v>5</v>
      </c>
      <c r="R98" s="1370"/>
      <c r="S98" s="1370"/>
      <c r="T98" s="1370"/>
      <c r="U98" s="1370"/>
      <c r="V98" s="1370"/>
      <c r="W98" s="1375"/>
    </row>
    <row r="99" spans="1:23">
      <c r="A99" s="1376" t="s">
        <v>1622</v>
      </c>
      <c r="B99" s="1376" t="s">
        <v>1623</v>
      </c>
      <c r="C99" s="1376" t="s">
        <v>307</v>
      </c>
      <c r="D99" s="1376">
        <v>2</v>
      </c>
      <c r="E99" s="1376"/>
      <c r="F99" s="1376" t="s">
        <v>310</v>
      </c>
      <c r="G99" s="1376"/>
      <c r="H99" s="1376"/>
      <c r="I99" s="1376">
        <v>3</v>
      </c>
      <c r="J99" s="1377"/>
      <c r="K99" s="1376"/>
      <c r="L99" s="1376"/>
      <c r="M99" s="1376">
        <v>9</v>
      </c>
      <c r="N99" s="1376"/>
      <c r="O99" s="1376"/>
      <c r="P99" s="1376"/>
      <c r="Q99" s="1378">
        <f t="shared" si="2"/>
        <v>9</v>
      </c>
      <c r="R99" s="1376"/>
      <c r="S99" s="1376"/>
      <c r="T99" s="1376"/>
      <c r="U99" s="1376"/>
      <c r="V99" s="1376"/>
      <c r="W99" s="1379"/>
    </row>
    <row r="100" spans="1:23">
      <c r="A100" s="1370" t="s">
        <v>1622</v>
      </c>
      <c r="B100" s="1370" t="s">
        <v>1623</v>
      </c>
      <c r="C100" s="1370" t="s">
        <v>307</v>
      </c>
      <c r="D100" s="1370">
        <v>3</v>
      </c>
      <c r="E100" s="1370"/>
      <c r="F100" s="1370" t="s">
        <v>311</v>
      </c>
      <c r="G100" s="1370"/>
      <c r="H100" s="1370"/>
      <c r="I100" s="1376">
        <v>3</v>
      </c>
      <c r="J100" s="1372"/>
      <c r="K100" s="1370"/>
      <c r="L100" s="1370"/>
      <c r="M100" s="1370">
        <v>7</v>
      </c>
      <c r="N100" s="1370"/>
      <c r="O100" s="1370"/>
      <c r="P100" s="1370"/>
      <c r="Q100" s="1374">
        <f t="shared" si="2"/>
        <v>7</v>
      </c>
      <c r="R100" s="1370"/>
      <c r="S100" s="1370"/>
      <c r="T100" s="1370"/>
      <c r="U100" s="1370"/>
      <c r="V100" s="1370"/>
      <c r="W100" s="1375"/>
    </row>
    <row r="101" spans="1:23">
      <c r="A101" s="1376" t="s">
        <v>1622</v>
      </c>
      <c r="B101" s="1376" t="s">
        <v>1623</v>
      </c>
      <c r="C101" s="1376" t="s">
        <v>307</v>
      </c>
      <c r="D101" s="1376">
        <v>4</v>
      </c>
      <c r="E101" s="1376"/>
      <c r="F101" s="1376" t="s">
        <v>313</v>
      </c>
      <c r="G101" s="1376"/>
      <c r="H101" s="1376"/>
      <c r="I101" s="1376">
        <v>3</v>
      </c>
      <c r="J101" s="1377"/>
      <c r="K101" s="1376"/>
      <c r="L101" s="1376"/>
      <c r="M101" s="1376">
        <v>157</v>
      </c>
      <c r="N101" s="1376"/>
      <c r="O101" s="1376"/>
      <c r="P101" s="1376"/>
      <c r="Q101" s="1378">
        <f t="shared" si="2"/>
        <v>157</v>
      </c>
      <c r="R101" s="1376"/>
      <c r="S101" s="1376"/>
      <c r="T101" s="1376"/>
      <c r="U101" s="1376"/>
      <c r="V101" s="1376"/>
      <c r="W101" s="1379"/>
    </row>
    <row r="102" spans="1:23">
      <c r="A102" s="1370" t="s">
        <v>1622</v>
      </c>
      <c r="B102" s="1370" t="s">
        <v>1623</v>
      </c>
      <c r="C102" s="1370" t="s">
        <v>307</v>
      </c>
      <c r="D102" s="1370">
        <v>5</v>
      </c>
      <c r="E102" s="1370"/>
      <c r="F102" s="1370" t="s">
        <v>314</v>
      </c>
      <c r="G102" s="1370"/>
      <c r="H102" s="1370"/>
      <c r="I102" s="1376">
        <v>3</v>
      </c>
      <c r="J102" s="1372"/>
      <c r="K102" s="1370"/>
      <c r="L102" s="1370"/>
      <c r="M102" s="1370">
        <v>6</v>
      </c>
      <c r="N102" s="1370"/>
      <c r="O102" s="1370"/>
      <c r="P102" s="1370"/>
      <c r="Q102" s="1374">
        <f t="shared" si="2"/>
        <v>6</v>
      </c>
      <c r="R102" s="1370"/>
      <c r="S102" s="1370"/>
      <c r="T102" s="1370"/>
      <c r="U102" s="1370"/>
      <c r="V102" s="1370"/>
      <c r="W102" s="1375"/>
    </row>
    <row r="103" spans="1:23">
      <c r="A103" s="1376" t="s">
        <v>1622</v>
      </c>
      <c r="B103" s="1376" t="s">
        <v>1623</v>
      </c>
      <c r="C103" s="1376" t="s">
        <v>340</v>
      </c>
      <c r="D103" s="1376">
        <v>1</v>
      </c>
      <c r="E103" s="1376" t="s">
        <v>340</v>
      </c>
      <c r="F103" s="1376" t="s">
        <v>142</v>
      </c>
      <c r="G103" s="1377">
        <f>Reqd_MC!I13</f>
        <v>1.5266611721695924</v>
      </c>
      <c r="H103" s="1376"/>
      <c r="I103" s="1376">
        <v>3</v>
      </c>
      <c r="J103" s="1377">
        <v>1.5</v>
      </c>
      <c r="K103" s="1376"/>
      <c r="L103" s="1376"/>
      <c r="M103" s="1355">
        <f>ROUNDUP(G103*J103,0)*3</f>
        <v>9</v>
      </c>
      <c r="N103" s="1376"/>
      <c r="O103" s="1376"/>
      <c r="P103" s="1376"/>
      <c r="Q103" s="1378">
        <f t="shared" si="2"/>
        <v>9</v>
      </c>
      <c r="R103" s="1376"/>
      <c r="S103" s="1376"/>
      <c r="T103" s="1376"/>
      <c r="U103" s="1376"/>
      <c r="V103" s="1376"/>
      <c r="W103" s="1379" t="s">
        <v>1651</v>
      </c>
    </row>
    <row r="104" spans="1:23">
      <c r="A104" s="1370" t="s">
        <v>1622</v>
      </c>
      <c r="B104" s="1370" t="s">
        <v>1623</v>
      </c>
      <c r="C104" s="1370" t="s">
        <v>341</v>
      </c>
      <c r="D104" s="1370">
        <v>1</v>
      </c>
      <c r="E104" s="1370" t="s">
        <v>341</v>
      </c>
      <c r="F104" s="1370" t="s">
        <v>142</v>
      </c>
      <c r="G104" s="1372">
        <f>Reqd_MC!I14</f>
        <v>7.5951315821997456</v>
      </c>
      <c r="H104" s="1370"/>
      <c r="I104" s="1376">
        <v>3</v>
      </c>
      <c r="J104" s="22">
        <v>1</v>
      </c>
      <c r="K104" s="1370"/>
      <c r="L104" s="1370"/>
      <c r="M104" s="1355">
        <f>ROUNDUP(G104*J104,0)*3</f>
        <v>24</v>
      </c>
      <c r="N104" s="1370"/>
      <c r="O104" s="1370"/>
      <c r="P104" s="1370"/>
      <c r="Q104" s="1374">
        <f t="shared" si="2"/>
        <v>24</v>
      </c>
      <c r="R104" s="1370"/>
      <c r="S104" s="1370"/>
      <c r="T104" s="1370"/>
      <c r="U104" s="1370"/>
      <c r="V104" s="1370"/>
      <c r="W104" s="1375"/>
    </row>
    <row r="105" spans="1:23">
      <c r="A105" s="1376" t="s">
        <v>1622</v>
      </c>
      <c r="B105" s="1376" t="s">
        <v>1623</v>
      </c>
      <c r="C105" s="1376" t="s">
        <v>255</v>
      </c>
      <c r="D105" s="1549">
        <v>1</v>
      </c>
      <c r="E105" s="1376" t="s">
        <v>255</v>
      </c>
      <c r="F105" s="1376" t="s">
        <v>142</v>
      </c>
      <c r="G105" s="1377">
        <f>Reqd_MC!I15</f>
        <v>2</v>
      </c>
      <c r="H105" s="1376"/>
      <c r="I105" s="1376">
        <v>3</v>
      </c>
      <c r="J105" s="1377">
        <v>5</v>
      </c>
      <c r="K105" s="1376"/>
      <c r="L105" s="1376"/>
      <c r="M105" s="1355">
        <f>IF(MOD(G105*J105,1)&lt;0.3,ROUNDUP(G105*J105*3,0),ROUNDUP(G105*J105,0)*3)</f>
        <v>30</v>
      </c>
      <c r="N105" s="1376"/>
      <c r="O105" s="1376"/>
      <c r="P105" s="1376"/>
      <c r="Q105" s="1378">
        <f t="shared" si="2"/>
        <v>30</v>
      </c>
      <c r="R105" s="1376"/>
      <c r="S105" s="1376"/>
      <c r="T105" s="1376"/>
      <c r="U105" s="1376"/>
      <c r="V105" s="1376"/>
      <c r="W105" s="1379"/>
    </row>
    <row r="106" spans="1:23">
      <c r="A106" s="1370" t="s">
        <v>1622</v>
      </c>
      <c r="B106" s="1370" t="s">
        <v>1623</v>
      </c>
      <c r="C106" s="1370"/>
      <c r="D106" s="1370"/>
      <c r="E106" s="1370"/>
      <c r="F106" s="1370"/>
      <c r="G106" s="1370"/>
      <c r="H106" s="1370"/>
      <c r="I106" s="1376">
        <v>3</v>
      </c>
      <c r="J106" s="1372"/>
      <c r="K106" s="1370"/>
      <c r="L106" s="1370"/>
      <c r="M106" s="1370"/>
      <c r="N106" s="1370"/>
      <c r="O106" s="1370"/>
      <c r="P106" s="1370"/>
      <c r="Q106" s="1374">
        <f t="shared" si="2"/>
        <v>0</v>
      </c>
      <c r="R106" s="1370"/>
      <c r="S106" s="1370"/>
      <c r="T106" s="1370"/>
      <c r="U106" s="1370"/>
      <c r="V106" s="1370"/>
      <c r="W106" s="1375"/>
    </row>
    <row r="107" spans="1:23">
      <c r="A107" s="1376" t="s">
        <v>1622</v>
      </c>
      <c r="B107" s="1376" t="s">
        <v>1623</v>
      </c>
      <c r="C107" s="1376"/>
      <c r="D107" s="1376"/>
      <c r="E107" s="1376"/>
      <c r="F107" s="1376"/>
      <c r="G107" s="1376"/>
      <c r="H107" s="1376"/>
      <c r="I107" s="1376">
        <v>3</v>
      </c>
      <c r="J107" s="1377"/>
      <c r="K107" s="1376"/>
      <c r="L107" s="1376"/>
      <c r="M107" s="1376"/>
      <c r="N107" s="1376"/>
      <c r="O107" s="1376"/>
      <c r="P107" s="1376"/>
      <c r="Q107" s="1378">
        <f t="shared" si="2"/>
        <v>0</v>
      </c>
      <c r="R107" s="1376"/>
      <c r="S107" s="1376"/>
      <c r="T107" s="1376"/>
      <c r="U107" s="1376"/>
      <c r="V107" s="1376"/>
      <c r="W107" s="1379"/>
    </row>
    <row r="108" spans="1:23">
      <c r="A108" s="1370" t="s">
        <v>1622</v>
      </c>
      <c r="B108" s="1370" t="s">
        <v>1623</v>
      </c>
      <c r="C108" s="1370"/>
      <c r="D108" s="1370"/>
      <c r="E108" s="1370"/>
      <c r="F108" s="1370"/>
      <c r="G108" s="1370"/>
      <c r="H108" s="1370"/>
      <c r="I108" s="1376">
        <v>3</v>
      </c>
      <c r="J108" s="1372"/>
      <c r="K108" s="1370"/>
      <c r="L108" s="1370"/>
      <c r="M108" s="1370"/>
      <c r="N108" s="1370"/>
      <c r="O108" s="1370"/>
      <c r="P108" s="1370"/>
      <c r="Q108" s="1374">
        <f t="shared" si="2"/>
        <v>0</v>
      </c>
      <c r="R108" s="1370"/>
      <c r="S108" s="1370"/>
      <c r="T108" s="1370"/>
      <c r="U108" s="1370"/>
      <c r="V108" s="1370"/>
      <c r="W108" s="1375"/>
    </row>
    <row r="109" spans="1:23">
      <c r="A109" s="1376" t="s">
        <v>1622</v>
      </c>
      <c r="B109" s="1376" t="s">
        <v>1623</v>
      </c>
      <c r="C109" s="1376"/>
      <c r="D109" s="1376"/>
      <c r="E109" s="1376"/>
      <c r="F109" s="1376"/>
      <c r="G109" s="1376"/>
      <c r="H109" s="1376"/>
      <c r="I109" s="1376">
        <v>3</v>
      </c>
      <c r="J109" s="1377"/>
      <c r="K109" s="1376"/>
      <c r="L109" s="1376"/>
      <c r="M109" s="1376"/>
      <c r="N109" s="1376"/>
      <c r="O109" s="1376"/>
      <c r="P109" s="1376"/>
      <c r="Q109" s="1378">
        <f t="shared" si="2"/>
        <v>0</v>
      </c>
      <c r="R109" s="1376"/>
      <c r="S109" s="1376"/>
      <c r="T109" s="1376"/>
      <c r="U109" s="1376"/>
      <c r="V109" s="1376"/>
      <c r="W109" s="1379"/>
    </row>
    <row r="110" spans="1:23">
      <c r="A110" s="1370" t="s">
        <v>1622</v>
      </c>
      <c r="B110" s="1370" t="s">
        <v>1623</v>
      </c>
      <c r="C110" s="1370"/>
      <c r="D110" s="1370"/>
      <c r="E110" s="1370"/>
      <c r="F110" s="1370"/>
      <c r="G110" s="1370"/>
      <c r="H110" s="1370"/>
      <c r="I110" s="1376">
        <v>3</v>
      </c>
      <c r="J110" s="1372"/>
      <c r="K110" s="1370"/>
      <c r="L110" s="1370"/>
      <c r="M110" s="1370"/>
      <c r="N110" s="1370"/>
      <c r="O110" s="1370"/>
      <c r="P110" s="1370"/>
      <c r="Q110" s="1374">
        <f t="shared" si="2"/>
        <v>0</v>
      </c>
      <c r="R110" s="1370"/>
      <c r="S110" s="1370"/>
      <c r="T110" s="1370"/>
      <c r="U110" s="1370"/>
      <c r="V110" s="1370"/>
      <c r="W110" s="1375"/>
    </row>
    <row r="111" spans="1:23">
      <c r="A111" s="1376" t="s">
        <v>1622</v>
      </c>
      <c r="B111" s="1376" t="s">
        <v>1623</v>
      </c>
      <c r="C111" s="1376"/>
      <c r="D111" s="1376"/>
      <c r="E111" s="1376"/>
      <c r="F111" s="1376"/>
      <c r="G111" s="1376"/>
      <c r="H111" s="1376"/>
      <c r="I111" s="1376">
        <v>3</v>
      </c>
      <c r="J111" s="1377"/>
      <c r="K111" s="1376"/>
      <c r="L111" s="1376"/>
      <c r="M111" s="1376"/>
      <c r="N111" s="1376"/>
      <c r="O111" s="1376"/>
      <c r="P111" s="1376"/>
      <c r="Q111" s="1378">
        <f t="shared" si="2"/>
        <v>0</v>
      </c>
      <c r="R111" s="1376"/>
      <c r="S111" s="1376"/>
      <c r="T111" s="1376"/>
      <c r="U111" s="1376"/>
      <c r="V111" s="1376"/>
      <c r="W111" s="1379"/>
    </row>
    <row r="112" spans="1:23">
      <c r="A112" s="1370" t="s">
        <v>1622</v>
      </c>
      <c r="B112" s="1370" t="s">
        <v>1623</v>
      </c>
      <c r="C112" s="1370"/>
      <c r="D112" s="1370"/>
      <c r="E112" s="1370"/>
      <c r="F112" s="1370"/>
      <c r="G112" s="1370"/>
      <c r="H112" s="1370"/>
      <c r="I112" s="1376">
        <v>3</v>
      </c>
      <c r="J112" s="1372"/>
      <c r="K112" s="1370"/>
      <c r="L112" s="1370"/>
      <c r="M112" s="1370"/>
      <c r="N112" s="1370"/>
      <c r="O112" s="1370"/>
      <c r="P112" s="1370"/>
      <c r="Q112" s="1374">
        <f t="shared" si="2"/>
        <v>0</v>
      </c>
      <c r="R112" s="1370"/>
      <c r="S112" s="1370"/>
      <c r="T112" s="1370"/>
      <c r="U112" s="1370"/>
      <c r="V112" s="1370"/>
      <c r="W112" s="1375"/>
    </row>
    <row r="113" spans="1:23">
      <c r="A113" s="1376" t="s">
        <v>1622</v>
      </c>
      <c r="B113" s="1376" t="s">
        <v>1623</v>
      </c>
      <c r="C113" s="1376"/>
      <c r="D113" s="1376"/>
      <c r="E113" s="1376"/>
      <c r="F113" s="1376"/>
      <c r="G113" s="1376"/>
      <c r="H113" s="1376"/>
      <c r="I113" s="1376">
        <v>3</v>
      </c>
      <c r="J113" s="1377"/>
      <c r="K113" s="1376"/>
      <c r="L113" s="1376"/>
      <c r="M113" s="1376"/>
      <c r="N113" s="1376"/>
      <c r="O113" s="1376"/>
      <c r="P113" s="1376"/>
      <c r="Q113" s="1378">
        <f t="shared" si="2"/>
        <v>0</v>
      </c>
      <c r="R113" s="1376"/>
      <c r="S113" s="1376"/>
      <c r="T113" s="1376"/>
      <c r="U113" s="1376"/>
      <c r="V113" s="1376"/>
      <c r="W113" s="1379"/>
    </row>
    <row r="114" spans="1:23">
      <c r="A114" s="1370" t="s">
        <v>1622</v>
      </c>
      <c r="B114" s="1370" t="s">
        <v>1623</v>
      </c>
      <c r="C114" s="1370"/>
      <c r="D114" s="1370"/>
      <c r="E114" s="1370"/>
      <c r="F114" s="1370"/>
      <c r="G114" s="1370"/>
      <c r="H114" s="1370"/>
      <c r="I114" s="1376">
        <v>3</v>
      </c>
      <c r="J114" s="1372"/>
      <c r="K114" s="1370"/>
      <c r="L114" s="1370"/>
      <c r="M114" s="1370"/>
      <c r="N114" s="1370"/>
      <c r="O114" s="1370"/>
      <c r="P114" s="1370"/>
      <c r="Q114" s="1374">
        <f t="shared" si="2"/>
        <v>0</v>
      </c>
      <c r="R114" s="1370"/>
      <c r="S114" s="1370"/>
      <c r="T114" s="1370"/>
      <c r="U114" s="1370"/>
      <c r="V114" s="1370"/>
      <c r="W114" s="1375"/>
    </row>
    <row r="115" spans="1:23">
      <c r="A115" s="1376" t="s">
        <v>1622</v>
      </c>
      <c r="B115" s="1376" t="s">
        <v>1623</v>
      </c>
      <c r="C115" s="1376"/>
      <c r="D115" s="1376"/>
      <c r="E115" s="1376"/>
      <c r="F115" s="1376"/>
      <c r="G115" s="1376"/>
      <c r="H115" s="1376"/>
      <c r="I115" s="1376">
        <v>3</v>
      </c>
      <c r="J115" s="1377"/>
      <c r="K115" s="1376"/>
      <c r="L115" s="1376"/>
      <c r="M115" s="1376"/>
      <c r="N115" s="1376"/>
      <c r="O115" s="1376"/>
      <c r="P115" s="1376"/>
      <c r="Q115" s="1378">
        <f t="shared" si="2"/>
        <v>0</v>
      </c>
      <c r="R115" s="1376"/>
      <c r="S115" s="1376"/>
      <c r="T115" s="1376"/>
      <c r="U115" s="1376"/>
      <c r="V115" s="1376"/>
      <c r="W115" s="1379"/>
    </row>
    <row r="116" spans="1:23">
      <c r="A116" s="1370" t="s">
        <v>1622</v>
      </c>
      <c r="B116" s="1370" t="s">
        <v>1623</v>
      </c>
      <c r="C116" s="1370"/>
      <c r="D116" s="1370"/>
      <c r="E116" s="1370"/>
      <c r="F116" s="1370"/>
      <c r="G116" s="1370"/>
      <c r="H116" s="1370"/>
      <c r="I116" s="1376">
        <v>3</v>
      </c>
      <c r="J116" s="1372"/>
      <c r="K116" s="1370"/>
      <c r="L116" s="1370"/>
      <c r="M116" s="1370"/>
      <c r="N116" s="1370"/>
      <c r="O116" s="1370"/>
      <c r="P116" s="1370"/>
      <c r="Q116" s="1374">
        <f t="shared" si="2"/>
        <v>0</v>
      </c>
      <c r="R116" s="1370"/>
      <c r="S116" s="1370"/>
      <c r="T116" s="1370"/>
      <c r="U116" s="1370"/>
      <c r="V116" s="1370"/>
      <c r="W116" s="1375"/>
    </row>
    <row r="117" spans="1:23">
      <c r="A117" s="1376" t="s">
        <v>1622</v>
      </c>
      <c r="B117" s="1376" t="s">
        <v>1623</v>
      </c>
      <c r="C117" s="1376"/>
      <c r="D117" s="1376"/>
      <c r="E117" s="1376"/>
      <c r="F117" s="1376"/>
      <c r="G117" s="1376"/>
      <c r="H117" s="1376"/>
      <c r="I117" s="1376">
        <v>3</v>
      </c>
      <c r="J117" s="1377"/>
      <c r="K117" s="1376"/>
      <c r="L117" s="1376"/>
      <c r="M117" s="1376"/>
      <c r="N117" s="1376"/>
      <c r="O117" s="1376"/>
      <c r="P117" s="1376"/>
      <c r="Q117" s="1378">
        <f t="shared" si="2"/>
        <v>0</v>
      </c>
      <c r="R117" s="1376"/>
      <c r="S117" s="1376"/>
      <c r="T117" s="1376"/>
      <c r="U117" s="1376"/>
      <c r="V117" s="1376"/>
      <c r="W117" s="1379"/>
    </row>
    <row r="118" spans="1:23">
      <c r="A118" s="1370" t="s">
        <v>1622</v>
      </c>
      <c r="B118" s="1370" t="s">
        <v>1623</v>
      </c>
      <c r="C118" s="1370"/>
      <c r="D118" s="1370"/>
      <c r="E118" s="1370"/>
      <c r="F118" s="1370"/>
      <c r="G118" s="1370"/>
      <c r="H118" s="1370"/>
      <c r="I118" s="1376">
        <v>3</v>
      </c>
      <c r="J118" s="1372"/>
      <c r="K118" s="1370"/>
      <c r="L118" s="1370"/>
      <c r="M118" s="1370"/>
      <c r="N118" s="1370"/>
      <c r="O118" s="1370"/>
      <c r="P118" s="1370"/>
      <c r="Q118" s="1374">
        <f t="shared" si="2"/>
        <v>0</v>
      </c>
      <c r="R118" s="1370"/>
      <c r="S118" s="1370"/>
      <c r="T118" s="1370"/>
      <c r="U118" s="1370"/>
      <c r="V118" s="1370"/>
      <c r="W118" s="1375"/>
    </row>
    <row r="119" spans="1:23">
      <c r="A119" s="1376" t="s">
        <v>1622</v>
      </c>
      <c r="B119" s="1376" t="s">
        <v>1623</v>
      </c>
      <c r="C119" s="1376"/>
      <c r="D119" s="1376"/>
      <c r="E119" s="1376"/>
      <c r="F119" s="1376"/>
      <c r="G119" s="1376"/>
      <c r="H119" s="1376"/>
      <c r="I119" s="1376">
        <v>3</v>
      </c>
      <c r="J119" s="1377"/>
      <c r="K119" s="1376"/>
      <c r="L119" s="1376"/>
      <c r="M119" s="1376"/>
      <c r="N119" s="1376"/>
      <c r="O119" s="1376"/>
      <c r="P119" s="1376"/>
      <c r="Q119" s="1378">
        <f t="shared" si="2"/>
        <v>0</v>
      </c>
      <c r="R119" s="1376"/>
      <c r="S119" s="1376"/>
      <c r="T119" s="1376"/>
      <c r="U119" s="1376"/>
      <c r="V119" s="1376"/>
      <c r="W119" s="1379"/>
    </row>
    <row r="120" spans="1:23">
      <c r="A120" s="1370" t="s">
        <v>1622</v>
      </c>
      <c r="B120" s="1370" t="s">
        <v>1623</v>
      </c>
      <c r="C120" s="1370"/>
      <c r="D120" s="1370"/>
      <c r="E120" s="1370"/>
      <c r="F120" s="1370"/>
      <c r="G120" s="1370"/>
      <c r="H120" s="1370"/>
      <c r="I120" s="1376">
        <v>3</v>
      </c>
      <c r="J120" s="1372"/>
      <c r="K120" s="1370"/>
      <c r="L120" s="1370"/>
      <c r="M120" s="1370"/>
      <c r="N120" s="1370"/>
      <c r="O120" s="1370"/>
      <c r="P120" s="1370"/>
      <c r="Q120" s="1374">
        <f t="shared" si="2"/>
        <v>0</v>
      </c>
      <c r="R120" s="1370"/>
      <c r="S120" s="1370"/>
      <c r="T120" s="1370"/>
      <c r="U120" s="1370"/>
      <c r="V120" s="1370"/>
      <c r="W120" s="1375"/>
    </row>
    <row r="121" spans="1:23">
      <c r="A121" s="1376" t="s">
        <v>1622</v>
      </c>
      <c r="B121" s="1376" t="s">
        <v>1623</v>
      </c>
      <c r="C121" s="1376"/>
      <c r="D121" s="1376"/>
      <c r="E121" s="1376"/>
      <c r="F121" s="1376"/>
      <c r="G121" s="1376"/>
      <c r="H121" s="1376"/>
      <c r="I121" s="1376">
        <v>3</v>
      </c>
      <c r="J121" s="1377"/>
      <c r="K121" s="1376"/>
      <c r="L121" s="1376"/>
      <c r="M121" s="1376"/>
      <c r="N121" s="1376"/>
      <c r="O121" s="1376"/>
      <c r="P121" s="1376"/>
      <c r="Q121" s="1378">
        <f t="shared" si="2"/>
        <v>0</v>
      </c>
      <c r="R121" s="1376"/>
      <c r="S121" s="1376"/>
      <c r="T121" s="1376"/>
      <c r="U121" s="1376"/>
      <c r="V121" s="1376"/>
      <c r="W121" s="1379"/>
    </row>
    <row r="122" spans="1:23">
      <c r="A122" s="1370" t="s">
        <v>1622</v>
      </c>
      <c r="B122" s="1370" t="s">
        <v>1623</v>
      </c>
      <c r="C122" s="1370"/>
      <c r="D122" s="1370"/>
      <c r="E122" s="1370"/>
      <c r="F122" s="1370"/>
      <c r="G122" s="1370"/>
      <c r="H122" s="1370"/>
      <c r="I122" s="1376">
        <v>3</v>
      </c>
      <c r="J122" s="1372"/>
      <c r="K122" s="1370"/>
      <c r="L122" s="1370"/>
      <c r="M122" s="1370"/>
      <c r="N122" s="1370"/>
      <c r="O122" s="1370"/>
      <c r="P122" s="1370"/>
      <c r="Q122" s="1374">
        <f t="shared" si="2"/>
        <v>0</v>
      </c>
      <c r="R122" s="1370"/>
      <c r="S122" s="1370"/>
      <c r="T122" s="1370"/>
      <c r="U122" s="1370"/>
      <c r="V122" s="1370"/>
      <c r="W122" s="1375"/>
    </row>
    <row r="123" spans="1:23">
      <c r="A123" s="1376" t="s">
        <v>1622</v>
      </c>
      <c r="B123" s="1376" t="s">
        <v>1623</v>
      </c>
      <c r="C123" s="1376"/>
      <c r="D123" s="1376"/>
      <c r="E123" s="1376"/>
      <c r="F123" s="1376"/>
      <c r="G123" s="1376"/>
      <c r="H123" s="1376"/>
      <c r="I123" s="1376">
        <v>3</v>
      </c>
      <c r="J123" s="1377"/>
      <c r="K123" s="1376"/>
      <c r="L123" s="1376"/>
      <c r="M123" s="1376"/>
      <c r="N123" s="1376"/>
      <c r="O123" s="1376"/>
      <c r="P123" s="1376"/>
      <c r="Q123" s="1378">
        <f t="shared" si="2"/>
        <v>0</v>
      </c>
      <c r="R123" s="1376"/>
      <c r="S123" s="1376"/>
      <c r="T123" s="1376"/>
      <c r="U123" s="1376"/>
      <c r="V123" s="1376"/>
      <c r="W123" s="1379"/>
    </row>
    <row r="124" spans="1:23">
      <c r="A124" s="1370" t="s">
        <v>1622</v>
      </c>
      <c r="B124" s="1370" t="s">
        <v>1623</v>
      </c>
      <c r="C124" s="1370"/>
      <c r="D124" s="1370"/>
      <c r="E124" s="1370"/>
      <c r="F124" s="1370"/>
      <c r="G124" s="1370"/>
      <c r="H124" s="1370"/>
      <c r="I124" s="1376">
        <v>3</v>
      </c>
      <c r="J124" s="1372"/>
      <c r="K124" s="1370"/>
      <c r="L124" s="1370"/>
      <c r="M124" s="1370"/>
      <c r="N124" s="1370"/>
      <c r="O124" s="1370"/>
      <c r="P124" s="1370"/>
      <c r="Q124" s="1374">
        <f t="shared" si="2"/>
        <v>0</v>
      </c>
      <c r="R124" s="1370"/>
      <c r="S124" s="1370"/>
      <c r="T124" s="1370"/>
      <c r="U124" s="1370"/>
      <c r="V124" s="1370"/>
      <c r="W124" s="1375"/>
    </row>
    <row r="125" spans="1:23">
      <c r="A125" s="1376" t="s">
        <v>1622</v>
      </c>
      <c r="B125" s="1376" t="s">
        <v>1623</v>
      </c>
      <c r="C125" s="1376"/>
      <c r="D125" s="1376"/>
      <c r="E125" s="1376"/>
      <c r="F125" s="1376"/>
      <c r="G125" s="1376"/>
      <c r="H125" s="1376"/>
      <c r="I125" s="1376">
        <v>3</v>
      </c>
      <c r="J125" s="1377"/>
      <c r="K125" s="1376"/>
      <c r="L125" s="1376"/>
      <c r="M125" s="1376"/>
      <c r="N125" s="1376"/>
      <c r="O125" s="1376"/>
      <c r="P125" s="1376"/>
      <c r="Q125" s="1378">
        <f t="shared" si="2"/>
        <v>0</v>
      </c>
      <c r="R125" s="1376"/>
      <c r="S125" s="1376"/>
      <c r="T125" s="1376"/>
      <c r="U125" s="1376"/>
      <c r="V125" s="1376"/>
      <c r="W125" s="1379"/>
    </row>
    <row r="126" spans="1:23">
      <c r="A126" s="1370" t="s">
        <v>1622</v>
      </c>
      <c r="B126" s="1370" t="s">
        <v>1623</v>
      </c>
      <c r="C126" s="1370"/>
      <c r="D126" s="1370"/>
      <c r="E126" s="1370"/>
      <c r="F126" s="1370"/>
      <c r="G126" s="1370"/>
      <c r="H126" s="1370"/>
      <c r="I126" s="1370"/>
      <c r="J126" s="1372"/>
      <c r="K126" s="1370"/>
      <c r="L126" s="1370"/>
      <c r="M126" s="1370"/>
      <c r="N126" s="1370"/>
      <c r="O126" s="1370"/>
      <c r="P126" s="1370"/>
      <c r="Q126" s="1374">
        <f t="shared" si="2"/>
        <v>0</v>
      </c>
      <c r="R126" s="1370"/>
      <c r="S126" s="1370"/>
      <c r="T126" s="1370"/>
      <c r="U126" s="1370"/>
      <c r="V126" s="1370"/>
      <c r="W126" s="1375"/>
    </row>
    <row r="127" spans="1:23">
      <c r="A127" s="1376" t="s">
        <v>1622</v>
      </c>
      <c r="B127" s="1376" t="s">
        <v>1623</v>
      </c>
      <c r="C127" s="1376"/>
      <c r="D127" s="1376"/>
      <c r="E127" s="1376"/>
      <c r="F127" s="1376"/>
      <c r="G127" s="1376"/>
      <c r="H127" s="1376"/>
      <c r="I127" s="1376"/>
      <c r="J127" s="1377"/>
      <c r="K127" s="1376"/>
      <c r="L127" s="1376"/>
      <c r="M127" s="1376"/>
      <c r="N127" s="1376"/>
      <c r="O127" s="1376"/>
      <c r="P127" s="1376"/>
      <c r="Q127" s="1378">
        <f t="shared" si="2"/>
        <v>0</v>
      </c>
      <c r="R127" s="1376"/>
      <c r="S127" s="1376"/>
      <c r="T127" s="1376"/>
      <c r="U127" s="1376"/>
      <c r="V127" s="1376"/>
      <c r="W127" s="1379"/>
    </row>
    <row r="128" spans="1:23">
      <c r="A128" s="1370" t="s">
        <v>1622</v>
      </c>
      <c r="B128" s="1370" t="s">
        <v>1623</v>
      </c>
      <c r="C128" s="1370"/>
      <c r="D128" s="1370"/>
      <c r="E128" s="1370"/>
      <c r="F128" s="1370"/>
      <c r="G128" s="1370"/>
      <c r="H128" s="1370"/>
      <c r="I128" s="1370"/>
      <c r="J128" s="1372"/>
      <c r="K128" s="1370"/>
      <c r="L128" s="1370"/>
      <c r="M128" s="1370"/>
      <c r="N128" s="1370"/>
      <c r="O128" s="1370"/>
      <c r="P128" s="1370"/>
      <c r="Q128" s="1374">
        <f t="shared" si="2"/>
        <v>0</v>
      </c>
      <c r="R128" s="1370"/>
      <c r="S128" s="1370"/>
      <c r="T128" s="1370"/>
      <c r="U128" s="1370"/>
      <c r="V128" s="1370"/>
      <c r="W128" s="1375"/>
    </row>
    <row r="129" spans="1:23">
      <c r="A129" s="1376" t="s">
        <v>1622</v>
      </c>
      <c r="B129" s="1376" t="s">
        <v>1623</v>
      </c>
      <c r="C129" s="1376"/>
      <c r="D129" s="1376"/>
      <c r="E129" s="1376"/>
      <c r="F129" s="1376"/>
      <c r="G129" s="1376"/>
      <c r="H129" s="1376"/>
      <c r="I129" s="1376"/>
      <c r="J129" s="1377"/>
      <c r="K129" s="1376"/>
      <c r="L129" s="1376"/>
      <c r="M129" s="1376"/>
      <c r="N129" s="1376"/>
      <c r="O129" s="1376"/>
      <c r="P129" s="1376"/>
      <c r="Q129" s="1378">
        <f t="shared" si="2"/>
        <v>0</v>
      </c>
      <c r="R129" s="1376"/>
      <c r="S129" s="1376"/>
      <c r="T129" s="1376"/>
      <c r="U129" s="1376"/>
      <c r="V129" s="1376"/>
      <c r="W129" s="1379"/>
    </row>
    <row r="130" spans="1:23">
      <c r="A130" s="1370" t="s">
        <v>1622</v>
      </c>
      <c r="B130" s="1370" t="s">
        <v>1623</v>
      </c>
      <c r="C130" s="1370"/>
      <c r="D130" s="1370"/>
      <c r="E130" s="1370"/>
      <c r="F130" s="1370"/>
      <c r="G130" s="1370"/>
      <c r="H130" s="1370"/>
      <c r="I130" s="1370"/>
      <c r="J130" s="1372"/>
      <c r="K130" s="1370"/>
      <c r="L130" s="1370"/>
      <c r="M130" s="1370"/>
      <c r="N130" s="1370"/>
      <c r="O130" s="1370"/>
      <c r="P130" s="1370"/>
      <c r="Q130" s="1374">
        <f t="shared" si="2"/>
        <v>0</v>
      </c>
      <c r="R130" s="1370"/>
      <c r="S130" s="1370"/>
      <c r="T130" s="1370"/>
      <c r="U130" s="1370"/>
      <c r="V130" s="1370"/>
      <c r="W130" s="1375"/>
    </row>
    <row r="131" spans="1:23">
      <c r="A131" s="1376" t="s">
        <v>1622</v>
      </c>
      <c r="B131" s="1376" t="s">
        <v>1623</v>
      </c>
      <c r="C131" s="1376"/>
      <c r="D131" s="1376"/>
      <c r="E131" s="1376"/>
      <c r="F131" s="1376"/>
      <c r="G131" s="1376"/>
      <c r="H131" s="1376"/>
      <c r="I131" s="1376"/>
      <c r="J131" s="1377"/>
      <c r="K131" s="1376"/>
      <c r="L131" s="1376"/>
      <c r="M131" s="1376"/>
      <c r="N131" s="1376"/>
      <c r="O131" s="1376"/>
      <c r="P131" s="1376"/>
      <c r="Q131" s="1378">
        <f t="shared" si="2"/>
        <v>0</v>
      </c>
      <c r="R131" s="1376"/>
      <c r="S131" s="1376"/>
      <c r="T131" s="1376"/>
      <c r="U131" s="1376"/>
      <c r="V131" s="1376"/>
      <c r="W131" s="1379"/>
    </row>
    <row r="132" spans="1:23">
      <c r="A132" s="1370" t="s">
        <v>1622</v>
      </c>
      <c r="B132" s="1370" t="s">
        <v>1623</v>
      </c>
      <c r="C132" s="1370"/>
      <c r="D132" s="1370"/>
      <c r="E132" s="1370"/>
      <c r="F132" s="1370"/>
      <c r="G132" s="1370"/>
      <c r="H132" s="1370"/>
      <c r="I132" s="1370"/>
      <c r="J132" s="1372"/>
      <c r="K132" s="1370"/>
      <c r="L132" s="1370"/>
      <c r="M132" s="1370"/>
      <c r="N132" s="1370"/>
      <c r="O132" s="1370"/>
      <c r="P132" s="1370"/>
      <c r="Q132" s="1374">
        <f t="shared" si="2"/>
        <v>0</v>
      </c>
      <c r="R132" s="1370"/>
      <c r="S132" s="1370"/>
      <c r="T132" s="1370"/>
      <c r="U132" s="1370"/>
      <c r="V132" s="1370"/>
      <c r="W132" s="1375"/>
    </row>
    <row r="133" spans="1:23">
      <c r="A133" s="1376" t="s">
        <v>1622</v>
      </c>
      <c r="B133" s="1376" t="s">
        <v>1623</v>
      </c>
      <c r="C133" s="1376"/>
      <c r="D133" s="1376"/>
      <c r="E133" s="1376"/>
      <c r="F133" s="1376"/>
      <c r="G133" s="1376"/>
      <c r="H133" s="1376"/>
      <c r="I133" s="1376"/>
      <c r="J133" s="1377"/>
      <c r="K133" s="1376"/>
      <c r="L133" s="1376"/>
      <c r="M133" s="1376"/>
      <c r="N133" s="1376"/>
      <c r="O133" s="1376"/>
      <c r="P133" s="1376"/>
      <c r="Q133" s="1378">
        <f t="shared" si="2"/>
        <v>0</v>
      </c>
      <c r="R133" s="1376"/>
      <c r="S133" s="1376"/>
      <c r="T133" s="1376"/>
      <c r="U133" s="1376"/>
      <c r="V133" s="1376"/>
      <c r="W133" s="1379"/>
    </row>
    <row r="134" spans="1:23">
      <c r="A134" s="1370" t="s">
        <v>1622</v>
      </c>
      <c r="B134" s="1370" t="s">
        <v>1623</v>
      </c>
      <c r="C134" s="1370"/>
      <c r="D134" s="1370"/>
      <c r="E134" s="1370"/>
      <c r="F134" s="1370"/>
      <c r="G134" s="1370"/>
      <c r="H134" s="1370"/>
      <c r="I134" s="1370"/>
      <c r="J134" s="1372"/>
      <c r="K134" s="1370"/>
      <c r="L134" s="1370"/>
      <c r="M134" s="1370"/>
      <c r="N134" s="1370"/>
      <c r="O134" s="1370"/>
      <c r="P134" s="1370"/>
      <c r="Q134" s="1374">
        <f t="shared" si="2"/>
        <v>0</v>
      </c>
      <c r="R134" s="1370"/>
      <c r="S134" s="1370"/>
      <c r="T134" s="1370"/>
      <c r="U134" s="1370"/>
      <c r="V134" s="1370"/>
      <c r="W134" s="1375"/>
    </row>
    <row r="135" spans="1:23">
      <c r="A135" s="1376" t="s">
        <v>1622</v>
      </c>
      <c r="B135" s="1376" t="s">
        <v>1623</v>
      </c>
      <c r="C135" s="1376"/>
      <c r="D135" s="1376"/>
      <c r="E135" s="1376"/>
      <c r="F135" s="1376"/>
      <c r="G135" s="1376"/>
      <c r="H135" s="1376"/>
      <c r="I135" s="1376"/>
      <c r="J135" s="1377"/>
      <c r="K135" s="1376"/>
      <c r="L135" s="1376"/>
      <c r="M135" s="1376"/>
      <c r="N135" s="1376"/>
      <c r="O135" s="1376"/>
      <c r="P135" s="1376"/>
      <c r="Q135" s="1378">
        <f t="shared" si="2"/>
        <v>0</v>
      </c>
      <c r="R135" s="1376"/>
      <c r="S135" s="1376"/>
      <c r="T135" s="1376"/>
      <c r="U135" s="1376"/>
      <c r="V135" s="1376"/>
      <c r="W135" s="1379"/>
    </row>
    <row r="136" spans="1:23">
      <c r="A136" s="1370" t="s">
        <v>1622</v>
      </c>
      <c r="B136" s="1370" t="s">
        <v>1623</v>
      </c>
      <c r="C136" s="1370"/>
      <c r="D136" s="1370"/>
      <c r="E136" s="1370"/>
      <c r="F136" s="1370"/>
      <c r="G136" s="1370"/>
      <c r="H136" s="1370"/>
      <c r="I136" s="1370"/>
      <c r="J136" s="1372"/>
      <c r="K136" s="1370"/>
      <c r="L136" s="1370"/>
      <c r="M136" s="1370"/>
      <c r="N136" s="1370"/>
      <c r="O136" s="1370"/>
      <c r="P136" s="1370"/>
      <c r="Q136" s="1374">
        <f t="shared" si="2"/>
        <v>0</v>
      </c>
      <c r="R136" s="1370"/>
      <c r="S136" s="1370"/>
      <c r="T136" s="1370"/>
      <c r="U136" s="1370"/>
      <c r="V136" s="1370"/>
      <c r="W136" s="1375"/>
    </row>
    <row r="137" spans="1:23">
      <c r="A137" s="1376" t="s">
        <v>1622</v>
      </c>
      <c r="B137" s="1376" t="s">
        <v>1623</v>
      </c>
      <c r="C137" s="1376"/>
      <c r="D137" s="1376"/>
      <c r="E137" s="1376"/>
      <c r="F137" s="1376"/>
      <c r="G137" s="1376"/>
      <c r="H137" s="1376"/>
      <c r="I137" s="1376"/>
      <c r="J137" s="1377"/>
      <c r="K137" s="1376"/>
      <c r="L137" s="1376"/>
      <c r="M137" s="1376"/>
      <c r="N137" s="1376"/>
      <c r="O137" s="1376"/>
      <c r="P137" s="1376"/>
      <c r="Q137" s="1378">
        <f t="shared" si="2"/>
        <v>0</v>
      </c>
      <c r="R137" s="1376"/>
      <c r="S137" s="1376"/>
      <c r="T137" s="1376"/>
      <c r="U137" s="1376"/>
      <c r="V137" s="1376"/>
      <c r="W137" s="1379"/>
    </row>
    <row r="138" spans="1:23">
      <c r="A138" s="1370" t="s">
        <v>1622</v>
      </c>
      <c r="B138" s="1370" t="s">
        <v>1623</v>
      </c>
      <c r="C138" s="1370"/>
      <c r="D138" s="1370"/>
      <c r="E138" s="1370"/>
      <c r="F138" s="1370"/>
      <c r="G138" s="1370"/>
      <c r="H138" s="1370"/>
      <c r="I138" s="1370"/>
      <c r="J138" s="1372"/>
      <c r="K138" s="1370"/>
      <c r="L138" s="1370"/>
      <c r="M138" s="1370"/>
      <c r="N138" s="1370"/>
      <c r="O138" s="1370"/>
      <c r="P138" s="1370"/>
      <c r="Q138" s="1374">
        <f t="shared" si="2"/>
        <v>0</v>
      </c>
      <c r="R138" s="1370"/>
      <c r="S138" s="1370"/>
      <c r="T138" s="1370"/>
      <c r="U138" s="1370"/>
      <c r="V138" s="1370"/>
      <c r="W138" s="1375"/>
    </row>
    <row r="139" spans="1:23">
      <c r="A139" s="1376" t="s">
        <v>1622</v>
      </c>
      <c r="B139" s="1376" t="s">
        <v>1623</v>
      </c>
      <c r="C139" s="1376"/>
      <c r="D139" s="1376"/>
      <c r="E139" s="1376"/>
      <c r="F139" s="1376"/>
      <c r="G139" s="1376"/>
      <c r="H139" s="1376"/>
      <c r="I139" s="1376"/>
      <c r="J139" s="1377"/>
      <c r="K139" s="1376"/>
      <c r="L139" s="1376"/>
      <c r="M139" s="1376"/>
      <c r="N139" s="1376"/>
      <c r="O139" s="1376"/>
      <c r="P139" s="1376"/>
      <c r="Q139" s="1378">
        <f t="shared" si="2"/>
        <v>0</v>
      </c>
      <c r="R139" s="1376"/>
      <c r="S139" s="1376"/>
      <c r="T139" s="1376"/>
      <c r="U139" s="1376"/>
      <c r="V139" s="1376"/>
      <c r="W139" s="1379"/>
    </row>
    <row r="140" spans="1:23">
      <c r="A140" s="1370" t="s">
        <v>1622</v>
      </c>
      <c r="B140" s="1370" t="s">
        <v>1623</v>
      </c>
      <c r="C140" s="1370"/>
      <c r="D140" s="1370"/>
      <c r="E140" s="1370"/>
      <c r="F140" s="1370"/>
      <c r="G140" s="1370"/>
      <c r="H140" s="1370"/>
      <c r="I140" s="1370"/>
      <c r="J140" s="1372"/>
      <c r="K140" s="1370"/>
      <c r="L140" s="1370"/>
      <c r="M140" s="1370"/>
      <c r="N140" s="1370"/>
      <c r="O140" s="1370"/>
      <c r="P140" s="1370"/>
      <c r="Q140" s="1374">
        <f t="shared" si="2"/>
        <v>0</v>
      </c>
      <c r="R140" s="1370"/>
      <c r="S140" s="1370"/>
      <c r="T140" s="1370"/>
      <c r="U140" s="1370"/>
      <c r="V140" s="1370"/>
      <c r="W140" s="1375"/>
    </row>
    <row r="141" spans="1:23">
      <c r="A141" s="1376" t="s">
        <v>1622</v>
      </c>
      <c r="B141" s="1376" t="s">
        <v>1623</v>
      </c>
      <c r="C141" s="1376"/>
      <c r="D141" s="1376"/>
      <c r="E141" s="1376"/>
      <c r="F141" s="1376"/>
      <c r="G141" s="1376"/>
      <c r="H141" s="1376"/>
      <c r="I141" s="1376"/>
      <c r="J141" s="1377"/>
      <c r="K141" s="1376"/>
      <c r="L141" s="1376"/>
      <c r="M141" s="1376"/>
      <c r="N141" s="1376"/>
      <c r="O141" s="1376"/>
      <c r="P141" s="1376"/>
      <c r="Q141" s="1378">
        <f t="shared" si="2"/>
        <v>0</v>
      </c>
      <c r="R141" s="1376"/>
      <c r="S141" s="1376"/>
      <c r="T141" s="1376"/>
      <c r="U141" s="1376"/>
      <c r="V141" s="1376"/>
      <c r="W141" s="1379"/>
    </row>
    <row r="142" spans="1:23">
      <c r="A142" s="1370" t="s">
        <v>1622</v>
      </c>
      <c r="B142" s="1370" t="s">
        <v>1623</v>
      </c>
      <c r="C142" s="1370"/>
      <c r="D142" s="1370"/>
      <c r="E142" s="1370"/>
      <c r="F142" s="1370"/>
      <c r="G142" s="1370"/>
      <c r="H142" s="1370"/>
      <c r="I142" s="1370"/>
      <c r="J142" s="1372"/>
      <c r="K142" s="1370"/>
      <c r="L142" s="1370"/>
      <c r="M142" s="1370"/>
      <c r="N142" s="1370"/>
      <c r="O142" s="1370"/>
      <c r="P142" s="1370"/>
      <c r="Q142" s="1374">
        <f t="shared" si="2"/>
        <v>0</v>
      </c>
      <c r="R142" s="1370"/>
      <c r="S142" s="1370"/>
      <c r="T142" s="1370"/>
      <c r="U142" s="1370"/>
      <c r="V142" s="1370"/>
      <c r="W142" s="1375"/>
    </row>
    <row r="143" spans="1:23">
      <c r="A143" s="1376" t="s">
        <v>1622</v>
      </c>
      <c r="B143" s="1376" t="s">
        <v>1623</v>
      </c>
      <c r="C143" s="1376"/>
      <c r="D143" s="1376"/>
      <c r="E143" s="1376"/>
      <c r="F143" s="1376"/>
      <c r="G143" s="1376"/>
      <c r="H143" s="1376"/>
      <c r="I143" s="1376"/>
      <c r="J143" s="1377"/>
      <c r="K143" s="1376"/>
      <c r="L143" s="1376"/>
      <c r="M143" s="1376"/>
      <c r="N143" s="1376"/>
      <c r="O143" s="1376"/>
      <c r="P143" s="1376"/>
      <c r="Q143" s="1378">
        <f t="shared" si="2"/>
        <v>0</v>
      </c>
      <c r="R143" s="1376"/>
      <c r="S143" s="1376"/>
      <c r="T143" s="1376"/>
      <c r="U143" s="1376"/>
      <c r="V143" s="1376"/>
      <c r="W143" s="1379"/>
    </row>
    <row r="144" spans="1:23">
      <c r="A144" s="1370" t="s">
        <v>1622</v>
      </c>
      <c r="B144" s="1370" t="s">
        <v>1623</v>
      </c>
      <c r="C144" s="1370"/>
      <c r="D144" s="1370"/>
      <c r="E144" s="1370"/>
      <c r="F144" s="1370"/>
      <c r="G144" s="1370"/>
      <c r="H144" s="1370"/>
      <c r="I144" s="1370"/>
      <c r="J144" s="1372"/>
      <c r="K144" s="1370"/>
      <c r="L144" s="1370"/>
      <c r="M144" s="1370"/>
      <c r="N144" s="1370"/>
      <c r="O144" s="1370"/>
      <c r="P144" s="1370"/>
      <c r="Q144" s="1374">
        <f t="shared" si="2"/>
        <v>0</v>
      </c>
      <c r="R144" s="1370"/>
      <c r="S144" s="1370"/>
      <c r="T144" s="1370"/>
      <c r="U144" s="1370"/>
      <c r="V144" s="1370"/>
      <c r="W144" s="1375"/>
    </row>
    <row r="145" spans="1:23">
      <c r="A145" s="1376" t="s">
        <v>1622</v>
      </c>
      <c r="B145" s="1376" t="s">
        <v>1623</v>
      </c>
      <c r="C145" s="1376"/>
      <c r="D145" s="1376"/>
      <c r="E145" s="1376"/>
      <c r="F145" s="1376"/>
      <c r="G145" s="1376"/>
      <c r="H145" s="1376"/>
      <c r="I145" s="1376"/>
      <c r="J145" s="1377"/>
      <c r="K145" s="1376"/>
      <c r="L145" s="1376"/>
      <c r="M145" s="1376"/>
      <c r="N145" s="1376"/>
      <c r="O145" s="1376"/>
      <c r="P145" s="1376"/>
      <c r="Q145" s="1378">
        <f t="shared" si="2"/>
        <v>0</v>
      </c>
      <c r="R145" s="1376"/>
      <c r="S145" s="1376"/>
      <c r="T145" s="1376"/>
      <c r="U145" s="1376"/>
      <c r="V145" s="1376"/>
      <c r="W145" s="1379"/>
    </row>
    <row r="146" spans="1:23">
      <c r="A146" s="1370" t="s">
        <v>1622</v>
      </c>
      <c r="B146" s="1370" t="s">
        <v>1623</v>
      </c>
      <c r="C146" s="1370"/>
      <c r="D146" s="1370"/>
      <c r="E146" s="1370"/>
      <c r="F146" s="1370"/>
      <c r="G146" s="1370"/>
      <c r="H146" s="1370"/>
      <c r="I146" s="1370"/>
      <c r="J146" s="1372"/>
      <c r="K146" s="1370"/>
      <c r="L146" s="1370"/>
      <c r="M146" s="1370"/>
      <c r="N146" s="1370"/>
      <c r="O146" s="1370"/>
      <c r="P146" s="1370"/>
      <c r="Q146" s="1374">
        <f t="shared" si="2"/>
        <v>0</v>
      </c>
      <c r="R146" s="1370"/>
      <c r="S146" s="1370"/>
      <c r="T146" s="1370"/>
      <c r="U146" s="1370"/>
      <c r="V146" s="1370"/>
      <c r="W146" s="1375"/>
    </row>
    <row r="147" spans="1:23">
      <c r="A147" s="1376" t="s">
        <v>1622</v>
      </c>
      <c r="B147" s="1376" t="s">
        <v>1623</v>
      </c>
      <c r="C147" s="1376"/>
      <c r="D147" s="1376"/>
      <c r="E147" s="1376"/>
      <c r="F147" s="1376"/>
      <c r="G147" s="1376"/>
      <c r="H147" s="1376"/>
      <c r="I147" s="1376"/>
      <c r="J147" s="1377"/>
      <c r="K147" s="1376"/>
      <c r="L147" s="1376"/>
      <c r="M147" s="1376"/>
      <c r="N147" s="1376"/>
      <c r="O147" s="1376"/>
      <c r="P147" s="1376"/>
      <c r="Q147" s="1378">
        <f t="shared" si="2"/>
        <v>0</v>
      </c>
      <c r="R147" s="1376"/>
      <c r="S147" s="1376"/>
      <c r="T147" s="1376"/>
      <c r="U147" s="1376"/>
      <c r="V147" s="1376"/>
      <c r="W147" s="1379"/>
    </row>
    <row r="148" spans="1:23">
      <c r="A148" s="1370" t="s">
        <v>1622</v>
      </c>
      <c r="B148" s="1370" t="s">
        <v>1623</v>
      </c>
      <c r="C148" s="1370"/>
      <c r="D148" s="1370"/>
      <c r="E148" s="1370"/>
      <c r="F148" s="1370"/>
      <c r="G148" s="1370"/>
      <c r="H148" s="1370"/>
      <c r="I148" s="1370"/>
      <c r="J148" s="1372"/>
      <c r="K148" s="1370"/>
      <c r="L148" s="1370"/>
      <c r="M148" s="1370"/>
      <c r="N148" s="1370"/>
      <c r="O148" s="1370"/>
      <c r="P148" s="1370"/>
      <c r="Q148" s="1374">
        <f t="shared" si="2"/>
        <v>0</v>
      </c>
      <c r="R148" s="1370"/>
      <c r="S148" s="1370"/>
      <c r="T148" s="1370"/>
      <c r="U148" s="1370"/>
      <c r="V148" s="1370"/>
      <c r="W148" s="1375"/>
    </row>
    <row r="149" spans="1:23">
      <c r="A149" s="1376" t="s">
        <v>1622</v>
      </c>
      <c r="B149" s="1376" t="s">
        <v>1623</v>
      </c>
      <c r="C149" s="1376"/>
      <c r="D149" s="1376"/>
      <c r="E149" s="1376"/>
      <c r="F149" s="1376"/>
      <c r="G149" s="1376"/>
      <c r="H149" s="1376"/>
      <c r="I149" s="1376"/>
      <c r="J149" s="1377"/>
      <c r="K149" s="1376"/>
      <c r="L149" s="1376"/>
      <c r="M149" s="1376"/>
      <c r="N149" s="1376"/>
      <c r="O149" s="1376"/>
      <c r="P149" s="1376"/>
      <c r="Q149" s="1378">
        <f t="shared" si="2"/>
        <v>0</v>
      </c>
      <c r="R149" s="1376"/>
      <c r="S149" s="1376"/>
      <c r="T149" s="1376"/>
      <c r="U149" s="1376"/>
      <c r="V149" s="1376"/>
      <c r="W149" s="1379"/>
    </row>
    <row r="150" spans="1:23">
      <c r="A150" s="1370" t="s">
        <v>1622</v>
      </c>
      <c r="B150" s="1370" t="s">
        <v>1623</v>
      </c>
      <c r="C150" s="1370"/>
      <c r="D150" s="1370"/>
      <c r="E150" s="1370"/>
      <c r="F150" s="1370"/>
      <c r="G150" s="1370"/>
      <c r="H150" s="1370"/>
      <c r="I150" s="1370"/>
      <c r="J150" s="1372"/>
      <c r="K150" s="1370"/>
      <c r="L150" s="1370"/>
      <c r="M150" s="1370"/>
      <c r="N150" s="1370"/>
      <c r="O150" s="1370"/>
      <c r="P150" s="1370"/>
      <c r="Q150" s="1374">
        <f t="shared" si="2"/>
        <v>0</v>
      </c>
      <c r="R150" s="1370"/>
      <c r="S150" s="1370"/>
      <c r="T150" s="1370"/>
      <c r="U150" s="1370"/>
      <c r="V150" s="1370"/>
      <c r="W150" s="1375"/>
    </row>
    <row r="151" spans="1:23">
      <c r="A151" s="1376" t="s">
        <v>1622</v>
      </c>
      <c r="B151" s="1376" t="s">
        <v>1623</v>
      </c>
      <c r="C151" s="1376"/>
      <c r="D151" s="1376"/>
      <c r="E151" s="1376"/>
      <c r="F151" s="1376"/>
      <c r="G151" s="1376"/>
      <c r="H151" s="1376"/>
      <c r="I151" s="1376"/>
      <c r="J151" s="1377"/>
      <c r="K151" s="1376"/>
      <c r="L151" s="1376"/>
      <c r="M151" s="1376"/>
      <c r="N151" s="1376"/>
      <c r="O151" s="1376"/>
      <c r="P151" s="1376"/>
      <c r="Q151" s="1378">
        <f t="shared" si="2"/>
        <v>0</v>
      </c>
      <c r="R151" s="1376"/>
      <c r="S151" s="1376"/>
      <c r="T151" s="1376"/>
      <c r="U151" s="1376"/>
      <c r="V151" s="1376"/>
      <c r="W151" s="1379"/>
    </row>
    <row r="152" spans="1:23">
      <c r="A152" s="1370" t="s">
        <v>1622</v>
      </c>
      <c r="B152" s="1370" t="s">
        <v>1623</v>
      </c>
      <c r="C152" s="1370"/>
      <c r="D152" s="1370"/>
      <c r="E152" s="1370"/>
      <c r="F152" s="1370"/>
      <c r="G152" s="1370"/>
      <c r="H152" s="1370"/>
      <c r="I152" s="1370"/>
      <c r="J152" s="1372"/>
      <c r="K152" s="1370"/>
      <c r="L152" s="1370"/>
      <c r="M152" s="1370"/>
      <c r="N152" s="1370"/>
      <c r="O152" s="1370"/>
      <c r="P152" s="1370"/>
      <c r="Q152" s="1374">
        <f t="shared" si="2"/>
        <v>0</v>
      </c>
      <c r="R152" s="1370"/>
      <c r="S152" s="1370"/>
      <c r="T152" s="1370"/>
      <c r="U152" s="1370"/>
      <c r="V152" s="1370"/>
      <c r="W152" s="1375"/>
    </row>
    <row r="153" spans="1:23">
      <c r="A153" s="1376" t="s">
        <v>1622</v>
      </c>
      <c r="B153" s="1376" t="s">
        <v>1623</v>
      </c>
      <c r="C153" s="1376"/>
      <c r="D153" s="1376"/>
      <c r="E153" s="1376"/>
      <c r="F153" s="1376"/>
      <c r="G153" s="1376"/>
      <c r="H153" s="1376"/>
      <c r="I153" s="1376"/>
      <c r="J153" s="1377"/>
      <c r="K153" s="1376"/>
      <c r="L153" s="1376"/>
      <c r="M153" s="1376"/>
      <c r="N153" s="1376"/>
      <c r="O153" s="1376"/>
      <c r="P153" s="1376"/>
      <c r="Q153" s="1378">
        <f t="shared" si="2"/>
        <v>0</v>
      </c>
      <c r="R153" s="1376"/>
      <c r="S153" s="1376"/>
      <c r="T153" s="1376"/>
      <c r="U153" s="1376"/>
      <c r="V153" s="1376"/>
      <c r="W153" s="1379"/>
    </row>
    <row r="154" spans="1:23">
      <c r="A154" s="1370" t="s">
        <v>1622</v>
      </c>
      <c r="B154" s="1370" t="s">
        <v>1623</v>
      </c>
      <c r="C154" s="1370"/>
      <c r="D154" s="1370"/>
      <c r="E154" s="1370"/>
      <c r="F154" s="1370"/>
      <c r="G154" s="1370"/>
      <c r="H154" s="1370"/>
      <c r="I154" s="1370"/>
      <c r="J154" s="1372"/>
      <c r="K154" s="1370"/>
      <c r="L154" s="1370"/>
      <c r="M154" s="1370"/>
      <c r="N154" s="1370"/>
      <c r="O154" s="1370"/>
      <c r="P154" s="1370"/>
      <c r="Q154" s="1374">
        <f t="shared" si="2"/>
        <v>0</v>
      </c>
      <c r="R154" s="1370"/>
      <c r="S154" s="1370"/>
      <c r="T154" s="1370"/>
      <c r="U154" s="1370"/>
      <c r="V154" s="1370"/>
      <c r="W154" s="1375"/>
    </row>
    <row r="155" spans="1:23">
      <c r="A155" s="1376" t="s">
        <v>1622</v>
      </c>
      <c r="B155" s="1376" t="s">
        <v>1623</v>
      </c>
      <c r="C155" s="1376"/>
      <c r="D155" s="1376"/>
      <c r="E155" s="1376"/>
      <c r="F155" s="1376"/>
      <c r="G155" s="1376"/>
      <c r="H155" s="1376"/>
      <c r="I155" s="1376"/>
      <c r="J155" s="1377"/>
      <c r="K155" s="1376"/>
      <c r="L155" s="1376"/>
      <c r="M155" s="1376"/>
      <c r="N155" s="1376"/>
      <c r="O155" s="1376"/>
      <c r="P155" s="1376"/>
      <c r="Q155" s="1378">
        <f t="shared" si="2"/>
        <v>0</v>
      </c>
      <c r="R155" s="1376"/>
      <c r="S155" s="1376"/>
      <c r="T155" s="1376"/>
      <c r="U155" s="1376"/>
      <c r="V155" s="1376"/>
      <c r="W155" s="1379"/>
    </row>
    <row r="156" spans="1:23">
      <c r="A156" s="1370" t="s">
        <v>1622</v>
      </c>
      <c r="B156" s="1370" t="s">
        <v>1623</v>
      </c>
      <c r="C156" s="1370"/>
      <c r="D156" s="1370"/>
      <c r="E156" s="1370"/>
      <c r="F156" s="1370"/>
      <c r="G156" s="1370"/>
      <c r="H156" s="1370"/>
      <c r="I156" s="1370"/>
      <c r="J156" s="1372"/>
      <c r="K156" s="1370"/>
      <c r="L156" s="1370"/>
      <c r="M156" s="1370"/>
      <c r="N156" s="1370"/>
      <c r="O156" s="1370"/>
      <c r="P156" s="1370"/>
      <c r="Q156" s="1374">
        <f t="shared" si="2"/>
        <v>0</v>
      </c>
      <c r="R156" s="1370"/>
      <c r="S156" s="1370"/>
      <c r="T156" s="1370"/>
      <c r="U156" s="1370"/>
      <c r="V156" s="1370"/>
      <c r="W156" s="1375"/>
    </row>
    <row r="157" spans="1:23">
      <c r="A157" s="1376" t="s">
        <v>1622</v>
      </c>
      <c r="B157" s="1376" t="s">
        <v>1623</v>
      </c>
      <c r="C157" s="1376"/>
      <c r="D157" s="1376"/>
      <c r="E157" s="1376"/>
      <c r="F157" s="1376"/>
      <c r="G157" s="1376"/>
      <c r="H157" s="1376"/>
      <c r="I157" s="1376"/>
      <c r="J157" s="1377"/>
      <c r="K157" s="1376"/>
      <c r="L157" s="1376"/>
      <c r="M157" s="1376"/>
      <c r="N157" s="1376"/>
      <c r="O157" s="1376"/>
      <c r="P157" s="1376"/>
      <c r="Q157" s="1378">
        <f t="shared" si="2"/>
        <v>0</v>
      </c>
      <c r="R157" s="1376"/>
      <c r="S157" s="1376"/>
      <c r="T157" s="1376"/>
      <c r="U157" s="1376"/>
      <c r="V157" s="1376"/>
      <c r="W157" s="1379"/>
    </row>
    <row r="158" spans="1:23">
      <c r="A158" s="1370" t="s">
        <v>1622</v>
      </c>
      <c r="B158" s="1370" t="s">
        <v>1623</v>
      </c>
      <c r="C158" s="1370"/>
      <c r="D158" s="1370"/>
      <c r="E158" s="1370"/>
      <c r="F158" s="1370"/>
      <c r="G158" s="1370"/>
      <c r="H158" s="1370"/>
      <c r="I158" s="1370"/>
      <c r="J158" s="1372"/>
      <c r="K158" s="1370"/>
      <c r="L158" s="1370"/>
      <c r="M158" s="1370"/>
      <c r="N158" s="1370"/>
      <c r="O158" s="1370"/>
      <c r="P158" s="1370"/>
      <c r="Q158" s="1374">
        <f t="shared" si="2"/>
        <v>0</v>
      </c>
      <c r="R158" s="1370"/>
      <c r="S158" s="1370"/>
      <c r="T158" s="1370"/>
      <c r="U158" s="1370"/>
      <c r="V158" s="1370"/>
      <c r="W158" s="1375"/>
    </row>
    <row r="159" spans="1:23">
      <c r="A159" s="1376" t="s">
        <v>1622</v>
      </c>
      <c r="B159" s="1376" t="s">
        <v>1623</v>
      </c>
      <c r="C159" s="1376"/>
      <c r="D159" s="1376"/>
      <c r="E159" s="1376"/>
      <c r="F159" s="1376"/>
      <c r="G159" s="1376"/>
      <c r="H159" s="1376"/>
      <c r="I159" s="1376"/>
      <c r="J159" s="1377"/>
      <c r="K159" s="1376"/>
      <c r="L159" s="1376"/>
      <c r="M159" s="1376"/>
      <c r="N159" s="1376"/>
      <c r="O159" s="1376"/>
      <c r="P159" s="1376"/>
      <c r="Q159" s="1378">
        <f t="shared" si="2"/>
        <v>0</v>
      </c>
      <c r="R159" s="1376"/>
      <c r="S159" s="1376"/>
      <c r="T159" s="1376"/>
      <c r="U159" s="1376"/>
      <c r="V159" s="1376"/>
      <c r="W159" s="1379"/>
    </row>
    <row r="160" spans="1:23">
      <c r="A160" s="1370" t="s">
        <v>1622</v>
      </c>
      <c r="B160" s="1370" t="s">
        <v>1623</v>
      </c>
      <c r="C160" s="1370"/>
      <c r="D160" s="1370"/>
      <c r="E160" s="1370"/>
      <c r="F160" s="1370"/>
      <c r="G160" s="1370"/>
      <c r="H160" s="1370"/>
      <c r="I160" s="1370"/>
      <c r="J160" s="1372"/>
      <c r="K160" s="1370"/>
      <c r="L160" s="1370"/>
      <c r="M160" s="1370"/>
      <c r="N160" s="1370"/>
      <c r="O160" s="1370"/>
      <c r="P160" s="1370"/>
      <c r="Q160" s="1374">
        <f t="shared" si="2"/>
        <v>0</v>
      </c>
      <c r="R160" s="1370"/>
      <c r="S160" s="1370"/>
      <c r="T160" s="1370"/>
      <c r="U160" s="1370"/>
      <c r="V160" s="1370"/>
      <c r="W160" s="1375"/>
    </row>
    <row r="161" spans="1:23">
      <c r="A161" s="1376" t="s">
        <v>1622</v>
      </c>
      <c r="B161" s="1376" t="s">
        <v>1623</v>
      </c>
      <c r="C161" s="1376"/>
      <c r="D161" s="1376"/>
      <c r="E161" s="1376"/>
      <c r="F161" s="1376"/>
      <c r="G161" s="1376"/>
      <c r="H161" s="1376"/>
      <c r="I161" s="1376"/>
      <c r="J161" s="1377"/>
      <c r="K161" s="1376"/>
      <c r="L161" s="1376"/>
      <c r="M161" s="1376"/>
      <c r="N161" s="1376"/>
      <c r="O161" s="1376"/>
      <c r="P161" s="1376"/>
      <c r="Q161" s="1378">
        <f t="shared" si="2"/>
        <v>0</v>
      </c>
      <c r="R161" s="1376"/>
      <c r="S161" s="1376"/>
      <c r="T161" s="1376"/>
      <c r="U161" s="1376"/>
      <c r="V161" s="1376"/>
      <c r="W161" s="1379"/>
    </row>
    <row r="162" spans="1:23">
      <c r="A162" s="1370" t="s">
        <v>1622</v>
      </c>
      <c r="B162" s="1370" t="s">
        <v>1623</v>
      </c>
      <c r="C162" s="1370"/>
      <c r="D162" s="1370"/>
      <c r="E162" s="1370"/>
      <c r="F162" s="1370"/>
      <c r="G162" s="1370"/>
      <c r="H162" s="1370"/>
      <c r="I162" s="1370"/>
      <c r="J162" s="1372"/>
      <c r="K162" s="1370"/>
      <c r="L162" s="1370"/>
      <c r="M162" s="1370"/>
      <c r="N162" s="1370"/>
      <c r="O162" s="1370"/>
      <c r="P162" s="1370"/>
      <c r="Q162" s="1374">
        <f t="shared" ref="Q162:Q170" si="3">M162</f>
        <v>0</v>
      </c>
      <c r="R162" s="1370"/>
      <c r="S162" s="1370"/>
      <c r="T162" s="1370"/>
      <c r="U162" s="1370"/>
      <c r="V162" s="1370"/>
      <c r="W162" s="1375"/>
    </row>
    <row r="163" spans="1:23">
      <c r="A163" s="1376" t="s">
        <v>1622</v>
      </c>
      <c r="B163" s="1376" t="s">
        <v>1623</v>
      </c>
      <c r="C163" s="1376"/>
      <c r="D163" s="1376"/>
      <c r="E163" s="1376"/>
      <c r="F163" s="1376"/>
      <c r="G163" s="1376"/>
      <c r="H163" s="1376"/>
      <c r="I163" s="1376"/>
      <c r="J163" s="1377"/>
      <c r="K163" s="1376"/>
      <c r="L163" s="1376"/>
      <c r="M163" s="1376"/>
      <c r="N163" s="1376"/>
      <c r="O163" s="1376"/>
      <c r="P163" s="1376"/>
      <c r="Q163" s="1378">
        <f t="shared" si="3"/>
        <v>0</v>
      </c>
      <c r="R163" s="1376"/>
      <c r="S163" s="1376"/>
      <c r="T163" s="1376"/>
      <c r="U163" s="1376"/>
      <c r="V163" s="1376"/>
      <c r="W163" s="1379"/>
    </row>
    <row r="164" spans="1:23">
      <c r="A164" s="1370" t="s">
        <v>1622</v>
      </c>
      <c r="B164" s="1370" t="s">
        <v>1623</v>
      </c>
      <c r="C164" s="1370"/>
      <c r="D164" s="1370"/>
      <c r="E164" s="1370"/>
      <c r="F164" s="1370"/>
      <c r="G164" s="1370"/>
      <c r="H164" s="1370"/>
      <c r="I164" s="1370"/>
      <c r="J164" s="1372"/>
      <c r="K164" s="1370"/>
      <c r="L164" s="1370"/>
      <c r="M164" s="1370"/>
      <c r="N164" s="1370"/>
      <c r="O164" s="1370"/>
      <c r="P164" s="1370"/>
      <c r="Q164" s="1374">
        <f t="shared" si="3"/>
        <v>0</v>
      </c>
      <c r="R164" s="1370"/>
      <c r="S164" s="1370"/>
      <c r="T164" s="1370"/>
      <c r="U164" s="1370"/>
      <c r="V164" s="1370"/>
      <c r="W164" s="1375"/>
    </row>
    <row r="165" spans="1:23">
      <c r="A165" s="1376" t="s">
        <v>1622</v>
      </c>
      <c r="B165" s="1376" t="s">
        <v>1623</v>
      </c>
      <c r="C165" s="1376"/>
      <c r="D165" s="1376"/>
      <c r="E165" s="1376"/>
      <c r="F165" s="1376"/>
      <c r="G165" s="1376"/>
      <c r="H165" s="1376"/>
      <c r="I165" s="1376"/>
      <c r="J165" s="1377"/>
      <c r="K165" s="1376"/>
      <c r="L165" s="1376"/>
      <c r="M165" s="1376"/>
      <c r="N165" s="1376"/>
      <c r="O165" s="1376"/>
      <c r="P165" s="1376"/>
      <c r="Q165" s="1378">
        <f t="shared" si="3"/>
        <v>0</v>
      </c>
      <c r="R165" s="1376"/>
      <c r="S165" s="1376"/>
      <c r="T165" s="1376"/>
      <c r="U165" s="1376"/>
      <c r="V165" s="1376"/>
      <c r="W165" s="1379"/>
    </row>
    <row r="166" spans="1:23">
      <c r="A166" s="1370" t="s">
        <v>1622</v>
      </c>
      <c r="B166" s="1370" t="s">
        <v>1623</v>
      </c>
      <c r="C166" s="1370"/>
      <c r="D166" s="1370"/>
      <c r="E166" s="1370"/>
      <c r="F166" s="1370"/>
      <c r="G166" s="1370"/>
      <c r="H166" s="1370"/>
      <c r="I166" s="1370"/>
      <c r="J166" s="1372"/>
      <c r="K166" s="1370"/>
      <c r="L166" s="1370"/>
      <c r="M166" s="1370"/>
      <c r="N166" s="1370"/>
      <c r="O166" s="1370"/>
      <c r="P166" s="1370"/>
      <c r="Q166" s="1374">
        <f t="shared" si="3"/>
        <v>0</v>
      </c>
      <c r="R166" s="1370"/>
      <c r="S166" s="1370"/>
      <c r="T166" s="1370"/>
      <c r="U166" s="1370"/>
      <c r="V166" s="1370"/>
      <c r="W166" s="1375"/>
    </row>
    <row r="167" spans="1:23">
      <c r="A167" s="1376" t="s">
        <v>1622</v>
      </c>
      <c r="B167" s="1376" t="s">
        <v>1623</v>
      </c>
      <c r="C167" s="1376"/>
      <c r="D167" s="1376"/>
      <c r="E167" s="1376"/>
      <c r="F167" s="1376"/>
      <c r="G167" s="1376"/>
      <c r="H167" s="1376"/>
      <c r="I167" s="1376"/>
      <c r="J167" s="1377"/>
      <c r="K167" s="1376"/>
      <c r="L167" s="1376"/>
      <c r="M167" s="1376"/>
      <c r="N167" s="1376"/>
      <c r="O167" s="1376"/>
      <c r="P167" s="1376"/>
      <c r="Q167" s="1378">
        <f t="shared" si="3"/>
        <v>0</v>
      </c>
      <c r="R167" s="1376"/>
      <c r="S167" s="1376"/>
      <c r="T167" s="1376"/>
      <c r="U167" s="1376"/>
      <c r="V167" s="1376"/>
      <c r="W167" s="1379"/>
    </row>
    <row r="168" spans="1:23">
      <c r="A168" s="1370" t="s">
        <v>1622</v>
      </c>
      <c r="B168" s="1370" t="s">
        <v>1623</v>
      </c>
      <c r="C168" s="1370"/>
      <c r="D168" s="1370"/>
      <c r="E168" s="1370"/>
      <c r="F168" s="1370"/>
      <c r="G168" s="1370"/>
      <c r="H168" s="1370"/>
      <c r="I168" s="1370"/>
      <c r="J168" s="1372"/>
      <c r="K168" s="1370"/>
      <c r="L168" s="1370"/>
      <c r="M168" s="1370"/>
      <c r="N168" s="1370"/>
      <c r="O168" s="1370"/>
      <c r="P168" s="1370"/>
      <c r="Q168" s="1374">
        <f t="shared" si="3"/>
        <v>0</v>
      </c>
      <c r="R168" s="1370"/>
      <c r="S168" s="1370"/>
      <c r="T168" s="1370"/>
      <c r="U168" s="1370"/>
      <c r="V168" s="1370"/>
      <c r="W168" s="1375"/>
    </row>
    <row r="169" spans="1:23">
      <c r="A169" s="1376" t="s">
        <v>1622</v>
      </c>
      <c r="B169" s="1376" t="s">
        <v>1623</v>
      </c>
      <c r="C169" s="1376"/>
      <c r="D169" s="1376"/>
      <c r="E169" s="1376"/>
      <c r="F169" s="1376"/>
      <c r="G169" s="1376"/>
      <c r="H169" s="1376"/>
      <c r="I169" s="1376"/>
      <c r="J169" s="1377"/>
      <c r="K169" s="1376"/>
      <c r="L169" s="1376"/>
      <c r="M169" s="1376"/>
      <c r="N169" s="1376"/>
      <c r="O169" s="1376"/>
      <c r="P169" s="1376"/>
      <c r="Q169" s="1378">
        <f t="shared" si="3"/>
        <v>0</v>
      </c>
      <c r="R169" s="1376"/>
      <c r="S169" s="1376"/>
      <c r="T169" s="1376"/>
      <c r="U169" s="1376"/>
      <c r="V169" s="1376"/>
      <c r="W169" s="1379"/>
    </row>
    <row r="170" spans="1:23">
      <c r="A170" s="1385" t="s">
        <v>1622</v>
      </c>
      <c r="B170" s="1385" t="s">
        <v>1623</v>
      </c>
      <c r="C170" s="1385"/>
      <c r="D170" s="1385"/>
      <c r="E170" s="1385"/>
      <c r="F170" s="1385"/>
      <c r="G170" s="1385"/>
      <c r="H170" s="1385"/>
      <c r="I170" s="1385"/>
      <c r="J170" s="1386"/>
      <c r="K170" s="1385"/>
      <c r="L170" s="1385"/>
      <c r="M170" s="1385"/>
      <c r="N170" s="1385"/>
      <c r="O170" s="1385"/>
      <c r="P170" s="1385"/>
      <c r="Q170" s="1387">
        <f t="shared" si="3"/>
        <v>0</v>
      </c>
      <c r="R170" s="1385"/>
      <c r="S170" s="1385"/>
      <c r="T170" s="1385"/>
      <c r="U170" s="1385"/>
      <c r="V170" s="1385"/>
      <c r="W170" s="1365"/>
    </row>
  </sheetData>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19"/>
  <sheetViews>
    <sheetView topLeftCell="A278" zoomScale="90" zoomScaleNormal="90" workbookViewId="0">
      <selection activeCell="C281" sqref="C281:C285"/>
    </sheetView>
  </sheetViews>
  <sheetFormatPr defaultRowHeight="14.5"/>
  <cols>
    <col min="2" max="2" width="39.26953125" bestFit="1" customWidth="1"/>
    <col min="3" max="3" width="20.453125" customWidth="1"/>
    <col min="4" max="4" width="5.26953125" customWidth="1"/>
    <col min="5" max="5" width="9.26953125" customWidth="1"/>
    <col min="6" max="6" width="9.1796875" style="358" customWidth="1"/>
    <col min="7" max="7" width="9.1796875" style="360" customWidth="1"/>
    <col min="8" max="8" width="15.1796875" style="360" customWidth="1"/>
    <col min="9" max="9" width="7.1796875" customWidth="1"/>
    <col min="10" max="11" width="9.1796875" style="100"/>
    <col min="12" max="12" width="11" style="100" bestFit="1" customWidth="1"/>
    <col min="13" max="13" width="9.1796875" style="100"/>
    <col min="14" max="14" width="7.453125" style="100" customWidth="1"/>
    <col min="15" max="15" width="44.7265625" style="100" customWidth="1"/>
    <col min="16" max="16" width="10.1796875" bestFit="1" customWidth="1"/>
    <col min="17" max="17" width="13.26953125" bestFit="1" customWidth="1"/>
    <col min="21" max="21" width="32.1796875" bestFit="1" customWidth="1"/>
    <col min="22" max="22" width="14.81640625" bestFit="1" customWidth="1"/>
    <col min="23" max="23" width="9.1796875" style="2"/>
    <col min="26" max="26" width="5.453125" customWidth="1"/>
    <col min="27" max="27" width="27.453125" bestFit="1" customWidth="1"/>
  </cols>
  <sheetData>
    <row r="1" spans="1:18">
      <c r="A1" s="13"/>
      <c r="B1" s="13"/>
      <c r="C1" s="350" t="s">
        <v>1124</v>
      </c>
      <c r="D1" s="45" t="s">
        <v>1036</v>
      </c>
      <c r="F1" s="100"/>
      <c r="G1" s="100"/>
      <c r="H1" s="100"/>
      <c r="N1" s="1434" t="s">
        <v>252</v>
      </c>
      <c r="O1" s="1434"/>
    </row>
    <row r="2" spans="1:18">
      <c r="A2" s="13" t="s">
        <v>18</v>
      </c>
      <c r="B2" s="367" t="s">
        <v>127</v>
      </c>
      <c r="C2" s="349" t="s">
        <v>1125</v>
      </c>
      <c r="D2" s="45"/>
      <c r="E2">
        <v>-7</v>
      </c>
      <c r="F2" s="100" t="s">
        <v>1311</v>
      </c>
      <c r="G2" s="100"/>
      <c r="H2" s="100"/>
      <c r="N2" s="45">
        <f>1.5*10*3</f>
        <v>45</v>
      </c>
      <c r="O2" s="133" t="s">
        <v>318</v>
      </c>
    </row>
    <row r="3" spans="1:18">
      <c r="A3" s="13" t="s">
        <v>18</v>
      </c>
      <c r="B3" s="164" t="s">
        <v>128</v>
      </c>
      <c r="C3" s="349" t="s">
        <v>1094</v>
      </c>
      <c r="D3" s="45">
        <v>3</v>
      </c>
      <c r="F3" s="100"/>
      <c r="G3" s="100"/>
      <c r="H3" s="100"/>
      <c r="N3" s="45">
        <f>2*2*3</f>
        <v>12</v>
      </c>
      <c r="O3" s="133" t="s">
        <v>319</v>
      </c>
    </row>
    <row r="4" spans="1:18">
      <c r="A4" s="13" t="s">
        <v>18</v>
      </c>
      <c r="B4" s="164" t="s">
        <v>129</v>
      </c>
      <c r="C4" s="349" t="s">
        <v>428</v>
      </c>
      <c r="D4" s="45">
        <v>4</v>
      </c>
      <c r="F4" s="100"/>
      <c r="G4" s="100"/>
      <c r="H4" s="100"/>
      <c r="N4" s="45">
        <f>2*3*3</f>
        <v>18</v>
      </c>
      <c r="O4" s="133" t="s">
        <v>256</v>
      </c>
    </row>
    <row r="5" spans="1:18">
      <c r="A5" s="13" t="s">
        <v>18</v>
      </c>
      <c r="B5" s="164" t="s">
        <v>130</v>
      </c>
      <c r="C5" s="349" t="s">
        <v>428</v>
      </c>
      <c r="D5" s="45">
        <v>0</v>
      </c>
      <c r="E5">
        <v>-1</v>
      </c>
      <c r="F5" s="100"/>
      <c r="G5" s="100"/>
      <c r="H5" s="100"/>
      <c r="N5" s="45">
        <f>4*3*3</f>
        <v>36</v>
      </c>
      <c r="O5" s="133" t="s">
        <v>320</v>
      </c>
    </row>
    <row r="6" spans="1:18">
      <c r="A6" s="13" t="s">
        <v>18</v>
      </c>
      <c r="B6" s="164" t="s">
        <v>131</v>
      </c>
      <c r="C6" s="349" t="s">
        <v>428</v>
      </c>
      <c r="D6" s="45">
        <v>4</v>
      </c>
      <c r="E6">
        <v>-1</v>
      </c>
      <c r="F6" s="100"/>
      <c r="G6" s="100"/>
      <c r="H6" s="100"/>
      <c r="N6" s="45">
        <f>2*1*2</f>
        <v>4</v>
      </c>
      <c r="O6" s="133" t="s">
        <v>321</v>
      </c>
    </row>
    <row r="7" spans="1:18">
      <c r="A7" s="13" t="s">
        <v>18</v>
      </c>
      <c r="B7" s="164" t="s">
        <v>132</v>
      </c>
      <c r="C7" s="349" t="s">
        <v>428</v>
      </c>
      <c r="D7" s="45">
        <v>3</v>
      </c>
      <c r="E7">
        <v>-2</v>
      </c>
      <c r="F7" s="100"/>
      <c r="G7" s="100"/>
      <c r="H7" s="100"/>
      <c r="N7" s="45">
        <f>4*3</f>
        <v>12</v>
      </c>
      <c r="O7" s="366" t="s">
        <v>134</v>
      </c>
      <c r="P7" s="33">
        <f>N7</f>
        <v>12</v>
      </c>
      <c r="Q7" s="33">
        <f>4*3</f>
        <v>12</v>
      </c>
    </row>
    <row r="8" spans="1:18">
      <c r="A8" s="13" t="s">
        <v>18</v>
      </c>
      <c r="B8" s="45" t="s">
        <v>133</v>
      </c>
      <c r="C8" s="349" t="s">
        <v>1126</v>
      </c>
      <c r="D8" s="45">
        <v>3</v>
      </c>
      <c r="F8" s="100"/>
      <c r="G8" s="100"/>
      <c r="H8" s="100"/>
      <c r="N8" s="45">
        <v>3</v>
      </c>
      <c r="O8" s="366" t="s">
        <v>121</v>
      </c>
      <c r="P8" s="33">
        <f>N8</f>
        <v>3</v>
      </c>
      <c r="Q8" s="33">
        <f>1*3</f>
        <v>3</v>
      </c>
    </row>
    <row r="9" spans="1:18">
      <c r="A9" s="13"/>
      <c r="B9" s="13"/>
      <c r="C9" s="349"/>
      <c r="D9" s="45">
        <f>SUM(D3:D8)</f>
        <v>17</v>
      </c>
      <c r="F9" s="100"/>
      <c r="G9" s="100"/>
      <c r="H9" s="100"/>
      <c r="N9" s="45">
        <v>3</v>
      </c>
      <c r="O9" s="366" t="s">
        <v>122</v>
      </c>
      <c r="P9" s="33">
        <f>N9</f>
        <v>3</v>
      </c>
      <c r="Q9" s="33">
        <f>1*3</f>
        <v>3</v>
      </c>
    </row>
    <row r="10" spans="1:18">
      <c r="A10" s="929"/>
      <c r="B10" s="929"/>
      <c r="C10" s="846"/>
      <c r="D10" s="100"/>
      <c r="F10" s="100"/>
      <c r="G10" s="100"/>
      <c r="H10" s="100"/>
      <c r="N10" s="45">
        <v>3</v>
      </c>
      <c r="O10" s="366" t="s">
        <v>215</v>
      </c>
      <c r="P10" s="33">
        <f>N10</f>
        <v>3</v>
      </c>
      <c r="Q10" s="33">
        <v>0</v>
      </c>
    </row>
    <row r="11" spans="1:18">
      <c r="A11" s="13" t="s">
        <v>16</v>
      </c>
      <c r="B11" s="132" t="s">
        <v>135</v>
      </c>
      <c r="C11" s="349" t="s">
        <v>1125</v>
      </c>
      <c r="D11" s="45"/>
      <c r="F11" s="100"/>
      <c r="G11" s="100"/>
      <c r="H11" s="100"/>
      <c r="N11" s="45">
        <v>3</v>
      </c>
      <c r="O11" s="366" t="s">
        <v>322</v>
      </c>
      <c r="P11" s="33">
        <f>N11</f>
        <v>3</v>
      </c>
      <c r="Q11" s="33">
        <v>1</v>
      </c>
    </row>
    <row r="12" spans="1:18">
      <c r="A12" s="13" t="s">
        <v>16</v>
      </c>
      <c r="B12" s="132" t="s">
        <v>133</v>
      </c>
      <c r="C12" s="349" t="s">
        <v>1126</v>
      </c>
      <c r="D12" s="45">
        <v>3</v>
      </c>
      <c r="F12" s="100"/>
      <c r="G12" s="923" t="s">
        <v>1310</v>
      </c>
      <c r="H12" s="100"/>
      <c r="M12" s="100">
        <f>SUM(N7:N11)</f>
        <v>24</v>
      </c>
      <c r="N12" s="45">
        <f>SUM(N2:N11)</f>
        <v>139</v>
      </c>
      <c r="O12" s="133" t="s">
        <v>561</v>
      </c>
      <c r="P12" s="326">
        <f>SUM(P7:P11)</f>
        <v>24</v>
      </c>
      <c r="Q12" s="326">
        <f>SUM(Q7:Q11)</f>
        <v>19</v>
      </c>
    </row>
    <row r="13" spans="1:18">
      <c r="A13" s="13" t="s">
        <v>16</v>
      </c>
      <c r="B13" s="132" t="s">
        <v>136</v>
      </c>
      <c r="C13" s="349" t="s">
        <v>428</v>
      </c>
      <c r="D13" s="45">
        <v>6</v>
      </c>
      <c r="E13">
        <v>6</v>
      </c>
      <c r="F13" s="100"/>
      <c r="G13" s="100"/>
      <c r="H13" s="100"/>
    </row>
    <row r="14" spans="1:18">
      <c r="A14" s="13" t="s">
        <v>16</v>
      </c>
      <c r="B14" s="132" t="s">
        <v>632</v>
      </c>
      <c r="C14" s="349" t="s">
        <v>428</v>
      </c>
      <c r="D14" s="45">
        <v>9</v>
      </c>
      <c r="F14" s="100"/>
      <c r="G14" s="100"/>
      <c r="H14" s="100"/>
    </row>
    <row r="15" spans="1:18">
      <c r="A15" s="13" t="s">
        <v>16</v>
      </c>
      <c r="B15" s="132" t="s">
        <v>137</v>
      </c>
      <c r="C15" s="349" t="s">
        <v>428</v>
      </c>
      <c r="D15" s="45">
        <v>1</v>
      </c>
      <c r="F15" s="100"/>
      <c r="G15" s="100"/>
      <c r="H15" s="100"/>
      <c r="N15" s="1427" t="s">
        <v>1206</v>
      </c>
      <c r="O15" s="1427"/>
      <c r="P15" s="1427"/>
      <c r="Q15" s="1427"/>
      <c r="R15" s="1427"/>
    </row>
    <row r="16" spans="1:18">
      <c r="A16" s="13" t="s">
        <v>16</v>
      </c>
      <c r="B16" s="132" t="s">
        <v>139</v>
      </c>
      <c r="C16" s="349" t="s">
        <v>428</v>
      </c>
      <c r="D16" s="45">
        <v>6</v>
      </c>
      <c r="F16" s="100"/>
      <c r="G16" s="100"/>
      <c r="H16" s="100"/>
      <c r="N16" s="925" t="s">
        <v>1207</v>
      </c>
      <c r="O16" s="925" t="s">
        <v>1208</v>
      </c>
      <c r="P16" s="860" t="s">
        <v>1209</v>
      </c>
      <c r="Q16" s="860" t="s">
        <v>1210</v>
      </c>
      <c r="R16" s="860" t="s">
        <v>1090</v>
      </c>
    </row>
    <row r="17" spans="1:19">
      <c r="A17" s="13" t="s">
        <v>16</v>
      </c>
      <c r="B17" s="133" t="s">
        <v>140</v>
      </c>
      <c r="C17" s="349" t="s">
        <v>428</v>
      </c>
      <c r="D17" s="45"/>
      <c r="F17" s="100"/>
      <c r="G17" s="100"/>
      <c r="H17" s="100"/>
      <c r="N17" s="628">
        <v>1</v>
      </c>
      <c r="O17" s="628" t="s">
        <v>477</v>
      </c>
      <c r="P17" s="861">
        <v>1200</v>
      </c>
      <c r="Q17" s="861">
        <v>3</v>
      </c>
      <c r="R17" s="861">
        <f>Q17*3</f>
        <v>9</v>
      </c>
    </row>
    <row r="18" spans="1:19">
      <c r="A18" s="13"/>
      <c r="B18" s="13"/>
      <c r="C18" s="350"/>
      <c r="D18" s="45">
        <f>SUM(D12:D17)</f>
        <v>25</v>
      </c>
      <c r="F18" s="100"/>
      <c r="G18" s="100"/>
      <c r="H18" s="100"/>
      <c r="N18" s="628">
        <v>1</v>
      </c>
      <c r="O18" s="628" t="s">
        <v>1211</v>
      </c>
      <c r="P18" s="861">
        <v>1200</v>
      </c>
      <c r="Q18" s="861">
        <v>2</v>
      </c>
      <c r="R18" s="861">
        <f t="shared" ref="R18:R29" si="0">Q18*3</f>
        <v>6</v>
      </c>
    </row>
    <row r="19" spans="1:19">
      <c r="C19" s="846"/>
      <c r="D19" s="100"/>
      <c r="F19" s="100"/>
      <c r="G19" s="100"/>
      <c r="H19" s="100"/>
      <c r="N19" s="628">
        <v>2</v>
      </c>
      <c r="O19" s="628" t="s">
        <v>477</v>
      </c>
      <c r="P19" s="861">
        <v>1200</v>
      </c>
      <c r="Q19" s="861">
        <v>2</v>
      </c>
      <c r="R19" s="861">
        <f t="shared" si="0"/>
        <v>6</v>
      </c>
    </row>
    <row r="20" spans="1:19">
      <c r="A20" s="45" t="s">
        <v>141</v>
      </c>
      <c r="B20" s="131" t="s">
        <v>142</v>
      </c>
      <c r="C20" s="349" t="s">
        <v>1278</v>
      </c>
      <c r="D20" s="45"/>
      <c r="F20" s="100"/>
      <c r="G20" s="100"/>
      <c r="H20" s="100"/>
      <c r="N20" s="628">
        <v>2</v>
      </c>
      <c r="O20" s="628" t="s">
        <v>1211</v>
      </c>
      <c r="P20" s="861">
        <v>1200</v>
      </c>
      <c r="Q20" s="861">
        <v>2</v>
      </c>
      <c r="R20" s="861">
        <f t="shared" si="0"/>
        <v>6</v>
      </c>
    </row>
    <row r="21" spans="1:19">
      <c r="A21" s="45" t="s">
        <v>141</v>
      </c>
      <c r="B21" s="132" t="s">
        <v>134</v>
      </c>
      <c r="C21" s="349" t="s">
        <v>1278</v>
      </c>
      <c r="D21" s="45">
        <v>9</v>
      </c>
      <c r="F21" s="100"/>
      <c r="G21" s="100"/>
      <c r="H21" s="100"/>
      <c r="N21" s="628">
        <v>5</v>
      </c>
      <c r="O21" s="628" t="s">
        <v>477</v>
      </c>
      <c r="P21" s="861">
        <v>1800</v>
      </c>
      <c r="Q21" s="861">
        <v>3</v>
      </c>
      <c r="R21" s="861">
        <f t="shared" si="0"/>
        <v>9</v>
      </c>
    </row>
    <row r="22" spans="1:19">
      <c r="A22" s="45" t="s">
        <v>141</v>
      </c>
      <c r="B22" s="133" t="s">
        <v>143</v>
      </c>
      <c r="C22" s="349" t="s">
        <v>1278</v>
      </c>
      <c r="D22" s="45"/>
      <c r="F22" s="100"/>
      <c r="G22" s="100"/>
      <c r="H22" s="100"/>
      <c r="M22" s="100" t="s">
        <v>630</v>
      </c>
      <c r="N22" s="628">
        <v>5</v>
      </c>
      <c r="O22" s="628" t="s">
        <v>1211</v>
      </c>
      <c r="P22" s="861">
        <v>1800</v>
      </c>
      <c r="Q22" s="861">
        <v>3</v>
      </c>
      <c r="R22" s="861">
        <f t="shared" si="0"/>
        <v>9</v>
      </c>
    </row>
    <row r="23" spans="1:19">
      <c r="A23" s="45" t="s">
        <v>141</v>
      </c>
      <c r="B23" s="133" t="s">
        <v>122</v>
      </c>
      <c r="C23" s="349" t="s">
        <v>1278</v>
      </c>
      <c r="D23" s="45">
        <v>3</v>
      </c>
      <c r="F23" s="100"/>
      <c r="G23" s="100"/>
      <c r="H23" s="100"/>
      <c r="N23" s="628">
        <v>6</v>
      </c>
      <c r="O23" s="628" t="s">
        <v>477</v>
      </c>
      <c r="P23" s="861">
        <v>300</v>
      </c>
      <c r="Q23" s="861">
        <v>1.5</v>
      </c>
      <c r="R23" s="861">
        <f t="shared" si="0"/>
        <v>4.5</v>
      </c>
    </row>
    <row r="24" spans="1:19">
      <c r="A24" s="45" t="s">
        <v>141</v>
      </c>
      <c r="B24" s="133" t="s">
        <v>121</v>
      </c>
      <c r="C24" s="349" t="s">
        <v>1278</v>
      </c>
      <c r="D24" s="45">
        <v>3</v>
      </c>
      <c r="F24" s="100"/>
      <c r="G24" s="100"/>
      <c r="H24" s="100"/>
      <c r="N24" s="628">
        <v>6</v>
      </c>
      <c r="O24" s="628" t="s">
        <v>1211</v>
      </c>
      <c r="P24" s="861">
        <v>300</v>
      </c>
      <c r="Q24" s="861">
        <v>1.5</v>
      </c>
      <c r="R24" s="861">
        <f t="shared" si="0"/>
        <v>4.5</v>
      </c>
    </row>
    <row r="25" spans="1:19">
      <c r="A25" s="45" t="s">
        <v>141</v>
      </c>
      <c r="B25" s="133" t="s">
        <v>144</v>
      </c>
      <c r="C25" s="349" t="s">
        <v>1278</v>
      </c>
      <c r="D25" s="45">
        <v>3</v>
      </c>
      <c r="F25" s="100"/>
      <c r="G25" s="100"/>
      <c r="H25" s="100"/>
      <c r="N25" s="628">
        <v>7</v>
      </c>
      <c r="O25" s="628" t="s">
        <v>477</v>
      </c>
      <c r="P25" s="861">
        <v>1200</v>
      </c>
      <c r="Q25" s="861">
        <v>2</v>
      </c>
      <c r="R25" s="861">
        <f t="shared" si="0"/>
        <v>6</v>
      </c>
    </row>
    <row r="26" spans="1:19">
      <c r="A26" s="45" t="s">
        <v>141</v>
      </c>
      <c r="B26" s="133" t="s">
        <v>145</v>
      </c>
      <c r="C26" s="349" t="s">
        <v>1278</v>
      </c>
      <c r="D26" s="45">
        <v>1</v>
      </c>
      <c r="F26" s="100"/>
      <c r="G26" s="100"/>
      <c r="H26" s="100"/>
      <c r="N26" s="628">
        <v>7</v>
      </c>
      <c r="O26" s="628" t="s">
        <v>1211</v>
      </c>
      <c r="P26" s="861">
        <v>1200</v>
      </c>
      <c r="Q26" s="861">
        <v>2</v>
      </c>
      <c r="R26" s="861">
        <f t="shared" si="0"/>
        <v>6</v>
      </c>
    </row>
    <row r="27" spans="1:19">
      <c r="A27" s="45" t="s">
        <v>141</v>
      </c>
      <c r="B27" s="133" t="s">
        <v>146</v>
      </c>
      <c r="C27" s="349" t="s">
        <v>1278</v>
      </c>
      <c r="D27" s="45">
        <v>3</v>
      </c>
      <c r="F27" s="100"/>
      <c r="G27" s="100"/>
      <c r="H27" s="100"/>
      <c r="N27" s="628">
        <v>8</v>
      </c>
      <c r="O27" s="628" t="s">
        <v>477</v>
      </c>
      <c r="P27" s="861">
        <v>1200</v>
      </c>
      <c r="Q27" s="861">
        <v>2</v>
      </c>
      <c r="R27" s="861">
        <f t="shared" si="0"/>
        <v>6</v>
      </c>
    </row>
    <row r="28" spans="1:19">
      <c r="A28" s="13"/>
      <c r="B28" s="133" t="s">
        <v>91</v>
      </c>
      <c r="C28" s="350"/>
      <c r="D28" s="45">
        <f>SUM(D21:D27)</f>
        <v>22</v>
      </c>
      <c r="F28" s="100"/>
      <c r="G28" s="100"/>
      <c r="H28" s="100"/>
      <c r="N28" s="628">
        <v>8</v>
      </c>
      <c r="O28" s="628" t="s">
        <v>1211</v>
      </c>
      <c r="P28" s="861">
        <v>1200</v>
      </c>
      <c r="Q28" s="861">
        <v>2</v>
      </c>
      <c r="R28" s="861">
        <f t="shared" si="0"/>
        <v>6</v>
      </c>
    </row>
    <row r="29" spans="1:19">
      <c r="C29" s="846"/>
      <c r="D29" s="100"/>
      <c r="F29" s="100"/>
      <c r="G29" s="100"/>
      <c r="H29" s="100"/>
      <c r="N29" s="926" t="s">
        <v>1212</v>
      </c>
      <c r="O29" s="628"/>
      <c r="P29" s="861"/>
      <c r="Q29" s="861">
        <v>1</v>
      </c>
      <c r="R29" s="861">
        <f t="shared" si="0"/>
        <v>3</v>
      </c>
    </row>
    <row r="30" spans="1:19">
      <c r="C30" s="846"/>
      <c r="D30" s="100"/>
      <c r="F30" s="100"/>
      <c r="G30" s="100"/>
      <c r="H30" s="100"/>
      <c r="N30" s="45"/>
      <c r="O30" s="45"/>
      <c r="P30" s="13"/>
      <c r="Q30" s="13"/>
      <c r="R30" s="13">
        <f>SUM(R17:R29)</f>
        <v>81</v>
      </c>
      <c r="S30">
        <v>20.5</v>
      </c>
    </row>
    <row r="31" spans="1:19">
      <c r="A31" s="13"/>
      <c r="B31" s="135"/>
      <c r="C31" s="349"/>
      <c r="D31" s="45"/>
      <c r="F31" s="100"/>
      <c r="G31" s="100"/>
      <c r="H31" s="100"/>
      <c r="N31" s="45"/>
      <c r="O31" s="45"/>
      <c r="P31" s="13"/>
      <c r="Q31" s="13"/>
      <c r="R31" s="13">
        <v>22</v>
      </c>
    </row>
    <row r="32" spans="1:19">
      <c r="A32" s="13" t="s">
        <v>147</v>
      </c>
      <c r="B32" s="132" t="s">
        <v>142</v>
      </c>
      <c r="C32" s="349" t="s">
        <v>1278</v>
      </c>
      <c r="D32" s="45">
        <f>2/44</f>
        <v>4.5454545454545456E-2</v>
      </c>
      <c r="F32" s="100"/>
      <c r="G32" s="100"/>
      <c r="H32" s="100"/>
      <c r="N32" s="45"/>
      <c r="O32" s="45"/>
      <c r="P32" s="13"/>
      <c r="Q32" s="13"/>
      <c r="R32" s="13">
        <f>R30+R31</f>
        <v>103</v>
      </c>
    </row>
    <row r="33" spans="1:11">
      <c r="A33" s="13" t="s">
        <v>147</v>
      </c>
      <c r="B33" s="132" t="s">
        <v>122</v>
      </c>
      <c r="C33" s="349" t="s">
        <v>1278</v>
      </c>
      <c r="D33" s="45">
        <v>3</v>
      </c>
      <c r="F33" s="100"/>
      <c r="G33" s="100"/>
      <c r="H33" s="100"/>
    </row>
    <row r="34" spans="1:11">
      <c r="C34" s="845"/>
      <c r="D34" s="100"/>
      <c r="F34" s="100"/>
      <c r="G34" s="100"/>
      <c r="H34" s="100"/>
    </row>
    <row r="35" spans="1:11">
      <c r="C35" s="846"/>
      <c r="D35" s="100"/>
      <c r="F35" s="100"/>
      <c r="G35" s="100"/>
      <c r="H35" s="100"/>
    </row>
    <row r="36" spans="1:11">
      <c r="C36" s="846"/>
      <c r="D36" s="100"/>
      <c r="F36" s="100"/>
      <c r="G36" s="100"/>
      <c r="H36" s="100"/>
    </row>
    <row r="37" spans="1:11">
      <c r="A37" s="13"/>
      <c r="B37" s="905" t="s">
        <v>23</v>
      </c>
      <c r="C37" s="846"/>
      <c r="D37" s="100"/>
      <c r="F37" s="100"/>
      <c r="G37" s="100"/>
      <c r="H37" s="100"/>
    </row>
    <row r="38" spans="1:11">
      <c r="A38" s="13" t="s">
        <v>23</v>
      </c>
      <c r="B38" s="136" t="s">
        <v>142</v>
      </c>
      <c r="C38" s="349" t="s">
        <v>1278</v>
      </c>
      <c r="D38" s="100">
        <f>19/(16*176+3*144)</f>
        <v>5.8497536945812806E-3</v>
      </c>
      <c r="F38" s="100"/>
      <c r="G38" s="100"/>
      <c r="H38" s="100"/>
    </row>
    <row r="39" spans="1:11">
      <c r="A39" s="13" t="s">
        <v>23</v>
      </c>
      <c r="B39" s="138" t="s">
        <v>143</v>
      </c>
      <c r="C39" s="349" t="s">
        <v>1278</v>
      </c>
      <c r="D39" s="100">
        <f>0</f>
        <v>0</v>
      </c>
      <c r="F39" s="100"/>
      <c r="G39" s="100"/>
      <c r="H39" s="100"/>
    </row>
    <row r="40" spans="1:11">
      <c r="A40" s="13" t="s">
        <v>23</v>
      </c>
      <c r="B40" s="138" t="s">
        <v>122</v>
      </c>
      <c r="C40" s="349" t="s">
        <v>1278</v>
      </c>
      <c r="D40" s="100">
        <f>1*3</f>
        <v>3</v>
      </c>
      <c r="F40" s="100"/>
      <c r="G40" s="100"/>
      <c r="H40" s="100"/>
    </row>
    <row r="41" spans="1:11">
      <c r="A41" s="13" t="s">
        <v>23</v>
      </c>
      <c r="B41" s="138" t="s">
        <v>121</v>
      </c>
      <c r="C41" s="349" t="s">
        <v>1278</v>
      </c>
      <c r="D41" s="913">
        <f>1*3</f>
        <v>3</v>
      </c>
      <c r="F41" s="100"/>
      <c r="G41" s="100"/>
      <c r="H41" s="100"/>
      <c r="K41" s="913"/>
    </row>
    <row r="42" spans="1:11">
      <c r="A42" s="13" t="s">
        <v>23</v>
      </c>
      <c r="B42" s="138" t="s">
        <v>144</v>
      </c>
      <c r="C42" s="349" t="s">
        <v>1278</v>
      </c>
      <c r="D42" s="100">
        <f>1*3</f>
        <v>3</v>
      </c>
      <c r="F42" s="100"/>
      <c r="G42" s="100"/>
      <c r="H42" s="100"/>
    </row>
    <row r="43" spans="1:11">
      <c r="A43" s="13" t="s">
        <v>23</v>
      </c>
      <c r="B43" s="138" t="s">
        <v>134</v>
      </c>
      <c r="C43" s="349" t="s">
        <v>1278</v>
      </c>
      <c r="D43" s="100">
        <f>1*3</f>
        <v>3</v>
      </c>
      <c r="F43" s="100"/>
      <c r="G43" s="100"/>
      <c r="H43" s="100"/>
    </row>
    <row r="44" spans="1:11">
      <c r="C44" s="845"/>
      <c r="D44" s="100">
        <f>SUM(D39:D43)</f>
        <v>12</v>
      </c>
      <c r="F44" s="100"/>
      <c r="G44" s="100"/>
      <c r="H44" s="100"/>
    </row>
    <row r="45" spans="1:11">
      <c r="A45" s="13"/>
      <c r="B45" s="904" t="s">
        <v>148</v>
      </c>
      <c r="C45" s="846"/>
      <c r="D45" s="100"/>
      <c r="F45" s="1067">
        <f>((6*3*3)+(5*3))/((72*5)+84)/3</f>
        <v>5.18018018018018E-2</v>
      </c>
      <c r="G45" s="100"/>
      <c r="H45" s="100"/>
    </row>
    <row r="46" spans="1:11">
      <c r="A46" s="45" t="s">
        <v>149</v>
      </c>
      <c r="B46" s="140" t="s">
        <v>142</v>
      </c>
      <c r="C46" s="846" t="s">
        <v>1128</v>
      </c>
      <c r="D46">
        <f>24/444</f>
        <v>5.4054054054054057E-2</v>
      </c>
      <c r="F46" s="100"/>
      <c r="G46" s="100">
        <f>4*6*3*0.6</f>
        <v>43.199999999999996</v>
      </c>
      <c r="H46" s="100">
        <f>4*6*3*0.4</f>
        <v>28.8</v>
      </c>
    </row>
    <row r="47" spans="1:11">
      <c r="A47" s="45" t="s">
        <v>149</v>
      </c>
      <c r="B47" s="133" t="s">
        <v>143</v>
      </c>
      <c r="C47" s="846"/>
      <c r="D47" s="100">
        <v>0</v>
      </c>
      <c r="F47" s="100"/>
      <c r="G47" s="100"/>
      <c r="H47" s="100"/>
    </row>
    <row r="48" spans="1:11">
      <c r="A48" s="45" t="s">
        <v>149</v>
      </c>
      <c r="B48" s="133" t="s">
        <v>122</v>
      </c>
      <c r="C48" s="846" t="s">
        <v>428</v>
      </c>
      <c r="D48" s="100">
        <f>1*3</f>
        <v>3</v>
      </c>
      <c r="F48" s="100"/>
      <c r="G48" s="100">
        <v>3</v>
      </c>
      <c r="H48" s="100"/>
    </row>
    <row r="49" spans="1:14">
      <c r="A49" s="45" t="s">
        <v>149</v>
      </c>
      <c r="B49" s="133" t="s">
        <v>144</v>
      </c>
      <c r="C49" s="846" t="s">
        <v>1095</v>
      </c>
      <c r="D49" s="100">
        <f>1*3</f>
        <v>3</v>
      </c>
      <c r="F49" s="100"/>
      <c r="G49" s="100"/>
      <c r="H49" s="100"/>
    </row>
    <row r="50" spans="1:14">
      <c r="A50" s="45" t="s">
        <v>149</v>
      </c>
      <c r="B50" s="133" t="s">
        <v>150</v>
      </c>
      <c r="C50" s="846" t="s">
        <v>1127</v>
      </c>
      <c r="D50" s="100">
        <f>1*3</f>
        <v>3</v>
      </c>
      <c r="F50" s="100"/>
      <c r="G50" s="100"/>
      <c r="H50" s="100">
        <v>3</v>
      </c>
    </row>
    <row r="51" spans="1:14">
      <c r="A51" s="45" t="s">
        <v>149</v>
      </c>
      <c r="B51" s="133" t="s">
        <v>121</v>
      </c>
      <c r="C51" s="846" t="s">
        <v>428</v>
      </c>
      <c r="D51" s="100">
        <f>1*3</f>
        <v>3</v>
      </c>
      <c r="F51" s="100"/>
      <c r="G51" s="100">
        <v>3</v>
      </c>
      <c r="H51" s="100"/>
    </row>
    <row r="52" spans="1:14">
      <c r="A52" s="13"/>
      <c r="B52" s="133" t="s">
        <v>91</v>
      </c>
      <c r="C52" s="845"/>
      <c r="D52" s="100">
        <f>SUM(D47:D51)</f>
        <v>12</v>
      </c>
      <c r="F52" s="100"/>
      <c r="G52" s="100" t="s">
        <v>1316</v>
      </c>
      <c r="H52" s="100" t="s">
        <v>1317</v>
      </c>
    </row>
    <row r="53" spans="1:14">
      <c r="C53" s="846"/>
      <c r="D53" s="100"/>
      <c r="F53" s="100"/>
      <c r="G53" s="100">
        <v>2.5</v>
      </c>
      <c r="H53" s="100">
        <v>3.5</v>
      </c>
    </row>
    <row r="54" spans="1:14">
      <c r="C54" s="846"/>
      <c r="D54" s="100"/>
      <c r="F54" s="100"/>
      <c r="G54" s="100">
        <f>G53*12*3</f>
        <v>90</v>
      </c>
      <c r="H54" s="100">
        <f>H53*2*3</f>
        <v>21</v>
      </c>
    </row>
    <row r="55" spans="1:14">
      <c r="A55" s="13"/>
      <c r="B55" s="904" t="s">
        <v>26</v>
      </c>
      <c r="C55" s="846"/>
      <c r="D55" s="100"/>
      <c r="E55" s="154" t="s">
        <v>1312</v>
      </c>
      <c r="F55" s="100"/>
      <c r="G55" s="100" t="s">
        <v>428</v>
      </c>
      <c r="H55" s="100" t="s">
        <v>1094</v>
      </c>
      <c r="I55" t="s">
        <v>1095</v>
      </c>
      <c r="J55" t="s">
        <v>1096</v>
      </c>
    </row>
    <row r="56" spans="1:14">
      <c r="A56" s="13" t="s">
        <v>26</v>
      </c>
      <c r="B56" s="132" t="s">
        <v>151</v>
      </c>
      <c r="C56" s="846" t="s">
        <v>1279</v>
      </c>
      <c r="D56" s="914">
        <f>((16*2.5)+(2*3.5))/18</f>
        <v>2.6111111111111112</v>
      </c>
      <c r="F56" s="100"/>
      <c r="G56" s="100">
        <f>(1*12*3)+(2*2*3)</f>
        <v>48</v>
      </c>
      <c r="H56" s="100">
        <f>(1*12*3)+(1*2*3)</f>
        <v>42</v>
      </c>
      <c r="I56" s="100">
        <f>(0.5*14*3)</f>
        <v>21</v>
      </c>
      <c r="L56" s="100">
        <f>N56</f>
        <v>90</v>
      </c>
      <c r="N56" s="100">
        <f>10*1*3+2*2*3+(8*3)+(8*3)</f>
        <v>90</v>
      </c>
    </row>
    <row r="57" spans="1:14">
      <c r="A57" s="13" t="s">
        <v>26</v>
      </c>
      <c r="B57" s="132" t="s">
        <v>122</v>
      </c>
      <c r="C57" s="846" t="s">
        <v>428</v>
      </c>
      <c r="D57" s="100">
        <f>1*3</f>
        <v>3</v>
      </c>
      <c r="F57" s="100"/>
      <c r="G57" s="100">
        <v>3</v>
      </c>
      <c r="H57" s="100"/>
      <c r="L57" s="100">
        <f>1*3</f>
        <v>3</v>
      </c>
      <c r="N57" s="100">
        <v>3</v>
      </c>
    </row>
    <row r="58" spans="1:14">
      <c r="A58" s="13" t="s">
        <v>26</v>
      </c>
      <c r="B58" s="132" t="s">
        <v>152</v>
      </c>
      <c r="C58" s="846" t="s">
        <v>1095</v>
      </c>
      <c r="D58" s="100">
        <f>5</f>
        <v>5</v>
      </c>
      <c r="F58" s="100"/>
      <c r="G58" s="100"/>
      <c r="H58" s="100"/>
      <c r="I58">
        <v>5</v>
      </c>
      <c r="L58" s="100">
        <f>5</f>
        <v>5</v>
      </c>
      <c r="N58" s="100">
        <v>5</v>
      </c>
    </row>
    <row r="59" spans="1:14">
      <c r="A59" s="13" t="s">
        <v>26</v>
      </c>
      <c r="B59" s="132" t="s">
        <v>144</v>
      </c>
      <c r="C59" s="846" t="s">
        <v>1129</v>
      </c>
      <c r="D59" s="100">
        <f>0</f>
        <v>0</v>
      </c>
      <c r="F59" s="100"/>
      <c r="G59" s="100"/>
      <c r="H59" s="100"/>
      <c r="L59" s="100">
        <f>0</f>
        <v>0</v>
      </c>
      <c r="N59" s="100">
        <v>0</v>
      </c>
    </row>
    <row r="60" spans="1:14">
      <c r="A60" s="13" t="s">
        <v>26</v>
      </c>
      <c r="B60" s="132" t="s">
        <v>153</v>
      </c>
      <c r="C60" s="846" t="s">
        <v>428</v>
      </c>
      <c r="D60" s="100">
        <v>3</v>
      </c>
      <c r="F60" s="100"/>
      <c r="G60" s="100">
        <v>3</v>
      </c>
      <c r="H60" s="752"/>
      <c r="L60" s="100">
        <v>3</v>
      </c>
      <c r="N60" s="100">
        <v>3</v>
      </c>
    </row>
    <row r="61" spans="1:14">
      <c r="A61" s="13" t="s">
        <v>26</v>
      </c>
      <c r="B61" s="132" t="s">
        <v>154</v>
      </c>
      <c r="C61" s="846" t="s">
        <v>428</v>
      </c>
      <c r="D61" s="100">
        <f>2*3</f>
        <v>6</v>
      </c>
      <c r="F61" s="100"/>
      <c r="G61" s="100">
        <v>6</v>
      </c>
      <c r="H61" s="100"/>
      <c r="L61" s="100">
        <f>2*3</f>
        <v>6</v>
      </c>
      <c r="N61" s="100">
        <v>6</v>
      </c>
    </row>
    <row r="62" spans="1:14">
      <c r="A62" s="13" t="s">
        <v>26</v>
      </c>
      <c r="B62" s="132" t="s">
        <v>155</v>
      </c>
      <c r="C62" s="846" t="s">
        <v>1129</v>
      </c>
      <c r="D62" s="100">
        <f>7*3</f>
        <v>21</v>
      </c>
      <c r="E62" t="s">
        <v>1318</v>
      </c>
      <c r="F62" s="100"/>
      <c r="G62" s="100">
        <v>3</v>
      </c>
      <c r="H62" s="100">
        <v>15</v>
      </c>
      <c r="I62">
        <v>3</v>
      </c>
      <c r="L62" s="100">
        <f>7*3</f>
        <v>21</v>
      </c>
      <c r="N62" s="100">
        <v>21</v>
      </c>
    </row>
    <row r="63" spans="1:14">
      <c r="A63" s="13" t="s">
        <v>26</v>
      </c>
      <c r="B63" s="142" t="s">
        <v>156</v>
      </c>
      <c r="C63" s="846" t="s">
        <v>1129</v>
      </c>
      <c r="D63" s="100">
        <f>2*3</f>
        <v>6</v>
      </c>
      <c r="E63" t="s">
        <v>1094</v>
      </c>
      <c r="F63" s="100"/>
      <c r="G63" s="100"/>
      <c r="H63" s="100">
        <v>6</v>
      </c>
      <c r="L63" s="100">
        <f>2*3</f>
        <v>6</v>
      </c>
      <c r="N63" s="100">
        <v>6</v>
      </c>
    </row>
    <row r="64" spans="1:14">
      <c r="A64" s="13" t="s">
        <v>26</v>
      </c>
      <c r="B64" s="132" t="s">
        <v>157</v>
      </c>
      <c r="C64" s="846" t="s">
        <v>428</v>
      </c>
      <c r="D64" s="100">
        <v>3</v>
      </c>
      <c r="E64" t="s">
        <v>1094</v>
      </c>
      <c r="F64" s="100"/>
      <c r="G64" s="100"/>
      <c r="H64" s="100">
        <v>3</v>
      </c>
      <c r="L64" s="100">
        <v>3</v>
      </c>
      <c r="M64" s="100" t="s">
        <v>628</v>
      </c>
      <c r="N64" s="100">
        <v>3</v>
      </c>
    </row>
    <row r="65" spans="1:14">
      <c r="A65" s="13" t="s">
        <v>26</v>
      </c>
      <c r="B65" s="132" t="s">
        <v>158</v>
      </c>
      <c r="C65" s="846" t="s">
        <v>1111</v>
      </c>
      <c r="D65" s="100">
        <f>4*3</f>
        <v>12</v>
      </c>
      <c r="E65" t="s">
        <v>1111</v>
      </c>
      <c r="F65" s="100"/>
      <c r="G65" s="100"/>
      <c r="H65" s="100"/>
      <c r="J65" s="100">
        <v>12</v>
      </c>
      <c r="L65" s="100">
        <f>4*3</f>
        <v>12</v>
      </c>
      <c r="N65" s="917">
        <f>SUM(N56:N64)</f>
        <v>137</v>
      </c>
    </row>
    <row r="66" spans="1:14">
      <c r="A66" s="13" t="s">
        <v>26</v>
      </c>
      <c r="B66" s="133" t="s">
        <v>159</v>
      </c>
      <c r="C66" s="846"/>
      <c r="D66" s="913">
        <v>0</v>
      </c>
      <c r="F66" s="100"/>
      <c r="G66" s="100">
        <f>SUM(G56:G65)</f>
        <v>63</v>
      </c>
      <c r="H66" s="100">
        <f>SUM(H56:H65)</f>
        <v>66</v>
      </c>
      <c r="I66" s="100">
        <f>SUM(I56:I65)</f>
        <v>29</v>
      </c>
      <c r="J66" s="100">
        <f>SUM(J56:J65)</f>
        <v>12</v>
      </c>
      <c r="K66" s="913">
        <f>SUM(G66:J66)</f>
        <v>170</v>
      </c>
      <c r="L66" s="913">
        <v>0</v>
      </c>
      <c r="N66" s="100">
        <v>12</v>
      </c>
    </row>
    <row r="67" spans="1:14">
      <c r="C67" s="845"/>
      <c r="D67" s="100"/>
      <c r="F67" s="100"/>
      <c r="G67" s="973">
        <f>G66/$K$66</f>
        <v>0.37058823529411766</v>
      </c>
      <c r="H67" s="973">
        <f t="shared" ref="H67:J67" si="1">H66/$K$66</f>
        <v>0.38823529411764707</v>
      </c>
      <c r="I67" s="973">
        <f t="shared" si="1"/>
        <v>0.17058823529411765</v>
      </c>
      <c r="J67" s="973">
        <f t="shared" si="1"/>
        <v>7.0588235294117646E-2</v>
      </c>
      <c r="L67" s="100">
        <f>SUM(L56:L66)</f>
        <v>149</v>
      </c>
      <c r="N67" s="100">
        <v>3</v>
      </c>
    </row>
    <row r="68" spans="1:14">
      <c r="C68" s="846"/>
      <c r="D68" s="100"/>
      <c r="F68" s="100"/>
      <c r="G68" s="922">
        <v>59.5</v>
      </c>
      <c r="H68" s="922">
        <v>45.458333333333336</v>
      </c>
      <c r="I68" s="40">
        <v>45.541666666666664</v>
      </c>
      <c r="J68" s="922">
        <v>12</v>
      </c>
    </row>
    <row r="69" spans="1:14">
      <c r="C69" s="846"/>
      <c r="D69" s="100">
        <f>SUM(D57:D66)</f>
        <v>59</v>
      </c>
      <c r="F69" s="100"/>
      <c r="G69" s="100"/>
      <c r="H69" s="100">
        <v>66</v>
      </c>
      <c r="I69">
        <f>91-H69</f>
        <v>25</v>
      </c>
    </row>
    <row r="70" spans="1:14">
      <c r="C70" s="846"/>
      <c r="D70" s="100"/>
      <c r="F70" s="100"/>
      <c r="G70" s="100"/>
      <c r="H70" s="922">
        <f>H69-H68</f>
        <v>20.541666666666664</v>
      </c>
      <c r="I70" s="40">
        <f>I68-I69</f>
        <v>20.541666666666664</v>
      </c>
      <c r="J70" s="100">
        <f>I70*7000</f>
        <v>143791.66666666666</v>
      </c>
    </row>
    <row r="71" spans="1:14">
      <c r="C71" s="846"/>
      <c r="D71" s="100"/>
      <c r="F71" s="100"/>
      <c r="G71" s="100"/>
      <c r="H71" s="100"/>
    </row>
    <row r="72" spans="1:14">
      <c r="A72" s="13" t="s">
        <v>26</v>
      </c>
      <c r="B72" s="132" t="s">
        <v>160</v>
      </c>
      <c r="C72" s="846"/>
      <c r="D72" s="100"/>
      <c r="F72" s="100"/>
      <c r="G72" s="100"/>
      <c r="H72" s="100"/>
    </row>
    <row r="73" spans="1:14">
      <c r="C73" s="846"/>
      <c r="D73" s="100"/>
      <c r="F73" s="100"/>
      <c r="G73" s="100"/>
      <c r="H73" s="100"/>
    </row>
    <row r="74" spans="1:14">
      <c r="C74" s="846"/>
      <c r="D74" s="100"/>
      <c r="F74" s="100"/>
      <c r="G74" s="100"/>
      <c r="H74" s="100"/>
    </row>
    <row r="75" spans="1:14">
      <c r="C75" s="846"/>
      <c r="D75" s="100"/>
      <c r="F75" s="100"/>
      <c r="G75" s="100"/>
      <c r="H75" s="100"/>
    </row>
    <row r="76" spans="1:14">
      <c r="C76" s="846"/>
      <c r="D76" s="100"/>
      <c r="F76" s="100"/>
      <c r="G76" s="100"/>
      <c r="H76" s="100"/>
    </row>
    <row r="77" spans="1:14">
      <c r="C77" s="846"/>
      <c r="D77" s="100"/>
      <c r="F77" s="100"/>
      <c r="G77" s="100"/>
      <c r="H77" s="100"/>
    </row>
    <row r="78" spans="1:14">
      <c r="C78" s="846"/>
      <c r="D78" s="100"/>
      <c r="F78" s="100"/>
      <c r="G78" s="100"/>
      <c r="H78" s="100"/>
    </row>
    <row r="79" spans="1:14">
      <c r="B79" s="906" t="s">
        <v>161</v>
      </c>
      <c r="C79" s="846"/>
      <c r="D79" s="100"/>
      <c r="E79" t="s">
        <v>428</v>
      </c>
      <c r="F79" s="100" t="s">
        <v>535</v>
      </c>
      <c r="G79" s="130" t="s">
        <v>1314</v>
      </c>
      <c r="H79" s="100"/>
    </row>
    <row r="80" spans="1:14">
      <c r="A80" t="s">
        <v>161</v>
      </c>
      <c r="B80" s="131" t="s">
        <v>162</v>
      </c>
      <c r="C80" s="846" t="s">
        <v>1131</v>
      </c>
      <c r="D80" s="100">
        <v>2</v>
      </c>
      <c r="E80">
        <v>1</v>
      </c>
      <c r="F80" s="100">
        <v>1</v>
      </c>
      <c r="G80" s="100"/>
      <c r="H80" s="100">
        <f>E80*3</f>
        <v>3</v>
      </c>
      <c r="I80" s="100">
        <f>F80*3</f>
        <v>3</v>
      </c>
      <c r="J80" s="100">
        <f>G80*3</f>
        <v>0</v>
      </c>
    </row>
    <row r="81" spans="1:10">
      <c r="A81" t="s">
        <v>161</v>
      </c>
      <c r="B81" s="131" t="s">
        <v>142</v>
      </c>
      <c r="C81" s="846" t="s">
        <v>428</v>
      </c>
      <c r="D81" s="100">
        <v>2</v>
      </c>
      <c r="E81">
        <v>2</v>
      </c>
      <c r="F81" s="100"/>
      <c r="G81" s="100"/>
      <c r="H81" s="100">
        <f t="shared" ref="H81:H84" si="2">E81*3</f>
        <v>6</v>
      </c>
      <c r="I81" s="100">
        <f t="shared" ref="I81:I84" si="3">F81*3</f>
        <v>0</v>
      </c>
      <c r="J81" s="100">
        <f t="shared" ref="J81:J84" si="4">G81*3</f>
        <v>0</v>
      </c>
    </row>
    <row r="82" spans="1:10">
      <c r="A82" t="s">
        <v>161</v>
      </c>
      <c r="B82" s="131" t="s">
        <v>1313</v>
      </c>
      <c r="C82" s="846" t="s">
        <v>428</v>
      </c>
      <c r="D82" s="100">
        <v>1</v>
      </c>
      <c r="E82">
        <v>1</v>
      </c>
      <c r="F82" s="100"/>
      <c r="G82" s="100"/>
      <c r="H82" s="100">
        <f t="shared" si="2"/>
        <v>3</v>
      </c>
      <c r="I82" s="100">
        <f t="shared" si="3"/>
        <v>0</v>
      </c>
      <c r="J82" s="100">
        <f t="shared" si="4"/>
        <v>0</v>
      </c>
    </row>
    <row r="83" spans="1:10">
      <c r="A83" t="s">
        <v>161</v>
      </c>
      <c r="B83" s="143" t="s">
        <v>164</v>
      </c>
      <c r="C83" s="846" t="s">
        <v>428</v>
      </c>
      <c r="D83" s="100">
        <v>1</v>
      </c>
      <c r="E83">
        <v>1</v>
      </c>
      <c r="F83" s="100"/>
      <c r="G83" s="100"/>
      <c r="H83" s="100">
        <f t="shared" si="2"/>
        <v>3</v>
      </c>
      <c r="I83" s="100">
        <f t="shared" si="3"/>
        <v>0</v>
      </c>
      <c r="J83" s="100">
        <f t="shared" si="4"/>
        <v>0</v>
      </c>
    </row>
    <row r="84" spans="1:10">
      <c r="A84" t="s">
        <v>161</v>
      </c>
      <c r="B84" s="143" t="s">
        <v>165</v>
      </c>
      <c r="C84" s="846" t="s">
        <v>428</v>
      </c>
      <c r="D84" s="100">
        <v>3</v>
      </c>
      <c r="E84">
        <v>2</v>
      </c>
      <c r="F84" s="100">
        <v>1</v>
      </c>
      <c r="G84" s="100"/>
      <c r="H84" s="100">
        <f t="shared" si="2"/>
        <v>6</v>
      </c>
      <c r="I84" s="100">
        <f t="shared" si="3"/>
        <v>3</v>
      </c>
      <c r="J84" s="100">
        <f t="shared" si="4"/>
        <v>0</v>
      </c>
    </row>
    <row r="85" spans="1:10">
      <c r="B85" s="144"/>
      <c r="C85" s="845"/>
      <c r="D85" s="100">
        <f>SUM(D80:D84)</f>
        <v>9</v>
      </c>
      <c r="E85" s="100">
        <f>SUM(E80:E84)</f>
        <v>7</v>
      </c>
      <c r="F85" s="100">
        <f>SUM(F80:F84)</f>
        <v>2</v>
      </c>
      <c r="G85" s="100"/>
      <c r="H85" s="100">
        <f>SUM(H80:H84)</f>
        <v>21</v>
      </c>
      <c r="I85" s="100">
        <f>SUM(I80:I84)</f>
        <v>6</v>
      </c>
      <c r="J85" s="100">
        <f>SUM(J80:J84)</f>
        <v>0</v>
      </c>
    </row>
    <row r="86" spans="1:10">
      <c r="C86" s="846"/>
      <c r="D86" s="100"/>
      <c r="F86" s="100"/>
      <c r="G86" s="100"/>
      <c r="H86" s="100"/>
    </row>
    <row r="87" spans="1:10">
      <c r="B87" s="906" t="s">
        <v>166</v>
      </c>
      <c r="C87" s="846"/>
      <c r="D87" s="100"/>
      <c r="F87" s="100"/>
      <c r="G87" s="100"/>
      <c r="H87" s="100"/>
    </row>
    <row r="88" spans="1:10">
      <c r="A88" t="s">
        <v>167</v>
      </c>
      <c r="B88" s="146" t="s">
        <v>168</v>
      </c>
      <c r="C88" s="846" t="s">
        <v>1131</v>
      </c>
      <c r="D88" s="100">
        <v>2</v>
      </c>
      <c r="E88">
        <v>1</v>
      </c>
      <c r="F88" s="100">
        <v>1</v>
      </c>
      <c r="G88" s="100"/>
      <c r="H88" s="100">
        <f t="shared" ref="H88:H92" si="5">E88*3</f>
        <v>3</v>
      </c>
      <c r="I88" s="100">
        <f t="shared" ref="I88:I92" si="6">F88*3</f>
        <v>3</v>
      </c>
      <c r="J88" s="100">
        <f t="shared" ref="J88:J92" si="7">G88*3</f>
        <v>0</v>
      </c>
    </row>
    <row r="89" spans="1:10">
      <c r="A89" t="s">
        <v>167</v>
      </c>
      <c r="B89" s="146" t="s">
        <v>1315</v>
      </c>
      <c r="C89" s="846" t="s">
        <v>428</v>
      </c>
      <c r="D89" s="100">
        <v>1</v>
      </c>
      <c r="E89">
        <v>1</v>
      </c>
      <c r="F89" s="100"/>
      <c r="G89" s="100"/>
      <c r="H89" s="100">
        <f t="shared" si="5"/>
        <v>3</v>
      </c>
      <c r="I89" s="100">
        <f t="shared" si="6"/>
        <v>0</v>
      </c>
      <c r="J89" s="100">
        <f t="shared" si="7"/>
        <v>0</v>
      </c>
    </row>
    <row r="90" spans="1:10">
      <c r="A90" t="s">
        <v>167</v>
      </c>
      <c r="B90" s="146" t="s">
        <v>169</v>
      </c>
      <c r="C90" s="846" t="s">
        <v>428</v>
      </c>
      <c r="D90" s="100">
        <v>1</v>
      </c>
      <c r="E90">
        <v>1</v>
      </c>
      <c r="F90" s="100"/>
      <c r="G90" s="100"/>
      <c r="H90" s="100">
        <f t="shared" si="5"/>
        <v>3</v>
      </c>
      <c r="I90" s="100">
        <f t="shared" si="6"/>
        <v>0</v>
      </c>
      <c r="J90" s="100">
        <f t="shared" si="7"/>
        <v>0</v>
      </c>
    </row>
    <row r="91" spans="1:10">
      <c r="A91" t="s">
        <v>167</v>
      </c>
      <c r="B91" s="146" t="s">
        <v>136</v>
      </c>
      <c r="C91" s="846" t="s">
        <v>428</v>
      </c>
      <c r="D91" s="100">
        <v>1</v>
      </c>
      <c r="F91" s="100">
        <v>1</v>
      </c>
      <c r="G91" s="100"/>
      <c r="H91" s="100">
        <f t="shared" si="5"/>
        <v>0</v>
      </c>
      <c r="I91" s="100">
        <f t="shared" si="6"/>
        <v>3</v>
      </c>
      <c r="J91" s="100">
        <f t="shared" si="7"/>
        <v>0</v>
      </c>
    </row>
    <row r="92" spans="1:10">
      <c r="A92" t="s">
        <v>167</v>
      </c>
      <c r="B92" s="146" t="s">
        <v>164</v>
      </c>
      <c r="C92" s="846" t="s">
        <v>428</v>
      </c>
      <c r="D92" s="100">
        <v>1</v>
      </c>
      <c r="F92" s="100">
        <v>1</v>
      </c>
      <c r="G92" s="100"/>
      <c r="H92" s="100">
        <f t="shared" si="5"/>
        <v>0</v>
      </c>
      <c r="I92" s="100">
        <f t="shared" si="6"/>
        <v>3</v>
      </c>
      <c r="J92" s="100">
        <f t="shared" si="7"/>
        <v>0</v>
      </c>
    </row>
    <row r="93" spans="1:10">
      <c r="B93" s="22"/>
      <c r="C93" s="845"/>
      <c r="D93" s="100">
        <f>SUM(D88:D92)</f>
        <v>6</v>
      </c>
      <c r="F93" s="100"/>
      <c r="G93" s="100"/>
      <c r="H93" s="100">
        <f>SUM(H88:H92)</f>
        <v>9</v>
      </c>
      <c r="I93" s="100">
        <f>SUM(I88:I92)</f>
        <v>9</v>
      </c>
      <c r="J93" s="100">
        <f>SUM(J88:J92)</f>
        <v>0</v>
      </c>
    </row>
    <row r="94" spans="1:10">
      <c r="B94" s="145"/>
      <c r="C94" s="846"/>
      <c r="D94" s="100"/>
      <c r="F94" s="100"/>
      <c r="G94" s="100"/>
      <c r="H94" s="100"/>
    </row>
    <row r="95" spans="1:10">
      <c r="A95" s="130" t="s">
        <v>31</v>
      </c>
      <c r="B95" s="147" t="s">
        <v>170</v>
      </c>
      <c r="C95" s="846" t="s">
        <v>1131</v>
      </c>
      <c r="D95" s="100">
        <v>6</v>
      </c>
      <c r="E95">
        <v>1</v>
      </c>
      <c r="F95" s="100">
        <v>1</v>
      </c>
      <c r="G95" s="100"/>
      <c r="H95" s="100">
        <f t="shared" ref="H95" si="8">E95*3</f>
        <v>3</v>
      </c>
      <c r="I95" s="100">
        <f t="shared" ref="I95" si="9">F95*3</f>
        <v>3</v>
      </c>
      <c r="J95" s="100">
        <f t="shared" ref="J95" si="10">G95*3</f>
        <v>0</v>
      </c>
    </row>
    <row r="96" spans="1:10">
      <c r="C96" s="846"/>
      <c r="D96" s="100"/>
      <c r="F96" s="100"/>
      <c r="G96" s="100"/>
      <c r="H96" s="100">
        <f>H95+H85</f>
        <v>24</v>
      </c>
      <c r="I96" s="100">
        <f>I95+I85</f>
        <v>9</v>
      </c>
      <c r="J96" s="100">
        <f>J95+J85</f>
        <v>0</v>
      </c>
    </row>
    <row r="97" spans="1:11">
      <c r="A97" s="130"/>
      <c r="B97" s="148"/>
      <c r="C97" s="846"/>
      <c r="D97" s="100"/>
      <c r="F97" s="100"/>
      <c r="G97" s="100"/>
      <c r="H97" s="100">
        <f>H96/3*2</f>
        <v>16</v>
      </c>
      <c r="I97" s="100">
        <f>I96/3*2</f>
        <v>6</v>
      </c>
    </row>
    <row r="98" spans="1:11">
      <c r="A98" s="130" t="s">
        <v>31</v>
      </c>
      <c r="B98" s="148" t="s">
        <v>172</v>
      </c>
      <c r="C98" s="846" t="s">
        <v>1126</v>
      </c>
      <c r="D98" s="100">
        <v>3</v>
      </c>
      <c r="F98" s="100"/>
      <c r="G98" s="100">
        <v>1</v>
      </c>
      <c r="H98" s="100">
        <f t="shared" ref="H98" si="11">E98*3</f>
        <v>0</v>
      </c>
      <c r="I98" s="100">
        <f t="shared" ref="I98" si="12">F98*3</f>
        <v>0</v>
      </c>
      <c r="J98" s="100">
        <f t="shared" ref="J98" si="13">G98*3</f>
        <v>3</v>
      </c>
    </row>
    <row r="99" spans="1:11">
      <c r="C99" s="845"/>
      <c r="D99" s="100">
        <f>SUM(D97:D98)</f>
        <v>3</v>
      </c>
      <c r="F99" s="100"/>
      <c r="G99" s="100"/>
      <c r="H99" s="100">
        <f>SUM(H80:H98)</f>
        <v>103</v>
      </c>
      <c r="I99" s="100">
        <f>SUM(I80:I98)</f>
        <v>48</v>
      </c>
      <c r="J99" s="100">
        <f>SUM(J80:J98)</f>
        <v>3</v>
      </c>
    </row>
    <row r="100" spans="1:11">
      <c r="C100" s="846"/>
      <c r="D100" s="100"/>
      <c r="F100" s="100"/>
      <c r="G100" s="100"/>
      <c r="H100" s="100"/>
    </row>
    <row r="101" spans="1:11">
      <c r="B101" s="132" t="s">
        <v>48</v>
      </c>
      <c r="C101" s="846"/>
      <c r="D101" s="915">
        <f>SUM(D102:D118)</f>
        <v>21</v>
      </c>
      <c r="F101" s="100"/>
      <c r="G101" s="100"/>
      <c r="H101" s="100"/>
    </row>
    <row r="102" spans="1:11">
      <c r="A102" t="s">
        <v>32</v>
      </c>
      <c r="B102" s="132" t="s">
        <v>168</v>
      </c>
      <c r="C102" s="847" t="s">
        <v>1132</v>
      </c>
      <c r="D102" s="625">
        <v>2</v>
      </c>
      <c r="F102" s="100"/>
      <c r="G102" s="100"/>
      <c r="H102" s="100"/>
      <c r="K102" s="536"/>
    </row>
    <row r="103" spans="1:11">
      <c r="A103" t="s">
        <v>32</v>
      </c>
      <c r="B103" s="132" t="s">
        <v>173</v>
      </c>
      <c r="C103" s="847" t="s">
        <v>428</v>
      </c>
      <c r="D103" s="625">
        <v>1</v>
      </c>
      <c r="F103" s="100"/>
      <c r="G103" s="100"/>
      <c r="H103" s="100"/>
      <c r="K103" s="536"/>
    </row>
    <row r="104" spans="1:11">
      <c r="A104" t="s">
        <v>32</v>
      </c>
      <c r="B104" s="132" t="s">
        <v>174</v>
      </c>
      <c r="C104" s="847" t="s">
        <v>1132</v>
      </c>
      <c r="D104" s="625">
        <v>2</v>
      </c>
      <c r="F104" s="100"/>
      <c r="G104" s="100"/>
      <c r="H104" s="100"/>
      <c r="K104" s="536"/>
    </row>
    <row r="105" spans="1:11">
      <c r="A105" t="s">
        <v>32</v>
      </c>
      <c r="B105" s="132" t="s">
        <v>175</v>
      </c>
      <c r="C105" s="846" t="s">
        <v>428</v>
      </c>
      <c r="D105" s="625">
        <v>1</v>
      </c>
      <c r="F105" s="100"/>
      <c r="G105" s="100"/>
      <c r="H105" s="100"/>
      <c r="K105" s="536"/>
    </row>
    <row r="106" spans="1:11">
      <c r="A106" t="s">
        <v>32</v>
      </c>
      <c r="B106" s="132" t="s">
        <v>177</v>
      </c>
      <c r="C106" s="846" t="s">
        <v>428</v>
      </c>
      <c r="D106" s="625">
        <v>1</v>
      </c>
      <c r="F106" s="100"/>
      <c r="G106" s="100"/>
      <c r="H106" s="100"/>
      <c r="K106" s="536"/>
    </row>
    <row r="107" spans="1:11">
      <c r="A107" t="s">
        <v>32</v>
      </c>
      <c r="B107" s="132" t="s">
        <v>178</v>
      </c>
      <c r="C107" s="846" t="s">
        <v>428</v>
      </c>
      <c r="D107" s="625">
        <v>1</v>
      </c>
      <c r="F107" s="100"/>
      <c r="G107" s="100"/>
      <c r="H107" s="100"/>
      <c r="K107" s="536"/>
    </row>
    <row r="108" spans="1:11">
      <c r="A108" t="s">
        <v>32</v>
      </c>
      <c r="B108" s="132" t="s">
        <v>179</v>
      </c>
      <c r="C108" s="846" t="s">
        <v>1126</v>
      </c>
      <c r="D108" s="625">
        <v>1</v>
      </c>
      <c r="F108" s="100"/>
      <c r="G108" s="100"/>
      <c r="H108" s="100"/>
      <c r="K108" s="536"/>
    </row>
    <row r="109" spans="1:11">
      <c r="A109" t="s">
        <v>32</v>
      </c>
      <c r="B109" s="132" t="s">
        <v>180</v>
      </c>
      <c r="C109" s="846" t="s">
        <v>428</v>
      </c>
      <c r="D109" s="626">
        <v>0</v>
      </c>
      <c r="F109" s="100"/>
      <c r="G109" s="100"/>
      <c r="H109" s="100"/>
      <c r="K109" s="916"/>
    </row>
    <row r="110" spans="1:11">
      <c r="A110" t="s">
        <v>32</v>
      </c>
      <c r="B110" s="132" t="s">
        <v>181</v>
      </c>
      <c r="C110" s="846" t="s">
        <v>428</v>
      </c>
      <c r="D110" s="625">
        <v>1</v>
      </c>
      <c r="F110" s="100"/>
      <c r="G110" s="100"/>
      <c r="H110" s="100"/>
      <c r="K110" s="536"/>
    </row>
    <row r="111" spans="1:11">
      <c r="A111" t="s">
        <v>32</v>
      </c>
      <c r="B111" s="132" t="s">
        <v>182</v>
      </c>
      <c r="C111" s="846" t="s">
        <v>428</v>
      </c>
      <c r="D111" s="625">
        <v>1</v>
      </c>
      <c r="F111" s="100"/>
      <c r="G111" s="100"/>
      <c r="H111" s="100"/>
      <c r="K111" s="536"/>
    </row>
    <row r="112" spans="1:11">
      <c r="A112" t="s">
        <v>32</v>
      </c>
      <c r="B112" s="132" t="s">
        <v>183</v>
      </c>
      <c r="C112" s="846"/>
      <c r="D112" s="625">
        <v>0</v>
      </c>
      <c r="F112" s="100"/>
      <c r="G112" s="100"/>
      <c r="H112" s="100"/>
      <c r="K112" s="536"/>
    </row>
    <row r="113" spans="1:17">
      <c r="A113" t="s">
        <v>32</v>
      </c>
      <c r="B113" s="132" t="s">
        <v>184</v>
      </c>
      <c r="C113" s="846" t="s">
        <v>1133</v>
      </c>
      <c r="D113" s="625">
        <v>1</v>
      </c>
      <c r="F113" s="100"/>
      <c r="G113" s="100"/>
      <c r="H113" s="100"/>
      <c r="K113" s="536"/>
    </row>
    <row r="114" spans="1:17">
      <c r="A114" t="s">
        <v>32</v>
      </c>
      <c r="B114" s="132" t="s">
        <v>185</v>
      </c>
      <c r="C114" s="846" t="s">
        <v>428</v>
      </c>
      <c r="D114" s="625">
        <v>2</v>
      </c>
      <c r="F114" s="100"/>
      <c r="G114" s="100"/>
      <c r="H114" s="100"/>
      <c r="K114" s="536"/>
    </row>
    <row r="115" spans="1:17">
      <c r="A115" t="s">
        <v>32</v>
      </c>
      <c r="B115" s="132" t="s">
        <v>186</v>
      </c>
      <c r="C115" s="847" t="s">
        <v>1126</v>
      </c>
      <c r="D115" s="625">
        <v>1</v>
      </c>
      <c r="F115" s="100"/>
      <c r="G115" s="100"/>
      <c r="H115" s="100"/>
      <c r="K115" s="536"/>
    </row>
    <row r="116" spans="1:17">
      <c r="A116" t="s">
        <v>32</v>
      </c>
      <c r="B116" s="132" t="s">
        <v>187</v>
      </c>
      <c r="C116" s="847" t="s">
        <v>1126</v>
      </c>
      <c r="D116" s="625">
        <v>1</v>
      </c>
      <c r="F116" s="100"/>
      <c r="G116" s="100"/>
      <c r="H116" s="100"/>
      <c r="K116" s="536"/>
    </row>
    <row r="117" spans="1:17">
      <c r="A117" t="s">
        <v>32</v>
      </c>
      <c r="B117" s="132" t="s">
        <v>188</v>
      </c>
      <c r="C117" s="847" t="s">
        <v>428</v>
      </c>
      <c r="D117" s="625">
        <v>1</v>
      </c>
      <c r="F117" s="100"/>
      <c r="G117" s="100"/>
      <c r="H117" s="100"/>
      <c r="K117" s="536"/>
    </row>
    <row r="118" spans="1:17">
      <c r="A118" t="s">
        <v>32</v>
      </c>
      <c r="B118" s="132" t="s">
        <v>189</v>
      </c>
      <c r="C118" s="846" t="s">
        <v>1126</v>
      </c>
      <c r="D118" s="625">
        <v>4</v>
      </c>
      <c r="F118" s="100"/>
      <c r="G118" s="100"/>
      <c r="H118" s="100"/>
      <c r="K118" s="536"/>
    </row>
    <row r="119" spans="1:17" ht="2.25" customHeight="1">
      <c r="C119" s="846"/>
      <c r="D119" s="100"/>
      <c r="F119" s="100"/>
      <c r="G119" s="100"/>
      <c r="H119" s="100"/>
    </row>
    <row r="120" spans="1:17">
      <c r="C120" s="845"/>
      <c r="D120" s="100"/>
      <c r="F120" s="100"/>
      <c r="G120" s="100"/>
      <c r="H120" s="100"/>
    </row>
    <row r="121" spans="1:17">
      <c r="C121" s="846"/>
      <c r="D121" s="100">
        <f>SUM(D122:D129)</f>
        <v>47</v>
      </c>
      <c r="F121" s="100"/>
      <c r="G121" s="100"/>
      <c r="H121" s="100"/>
      <c r="O121" s="1423" t="s">
        <v>391</v>
      </c>
      <c r="P121" s="189" t="s">
        <v>299</v>
      </c>
      <c r="Q121" s="189" t="s">
        <v>300</v>
      </c>
    </row>
    <row r="122" spans="1:17">
      <c r="A122" t="s">
        <v>32</v>
      </c>
      <c r="B122" t="s">
        <v>190</v>
      </c>
      <c r="C122" s="846" t="s">
        <v>1126</v>
      </c>
      <c r="D122" s="100">
        <v>2</v>
      </c>
      <c r="F122" s="100"/>
      <c r="G122" s="100"/>
      <c r="H122" s="100"/>
      <c r="O122" s="1423"/>
      <c r="P122" s="190">
        <f>SUM(P123:P126)</f>
        <v>170</v>
      </c>
      <c r="Q122" s="190">
        <f>SUM(Q123:Q126)</f>
        <v>133</v>
      </c>
    </row>
    <row r="123" spans="1:17" ht="15.5">
      <c r="A123" t="s">
        <v>32</v>
      </c>
      <c r="B123" t="s">
        <v>191</v>
      </c>
      <c r="C123" s="846" t="s">
        <v>428</v>
      </c>
      <c r="D123" s="100">
        <v>5</v>
      </c>
      <c r="F123" s="100"/>
      <c r="G123" s="100"/>
      <c r="H123" s="100"/>
      <c r="O123" s="111" t="s">
        <v>301</v>
      </c>
      <c r="P123" s="24">
        <v>31</v>
      </c>
      <c r="Q123" s="191">
        <v>28</v>
      </c>
    </row>
    <row r="124" spans="1:17" ht="15.5">
      <c r="A124" t="s">
        <v>32</v>
      </c>
      <c r="B124" t="s">
        <v>192</v>
      </c>
      <c r="C124" s="846" t="s">
        <v>428</v>
      </c>
      <c r="D124" s="100">
        <v>5</v>
      </c>
      <c r="F124" s="100"/>
      <c r="G124" s="100"/>
      <c r="H124" s="100"/>
      <c r="O124" s="111" t="s">
        <v>26</v>
      </c>
      <c r="P124" s="24">
        <v>27</v>
      </c>
      <c r="Q124" s="191">
        <v>22</v>
      </c>
    </row>
    <row r="125" spans="1:17" ht="15.5">
      <c r="A125" t="s">
        <v>32</v>
      </c>
      <c r="B125" t="s">
        <v>193</v>
      </c>
      <c r="C125" s="846" t="s">
        <v>428</v>
      </c>
      <c r="D125" s="917">
        <v>9</v>
      </c>
      <c r="F125" s="100"/>
      <c r="G125" s="100"/>
      <c r="H125" s="100"/>
      <c r="K125" s="917">
        <v>7</v>
      </c>
      <c r="O125" s="111" t="s">
        <v>295</v>
      </c>
      <c r="P125" s="24">
        <v>28</v>
      </c>
      <c r="Q125" s="191">
        <v>20</v>
      </c>
    </row>
    <row r="126" spans="1:17">
      <c r="A126" t="s">
        <v>32</v>
      </c>
      <c r="B126" t="s">
        <v>194</v>
      </c>
      <c r="C126" s="846" t="s">
        <v>1126</v>
      </c>
      <c r="D126" s="917">
        <v>6</v>
      </c>
      <c r="F126" s="100"/>
      <c r="G126" s="100"/>
      <c r="H126" s="100"/>
      <c r="K126" s="917">
        <v>6</v>
      </c>
      <c r="O126" s="111" t="s">
        <v>392</v>
      </c>
      <c r="P126" s="24">
        <f>SUM(P127:P151)</f>
        <v>84</v>
      </c>
      <c r="Q126" s="24">
        <f>SUM(Q127:Q151)</f>
        <v>63</v>
      </c>
    </row>
    <row r="127" spans="1:17" ht="15.5">
      <c r="A127" t="s">
        <v>32</v>
      </c>
      <c r="B127" t="s">
        <v>195</v>
      </c>
      <c r="C127" s="846" t="s">
        <v>1132</v>
      </c>
      <c r="D127" s="917">
        <v>8</v>
      </c>
      <c r="F127" s="100"/>
      <c r="G127" s="100"/>
      <c r="H127" s="100"/>
      <c r="K127" s="917">
        <v>6</v>
      </c>
      <c r="O127" s="927" t="s">
        <v>393</v>
      </c>
      <c r="P127" s="192">
        <v>1</v>
      </c>
      <c r="Q127" s="193">
        <v>1</v>
      </c>
    </row>
    <row r="128" spans="1:17" ht="15.5">
      <c r="B128" t="s">
        <v>287</v>
      </c>
      <c r="C128" s="846"/>
      <c r="D128" s="100">
        <v>6</v>
      </c>
      <c r="F128" s="100"/>
      <c r="G128" s="100"/>
      <c r="H128" s="100"/>
      <c r="K128" s="917"/>
      <c r="O128" s="927"/>
      <c r="P128" s="192"/>
      <c r="Q128" s="193"/>
    </row>
    <row r="129" spans="1:17" ht="15.5">
      <c r="A129" t="s">
        <v>32</v>
      </c>
      <c r="B129" t="s">
        <v>196</v>
      </c>
      <c r="C129" s="846" t="s">
        <v>1132</v>
      </c>
      <c r="D129" s="917">
        <v>6</v>
      </c>
      <c r="F129" s="100"/>
      <c r="G129" s="100"/>
      <c r="H129" s="100"/>
      <c r="K129" s="917">
        <v>4</v>
      </c>
      <c r="O129" s="927" t="s">
        <v>394</v>
      </c>
      <c r="P129" s="192">
        <v>1</v>
      </c>
      <c r="Q129" s="194" t="s">
        <v>395</v>
      </c>
    </row>
    <row r="130" spans="1:17" ht="15.5">
      <c r="A130" t="s">
        <v>32</v>
      </c>
      <c r="C130" s="845"/>
      <c r="D130" s="100">
        <f>SUM(D122:D129)</f>
        <v>47</v>
      </c>
      <c r="F130" s="100"/>
      <c r="G130" s="100"/>
      <c r="H130" s="100"/>
      <c r="O130" s="927" t="s">
        <v>396</v>
      </c>
      <c r="P130" s="192">
        <v>6</v>
      </c>
      <c r="Q130" s="193">
        <v>3</v>
      </c>
    </row>
    <row r="131" spans="1:17" ht="15.5">
      <c r="A131" t="s">
        <v>32</v>
      </c>
      <c r="B131" s="132" t="s">
        <v>33</v>
      </c>
      <c r="C131" s="846"/>
      <c r="D131" s="100">
        <f>SUM(D132:D142)</f>
        <v>10</v>
      </c>
      <c r="F131" s="100"/>
      <c r="G131" s="100"/>
      <c r="H131" s="100"/>
      <c r="O131" s="927" t="s">
        <v>397</v>
      </c>
      <c r="P131" s="192">
        <v>1</v>
      </c>
      <c r="Q131" s="193">
        <v>1</v>
      </c>
    </row>
    <row r="132" spans="1:17" ht="15.5">
      <c r="A132" t="s">
        <v>32</v>
      </c>
      <c r="B132" s="132" t="s">
        <v>197</v>
      </c>
      <c r="C132" s="846" t="s">
        <v>428</v>
      </c>
      <c r="D132" s="45">
        <v>1</v>
      </c>
      <c r="F132" s="100"/>
      <c r="G132" s="100"/>
      <c r="H132" s="100"/>
      <c r="K132" s="130"/>
      <c r="O132" s="927" t="s">
        <v>398</v>
      </c>
      <c r="P132" s="192">
        <v>7</v>
      </c>
      <c r="Q132" s="193">
        <v>6</v>
      </c>
    </row>
    <row r="133" spans="1:17" ht="15.5">
      <c r="A133" t="s">
        <v>32</v>
      </c>
      <c r="B133" s="132" t="s">
        <v>168</v>
      </c>
      <c r="C133" s="846" t="s">
        <v>1132</v>
      </c>
      <c r="D133" s="45">
        <v>2</v>
      </c>
      <c r="F133" s="100"/>
      <c r="G133" s="100"/>
      <c r="H133" s="100"/>
      <c r="K133" s="130"/>
      <c r="O133" s="927" t="s">
        <v>399</v>
      </c>
      <c r="P133" s="192">
        <v>1</v>
      </c>
      <c r="Q133" s="193">
        <v>1</v>
      </c>
    </row>
    <row r="134" spans="1:17" ht="15.5">
      <c r="A134" t="s">
        <v>32</v>
      </c>
      <c r="B134" s="132" t="s">
        <v>198</v>
      </c>
      <c r="C134" s="846" t="s">
        <v>428</v>
      </c>
      <c r="D134" s="45">
        <v>1</v>
      </c>
      <c r="F134" s="100"/>
      <c r="G134" s="100"/>
      <c r="H134" s="100"/>
      <c r="K134" s="130"/>
      <c r="O134" s="927" t="s">
        <v>400</v>
      </c>
      <c r="P134" s="192">
        <v>3</v>
      </c>
      <c r="Q134" s="193">
        <v>2</v>
      </c>
    </row>
    <row r="135" spans="1:17" ht="15.5">
      <c r="A135" t="s">
        <v>32</v>
      </c>
      <c r="B135" s="132" t="s">
        <v>199</v>
      </c>
      <c r="C135" s="846" t="s">
        <v>428</v>
      </c>
      <c r="D135" s="45">
        <v>2</v>
      </c>
      <c r="F135" s="100"/>
      <c r="G135" s="100"/>
      <c r="H135" s="100"/>
      <c r="K135" s="130"/>
      <c r="O135" s="927" t="s">
        <v>401</v>
      </c>
      <c r="P135" s="192">
        <v>5</v>
      </c>
      <c r="Q135" s="193">
        <v>2</v>
      </c>
    </row>
    <row r="136" spans="1:17" ht="15.5">
      <c r="A136" t="s">
        <v>32</v>
      </c>
      <c r="B136" s="132" t="s">
        <v>200</v>
      </c>
      <c r="C136" s="846" t="s">
        <v>428</v>
      </c>
      <c r="D136" s="918" t="s">
        <v>176</v>
      </c>
      <c r="F136" s="100"/>
      <c r="G136" s="100"/>
      <c r="H136" s="100"/>
      <c r="K136" s="919"/>
      <c r="L136" s="100" t="s">
        <v>957</v>
      </c>
      <c r="O136" s="927" t="s">
        <v>402</v>
      </c>
      <c r="P136" s="192">
        <v>3</v>
      </c>
      <c r="Q136" s="193">
        <v>3</v>
      </c>
    </row>
    <row r="137" spans="1:17" ht="15.5">
      <c r="A137" t="s">
        <v>32</v>
      </c>
      <c r="B137" s="132" t="s">
        <v>175</v>
      </c>
      <c r="C137" s="846" t="s">
        <v>428</v>
      </c>
      <c r="D137" s="45">
        <v>1</v>
      </c>
      <c r="F137" s="100"/>
      <c r="G137" s="100"/>
      <c r="H137" s="100"/>
      <c r="K137" s="130"/>
      <c r="O137" s="927" t="s">
        <v>403</v>
      </c>
      <c r="P137" s="192">
        <v>4</v>
      </c>
      <c r="Q137" s="193">
        <v>3</v>
      </c>
    </row>
    <row r="138" spans="1:17" ht="15.5">
      <c r="A138" t="s">
        <v>32</v>
      </c>
      <c r="B138" s="132" t="s">
        <v>201</v>
      </c>
      <c r="C138" s="846" t="s">
        <v>428</v>
      </c>
      <c r="D138" s="45">
        <v>1</v>
      </c>
      <c r="F138" s="100"/>
      <c r="G138" s="100"/>
      <c r="H138" s="100"/>
      <c r="K138" s="130"/>
      <c r="O138" s="927" t="s">
        <v>404</v>
      </c>
      <c r="P138" s="192">
        <v>6</v>
      </c>
      <c r="Q138" s="193">
        <v>4</v>
      </c>
    </row>
    <row r="139" spans="1:17" ht="15.5">
      <c r="A139" t="s">
        <v>32</v>
      </c>
      <c r="B139" s="132" t="s">
        <v>202</v>
      </c>
      <c r="C139" s="846" t="s">
        <v>428</v>
      </c>
      <c r="D139" s="45">
        <v>1</v>
      </c>
      <c r="F139" s="100"/>
      <c r="G139" s="100"/>
      <c r="H139" s="100"/>
      <c r="K139" s="130"/>
      <c r="O139" s="927" t="s">
        <v>405</v>
      </c>
      <c r="P139" s="192">
        <v>4</v>
      </c>
      <c r="Q139" s="193">
        <v>0</v>
      </c>
    </row>
    <row r="140" spans="1:17" ht="15.5">
      <c r="A140" t="s">
        <v>32</v>
      </c>
      <c r="B140" s="132" t="s">
        <v>203</v>
      </c>
      <c r="C140" s="846" t="s">
        <v>428</v>
      </c>
      <c r="D140" s="45">
        <v>1</v>
      </c>
      <c r="F140" s="100"/>
      <c r="G140" s="100"/>
      <c r="H140" s="100"/>
      <c r="K140" s="130"/>
      <c r="O140" s="927" t="s">
        <v>406</v>
      </c>
      <c r="P140" s="192">
        <v>2</v>
      </c>
      <c r="Q140" s="193">
        <v>2</v>
      </c>
    </row>
    <row r="141" spans="1:17" ht="15.5">
      <c r="A141" t="s">
        <v>32</v>
      </c>
      <c r="B141" s="315" t="s">
        <v>204</v>
      </c>
      <c r="C141" s="847"/>
      <c r="D141" s="920" t="s">
        <v>176</v>
      </c>
      <c r="F141" s="100"/>
      <c r="G141" s="100"/>
      <c r="H141" s="100"/>
      <c r="K141" s="921"/>
      <c r="O141" s="927" t="s">
        <v>407</v>
      </c>
      <c r="P141" s="192">
        <v>1</v>
      </c>
      <c r="Q141" s="195"/>
    </row>
    <row r="142" spans="1:17" ht="15.5">
      <c r="A142" t="s">
        <v>32</v>
      </c>
      <c r="B142" s="132" t="s">
        <v>205</v>
      </c>
      <c r="C142" s="847"/>
      <c r="D142" s="920" t="s">
        <v>176</v>
      </c>
      <c r="F142" s="100"/>
      <c r="G142" s="100"/>
      <c r="H142" s="100"/>
      <c r="K142" s="921"/>
      <c r="O142" s="927" t="s">
        <v>408</v>
      </c>
      <c r="P142" s="192">
        <v>9</v>
      </c>
      <c r="Q142" s="193">
        <v>8</v>
      </c>
    </row>
    <row r="143" spans="1:17" ht="15.5">
      <c r="C143" s="845"/>
      <c r="D143" s="100"/>
      <c r="F143" s="100"/>
      <c r="G143" s="100"/>
      <c r="H143" s="100"/>
      <c r="O143" s="927" t="s">
        <v>409</v>
      </c>
      <c r="P143" s="192">
        <v>6</v>
      </c>
      <c r="Q143" s="193">
        <v>2</v>
      </c>
    </row>
    <row r="144" spans="1:17" ht="15.5">
      <c r="C144" s="846"/>
      <c r="D144" s="100"/>
      <c r="F144" s="100"/>
      <c r="G144" s="100"/>
      <c r="H144" s="100"/>
      <c r="O144" s="927" t="s">
        <v>410</v>
      </c>
      <c r="P144" s="192">
        <v>8</v>
      </c>
      <c r="Q144" s="193">
        <v>7</v>
      </c>
    </row>
    <row r="145" spans="1:24" ht="15.5">
      <c r="C145" s="846"/>
      <c r="D145" s="100"/>
      <c r="F145" s="100"/>
      <c r="G145" s="100"/>
      <c r="H145" s="100"/>
      <c r="O145" s="927" t="s">
        <v>411</v>
      </c>
      <c r="P145" s="192">
        <v>10</v>
      </c>
      <c r="Q145" s="193">
        <v>9</v>
      </c>
    </row>
    <row r="146" spans="1:24" ht="15.5">
      <c r="C146" s="846"/>
      <c r="D146" s="100"/>
      <c r="F146" s="100"/>
      <c r="G146" s="100"/>
      <c r="H146" s="100"/>
      <c r="O146" s="928" t="s">
        <v>412</v>
      </c>
      <c r="P146" s="192">
        <v>2</v>
      </c>
      <c r="Q146" s="193">
        <v>2</v>
      </c>
    </row>
    <row r="147" spans="1:24" ht="15.5">
      <c r="C147" s="846"/>
      <c r="D147" s="100"/>
      <c r="F147" s="100"/>
      <c r="G147" s="100"/>
      <c r="H147" s="100"/>
      <c r="O147" s="928" t="s">
        <v>413</v>
      </c>
      <c r="P147" s="192">
        <v>1</v>
      </c>
      <c r="Q147" s="193">
        <v>1</v>
      </c>
    </row>
    <row r="148" spans="1:24" ht="15.5">
      <c r="A148" t="s">
        <v>49</v>
      </c>
      <c r="B148" s="150" t="s">
        <v>206</v>
      </c>
      <c r="C148" s="846"/>
      <c r="D148" s="100"/>
      <c r="F148" s="100"/>
      <c r="G148" s="100"/>
      <c r="H148" s="100"/>
      <c r="O148" s="928" t="s">
        <v>121</v>
      </c>
      <c r="P148" s="192">
        <v>0</v>
      </c>
      <c r="Q148" s="193">
        <v>1</v>
      </c>
    </row>
    <row r="149" spans="1:24" ht="15.5">
      <c r="A149" t="s">
        <v>49</v>
      </c>
      <c r="B149" s="150" t="s">
        <v>207</v>
      </c>
      <c r="C149" s="846"/>
      <c r="D149" s="100"/>
      <c r="F149" s="100"/>
      <c r="G149" s="100"/>
      <c r="H149" s="100"/>
      <c r="O149" s="928" t="s">
        <v>414</v>
      </c>
      <c r="P149" s="192">
        <v>1</v>
      </c>
      <c r="Q149" s="193">
        <v>2</v>
      </c>
    </row>
    <row r="150" spans="1:24" ht="15.5">
      <c r="A150" t="s">
        <v>49</v>
      </c>
      <c r="B150" s="150" t="s">
        <v>208</v>
      </c>
      <c r="C150" s="846"/>
      <c r="D150" s="100"/>
      <c r="F150" s="100"/>
      <c r="G150" s="100"/>
      <c r="H150" s="100"/>
      <c r="O150" s="928" t="s">
        <v>415</v>
      </c>
      <c r="P150" s="192">
        <v>1</v>
      </c>
      <c r="Q150" s="193">
        <v>1</v>
      </c>
    </row>
    <row r="151" spans="1:24" ht="15.5">
      <c r="A151" t="s">
        <v>49</v>
      </c>
      <c r="B151" s="150" t="s">
        <v>209</v>
      </c>
      <c r="C151" s="846"/>
      <c r="D151" s="100"/>
      <c r="F151" s="100"/>
      <c r="G151" s="100"/>
      <c r="H151" s="100"/>
      <c r="O151" s="928" t="s">
        <v>416</v>
      </c>
      <c r="P151" s="192">
        <v>1</v>
      </c>
      <c r="Q151" s="193">
        <v>2</v>
      </c>
    </row>
    <row r="152" spans="1:24">
      <c r="A152" t="s">
        <v>49</v>
      </c>
      <c r="B152" s="150" t="s">
        <v>210</v>
      </c>
      <c r="C152" s="846"/>
      <c r="D152" s="100"/>
      <c r="F152" s="100"/>
      <c r="G152" s="100"/>
      <c r="H152" s="100"/>
    </row>
    <row r="153" spans="1:24">
      <c r="A153" t="s">
        <v>49</v>
      </c>
      <c r="B153" s="150" t="s">
        <v>211</v>
      </c>
      <c r="C153" s="846"/>
      <c r="D153" s="100"/>
      <c r="F153" s="100"/>
      <c r="G153" s="100"/>
      <c r="H153" s="100"/>
    </row>
    <row r="154" spans="1:24" ht="15.5">
      <c r="A154" t="s">
        <v>49</v>
      </c>
      <c r="B154" s="150" t="s">
        <v>212</v>
      </c>
      <c r="C154" s="846"/>
      <c r="D154" s="100"/>
      <c r="F154" s="100"/>
      <c r="G154" s="100"/>
      <c r="H154" s="100"/>
      <c r="O154" s="1426" t="s">
        <v>476</v>
      </c>
      <c r="P154" s="1426"/>
      <c r="Q154" s="1426"/>
    </row>
    <row r="155" spans="1:24" ht="15.75" customHeight="1">
      <c r="A155" t="s">
        <v>49</v>
      </c>
      <c r="B155" s="150" t="s">
        <v>213</v>
      </c>
      <c r="C155" s="846"/>
      <c r="D155" s="100"/>
      <c r="F155" s="100"/>
      <c r="G155" s="100"/>
      <c r="H155" s="100"/>
      <c r="O155" s="1424" t="s">
        <v>417</v>
      </c>
      <c r="P155" s="196" t="s">
        <v>299</v>
      </c>
      <c r="Q155" s="196" t="s">
        <v>300</v>
      </c>
      <c r="T155" s="1429" t="s">
        <v>476</v>
      </c>
      <c r="U155" s="1429"/>
      <c r="V155" s="1429"/>
      <c r="W155" s="1429"/>
    </row>
    <row r="156" spans="1:24">
      <c r="A156" t="s">
        <v>49</v>
      </c>
      <c r="B156" s="150" t="s">
        <v>214</v>
      </c>
      <c r="C156" s="846"/>
      <c r="D156" s="100"/>
      <c r="F156" s="100"/>
      <c r="G156" s="100"/>
      <c r="H156" s="100"/>
      <c r="O156" s="1425"/>
      <c r="P156" s="196" t="s">
        <v>418</v>
      </c>
      <c r="Q156" s="196" t="s">
        <v>418</v>
      </c>
      <c r="T156" s="93" t="s">
        <v>435</v>
      </c>
      <c r="U156" s="93" t="s">
        <v>436</v>
      </c>
      <c r="V156" s="93" t="s">
        <v>0</v>
      </c>
      <c r="W156" s="93" t="s">
        <v>470</v>
      </c>
    </row>
    <row r="157" spans="1:24">
      <c r="A157" t="s">
        <v>49</v>
      </c>
      <c r="B157" s="150" t="s">
        <v>215</v>
      </c>
      <c r="C157" s="846"/>
      <c r="D157" s="100"/>
      <c r="F157" s="100"/>
      <c r="G157" s="100"/>
      <c r="H157" s="100"/>
      <c r="O157" s="119" t="s">
        <v>419</v>
      </c>
      <c r="P157" s="30">
        <v>10</v>
      </c>
      <c r="Q157" s="30">
        <v>10</v>
      </c>
      <c r="T157" s="4">
        <v>1</v>
      </c>
      <c r="U157" s="13" t="s">
        <v>471</v>
      </c>
      <c r="V157" s="13" t="s">
        <v>425</v>
      </c>
      <c r="W157" s="357">
        <v>12</v>
      </c>
      <c r="X157" s="349">
        <f>4*3</f>
        <v>12</v>
      </c>
    </row>
    <row r="158" spans="1:24">
      <c r="A158" t="s">
        <v>49</v>
      </c>
      <c r="B158" s="150" t="s">
        <v>121</v>
      </c>
      <c r="C158" s="846"/>
      <c r="D158" s="100"/>
      <c r="F158" s="100"/>
      <c r="G158" s="100"/>
      <c r="H158" s="100"/>
      <c r="O158" s="119" t="s">
        <v>420</v>
      </c>
      <c r="P158" s="30">
        <v>7</v>
      </c>
      <c r="Q158" s="30">
        <v>7</v>
      </c>
      <c r="T158" s="4">
        <v>2</v>
      </c>
      <c r="U158" s="13" t="s">
        <v>472</v>
      </c>
      <c r="V158" s="13" t="s">
        <v>425</v>
      </c>
      <c r="W158" s="357">
        <v>7</v>
      </c>
      <c r="X158" s="349">
        <f>2*3</f>
        <v>6</v>
      </c>
    </row>
    <row r="159" spans="1:24">
      <c r="A159" t="s">
        <v>49</v>
      </c>
      <c r="B159" s="150" t="s">
        <v>216</v>
      </c>
      <c r="C159" s="846"/>
      <c r="D159" s="100"/>
      <c r="F159" s="100"/>
      <c r="G159" s="100"/>
      <c r="H159" s="100"/>
      <c r="O159" s="119" t="s">
        <v>421</v>
      </c>
      <c r="P159" s="30">
        <v>7</v>
      </c>
      <c r="Q159" s="197">
        <v>8</v>
      </c>
      <c r="T159" s="4">
        <v>3</v>
      </c>
      <c r="U159" s="13" t="s">
        <v>473</v>
      </c>
      <c r="V159" s="13" t="s">
        <v>425</v>
      </c>
      <c r="W159" s="357">
        <v>14</v>
      </c>
      <c r="X159" s="349">
        <f>14</f>
        <v>14</v>
      </c>
    </row>
    <row r="160" spans="1:24">
      <c r="A160" t="s">
        <v>49</v>
      </c>
      <c r="B160" s="150" t="s">
        <v>122</v>
      </c>
      <c r="C160" s="846"/>
      <c r="D160" s="100"/>
      <c r="F160" s="100"/>
      <c r="G160" s="100"/>
      <c r="H160" s="100"/>
      <c r="O160" s="119" t="s">
        <v>422</v>
      </c>
      <c r="P160" s="30">
        <v>29</v>
      </c>
      <c r="Q160" s="30">
        <v>29</v>
      </c>
      <c r="T160" s="4">
        <v>4</v>
      </c>
      <c r="U160" s="13" t="s">
        <v>474</v>
      </c>
      <c r="V160" s="13" t="s">
        <v>425</v>
      </c>
      <c r="W160" s="357">
        <v>9</v>
      </c>
      <c r="X160" s="349">
        <f>3*3</f>
        <v>9</v>
      </c>
    </row>
    <row r="161" spans="1:27">
      <c r="A161" t="s">
        <v>49</v>
      </c>
      <c r="B161" s="151" t="s">
        <v>159</v>
      </c>
      <c r="C161" s="846"/>
      <c r="D161" s="100"/>
      <c r="F161" s="100"/>
      <c r="G161" s="100"/>
      <c r="H161" s="100"/>
      <c r="O161" s="119" t="s">
        <v>423</v>
      </c>
      <c r="P161" s="30">
        <v>17</v>
      </c>
      <c r="Q161" s="197">
        <v>19</v>
      </c>
      <c r="T161" s="4">
        <v>5</v>
      </c>
      <c r="U161" s="13" t="s">
        <v>437</v>
      </c>
      <c r="V161" s="13" t="s">
        <v>425</v>
      </c>
      <c r="W161" s="362">
        <v>6</v>
      </c>
      <c r="X161" s="349">
        <f>2*3</f>
        <v>6</v>
      </c>
    </row>
    <row r="162" spans="1:27">
      <c r="C162" s="846"/>
      <c r="E162" s="100"/>
      <c r="F162" s="100"/>
      <c r="G162" s="100"/>
      <c r="H162" s="100"/>
      <c r="O162" s="119" t="s">
        <v>424</v>
      </c>
      <c r="P162" s="30">
        <v>42</v>
      </c>
      <c r="Q162" s="197">
        <v>47</v>
      </c>
      <c r="T162" s="4">
        <v>6</v>
      </c>
      <c r="U162" s="13" t="s">
        <v>438</v>
      </c>
      <c r="V162" s="13" t="s">
        <v>425</v>
      </c>
      <c r="W162" s="357">
        <v>6</v>
      </c>
      <c r="X162" s="349">
        <f>2*1+1</f>
        <v>3</v>
      </c>
      <c r="Z162" t="s">
        <v>653</v>
      </c>
      <c r="AA162" t="s">
        <v>652</v>
      </c>
    </row>
    <row r="163" spans="1:27" ht="15.5">
      <c r="C163" s="846"/>
      <c r="E163" s="100"/>
      <c r="F163" s="100"/>
      <c r="G163" s="100"/>
      <c r="H163" s="100"/>
      <c r="O163" s="119" t="s">
        <v>425</v>
      </c>
      <c r="P163" s="30">
        <v>49</v>
      </c>
      <c r="Q163" s="197">
        <v>55</v>
      </c>
      <c r="T163" s="4">
        <v>7</v>
      </c>
      <c r="U163" s="199" t="s">
        <v>439</v>
      </c>
      <c r="V163" s="13" t="s">
        <v>425</v>
      </c>
      <c r="W163" s="357">
        <v>1</v>
      </c>
      <c r="X163" s="349">
        <v>1</v>
      </c>
    </row>
    <row r="164" spans="1:27" ht="15.5">
      <c r="C164" s="846"/>
      <c r="E164" s="100"/>
      <c r="F164" s="100"/>
      <c r="G164" s="100"/>
      <c r="H164" s="100"/>
      <c r="O164" s="119" t="s">
        <v>426</v>
      </c>
      <c r="P164" s="30">
        <v>4</v>
      </c>
      <c r="Q164" s="30">
        <v>4</v>
      </c>
      <c r="T164" s="4"/>
      <c r="U164" s="200"/>
      <c r="V164" s="13"/>
      <c r="W164" s="357"/>
      <c r="X164" s="348"/>
    </row>
    <row r="165" spans="1:27">
      <c r="C165" s="846"/>
      <c r="E165" s="100"/>
      <c r="F165" s="100"/>
      <c r="G165" s="100"/>
      <c r="H165" s="100"/>
      <c r="O165" s="119" t="s">
        <v>427</v>
      </c>
      <c r="P165" s="30">
        <v>3</v>
      </c>
      <c r="Q165" s="30">
        <v>3</v>
      </c>
      <c r="T165" s="4"/>
      <c r="U165" s="13"/>
      <c r="V165" s="13"/>
      <c r="W165" s="362"/>
      <c r="X165" s="348"/>
    </row>
    <row r="166" spans="1:27">
      <c r="F166" s="100"/>
      <c r="G166" s="100"/>
      <c r="H166" s="100"/>
      <c r="O166" s="119" t="s">
        <v>265</v>
      </c>
      <c r="P166" s="30">
        <f>SUM(P157:P165)</f>
        <v>168</v>
      </c>
      <c r="Q166" s="30">
        <f>SUM(Q157:Q165)</f>
        <v>182</v>
      </c>
      <c r="T166" s="4">
        <v>8</v>
      </c>
      <c r="U166" s="201" t="s">
        <v>440</v>
      </c>
      <c r="V166" s="13" t="s">
        <v>419</v>
      </c>
      <c r="W166" s="357">
        <v>1</v>
      </c>
      <c r="X166" s="349">
        <v>1</v>
      </c>
    </row>
    <row r="167" spans="1:27">
      <c r="B167" s="161" t="s">
        <v>478</v>
      </c>
      <c r="C167" s="163"/>
      <c r="F167" s="346"/>
      <c r="G167" s="349"/>
      <c r="H167" s="846"/>
      <c r="I167" s="162"/>
      <c r="T167" s="4">
        <v>9</v>
      </c>
      <c r="U167" s="201" t="s">
        <v>441</v>
      </c>
      <c r="V167" s="13" t="s">
        <v>419</v>
      </c>
      <c r="W167" s="357">
        <v>4</v>
      </c>
      <c r="X167" s="349">
        <f>1*3+1</f>
        <v>4</v>
      </c>
    </row>
    <row r="168" spans="1:27">
      <c r="B168" s="159"/>
      <c r="C168" s="159" t="s">
        <v>300</v>
      </c>
      <c r="F168" s="346"/>
      <c r="G168" s="349"/>
      <c r="H168" s="846"/>
      <c r="I168" s="351" t="s">
        <v>299</v>
      </c>
      <c r="J168" s="100" t="s">
        <v>940</v>
      </c>
      <c r="K168" s="100" t="s">
        <v>941</v>
      </c>
      <c r="L168" s="100" t="s">
        <v>961</v>
      </c>
      <c r="O168" s="129" t="s">
        <v>428</v>
      </c>
      <c r="P168" s="30"/>
      <c r="Q168" s="30"/>
      <c r="T168" s="4">
        <v>10</v>
      </c>
      <c r="U168" s="13" t="s">
        <v>442</v>
      </c>
      <c r="V168" s="13" t="s">
        <v>419</v>
      </c>
      <c r="W168" s="357">
        <v>5</v>
      </c>
      <c r="X168" s="349">
        <f>5</f>
        <v>5</v>
      </c>
    </row>
    <row r="169" spans="1:27">
      <c r="A169" t="s">
        <v>296</v>
      </c>
      <c r="B169" s="30" t="s">
        <v>301</v>
      </c>
      <c r="C169" s="30">
        <v>5</v>
      </c>
      <c r="E169" s="149">
        <f>1*3</f>
        <v>3</v>
      </c>
      <c r="F169" s="346">
        <v>5</v>
      </c>
      <c r="G169" s="349">
        <v>3</v>
      </c>
      <c r="H169" s="846"/>
      <c r="I169" s="352">
        <v>5</v>
      </c>
      <c r="J169" s="625">
        <v>3</v>
      </c>
      <c r="M169" s="100">
        <v>4</v>
      </c>
      <c r="O169" s="119" t="s">
        <v>429</v>
      </c>
      <c r="P169" s="30"/>
      <c r="Q169" s="198">
        <v>1</v>
      </c>
      <c r="T169" s="15"/>
      <c r="U169" s="13"/>
      <c r="V169" s="13"/>
      <c r="W169" s="357"/>
      <c r="X169" s="348"/>
    </row>
    <row r="170" spans="1:27">
      <c r="A170" t="s">
        <v>296</v>
      </c>
      <c r="B170" s="30" t="s">
        <v>26</v>
      </c>
      <c r="C170" s="30">
        <v>4</v>
      </c>
      <c r="E170" s="149">
        <f>1*3</f>
        <v>3</v>
      </c>
      <c r="F170" s="346">
        <v>4</v>
      </c>
      <c r="G170" s="349">
        <v>3</v>
      </c>
      <c r="H170" s="846"/>
      <c r="I170" s="352">
        <v>4</v>
      </c>
      <c r="J170" s="625">
        <v>3</v>
      </c>
      <c r="M170" s="100">
        <v>4</v>
      </c>
      <c r="O170" s="119" t="s">
        <v>430</v>
      </c>
      <c r="P170" s="30">
        <v>1</v>
      </c>
      <c r="Q170" s="102">
        <v>1</v>
      </c>
      <c r="U170" s="13"/>
      <c r="V170" s="13"/>
      <c r="W170" s="357"/>
      <c r="X170" s="348"/>
    </row>
    <row r="171" spans="1:27">
      <c r="A171" t="s">
        <v>296</v>
      </c>
      <c r="B171" s="30" t="s">
        <v>31</v>
      </c>
      <c r="C171" s="30">
        <v>3</v>
      </c>
      <c r="E171" s="149">
        <f>1*3</f>
        <v>3</v>
      </c>
      <c r="F171" s="346">
        <v>3</v>
      </c>
      <c r="G171" s="349">
        <v>3</v>
      </c>
      <c r="H171" s="846"/>
      <c r="I171" s="352">
        <v>3</v>
      </c>
      <c r="J171" s="625">
        <v>3</v>
      </c>
      <c r="M171" s="100">
        <v>3</v>
      </c>
      <c r="O171" s="119" t="s">
        <v>431</v>
      </c>
      <c r="P171" s="30"/>
      <c r="Q171" s="198">
        <v>1</v>
      </c>
      <c r="T171" s="4">
        <v>11</v>
      </c>
      <c r="U171" s="202" t="s">
        <v>443</v>
      </c>
      <c r="V171" s="13" t="s">
        <v>424</v>
      </c>
      <c r="W171" s="363">
        <v>1</v>
      </c>
      <c r="X171" s="349">
        <v>1</v>
      </c>
    </row>
    <row r="172" spans="1:27">
      <c r="A172" t="s">
        <v>296</v>
      </c>
      <c r="B172" s="30" t="s">
        <v>32</v>
      </c>
      <c r="C172" s="30">
        <v>25</v>
      </c>
      <c r="D172" t="s">
        <v>479</v>
      </c>
      <c r="E172" s="149">
        <f>8*3</f>
        <v>24</v>
      </c>
      <c r="F172" s="346">
        <v>25</v>
      </c>
      <c r="G172" s="349">
        <v>24</v>
      </c>
      <c r="H172" s="846"/>
      <c r="I172" s="352">
        <v>33</v>
      </c>
      <c r="J172" s="625">
        <v>24</v>
      </c>
      <c r="L172" s="100" t="s">
        <v>891</v>
      </c>
      <c r="M172" s="100">
        <f>23+4</f>
        <v>27</v>
      </c>
      <c r="O172" s="119" t="s">
        <v>432</v>
      </c>
      <c r="P172" s="30"/>
      <c r="Q172" s="198">
        <v>1</v>
      </c>
      <c r="T172" s="4">
        <v>12</v>
      </c>
      <c r="U172" s="203" t="s">
        <v>444</v>
      </c>
      <c r="V172" s="13" t="s">
        <v>424</v>
      </c>
      <c r="W172" s="363">
        <v>3</v>
      </c>
      <c r="X172" s="349">
        <f>1*3</f>
        <v>3</v>
      </c>
    </row>
    <row r="173" spans="1:27">
      <c r="A173" t="s">
        <v>296</v>
      </c>
      <c r="B173" s="104" t="s">
        <v>295</v>
      </c>
      <c r="C173" s="104">
        <v>7</v>
      </c>
      <c r="E173" s="149">
        <f>2*3</f>
        <v>6</v>
      </c>
      <c r="F173" s="346">
        <v>7</v>
      </c>
      <c r="G173" s="349">
        <v>6</v>
      </c>
      <c r="H173" s="846"/>
      <c r="I173" s="353">
        <v>11</v>
      </c>
      <c r="K173" s="100">
        <v>6</v>
      </c>
      <c r="M173" s="100">
        <f>SUM(M169:M172)</f>
        <v>38</v>
      </c>
      <c r="O173" s="119" t="s">
        <v>433</v>
      </c>
      <c r="P173" s="30"/>
      <c r="Q173" s="198">
        <v>2</v>
      </c>
      <c r="T173" s="4">
        <v>13</v>
      </c>
      <c r="U173" s="203" t="s">
        <v>445</v>
      </c>
      <c r="V173" s="13" t="s">
        <v>424</v>
      </c>
      <c r="W173" s="363">
        <v>8</v>
      </c>
      <c r="X173" s="349">
        <f>2*3</f>
        <v>6</v>
      </c>
      <c r="AA173" t="s">
        <v>654</v>
      </c>
    </row>
    <row r="174" spans="1:27">
      <c r="A174" t="s">
        <v>296</v>
      </c>
      <c r="B174" s="13" t="s">
        <v>91</v>
      </c>
      <c r="C174" s="132">
        <f>SUM(C169:C173)</f>
        <v>44</v>
      </c>
      <c r="E174" s="149">
        <f>SUM(E169:E173)</f>
        <v>39</v>
      </c>
      <c r="F174" s="347">
        <f>SUM(F169:F173)</f>
        <v>44</v>
      </c>
      <c r="G174" s="350">
        <f>SUM(G169:G173)</f>
        <v>39</v>
      </c>
      <c r="H174" s="848"/>
      <c r="I174" s="354">
        <f>SUM(I169:I173)</f>
        <v>56</v>
      </c>
      <c r="J174" s="870">
        <f t="shared" ref="J174:K174" si="14">SUM(J169:J173)</f>
        <v>33</v>
      </c>
      <c r="K174" s="870">
        <f t="shared" si="14"/>
        <v>6</v>
      </c>
      <c r="O174" s="119" t="s">
        <v>434</v>
      </c>
      <c r="P174" s="30">
        <v>1</v>
      </c>
      <c r="Q174" s="102">
        <v>1</v>
      </c>
      <c r="T174" s="4">
        <v>14</v>
      </c>
      <c r="U174" s="203" t="s">
        <v>446</v>
      </c>
      <c r="V174" s="13" t="s">
        <v>424</v>
      </c>
      <c r="W174" s="363">
        <v>30</v>
      </c>
      <c r="X174" s="349">
        <f>8*3</f>
        <v>24</v>
      </c>
      <c r="AA174" t="s">
        <v>658</v>
      </c>
    </row>
    <row r="175" spans="1:27">
      <c r="F175" s="346"/>
      <c r="G175" s="349"/>
      <c r="H175" s="846"/>
      <c r="O175" s="152"/>
      <c r="Q175" s="102">
        <f>SUM(Q169:Q174)</f>
        <v>7</v>
      </c>
      <c r="T175" s="4">
        <v>15</v>
      </c>
      <c r="U175" s="203" t="s">
        <v>447</v>
      </c>
      <c r="V175" s="13" t="s">
        <v>424</v>
      </c>
      <c r="W175" s="363">
        <v>3</v>
      </c>
      <c r="X175" s="349">
        <f>1*1</f>
        <v>1</v>
      </c>
      <c r="AA175" t="s">
        <v>655</v>
      </c>
    </row>
    <row r="176" spans="1:27">
      <c r="B176" s="161" t="s">
        <v>609</v>
      </c>
      <c r="C176" s="163"/>
      <c r="F176" s="346"/>
      <c r="G176" s="349"/>
      <c r="H176" s="846"/>
      <c r="I176" s="162"/>
      <c r="Q176">
        <f>Q175+Q166</f>
        <v>189</v>
      </c>
      <c r="T176" s="4"/>
      <c r="U176" s="203" t="s">
        <v>448</v>
      </c>
      <c r="V176" s="13" t="s">
        <v>424</v>
      </c>
      <c r="W176" s="363">
        <v>2</v>
      </c>
      <c r="X176" s="349">
        <f>1*1</f>
        <v>1</v>
      </c>
      <c r="AA176" t="s">
        <v>656</v>
      </c>
    </row>
    <row r="177" spans="1:28">
      <c r="B177" s="159"/>
      <c r="C177" s="159" t="s">
        <v>300</v>
      </c>
      <c r="F177" s="346"/>
      <c r="G177" s="349"/>
      <c r="H177" s="846"/>
      <c r="I177" s="351" t="s">
        <v>299</v>
      </c>
      <c r="T177" s="13"/>
      <c r="U177" s="13"/>
      <c r="V177" s="13"/>
      <c r="W177" s="357"/>
      <c r="X177" s="349"/>
    </row>
    <row r="178" spans="1:28">
      <c r="A178" t="s">
        <v>297</v>
      </c>
      <c r="B178" s="30" t="s">
        <v>302</v>
      </c>
      <c r="C178" s="30">
        <v>11</v>
      </c>
      <c r="E178" s="149">
        <f>3*3</f>
        <v>9</v>
      </c>
      <c r="F178" s="346">
        <f>C178</f>
        <v>11</v>
      </c>
      <c r="G178" s="349">
        <v>9</v>
      </c>
      <c r="H178" s="846"/>
      <c r="I178" s="352">
        <v>14</v>
      </c>
      <c r="J178" s="625">
        <v>9</v>
      </c>
      <c r="T178" s="33">
        <v>16</v>
      </c>
      <c r="U178" s="203" t="s">
        <v>446</v>
      </c>
      <c r="V178" s="45" t="s">
        <v>426</v>
      </c>
      <c r="W178" s="363">
        <v>2</v>
      </c>
      <c r="X178" s="349">
        <f>1*2</f>
        <v>2</v>
      </c>
    </row>
    <row r="179" spans="1:28">
      <c r="A179" t="s">
        <v>297</v>
      </c>
      <c r="B179" s="30" t="s">
        <v>303</v>
      </c>
      <c r="C179" s="30">
        <v>0</v>
      </c>
      <c r="E179" s="149">
        <v>0</v>
      </c>
      <c r="F179" s="346">
        <f t="shared" ref="F179:F183" si="15">C179</f>
        <v>0</v>
      </c>
      <c r="G179" s="349">
        <v>0</v>
      </c>
      <c r="H179" s="846"/>
      <c r="I179" s="352">
        <v>10</v>
      </c>
      <c r="J179" s="625">
        <v>0</v>
      </c>
      <c r="T179" s="33">
        <v>17</v>
      </c>
      <c r="U179" s="13" t="s">
        <v>449</v>
      </c>
      <c r="V179" s="45" t="s">
        <v>426</v>
      </c>
      <c r="W179" s="357">
        <v>1</v>
      </c>
      <c r="X179" s="349">
        <f>1</f>
        <v>1</v>
      </c>
    </row>
    <row r="180" spans="1:28">
      <c r="A180" t="s">
        <v>297</v>
      </c>
      <c r="B180" s="30" t="s">
        <v>305</v>
      </c>
      <c r="C180" s="30">
        <v>0</v>
      </c>
      <c r="E180" s="149">
        <v>0</v>
      </c>
      <c r="F180" s="346">
        <f t="shared" si="15"/>
        <v>0</v>
      </c>
      <c r="G180" s="349">
        <v>0</v>
      </c>
      <c r="H180" s="846"/>
      <c r="I180" s="352">
        <v>4</v>
      </c>
      <c r="J180" s="625">
        <v>0</v>
      </c>
      <c r="O180" s="1430" t="s">
        <v>475</v>
      </c>
      <c r="P180" s="311" t="s">
        <v>299</v>
      </c>
      <c r="Q180" s="311" t="s">
        <v>300</v>
      </c>
      <c r="T180" s="33">
        <v>18</v>
      </c>
      <c r="U180" s="13" t="s">
        <v>450</v>
      </c>
      <c r="V180" s="45" t="s">
        <v>426</v>
      </c>
      <c r="W180" s="357">
        <v>1</v>
      </c>
      <c r="X180" s="349">
        <v>1</v>
      </c>
    </row>
    <row r="181" spans="1:28">
      <c r="A181" t="s">
        <v>297</v>
      </c>
      <c r="B181" s="30" t="s">
        <v>306</v>
      </c>
      <c r="C181" s="30">
        <v>63</v>
      </c>
      <c r="E181" s="149">
        <f>21*3</f>
        <v>63</v>
      </c>
      <c r="F181" s="346">
        <f t="shared" si="15"/>
        <v>63</v>
      </c>
      <c r="G181" s="349">
        <v>63</v>
      </c>
      <c r="H181" s="846"/>
      <c r="I181" s="352">
        <v>54</v>
      </c>
      <c r="J181" s="625">
        <v>63</v>
      </c>
      <c r="O181" s="1431"/>
      <c r="P181" s="312">
        <f>SUM(P182:P187)</f>
        <v>87</v>
      </c>
      <c r="Q181" s="312">
        <f>SUM(Q182:Q187)</f>
        <v>79</v>
      </c>
      <c r="T181" s="33"/>
      <c r="U181" s="13"/>
      <c r="V181" s="45"/>
      <c r="W181" s="357"/>
      <c r="X181" s="348"/>
    </row>
    <row r="182" spans="1:28">
      <c r="A182" t="s">
        <v>297</v>
      </c>
      <c r="B182" s="30" t="s">
        <v>295</v>
      </c>
      <c r="C182" s="309">
        <f>SUM(M182:M187)</f>
        <v>19</v>
      </c>
      <c r="E182" s="149">
        <f>6*3</f>
        <v>18</v>
      </c>
      <c r="F182" s="346">
        <f t="shared" si="15"/>
        <v>19</v>
      </c>
      <c r="G182" s="349">
        <v>18</v>
      </c>
      <c r="H182" s="846"/>
      <c r="I182" s="352">
        <v>44</v>
      </c>
      <c r="K182" s="625">
        <v>17</v>
      </c>
      <c r="L182" s="625" t="s">
        <v>384</v>
      </c>
      <c r="M182" s="625">
        <v>3</v>
      </c>
      <c r="O182" s="45" t="s">
        <v>301</v>
      </c>
      <c r="P182" s="13">
        <v>13</v>
      </c>
      <c r="Q182" s="13">
        <v>11</v>
      </c>
      <c r="R182" s="13">
        <v>9</v>
      </c>
      <c r="S182">
        <f>R182*0.83</f>
        <v>7.47</v>
      </c>
      <c r="T182" s="33"/>
      <c r="U182" s="13"/>
      <c r="V182" s="13"/>
      <c r="W182" s="357"/>
      <c r="X182" s="348"/>
    </row>
    <row r="183" spans="1:28">
      <c r="A183" t="s">
        <v>297</v>
      </c>
      <c r="B183" s="30" t="s">
        <v>307</v>
      </c>
      <c r="C183" s="30">
        <v>32</v>
      </c>
      <c r="E183" s="149">
        <f>10*3</f>
        <v>30</v>
      </c>
      <c r="F183" s="346">
        <f t="shared" si="15"/>
        <v>32</v>
      </c>
      <c r="G183" s="349">
        <v>30</v>
      </c>
      <c r="H183" s="846"/>
      <c r="I183" s="352">
        <v>23</v>
      </c>
      <c r="L183" s="625" t="s">
        <v>385</v>
      </c>
      <c r="M183" s="625">
        <v>3</v>
      </c>
      <c r="O183" s="45" t="s">
        <v>26</v>
      </c>
      <c r="P183" s="13">
        <v>5</v>
      </c>
      <c r="Q183" s="13">
        <v>12</v>
      </c>
      <c r="R183" s="13">
        <v>12</v>
      </c>
      <c r="S183">
        <f>R183*0.83+3</f>
        <v>12.959999999999999</v>
      </c>
      <c r="T183" s="33">
        <v>19</v>
      </c>
      <c r="U183" s="203" t="s">
        <v>451</v>
      </c>
      <c r="V183" s="205" t="s">
        <v>423</v>
      </c>
      <c r="W183" s="357">
        <v>12</v>
      </c>
      <c r="X183" s="349">
        <f>3*3</f>
        <v>9</v>
      </c>
      <c r="AA183" t="s">
        <v>657</v>
      </c>
      <c r="AB183" t="s">
        <v>659</v>
      </c>
    </row>
    <row r="184" spans="1:28">
      <c r="B184" s="30"/>
      <c r="C184" s="30">
        <f>SUM(C178:C183)</f>
        <v>125</v>
      </c>
      <c r="E184" s="149">
        <f>SUM(E178:E183)</f>
        <v>120</v>
      </c>
      <c r="F184" s="347">
        <f>SUM(F178:F183)</f>
        <v>125</v>
      </c>
      <c r="G184" s="350">
        <f>SUM(G178:G183)</f>
        <v>120</v>
      </c>
      <c r="H184" s="845"/>
      <c r="I184" s="352">
        <f>SUM(I178:I183)</f>
        <v>149</v>
      </c>
      <c r="J184" s="870">
        <f t="shared" ref="J184:K184" si="16">SUM(J178:J183)</f>
        <v>72</v>
      </c>
      <c r="K184" s="870">
        <f t="shared" si="16"/>
        <v>17</v>
      </c>
      <c r="L184" s="625" t="s">
        <v>386</v>
      </c>
      <c r="M184" s="625">
        <v>2</v>
      </c>
      <c r="O184" s="45" t="s">
        <v>32</v>
      </c>
      <c r="P184" s="13">
        <v>9</v>
      </c>
      <c r="Q184" s="13">
        <v>7</v>
      </c>
      <c r="R184" s="13">
        <v>7</v>
      </c>
      <c r="S184">
        <f t="shared" ref="S184:S187" si="17">R184*0.83</f>
        <v>5.81</v>
      </c>
      <c r="T184" s="33">
        <v>20</v>
      </c>
      <c r="U184" s="203" t="s">
        <v>444</v>
      </c>
      <c r="V184" s="205" t="s">
        <v>423</v>
      </c>
      <c r="W184" s="357">
        <v>1</v>
      </c>
      <c r="X184" s="349">
        <v>0</v>
      </c>
      <c r="AA184" t="s">
        <v>660</v>
      </c>
    </row>
    <row r="185" spans="1:28">
      <c r="F185" s="346"/>
      <c r="G185" s="349"/>
      <c r="H185" s="846"/>
      <c r="K185" s="100">
        <v>30</v>
      </c>
      <c r="L185" s="625" t="s">
        <v>387</v>
      </c>
      <c r="M185" s="625">
        <v>6</v>
      </c>
      <c r="O185" s="45" t="s">
        <v>49</v>
      </c>
      <c r="P185" s="13">
        <v>12</v>
      </c>
      <c r="Q185" s="13">
        <v>8</v>
      </c>
      <c r="R185" s="13">
        <v>8</v>
      </c>
      <c r="S185">
        <f t="shared" si="17"/>
        <v>6.64</v>
      </c>
      <c r="T185" s="33">
        <v>21</v>
      </c>
      <c r="U185" s="13" t="s">
        <v>452</v>
      </c>
      <c r="V185" s="205" t="s">
        <v>423</v>
      </c>
      <c r="W185" s="357">
        <v>1</v>
      </c>
      <c r="X185" s="349">
        <v>1</v>
      </c>
    </row>
    <row r="186" spans="1:28">
      <c r="B186" s="161" t="s">
        <v>298</v>
      </c>
      <c r="C186" s="163"/>
      <c r="F186" s="346"/>
      <c r="G186" s="349"/>
      <c r="H186" s="846"/>
      <c r="I186" s="162"/>
      <c r="L186" s="625" t="s">
        <v>388</v>
      </c>
      <c r="M186" s="625">
        <v>2</v>
      </c>
      <c r="O186" s="45" t="s">
        <v>295</v>
      </c>
      <c r="P186" s="13">
        <v>24</v>
      </c>
      <c r="Q186" s="13">
        <v>9</v>
      </c>
      <c r="R186" s="13">
        <v>7</v>
      </c>
      <c r="S186" s="213">
        <v>7</v>
      </c>
      <c r="T186" s="33">
        <v>22</v>
      </c>
      <c r="U186" s="13" t="s">
        <v>453</v>
      </c>
      <c r="V186" s="205" t="s">
        <v>423</v>
      </c>
      <c r="W186" s="357">
        <v>3</v>
      </c>
      <c r="X186" s="349">
        <f>1*3</f>
        <v>3</v>
      </c>
    </row>
    <row r="187" spans="1:28">
      <c r="B187" s="160"/>
      <c r="C187" s="160" t="s">
        <v>300</v>
      </c>
      <c r="F187" s="346"/>
      <c r="G187" s="349"/>
      <c r="H187" s="846"/>
      <c r="I187" s="355" t="s">
        <v>299</v>
      </c>
      <c r="L187" s="625" t="s">
        <v>389</v>
      </c>
      <c r="M187" s="625">
        <v>3</v>
      </c>
      <c r="O187" s="45" t="s">
        <v>611</v>
      </c>
      <c r="P187" s="13">
        <v>24</v>
      </c>
      <c r="Q187" s="13">
        <v>32</v>
      </c>
      <c r="R187" s="13">
        <v>30</v>
      </c>
      <c r="S187">
        <f t="shared" si="17"/>
        <v>24.9</v>
      </c>
      <c r="T187" s="13"/>
      <c r="U187" s="13" t="s">
        <v>454</v>
      </c>
      <c r="V187" s="205" t="s">
        <v>423</v>
      </c>
      <c r="W187" s="357">
        <v>2</v>
      </c>
      <c r="X187" s="349">
        <f>1*2</f>
        <v>2</v>
      </c>
    </row>
    <row r="188" spans="1:28">
      <c r="A188" t="s">
        <v>298</v>
      </c>
      <c r="B188" s="13" t="s">
        <v>301</v>
      </c>
      <c r="C188" s="13">
        <f>Q123</f>
        <v>28</v>
      </c>
      <c r="F188" s="346">
        <v>28</v>
      </c>
      <c r="G188" s="349">
        <f>8*3</f>
        <v>24</v>
      </c>
      <c r="H188" s="849"/>
      <c r="I188" s="329">
        <v>31</v>
      </c>
      <c r="J188" s="625">
        <v>28</v>
      </c>
      <c r="O188" s="45" t="s">
        <v>612</v>
      </c>
      <c r="P188" s="313">
        <v>10</v>
      </c>
      <c r="Q188" s="313">
        <v>16</v>
      </c>
      <c r="S188">
        <f>SUM(S182:S187)</f>
        <v>64.78</v>
      </c>
      <c r="T188" s="13"/>
      <c r="U188" s="13"/>
      <c r="V188" s="205"/>
      <c r="W188" s="357"/>
      <c r="X188" s="348"/>
    </row>
    <row r="189" spans="1:28">
      <c r="A189" t="s">
        <v>298</v>
      </c>
      <c r="B189" s="38" t="s">
        <v>304</v>
      </c>
      <c r="C189" s="13">
        <f>Q124</f>
        <v>22</v>
      </c>
      <c r="F189" s="346">
        <v>22</v>
      </c>
      <c r="G189" s="349">
        <f>7*3</f>
        <v>21</v>
      </c>
      <c r="H189" s="849"/>
      <c r="I189" s="329">
        <v>27</v>
      </c>
      <c r="J189" s="625">
        <v>22</v>
      </c>
      <c r="O189" s="45" t="s">
        <v>613</v>
      </c>
      <c r="P189" s="313">
        <v>10</v>
      </c>
      <c r="Q189" s="313">
        <v>12</v>
      </c>
      <c r="T189" s="13"/>
      <c r="U189" s="13"/>
      <c r="V189" s="205"/>
      <c r="W189" s="357"/>
      <c r="X189" s="348"/>
    </row>
    <row r="190" spans="1:28" ht="15.5">
      <c r="A190" t="s">
        <v>298</v>
      </c>
      <c r="B190" s="13" t="s">
        <v>295</v>
      </c>
      <c r="C190" s="13">
        <f>Q125</f>
        <v>20</v>
      </c>
      <c r="F190" s="346">
        <v>25</v>
      </c>
      <c r="G190" s="349">
        <f>7*3</f>
        <v>21</v>
      </c>
      <c r="H190" s="849"/>
      <c r="I190" s="329">
        <v>28</v>
      </c>
      <c r="K190" s="625">
        <v>17</v>
      </c>
      <c r="O190" s="45" t="s">
        <v>614</v>
      </c>
      <c r="P190" s="313">
        <v>1</v>
      </c>
      <c r="Q190" s="313">
        <v>1</v>
      </c>
      <c r="T190" s="13">
        <v>16</v>
      </c>
      <c r="U190" s="13" t="s">
        <v>454</v>
      </c>
      <c r="V190" s="204" t="s">
        <v>420</v>
      </c>
      <c r="W190" s="357">
        <v>1</v>
      </c>
      <c r="X190" s="349">
        <v>0</v>
      </c>
    </row>
    <row r="191" spans="1:28" ht="15.5">
      <c r="A191" t="s">
        <v>298</v>
      </c>
      <c r="B191" s="13" t="s">
        <v>315</v>
      </c>
      <c r="C191" s="13">
        <f>Q126</f>
        <v>63</v>
      </c>
      <c r="F191" s="346">
        <v>63</v>
      </c>
      <c r="G191" s="349">
        <f>9*6</f>
        <v>54</v>
      </c>
      <c r="H191" s="849"/>
      <c r="I191" s="329">
        <v>84</v>
      </c>
      <c r="L191" s="625">
        <v>63</v>
      </c>
      <c r="O191" s="45" t="s">
        <v>615</v>
      </c>
      <c r="P191" s="313">
        <v>2</v>
      </c>
      <c r="Q191" s="313">
        <v>2</v>
      </c>
      <c r="T191" s="13">
        <v>17</v>
      </c>
      <c r="U191" s="204" t="s">
        <v>455</v>
      </c>
      <c r="V191" s="204" t="s">
        <v>420</v>
      </c>
      <c r="W191" s="357">
        <v>1</v>
      </c>
      <c r="X191" s="349">
        <v>1</v>
      </c>
    </row>
    <row r="192" spans="1:28" ht="15.5">
      <c r="B192" s="13"/>
      <c r="C192" s="13">
        <f>SUM(C188:C191)</f>
        <v>133</v>
      </c>
      <c r="F192" s="347">
        <f>SUM(F188:F191)</f>
        <v>138</v>
      </c>
      <c r="G192" s="350">
        <f>SUM(G188:G191)</f>
        <v>120</v>
      </c>
      <c r="H192" s="848"/>
      <c r="I192" s="329">
        <f>SUM(I188:I191)</f>
        <v>170</v>
      </c>
      <c r="J192" s="870">
        <f>SUM(J188:J191)</f>
        <v>50</v>
      </c>
      <c r="K192" s="870">
        <f t="shared" ref="K192" si="18">SUM(K188:K191)</f>
        <v>17</v>
      </c>
      <c r="L192" s="870">
        <f>SUM(L188:L191)</f>
        <v>63</v>
      </c>
      <c r="O192" s="45" t="s">
        <v>616</v>
      </c>
      <c r="P192" s="313">
        <v>1</v>
      </c>
      <c r="Q192" s="313">
        <v>1</v>
      </c>
      <c r="T192" s="13">
        <v>18</v>
      </c>
      <c r="U192" s="204" t="s">
        <v>456</v>
      </c>
      <c r="V192" s="204" t="s">
        <v>420</v>
      </c>
      <c r="W192" s="357">
        <v>1</v>
      </c>
      <c r="X192" s="349">
        <v>1</v>
      </c>
    </row>
    <row r="193" spans="1:24" ht="15.5">
      <c r="F193" s="346"/>
      <c r="G193" s="349"/>
      <c r="H193" s="846"/>
      <c r="T193" s="13"/>
      <c r="U193" s="204" t="s">
        <v>457</v>
      </c>
      <c r="V193" s="204" t="s">
        <v>420</v>
      </c>
      <c r="W193" s="357">
        <v>3</v>
      </c>
      <c r="X193" s="349">
        <f>1*3</f>
        <v>3</v>
      </c>
    </row>
    <row r="194" spans="1:24" ht="15.5">
      <c r="B194" s="161" t="s">
        <v>308</v>
      </c>
      <c r="C194" s="163"/>
      <c r="F194" s="346"/>
      <c r="G194" s="349"/>
      <c r="H194" s="846"/>
      <c r="I194" s="162"/>
      <c r="T194" s="13">
        <v>19</v>
      </c>
      <c r="U194" s="205" t="s">
        <v>458</v>
      </c>
      <c r="V194" s="204" t="s">
        <v>420</v>
      </c>
      <c r="W194" s="357">
        <v>1</v>
      </c>
      <c r="X194" s="349">
        <v>1</v>
      </c>
    </row>
    <row r="195" spans="1:24" ht="15.5">
      <c r="B195" s="159"/>
      <c r="C195" s="159" t="s">
        <v>300</v>
      </c>
      <c r="F195" s="346"/>
      <c r="G195" s="349"/>
      <c r="H195" s="846"/>
      <c r="I195" s="351" t="s">
        <v>299</v>
      </c>
      <c r="T195" s="13"/>
      <c r="U195" s="206"/>
      <c r="V195" s="204"/>
      <c r="W195" s="357"/>
      <c r="X195" s="348"/>
    </row>
    <row r="196" spans="1:24">
      <c r="A196" t="s">
        <v>308</v>
      </c>
      <c r="B196" s="30" t="s">
        <v>301</v>
      </c>
      <c r="C196" s="30">
        <v>44</v>
      </c>
      <c r="E196">
        <f>14*3</f>
        <v>42</v>
      </c>
      <c r="F196" s="346">
        <v>44</v>
      </c>
      <c r="G196" s="349">
        <v>42</v>
      </c>
      <c r="H196" s="846"/>
      <c r="I196" s="352">
        <v>45</v>
      </c>
      <c r="J196" s="625">
        <v>34</v>
      </c>
      <c r="L196" s="100">
        <f>J196*0.83</f>
        <v>28.22</v>
      </c>
      <c r="T196" s="13"/>
      <c r="U196" s="206"/>
      <c r="V196" s="205"/>
      <c r="W196" s="364"/>
      <c r="X196" s="348"/>
    </row>
    <row r="197" spans="1:24" ht="15.5">
      <c r="A197" t="s">
        <v>308</v>
      </c>
      <c r="B197" s="30" t="s">
        <v>304</v>
      </c>
      <c r="C197" s="30">
        <v>22</v>
      </c>
      <c r="E197">
        <f>7*3</f>
        <v>21</v>
      </c>
      <c r="F197" s="346">
        <v>22</v>
      </c>
      <c r="G197" s="349">
        <v>21</v>
      </c>
      <c r="H197" s="846"/>
      <c r="I197" s="352">
        <v>24</v>
      </c>
      <c r="J197" s="625">
        <v>25</v>
      </c>
      <c r="L197" s="100">
        <f>J197*0.83</f>
        <v>20.75</v>
      </c>
      <c r="T197" s="13">
        <v>19</v>
      </c>
      <c r="U197" s="207" t="s">
        <v>459</v>
      </c>
      <c r="V197" s="205" t="s">
        <v>427</v>
      </c>
      <c r="W197" s="357">
        <v>3</v>
      </c>
      <c r="X197" s="349">
        <f>1*3</f>
        <v>3</v>
      </c>
    </row>
    <row r="198" spans="1:24" ht="15.5">
      <c r="A198" t="s">
        <v>308</v>
      </c>
      <c r="B198" s="30" t="s">
        <v>312</v>
      </c>
      <c r="C198" s="30">
        <v>23</v>
      </c>
      <c r="E198">
        <f>7*3</f>
        <v>21</v>
      </c>
      <c r="F198" s="346">
        <v>23</v>
      </c>
      <c r="G198" s="349">
        <v>21</v>
      </c>
      <c r="H198" s="846"/>
      <c r="I198" s="352">
        <v>21</v>
      </c>
      <c r="J198" s="625">
        <v>37</v>
      </c>
      <c r="L198" s="100">
        <f>J198*0.83</f>
        <v>30.709999999999997</v>
      </c>
      <c r="O198" s="1432" t="s">
        <v>617</v>
      </c>
      <c r="P198" s="314" t="s">
        <v>299</v>
      </c>
      <c r="Q198" s="314" t="s">
        <v>300</v>
      </c>
      <c r="T198" s="13"/>
      <c r="U198" s="208"/>
      <c r="V198" s="205"/>
      <c r="W198" s="357"/>
      <c r="X198" s="348"/>
    </row>
    <row r="199" spans="1:24">
      <c r="A199" t="s">
        <v>308</v>
      </c>
      <c r="B199" s="30" t="s">
        <v>295</v>
      </c>
      <c r="C199" s="30">
        <v>39</v>
      </c>
      <c r="E199">
        <f>12*3</f>
        <v>36</v>
      </c>
      <c r="F199" s="346">
        <v>39</v>
      </c>
      <c r="G199" s="349">
        <v>36</v>
      </c>
      <c r="H199" s="846"/>
      <c r="I199" s="352">
        <v>60</v>
      </c>
      <c r="K199" s="625">
        <v>29</v>
      </c>
      <c r="L199" s="100">
        <f>K199*0.5</f>
        <v>14.5</v>
      </c>
      <c r="O199" s="1433"/>
      <c r="P199" s="315">
        <f>SUM(P200:P203)</f>
        <v>55</v>
      </c>
      <c r="Q199" s="315">
        <f>SUM(Q200:Q203)</f>
        <v>49</v>
      </c>
      <c r="S199">
        <f>SUM(S200:S203)</f>
        <v>39.879999999999995</v>
      </c>
      <c r="T199" s="13"/>
      <c r="U199" s="13"/>
      <c r="V199" s="205"/>
      <c r="W199" s="357"/>
      <c r="X199" s="348"/>
    </row>
    <row r="200" spans="1:24">
      <c r="B200" s="30"/>
      <c r="C200" s="30">
        <f>SUM(C196:C199)</f>
        <v>128</v>
      </c>
      <c r="E200">
        <f>SUM(E196:E199)</f>
        <v>120</v>
      </c>
      <c r="F200" s="347">
        <f>SUM(F196:F199)</f>
        <v>128</v>
      </c>
      <c r="G200" s="350">
        <f>SUM(G196:G199)</f>
        <v>120</v>
      </c>
      <c r="H200" s="845"/>
      <c r="I200" s="352">
        <f>SUM(I196:I199)</f>
        <v>150</v>
      </c>
      <c r="J200" s="870">
        <f t="shared" ref="J200:K200" si="19">SUM(J196:J199)</f>
        <v>96</v>
      </c>
      <c r="K200" s="870">
        <f t="shared" si="19"/>
        <v>29</v>
      </c>
      <c r="O200" s="45" t="s">
        <v>301</v>
      </c>
      <c r="P200" s="13">
        <v>1</v>
      </c>
      <c r="Q200" s="13">
        <v>0</v>
      </c>
      <c r="R200" s="13">
        <v>0</v>
      </c>
      <c r="S200">
        <f>R200*0.83</f>
        <v>0</v>
      </c>
      <c r="T200" s="13">
        <v>21</v>
      </c>
      <c r="U200" s="13" t="s">
        <v>460</v>
      </c>
      <c r="V200" s="205" t="s">
        <v>422</v>
      </c>
      <c r="W200" s="357">
        <v>1</v>
      </c>
      <c r="X200" s="349">
        <v>1</v>
      </c>
    </row>
    <row r="201" spans="1:24">
      <c r="F201" s="346"/>
      <c r="G201" s="349"/>
      <c r="H201" s="846"/>
      <c r="O201" s="45" t="s">
        <v>26</v>
      </c>
      <c r="P201" s="13">
        <v>10</v>
      </c>
      <c r="Q201" s="13">
        <v>10</v>
      </c>
      <c r="R201" s="13">
        <v>10</v>
      </c>
      <c r="S201">
        <f>R201*0.83+2</f>
        <v>10.299999999999999</v>
      </c>
      <c r="T201" s="13">
        <v>22</v>
      </c>
      <c r="U201" s="13" t="s">
        <v>461</v>
      </c>
      <c r="V201" s="205" t="s">
        <v>422</v>
      </c>
      <c r="W201" s="357">
        <v>2</v>
      </c>
      <c r="X201" s="349">
        <f>1</f>
        <v>1</v>
      </c>
    </row>
    <row r="202" spans="1:24">
      <c r="B202" s="161" t="s">
        <v>307</v>
      </c>
      <c r="C202" s="163"/>
      <c r="F202" s="346"/>
      <c r="G202" s="349"/>
      <c r="H202" s="846"/>
      <c r="I202" s="162"/>
      <c r="O202" s="45" t="s">
        <v>49</v>
      </c>
      <c r="P202" s="13">
        <v>26</v>
      </c>
      <c r="Q202" s="13">
        <v>26</v>
      </c>
      <c r="R202" s="13">
        <v>26</v>
      </c>
      <c r="S202">
        <f>R202*0.83</f>
        <v>21.58</v>
      </c>
      <c r="T202" s="13">
        <v>23</v>
      </c>
      <c r="U202" s="13" t="s">
        <v>462</v>
      </c>
      <c r="V202" s="205" t="s">
        <v>422</v>
      </c>
      <c r="W202" s="357">
        <v>2</v>
      </c>
      <c r="X202" s="349">
        <f>2*1</f>
        <v>2</v>
      </c>
    </row>
    <row r="203" spans="1:24">
      <c r="B203" s="159"/>
      <c r="C203" s="159" t="s">
        <v>300</v>
      </c>
      <c r="F203" s="346"/>
      <c r="G203" s="349"/>
      <c r="H203" s="846"/>
      <c r="I203" s="351" t="s">
        <v>299</v>
      </c>
      <c r="O203" s="45" t="s">
        <v>295</v>
      </c>
      <c r="P203" s="13">
        <f>SUM(P204:P205)</f>
        <v>18</v>
      </c>
      <c r="Q203" s="13">
        <f>SUM(Q204:Q205)</f>
        <v>13</v>
      </c>
      <c r="R203" s="13">
        <v>10</v>
      </c>
      <c r="S203">
        <v>8</v>
      </c>
      <c r="T203" s="13">
        <v>24</v>
      </c>
      <c r="U203" s="13" t="s">
        <v>463</v>
      </c>
      <c r="V203" s="205" t="s">
        <v>422</v>
      </c>
      <c r="W203" s="357">
        <v>23</v>
      </c>
      <c r="X203" s="349">
        <f>6*3</f>
        <v>18</v>
      </c>
    </row>
    <row r="204" spans="1:24">
      <c r="A204" t="s">
        <v>317</v>
      </c>
      <c r="B204" s="30" t="s">
        <v>309</v>
      </c>
      <c r="C204" s="30">
        <v>6</v>
      </c>
      <c r="D204">
        <f>2*3</f>
        <v>6</v>
      </c>
      <c r="F204" s="346">
        <v>6</v>
      </c>
      <c r="G204" s="349">
        <v>6</v>
      </c>
      <c r="H204" s="846"/>
      <c r="I204" s="352">
        <v>6</v>
      </c>
      <c r="J204" s="625">
        <v>6</v>
      </c>
      <c r="O204" s="45" t="s">
        <v>618</v>
      </c>
      <c r="P204" s="313">
        <v>16</v>
      </c>
      <c r="Q204" s="313">
        <v>11</v>
      </c>
      <c r="R204">
        <f>SUM(R182:R203)</f>
        <v>119</v>
      </c>
      <c r="T204" s="13">
        <v>25</v>
      </c>
      <c r="U204" s="13" t="s">
        <v>464</v>
      </c>
      <c r="V204" s="205" t="s">
        <v>422</v>
      </c>
      <c r="W204" s="357">
        <v>1</v>
      </c>
      <c r="X204" s="349">
        <v>1</v>
      </c>
    </row>
    <row r="205" spans="1:24">
      <c r="A205" t="s">
        <v>317</v>
      </c>
      <c r="B205" s="30" t="s">
        <v>310</v>
      </c>
      <c r="C205" s="30">
        <f>W221</f>
        <v>9</v>
      </c>
      <c r="D205">
        <f>X221</f>
        <v>9</v>
      </c>
      <c r="F205" s="346">
        <v>9</v>
      </c>
      <c r="G205" s="349">
        <v>9</v>
      </c>
      <c r="H205" s="846"/>
      <c r="I205" s="352">
        <v>9</v>
      </c>
      <c r="J205" s="625">
        <v>9</v>
      </c>
      <c r="O205" s="45" t="s">
        <v>388</v>
      </c>
      <c r="P205" s="313">
        <v>2</v>
      </c>
      <c r="Q205" s="313">
        <v>2</v>
      </c>
      <c r="T205" s="13"/>
      <c r="U205" s="13"/>
      <c r="V205" s="205"/>
      <c r="W205" s="357"/>
      <c r="X205" s="348"/>
    </row>
    <row r="206" spans="1:24">
      <c r="A206" t="s">
        <v>317</v>
      </c>
      <c r="B206" s="30" t="s">
        <v>311</v>
      </c>
      <c r="C206" s="30">
        <v>11</v>
      </c>
      <c r="D206">
        <f>2*3</f>
        <v>6</v>
      </c>
      <c r="E206" t="s">
        <v>630</v>
      </c>
      <c r="F206" s="346">
        <v>11</v>
      </c>
      <c r="G206" s="349">
        <v>6</v>
      </c>
      <c r="H206" s="846"/>
      <c r="I206" s="352">
        <v>15</v>
      </c>
      <c r="J206" s="625">
        <v>6</v>
      </c>
      <c r="T206" s="13"/>
      <c r="U206" s="13"/>
      <c r="V206" s="205"/>
      <c r="W206" s="359"/>
      <c r="X206" s="348"/>
    </row>
    <row r="207" spans="1:24">
      <c r="A207" t="s">
        <v>317</v>
      </c>
      <c r="B207" s="30" t="s">
        <v>313</v>
      </c>
      <c r="C207" s="30">
        <f>SUM(W157:W163,W171:W211,W213:W218,W166:W168)</f>
        <v>189</v>
      </c>
      <c r="D207">
        <f>X219</f>
        <v>162</v>
      </c>
      <c r="F207" s="346">
        <v>189</v>
      </c>
      <c r="G207" s="349">
        <v>162</v>
      </c>
      <c r="H207" s="846"/>
      <c r="I207" s="352">
        <v>170</v>
      </c>
      <c r="J207" s="100">
        <f>C207-17</f>
        <v>172</v>
      </c>
      <c r="T207" s="13">
        <v>26</v>
      </c>
      <c r="U207" s="209" t="s">
        <v>465</v>
      </c>
      <c r="V207" s="205" t="s">
        <v>421</v>
      </c>
      <c r="W207" s="357">
        <v>2</v>
      </c>
      <c r="X207" s="349">
        <f>1*2</f>
        <v>2</v>
      </c>
    </row>
    <row r="208" spans="1:24">
      <c r="A208" t="s">
        <v>317</v>
      </c>
      <c r="B208" s="30" t="s">
        <v>314</v>
      </c>
      <c r="C208" s="30">
        <v>8</v>
      </c>
      <c r="D208">
        <f>2*3</f>
        <v>6</v>
      </c>
      <c r="E208" t="s">
        <v>631</v>
      </c>
      <c r="F208" s="346">
        <v>8</v>
      </c>
      <c r="G208" s="349">
        <v>6</v>
      </c>
      <c r="H208" s="846"/>
      <c r="I208" s="352">
        <v>8</v>
      </c>
      <c r="J208" s="625">
        <v>6</v>
      </c>
      <c r="T208" s="13">
        <v>27</v>
      </c>
      <c r="U208" s="209" t="s">
        <v>466</v>
      </c>
      <c r="V208" s="205" t="s">
        <v>421</v>
      </c>
      <c r="W208" s="357">
        <v>3</v>
      </c>
      <c r="X208" s="349">
        <f>1*3</f>
        <v>3</v>
      </c>
    </row>
    <row r="209" spans="1:25">
      <c r="B209" s="30"/>
      <c r="C209" s="30">
        <f>SUM(C204:C208)</f>
        <v>223</v>
      </c>
      <c r="D209" s="154">
        <f>SUM(D204:D208)</f>
        <v>189</v>
      </c>
      <c r="F209" s="347">
        <f>SUM(F204:F208)</f>
        <v>223</v>
      </c>
      <c r="G209" s="350">
        <f>SUM(G204:G208)</f>
        <v>189</v>
      </c>
      <c r="H209" s="845"/>
      <c r="I209" s="352">
        <f>SUM(I204:I208)</f>
        <v>208</v>
      </c>
      <c r="J209" s="870">
        <f>SUM(J204:J208)</f>
        <v>199</v>
      </c>
      <c r="T209" s="13">
        <v>28</v>
      </c>
      <c r="U209" s="209" t="s">
        <v>467</v>
      </c>
      <c r="V209" s="205" t="s">
        <v>421</v>
      </c>
      <c r="W209" s="357">
        <v>0</v>
      </c>
      <c r="X209" s="349">
        <v>0</v>
      </c>
    </row>
    <row r="210" spans="1:25">
      <c r="F210" s="346"/>
      <c r="G210" s="349"/>
      <c r="H210" s="846"/>
      <c r="T210" s="13">
        <v>29</v>
      </c>
      <c r="U210" s="209" t="s">
        <v>468</v>
      </c>
      <c r="V210" s="205" t="s">
        <v>421</v>
      </c>
      <c r="W210" s="357">
        <v>2</v>
      </c>
      <c r="X210" s="349">
        <f>1*2</f>
        <v>2</v>
      </c>
    </row>
    <row r="211" spans="1:25">
      <c r="F211" s="346"/>
      <c r="G211" s="349"/>
      <c r="H211" s="846"/>
      <c r="T211" s="13">
        <v>30</v>
      </c>
      <c r="U211" s="13" t="s">
        <v>469</v>
      </c>
      <c r="V211" s="205" t="s">
        <v>421</v>
      </c>
      <c r="W211" s="361">
        <v>1</v>
      </c>
      <c r="X211" s="349">
        <f>1</f>
        <v>1</v>
      </c>
    </row>
    <row r="212" spans="1:25">
      <c r="F212" s="346"/>
      <c r="G212" s="349"/>
      <c r="H212" s="846"/>
      <c r="W212" s="359"/>
      <c r="X212" s="349"/>
    </row>
    <row r="213" spans="1:25">
      <c r="F213" s="346"/>
      <c r="G213" s="349"/>
      <c r="H213" s="846"/>
      <c r="T213" s="45">
        <v>31</v>
      </c>
      <c r="U213" s="45" t="s">
        <v>429</v>
      </c>
      <c r="V213" s="45"/>
      <c r="W213" s="365">
        <v>1</v>
      </c>
      <c r="X213" s="349">
        <v>1</v>
      </c>
    </row>
    <row r="214" spans="1:25">
      <c r="A214" s="1395" t="s">
        <v>344</v>
      </c>
      <c r="B214" s="1395"/>
      <c r="F214" s="346"/>
      <c r="G214" s="349"/>
      <c r="H214" s="846"/>
      <c r="T214" s="45">
        <v>32</v>
      </c>
      <c r="U214" s="45" t="s">
        <v>430</v>
      </c>
      <c r="V214" s="45"/>
      <c r="W214" s="365">
        <v>1</v>
      </c>
      <c r="X214" s="349">
        <v>0</v>
      </c>
    </row>
    <row r="215" spans="1:25">
      <c r="A215" t="s">
        <v>350</v>
      </c>
      <c r="B215" s="180" t="s">
        <v>345</v>
      </c>
      <c r="C215" s="182">
        <v>12</v>
      </c>
      <c r="E215">
        <f>4*3</f>
        <v>12</v>
      </c>
      <c r="F215" s="346">
        <v>12</v>
      </c>
      <c r="G215" s="349">
        <v>12</v>
      </c>
      <c r="H215" s="846"/>
      <c r="J215" s="100">
        <v>9</v>
      </c>
      <c r="K215" s="100">
        <v>3</v>
      </c>
      <c r="T215" s="45">
        <v>33</v>
      </c>
      <c r="U215" s="45" t="s">
        <v>431</v>
      </c>
      <c r="V215" s="45"/>
      <c r="W215" s="365">
        <v>1</v>
      </c>
      <c r="X215" s="349">
        <v>1</v>
      </c>
    </row>
    <row r="216" spans="1:25">
      <c r="A216" t="s">
        <v>350</v>
      </c>
      <c r="B216" s="180" t="s">
        <v>346</v>
      </c>
      <c r="C216" s="182">
        <v>3</v>
      </c>
      <c r="E216">
        <f>1*3</f>
        <v>3</v>
      </c>
      <c r="F216" s="346">
        <v>3</v>
      </c>
      <c r="G216" s="349">
        <v>3</v>
      </c>
      <c r="H216" s="846"/>
      <c r="J216" s="100">
        <v>3</v>
      </c>
      <c r="T216" s="45">
        <v>34</v>
      </c>
      <c r="U216" s="45" t="s">
        <v>432</v>
      </c>
      <c r="V216" s="45"/>
      <c r="W216" s="365">
        <v>1</v>
      </c>
      <c r="X216" s="349">
        <v>1</v>
      </c>
    </row>
    <row r="217" spans="1:25">
      <c r="A217" t="s">
        <v>350</v>
      </c>
      <c r="B217" s="180" t="s">
        <v>347</v>
      </c>
      <c r="C217" s="182">
        <v>3</v>
      </c>
      <c r="E217">
        <f>1*1</f>
        <v>1</v>
      </c>
      <c r="F217" s="346">
        <v>3</v>
      </c>
      <c r="G217" s="349">
        <v>1</v>
      </c>
      <c r="H217" s="846"/>
      <c r="J217" s="100">
        <v>1</v>
      </c>
      <c r="T217" s="45">
        <v>35</v>
      </c>
      <c r="U217" s="45" t="s">
        <v>433</v>
      </c>
      <c r="V217" s="45"/>
      <c r="W217" s="365">
        <v>2</v>
      </c>
      <c r="X217" s="349">
        <f>2*1</f>
        <v>2</v>
      </c>
    </row>
    <row r="218" spans="1:25">
      <c r="A218" t="s">
        <v>350</v>
      </c>
      <c r="B218" s="180" t="s">
        <v>348</v>
      </c>
      <c r="C218" s="182">
        <v>12</v>
      </c>
      <c r="E218">
        <f>3*3</f>
        <v>9</v>
      </c>
      <c r="F218" s="346">
        <v>12</v>
      </c>
      <c r="G218" s="349">
        <v>9</v>
      </c>
      <c r="H218" s="846"/>
      <c r="J218" s="100">
        <v>6</v>
      </c>
      <c r="K218" s="100">
        <v>3</v>
      </c>
      <c r="T218" s="45">
        <v>36</v>
      </c>
      <c r="U218" s="45" t="s">
        <v>434</v>
      </c>
      <c r="V218" s="45"/>
      <c r="W218" s="365">
        <v>1</v>
      </c>
      <c r="X218" s="349">
        <f>1</f>
        <v>1</v>
      </c>
    </row>
    <row r="219" spans="1:25">
      <c r="A219" t="s">
        <v>350</v>
      </c>
      <c r="B219" s="181" t="s">
        <v>349</v>
      </c>
      <c r="C219" s="183">
        <v>6</v>
      </c>
      <c r="E219">
        <f>2*3</f>
        <v>6</v>
      </c>
      <c r="F219" s="346">
        <v>6</v>
      </c>
      <c r="G219" s="349">
        <v>6</v>
      </c>
      <c r="H219" s="846"/>
      <c r="J219" s="100">
        <v>3</v>
      </c>
      <c r="K219" s="100">
        <v>3</v>
      </c>
      <c r="V219" t="s">
        <v>561</v>
      </c>
      <c r="W219" s="327">
        <f>SUM(W157:W218)</f>
        <v>189</v>
      </c>
      <c r="X219" s="327">
        <f>SUM(X157:X218)</f>
        <v>162</v>
      </c>
      <c r="Y219">
        <f>W219-X219</f>
        <v>27</v>
      </c>
    </row>
    <row r="220" spans="1:25">
      <c r="C220">
        <f>SUM(C215:C219)</f>
        <v>36</v>
      </c>
      <c r="E220">
        <f>SUM(E215:E219)</f>
        <v>31</v>
      </c>
      <c r="F220" s="347">
        <f>SUM(F215:F219)</f>
        <v>36</v>
      </c>
      <c r="G220" s="350">
        <f>SUM(G215:G219)</f>
        <v>31</v>
      </c>
      <c r="H220" s="845"/>
      <c r="W220" s="325"/>
      <c r="X220" s="13"/>
    </row>
    <row r="221" spans="1:25">
      <c r="F221" s="346"/>
      <c r="G221" s="349"/>
      <c r="H221" s="846"/>
      <c r="T221" s="45">
        <v>37</v>
      </c>
      <c r="U221" s="45" t="s">
        <v>310</v>
      </c>
      <c r="V221" s="45"/>
      <c r="W221" s="68">
        <v>9</v>
      </c>
      <c r="X221" s="33">
        <f>3*3</f>
        <v>9</v>
      </c>
    </row>
    <row r="222" spans="1:25">
      <c r="A222" t="s">
        <v>351</v>
      </c>
      <c r="B222" s="184" t="s">
        <v>352</v>
      </c>
      <c r="C222" s="185">
        <v>15</v>
      </c>
      <c r="D222">
        <f>4*3</f>
        <v>12</v>
      </c>
      <c r="E222" t="s">
        <v>621</v>
      </c>
      <c r="F222" s="346">
        <v>15</v>
      </c>
      <c r="G222" s="349">
        <v>12</v>
      </c>
      <c r="H222" s="846"/>
    </row>
    <row r="223" spans="1:25">
      <c r="B223" s="184" t="s">
        <v>353</v>
      </c>
      <c r="C223" s="185">
        <v>3</v>
      </c>
      <c r="D223">
        <f>1*3</f>
        <v>3</v>
      </c>
      <c r="F223" s="346">
        <v>3</v>
      </c>
      <c r="G223" s="349">
        <v>3</v>
      </c>
      <c r="H223" s="846"/>
    </row>
    <row r="224" spans="1:25">
      <c r="B224" s="184" t="s">
        <v>354</v>
      </c>
      <c r="C224" s="185">
        <v>9</v>
      </c>
      <c r="D224">
        <f>2*3</f>
        <v>6</v>
      </c>
      <c r="E224" t="s">
        <v>622</v>
      </c>
      <c r="F224" s="346">
        <v>9</v>
      </c>
      <c r="G224" s="349">
        <v>6</v>
      </c>
      <c r="H224" s="846"/>
    </row>
    <row r="225" spans="1:19">
      <c r="B225" s="184" t="s">
        <v>355</v>
      </c>
      <c r="C225" s="185">
        <v>3</v>
      </c>
      <c r="D225">
        <f>1*3</f>
        <v>3</v>
      </c>
      <c r="F225" s="346">
        <v>3</v>
      </c>
      <c r="G225" s="349">
        <v>3</v>
      </c>
      <c r="H225" s="846"/>
    </row>
    <row r="226" spans="1:19">
      <c r="C226">
        <f>SUM(C222:C225)</f>
        <v>30</v>
      </c>
      <c r="D226">
        <f>SUM(D222:D225)</f>
        <v>24</v>
      </c>
      <c r="F226" s="347">
        <f>SUM(F222:F225)</f>
        <v>30</v>
      </c>
      <c r="G226" s="350">
        <f>SUM(G222:G225)</f>
        <v>24</v>
      </c>
      <c r="H226" s="845"/>
    </row>
    <row r="227" spans="1:19">
      <c r="F227" s="100"/>
      <c r="G227" s="100"/>
      <c r="H227" s="100"/>
    </row>
    <row r="228" spans="1:19">
      <c r="F228" s="100"/>
      <c r="G228" s="100"/>
      <c r="H228" s="100"/>
    </row>
    <row r="229" spans="1:19">
      <c r="A229" s="855"/>
      <c r="B229" s="855"/>
      <c r="C229" s="855"/>
      <c r="D229" s="855"/>
      <c r="E229" s="855"/>
      <c r="F229" s="856"/>
      <c r="G229" s="856"/>
      <c r="H229" s="856"/>
      <c r="I229" s="855"/>
    </row>
    <row r="230" spans="1:19">
      <c r="F230" s="356" t="s">
        <v>1105</v>
      </c>
      <c r="K230" s="915" t="s">
        <v>428</v>
      </c>
      <c r="L230" s="915" t="s">
        <v>1133</v>
      </c>
      <c r="M230" s="915" t="s">
        <v>1095</v>
      </c>
      <c r="N230" s="915" t="s">
        <v>1096</v>
      </c>
    </row>
    <row r="231" spans="1:19">
      <c r="A231" t="s">
        <v>1135</v>
      </c>
      <c r="B231" t="s">
        <v>301</v>
      </c>
      <c r="C231" t="s">
        <v>301</v>
      </c>
      <c r="F231" s="356">
        <v>9</v>
      </c>
      <c r="I231" s="154">
        <f>F231</f>
        <v>9</v>
      </c>
      <c r="J231" s="917">
        <v>12</v>
      </c>
      <c r="K231" s="100">
        <v>4</v>
      </c>
      <c r="L231" s="100">
        <v>2</v>
      </c>
      <c r="M231" s="100">
        <v>6</v>
      </c>
    </row>
    <row r="232" spans="1:19">
      <c r="A232" t="s">
        <v>1135</v>
      </c>
      <c r="B232" t="s">
        <v>26</v>
      </c>
      <c r="C232" t="s">
        <v>26</v>
      </c>
      <c r="F232" s="356">
        <v>12</v>
      </c>
      <c r="I232" s="154">
        <f>F232</f>
        <v>12</v>
      </c>
      <c r="J232" s="100">
        <v>12</v>
      </c>
      <c r="K232" s="100">
        <v>5</v>
      </c>
      <c r="L232" s="100">
        <v>1</v>
      </c>
      <c r="M232" s="100">
        <v>6</v>
      </c>
    </row>
    <row r="233" spans="1:19">
      <c r="A233" t="s">
        <v>1135</v>
      </c>
      <c r="B233" t="s">
        <v>32</v>
      </c>
      <c r="C233" t="s">
        <v>32</v>
      </c>
      <c r="F233" s="356">
        <v>7</v>
      </c>
      <c r="I233" s="154">
        <f>F233</f>
        <v>7</v>
      </c>
      <c r="J233" s="100">
        <v>7</v>
      </c>
      <c r="K233" s="100">
        <v>2</v>
      </c>
      <c r="L233" s="100">
        <v>2</v>
      </c>
      <c r="M233" s="100">
        <v>3</v>
      </c>
    </row>
    <row r="234" spans="1:19">
      <c r="A234" t="s">
        <v>1135</v>
      </c>
      <c r="B234" t="s">
        <v>49</v>
      </c>
      <c r="C234" t="s">
        <v>49</v>
      </c>
      <c r="F234" s="356">
        <v>8</v>
      </c>
      <c r="I234" s="154">
        <f>F234</f>
        <v>8</v>
      </c>
      <c r="J234" s="100">
        <v>10</v>
      </c>
      <c r="K234" s="100">
        <v>4</v>
      </c>
      <c r="L234" s="100">
        <v>3</v>
      </c>
      <c r="M234" s="100">
        <v>3</v>
      </c>
      <c r="O234" s="100" t="s">
        <v>1159</v>
      </c>
    </row>
    <row r="235" spans="1:19">
      <c r="A235" t="s">
        <v>1135</v>
      </c>
      <c r="B235" t="s">
        <v>295</v>
      </c>
      <c r="C235" t="s">
        <v>295</v>
      </c>
      <c r="F235" s="356">
        <v>7</v>
      </c>
      <c r="I235" s="154">
        <v>2</v>
      </c>
      <c r="J235" s="917">
        <v>4</v>
      </c>
      <c r="K235" s="100">
        <v>2</v>
      </c>
      <c r="M235" s="100">
        <v>2</v>
      </c>
    </row>
    <row r="236" spans="1:19">
      <c r="A236" t="s">
        <v>1135</v>
      </c>
      <c r="B236" t="s">
        <v>307</v>
      </c>
      <c r="C236" t="s">
        <v>611</v>
      </c>
      <c r="F236" s="356">
        <v>31</v>
      </c>
      <c r="I236" s="154">
        <f t="shared" ref="I236:I241" si="20">F236</f>
        <v>31</v>
      </c>
      <c r="J236" s="100">
        <v>31</v>
      </c>
      <c r="K236" s="100">
        <v>1</v>
      </c>
    </row>
    <row r="237" spans="1:19">
      <c r="B237" t="s">
        <v>307</v>
      </c>
      <c r="C237" t="s">
        <v>612</v>
      </c>
      <c r="F237" s="356">
        <v>14</v>
      </c>
      <c r="I237" s="154">
        <f t="shared" si="20"/>
        <v>14</v>
      </c>
      <c r="N237" s="100">
        <f>I237</f>
        <v>14</v>
      </c>
      <c r="R237" t="s">
        <v>1286</v>
      </c>
    </row>
    <row r="238" spans="1:19">
      <c r="B238" t="s">
        <v>307</v>
      </c>
      <c r="C238" t="s">
        <v>613</v>
      </c>
      <c r="F238" s="356">
        <v>12</v>
      </c>
      <c r="I238" s="154">
        <f t="shared" si="20"/>
        <v>12</v>
      </c>
      <c r="N238" s="100">
        <f>I238</f>
        <v>12</v>
      </c>
      <c r="R238" t="s">
        <v>301</v>
      </c>
      <c r="S238">
        <v>9</v>
      </c>
    </row>
    <row r="239" spans="1:19">
      <c r="B239" t="s">
        <v>307</v>
      </c>
      <c r="C239" t="s">
        <v>614</v>
      </c>
      <c r="F239" s="356">
        <v>1</v>
      </c>
      <c r="I239" s="154">
        <f t="shared" si="20"/>
        <v>1</v>
      </c>
      <c r="K239" s="100">
        <v>1</v>
      </c>
      <c r="R239" t="s">
        <v>26</v>
      </c>
      <c r="S239">
        <v>12</v>
      </c>
    </row>
    <row r="240" spans="1:19">
      <c r="B240" t="s">
        <v>307</v>
      </c>
      <c r="C240" t="s">
        <v>615</v>
      </c>
      <c r="F240" s="356">
        <v>3</v>
      </c>
      <c r="I240" s="154">
        <f t="shared" si="20"/>
        <v>3</v>
      </c>
      <c r="K240" s="100">
        <v>2</v>
      </c>
      <c r="M240" s="100">
        <v>1</v>
      </c>
      <c r="R240" t="s">
        <v>32</v>
      </c>
      <c r="S240">
        <v>7</v>
      </c>
    </row>
    <row r="241" spans="1:19">
      <c r="B241" t="s">
        <v>307</v>
      </c>
      <c r="C241" t="s">
        <v>616</v>
      </c>
      <c r="F241" s="356">
        <v>1</v>
      </c>
      <c r="I241" s="154">
        <f t="shared" si="20"/>
        <v>1</v>
      </c>
      <c r="K241" s="100">
        <v>1</v>
      </c>
      <c r="R241" t="s">
        <v>49</v>
      </c>
      <c r="S241">
        <v>8</v>
      </c>
    </row>
    <row r="243" spans="1:19">
      <c r="R243" t="s">
        <v>1287</v>
      </c>
    </row>
    <row r="244" spans="1:19">
      <c r="A244" t="s">
        <v>1136</v>
      </c>
      <c r="B244" t="s">
        <v>301</v>
      </c>
      <c r="C244" t="s">
        <v>301</v>
      </c>
      <c r="F244" s="356">
        <v>0</v>
      </c>
      <c r="I244" s="154">
        <f>F244</f>
        <v>0</v>
      </c>
      <c r="R244" t="s">
        <v>26</v>
      </c>
      <c r="S244">
        <v>10</v>
      </c>
    </row>
    <row r="245" spans="1:19">
      <c r="A245" t="s">
        <v>1136</v>
      </c>
      <c r="B245" t="s">
        <v>26</v>
      </c>
      <c r="C245" t="s">
        <v>26</v>
      </c>
      <c r="F245" s="356">
        <v>10</v>
      </c>
      <c r="I245" s="154">
        <f>F245</f>
        <v>10</v>
      </c>
      <c r="J245" s="100">
        <v>10</v>
      </c>
      <c r="R245" t="s">
        <v>49</v>
      </c>
      <c r="S245">
        <v>26</v>
      </c>
    </row>
    <row r="246" spans="1:19">
      <c r="A246" t="s">
        <v>1136</v>
      </c>
      <c r="B246" t="s">
        <v>49</v>
      </c>
      <c r="C246" t="s">
        <v>49</v>
      </c>
      <c r="F246" s="356">
        <v>26</v>
      </c>
      <c r="I246" s="154">
        <f>F246</f>
        <v>26</v>
      </c>
      <c r="J246" s="100">
        <v>26</v>
      </c>
    </row>
    <row r="247" spans="1:19">
      <c r="A247" t="s">
        <v>1136</v>
      </c>
      <c r="B247" t="s">
        <v>295</v>
      </c>
      <c r="C247" t="s">
        <v>295</v>
      </c>
      <c r="F247" s="356">
        <v>12</v>
      </c>
      <c r="I247" s="154">
        <v>12</v>
      </c>
      <c r="R247" t="s">
        <v>612</v>
      </c>
      <c r="S247">
        <v>13</v>
      </c>
    </row>
    <row r="248" spans="1:19">
      <c r="C248" t="s">
        <v>618</v>
      </c>
      <c r="F248" s="358">
        <v>10</v>
      </c>
      <c r="I248">
        <v>2</v>
      </c>
      <c r="R248" t="s">
        <v>613</v>
      </c>
      <c r="S248">
        <v>12</v>
      </c>
    </row>
    <row r="249" spans="1:19">
      <c r="C249" t="s">
        <v>388</v>
      </c>
      <c r="F249" s="358">
        <v>2</v>
      </c>
      <c r="I249">
        <v>2</v>
      </c>
      <c r="R249" t="s">
        <v>614</v>
      </c>
      <c r="S249">
        <v>1</v>
      </c>
    </row>
    <row r="250" spans="1:19">
      <c r="R250" t="s">
        <v>615</v>
      </c>
      <c r="S250">
        <v>3</v>
      </c>
    </row>
    <row r="251" spans="1:19">
      <c r="K251" s="100" t="s">
        <v>428</v>
      </c>
      <c r="L251" s="100" t="s">
        <v>1094</v>
      </c>
      <c r="R251" t="s">
        <v>616</v>
      </c>
      <c r="S251">
        <v>1</v>
      </c>
    </row>
    <row r="252" spans="1:19">
      <c r="A252" t="s">
        <v>308</v>
      </c>
      <c r="B252" t="s">
        <v>301</v>
      </c>
      <c r="F252" s="358">
        <v>34</v>
      </c>
      <c r="K252" s="922">
        <f>F252*65%</f>
        <v>22.1</v>
      </c>
      <c r="L252" s="922">
        <f>F252*35%</f>
        <v>11.899999999999999</v>
      </c>
    </row>
    <row r="253" spans="1:19">
      <c r="A253" t="s">
        <v>308</v>
      </c>
      <c r="B253" t="s">
        <v>26</v>
      </c>
      <c r="F253" s="358">
        <v>3</v>
      </c>
      <c r="K253" s="922">
        <f t="shared" ref="K253:K256" si="21">F253*65%</f>
        <v>1.9500000000000002</v>
      </c>
      <c r="L253" s="922">
        <f t="shared" ref="L253:L256" si="22">F253*35%</f>
        <v>1.0499999999999998</v>
      </c>
    </row>
    <row r="254" spans="1:19">
      <c r="A254" t="s">
        <v>308</v>
      </c>
      <c r="B254" t="s">
        <v>31</v>
      </c>
      <c r="F254" s="358">
        <v>3</v>
      </c>
      <c r="K254" s="922">
        <f t="shared" si="21"/>
        <v>1.9500000000000002</v>
      </c>
      <c r="L254" s="922">
        <f t="shared" si="22"/>
        <v>1.0499999999999998</v>
      </c>
    </row>
    <row r="255" spans="1:19">
      <c r="A255" t="s">
        <v>308</v>
      </c>
      <c r="B255" t="s">
        <v>32</v>
      </c>
      <c r="F255" s="358">
        <v>19</v>
      </c>
      <c r="K255" s="922">
        <f t="shared" si="21"/>
        <v>12.35</v>
      </c>
      <c r="L255" s="922">
        <f t="shared" si="22"/>
        <v>6.6499999999999995</v>
      </c>
    </row>
    <row r="256" spans="1:19">
      <c r="A256" t="s">
        <v>308</v>
      </c>
      <c r="B256" t="s">
        <v>49</v>
      </c>
      <c r="F256" s="358">
        <v>37</v>
      </c>
      <c r="K256" s="922">
        <f t="shared" si="21"/>
        <v>24.05</v>
      </c>
      <c r="L256" s="922">
        <f t="shared" si="22"/>
        <v>12.95</v>
      </c>
    </row>
    <row r="257" spans="1:18">
      <c r="A257" t="s">
        <v>308</v>
      </c>
      <c r="B257" t="s">
        <v>295</v>
      </c>
      <c r="F257" s="358">
        <v>4</v>
      </c>
      <c r="K257" s="100">
        <v>4</v>
      </c>
    </row>
    <row r="258" spans="1:18">
      <c r="F258" s="358">
        <f>SUM(F252:F257)</f>
        <v>100</v>
      </c>
    </row>
    <row r="262" spans="1:18">
      <c r="A262" t="s">
        <v>1137</v>
      </c>
      <c r="B262" t="s">
        <v>425</v>
      </c>
      <c r="C262" t="s">
        <v>1138</v>
      </c>
      <c r="H262" s="360" t="str">
        <f>B262&amp;" - "&amp;C262</f>
        <v>Security - SIS</v>
      </c>
      <c r="I262" s="983">
        <v>36</v>
      </c>
      <c r="J262" s="100" t="s">
        <v>1095</v>
      </c>
      <c r="K262" s="1428" t="s">
        <v>1320</v>
      </c>
    </row>
    <row r="263" spans="1:18">
      <c r="A263" t="s">
        <v>1137</v>
      </c>
      <c r="B263" t="s">
        <v>425</v>
      </c>
      <c r="C263" t="s">
        <v>1139</v>
      </c>
      <c r="H263" s="360" t="str">
        <f t="shared" ref="H263:H276" si="23">B263&amp;" - "&amp;C263</f>
        <v>Security - ASO</v>
      </c>
      <c r="I263" s="983">
        <v>5</v>
      </c>
      <c r="J263" s="100" t="s">
        <v>1095</v>
      </c>
      <c r="K263" s="1428"/>
      <c r="Q263" t="s">
        <v>1288</v>
      </c>
      <c r="R263">
        <v>36</v>
      </c>
    </row>
    <row r="264" spans="1:18">
      <c r="A264" t="s">
        <v>1137</v>
      </c>
      <c r="B264" t="s">
        <v>425</v>
      </c>
      <c r="C264" t="s">
        <v>1140</v>
      </c>
      <c r="H264" s="360" t="str">
        <f t="shared" si="23"/>
        <v>Security - SAP weigh</v>
      </c>
      <c r="I264" s="983">
        <v>6</v>
      </c>
      <c r="J264" s="100" t="s">
        <v>1095</v>
      </c>
      <c r="K264" s="1428"/>
      <c r="Q264" t="s">
        <v>1289</v>
      </c>
      <c r="R264">
        <v>5</v>
      </c>
    </row>
    <row r="265" spans="1:18">
      <c r="A265" t="s">
        <v>1137</v>
      </c>
      <c r="B265" t="s">
        <v>425</v>
      </c>
      <c r="C265" t="s">
        <v>1141</v>
      </c>
      <c r="H265" s="360" t="str">
        <f t="shared" si="23"/>
        <v>Security - Mantra</v>
      </c>
      <c r="I265" s="983">
        <v>1</v>
      </c>
      <c r="J265" s="100" t="s">
        <v>1095</v>
      </c>
      <c r="K265" s="1428"/>
      <c r="Q265" t="s">
        <v>1290</v>
      </c>
      <c r="R265">
        <v>6</v>
      </c>
    </row>
    <row r="266" spans="1:18">
      <c r="A266" t="s">
        <v>1137</v>
      </c>
      <c r="B266" t="s">
        <v>422</v>
      </c>
      <c r="C266" t="s">
        <v>1142</v>
      </c>
      <c r="H266" s="360" t="str">
        <f t="shared" si="23"/>
        <v>Horticulture - Vividh</v>
      </c>
      <c r="I266" s="983">
        <v>22</v>
      </c>
      <c r="J266" s="100" t="s">
        <v>1095</v>
      </c>
      <c r="K266" s="100" t="s">
        <v>1321</v>
      </c>
      <c r="Q266" t="s">
        <v>1291</v>
      </c>
      <c r="R266">
        <v>1</v>
      </c>
    </row>
    <row r="267" spans="1:18">
      <c r="A267" t="s">
        <v>1137</v>
      </c>
      <c r="B267" t="s">
        <v>419</v>
      </c>
      <c r="C267" t="s">
        <v>1143</v>
      </c>
      <c r="H267" s="360" t="str">
        <f t="shared" si="23"/>
        <v>Fire &amp; Safety - OHC/Ambulance Vivara/veeassure</v>
      </c>
      <c r="I267">
        <v>9</v>
      </c>
      <c r="J267" s="100" t="s">
        <v>1095</v>
      </c>
      <c r="Q267" t="s">
        <v>1292</v>
      </c>
      <c r="R267">
        <v>22</v>
      </c>
    </row>
    <row r="268" spans="1:18">
      <c r="A268" t="s">
        <v>1137</v>
      </c>
      <c r="B268" t="s">
        <v>1144</v>
      </c>
      <c r="C268" t="s">
        <v>1153</v>
      </c>
      <c r="H268" s="360" t="str">
        <f t="shared" si="23"/>
        <v>Genral Admin - Reception &amp; Courrier Services</v>
      </c>
      <c r="I268">
        <v>1</v>
      </c>
      <c r="J268" s="100" t="s">
        <v>1095</v>
      </c>
      <c r="Q268" t="s">
        <v>1293</v>
      </c>
      <c r="R268">
        <v>9</v>
      </c>
    </row>
    <row r="269" spans="1:18">
      <c r="A269" t="s">
        <v>1137</v>
      </c>
      <c r="B269" t="s">
        <v>1144</v>
      </c>
      <c r="C269" t="s">
        <v>1145</v>
      </c>
      <c r="H269" s="360" t="str">
        <f t="shared" si="23"/>
        <v>Genral Admin - Kiartabad</v>
      </c>
      <c r="I269">
        <v>1</v>
      </c>
      <c r="J269" s="100" t="s">
        <v>1095</v>
      </c>
      <c r="Q269" t="s">
        <v>1294</v>
      </c>
      <c r="R269">
        <v>1</v>
      </c>
    </row>
    <row r="270" spans="1:18">
      <c r="A270" t="s">
        <v>1137</v>
      </c>
      <c r="B270" t="s">
        <v>1144</v>
      </c>
      <c r="C270" t="s">
        <v>1146</v>
      </c>
      <c r="H270" s="360" t="str">
        <f t="shared" si="23"/>
        <v>Genral Admin - Scrap supervisor</v>
      </c>
      <c r="I270">
        <v>1</v>
      </c>
      <c r="J270" s="100" t="s">
        <v>1095</v>
      </c>
      <c r="Q270" t="s">
        <v>1295</v>
      </c>
      <c r="R270">
        <v>1</v>
      </c>
    </row>
    <row r="271" spans="1:18">
      <c r="A271" t="s">
        <v>1137</v>
      </c>
      <c r="B271" t="s">
        <v>1144</v>
      </c>
      <c r="C271" t="s">
        <v>1147</v>
      </c>
      <c r="H271" s="360" t="str">
        <f t="shared" si="23"/>
        <v>Genral Admin - Central service</v>
      </c>
      <c r="I271">
        <v>1</v>
      </c>
      <c r="J271" s="100" t="s">
        <v>1095</v>
      </c>
      <c r="K271" s="100" t="s">
        <v>1322</v>
      </c>
      <c r="Q271" t="s">
        <v>1296</v>
      </c>
      <c r="R271">
        <v>1</v>
      </c>
    </row>
    <row r="272" spans="1:18">
      <c r="A272" t="s">
        <v>1137</v>
      </c>
      <c r="B272" t="s">
        <v>421</v>
      </c>
      <c r="C272" t="s">
        <v>1148</v>
      </c>
      <c r="H272" s="360" t="str">
        <f t="shared" si="23"/>
        <v>Guest House - Prism Hospitality</v>
      </c>
      <c r="I272">
        <v>6</v>
      </c>
      <c r="J272" s="100" t="s">
        <v>1095</v>
      </c>
      <c r="Q272" t="s">
        <v>1297</v>
      </c>
      <c r="R272">
        <v>1</v>
      </c>
    </row>
    <row r="273" spans="1:19">
      <c r="A273" t="s">
        <v>1137</v>
      </c>
      <c r="B273" t="s">
        <v>424</v>
      </c>
      <c r="C273" t="s">
        <v>1149</v>
      </c>
      <c r="H273" s="360" t="str">
        <f t="shared" si="23"/>
        <v>Housekeeping - IBS Hostel</v>
      </c>
      <c r="I273">
        <v>11</v>
      </c>
      <c r="J273" s="100" t="s">
        <v>1095</v>
      </c>
      <c r="K273" s="100" t="s">
        <v>1323</v>
      </c>
      <c r="Q273" t="s">
        <v>1298</v>
      </c>
      <c r="R273">
        <v>6</v>
      </c>
    </row>
    <row r="274" spans="1:19">
      <c r="A274" t="s">
        <v>1137</v>
      </c>
      <c r="B274" t="s">
        <v>424</v>
      </c>
      <c r="C274" t="s">
        <v>1150</v>
      </c>
      <c r="H274" s="360" t="str">
        <f t="shared" si="23"/>
        <v>Housekeeping - Plant &amp; Common area Forbes</v>
      </c>
      <c r="I274" s="983">
        <v>43</v>
      </c>
      <c r="J274" s="100" t="s">
        <v>1095</v>
      </c>
      <c r="K274" s="100" t="s">
        <v>1324</v>
      </c>
      <c r="Q274" t="s">
        <v>1299</v>
      </c>
      <c r="R274">
        <v>11</v>
      </c>
    </row>
    <row r="275" spans="1:19">
      <c r="A275" t="s">
        <v>1137</v>
      </c>
      <c r="B275" t="s">
        <v>426</v>
      </c>
      <c r="C275" t="s">
        <v>1151</v>
      </c>
      <c r="H275" s="360" t="str">
        <f t="shared" si="23"/>
        <v>Temple - Veeassure</v>
      </c>
      <c r="I275">
        <v>2</v>
      </c>
      <c r="J275" s="100" t="s">
        <v>1095</v>
      </c>
      <c r="Q275" t="s">
        <v>1300</v>
      </c>
      <c r="R275">
        <v>43</v>
      </c>
    </row>
    <row r="276" spans="1:19">
      <c r="A276" t="s">
        <v>1137</v>
      </c>
      <c r="B276" t="s">
        <v>427</v>
      </c>
      <c r="C276" t="s">
        <v>1151</v>
      </c>
      <c r="H276" s="360" t="str">
        <f t="shared" si="23"/>
        <v>Transport - Veeassure</v>
      </c>
      <c r="I276">
        <v>3</v>
      </c>
      <c r="J276" s="100" t="s">
        <v>1095</v>
      </c>
      <c r="Q276" t="s">
        <v>1301</v>
      </c>
      <c r="R276">
        <v>2</v>
      </c>
    </row>
    <row r="277" spans="1:19">
      <c r="I277">
        <v>148</v>
      </c>
      <c r="Q277" t="s">
        <v>1302</v>
      </c>
      <c r="R277">
        <v>3</v>
      </c>
    </row>
    <row r="278" spans="1:19" ht="203">
      <c r="A278" t="s">
        <v>1137</v>
      </c>
      <c r="C278" t="s">
        <v>901</v>
      </c>
      <c r="I278">
        <v>17</v>
      </c>
      <c r="J278" s="100" t="s">
        <v>428</v>
      </c>
      <c r="K278" s="968" t="s">
        <v>1325</v>
      </c>
      <c r="Q278" t="s">
        <v>434</v>
      </c>
      <c r="R278">
        <v>2</v>
      </c>
    </row>
    <row r="279" spans="1:19">
      <c r="I279">
        <v>165</v>
      </c>
      <c r="Q279" t="s">
        <v>1303</v>
      </c>
      <c r="R279">
        <v>1</v>
      </c>
    </row>
    <row r="280" spans="1:19">
      <c r="Q280" t="s">
        <v>1304</v>
      </c>
      <c r="R280">
        <v>1</v>
      </c>
    </row>
    <row r="281" spans="1:19">
      <c r="A281" t="s">
        <v>307</v>
      </c>
      <c r="C281" t="s">
        <v>309</v>
      </c>
      <c r="I281" s="157">
        <v>4</v>
      </c>
      <c r="J281" s="100" t="s">
        <v>1155</v>
      </c>
      <c r="K281" s="100" t="s">
        <v>1326</v>
      </c>
      <c r="Q281" t="s">
        <v>432</v>
      </c>
      <c r="R281">
        <v>1</v>
      </c>
    </row>
    <row r="282" spans="1:19">
      <c r="A282" t="s">
        <v>307</v>
      </c>
      <c r="C282" t="s">
        <v>310</v>
      </c>
      <c r="I282">
        <v>9</v>
      </c>
      <c r="J282" s="100" t="s">
        <v>1156</v>
      </c>
      <c r="Q282" t="s">
        <v>1305</v>
      </c>
      <c r="R282">
        <v>1</v>
      </c>
    </row>
    <row r="283" spans="1:19">
      <c r="A283" t="s">
        <v>307</v>
      </c>
      <c r="C283" t="s">
        <v>311</v>
      </c>
      <c r="I283">
        <v>7</v>
      </c>
      <c r="J283" s="100" t="s">
        <v>1154</v>
      </c>
      <c r="Q283" t="s">
        <v>1306</v>
      </c>
      <c r="R283">
        <v>2</v>
      </c>
    </row>
    <row r="284" spans="1:19">
      <c r="A284" t="s">
        <v>307</v>
      </c>
      <c r="C284" t="s">
        <v>313</v>
      </c>
      <c r="I284">
        <v>157</v>
      </c>
      <c r="J284" s="100" t="s">
        <v>1157</v>
      </c>
      <c r="R284" t="s">
        <v>309</v>
      </c>
      <c r="S284">
        <v>4</v>
      </c>
    </row>
    <row r="285" spans="1:19">
      <c r="A285" t="s">
        <v>307</v>
      </c>
      <c r="C285" t="s">
        <v>314</v>
      </c>
      <c r="I285">
        <v>6</v>
      </c>
      <c r="J285" s="100" t="s">
        <v>1158</v>
      </c>
      <c r="R285" t="s">
        <v>310</v>
      </c>
      <c r="S285">
        <v>9</v>
      </c>
    </row>
    <row r="286" spans="1:19">
      <c r="I286">
        <f>SUM(I281:I285)</f>
        <v>183</v>
      </c>
      <c r="R286" t="s">
        <v>311</v>
      </c>
      <c r="S286">
        <v>7</v>
      </c>
    </row>
    <row r="287" spans="1:19">
      <c r="R287" t="s">
        <v>314</v>
      </c>
      <c r="S287">
        <v>6</v>
      </c>
    </row>
    <row r="288" spans="1:19">
      <c r="R288" t="s">
        <v>313</v>
      </c>
      <c r="S288">
        <v>157</v>
      </c>
    </row>
    <row r="289" spans="1:19">
      <c r="F289" s="356" t="s">
        <v>1105</v>
      </c>
      <c r="G289" s="857"/>
      <c r="K289" s="924" t="s">
        <v>428</v>
      </c>
      <c r="L289" s="924" t="s">
        <v>1094</v>
      </c>
      <c r="M289" s="924" t="s">
        <v>1095</v>
      </c>
      <c r="R289" t="s">
        <v>1288</v>
      </c>
      <c r="S289">
        <v>36</v>
      </c>
    </row>
    <row r="290" spans="1:19">
      <c r="A290" t="s">
        <v>1152</v>
      </c>
      <c r="B290" t="s">
        <v>301</v>
      </c>
      <c r="C290" t="s">
        <v>301</v>
      </c>
      <c r="F290" s="358">
        <v>4</v>
      </c>
      <c r="I290">
        <v>4</v>
      </c>
      <c r="K290" s="100">
        <v>3</v>
      </c>
      <c r="L290" s="100">
        <v>1</v>
      </c>
      <c r="R290" t="s">
        <v>1289</v>
      </c>
      <c r="S290">
        <v>5</v>
      </c>
    </row>
    <row r="291" spans="1:19">
      <c r="A291" t="s">
        <v>1152</v>
      </c>
      <c r="B291" t="s">
        <v>26</v>
      </c>
      <c r="C291" t="s">
        <v>26</v>
      </c>
      <c r="F291" s="358">
        <v>4</v>
      </c>
      <c r="I291">
        <v>4</v>
      </c>
      <c r="K291" s="100">
        <v>3</v>
      </c>
      <c r="L291" s="100">
        <v>1</v>
      </c>
      <c r="R291" t="s">
        <v>1290</v>
      </c>
      <c r="S291">
        <v>6</v>
      </c>
    </row>
    <row r="292" spans="1:19">
      <c r="A292" t="s">
        <v>1152</v>
      </c>
      <c r="B292" t="s">
        <v>31</v>
      </c>
      <c r="C292" t="s">
        <v>31</v>
      </c>
      <c r="F292" s="358">
        <v>3</v>
      </c>
      <c r="I292">
        <v>3</v>
      </c>
      <c r="K292" s="100">
        <v>3</v>
      </c>
      <c r="R292" t="s">
        <v>1291</v>
      </c>
      <c r="S292">
        <v>1</v>
      </c>
    </row>
    <row r="293" spans="1:19">
      <c r="A293" t="s">
        <v>1152</v>
      </c>
      <c r="B293" t="s">
        <v>32</v>
      </c>
      <c r="C293" t="s">
        <v>32</v>
      </c>
      <c r="F293" s="358">
        <v>27</v>
      </c>
      <c r="I293">
        <v>27</v>
      </c>
      <c r="K293" s="100">
        <v>13</v>
      </c>
      <c r="L293" s="100">
        <v>7</v>
      </c>
      <c r="M293" s="100">
        <v>7</v>
      </c>
      <c r="R293" t="s">
        <v>1292</v>
      </c>
      <c r="S293">
        <v>22</v>
      </c>
    </row>
    <row r="294" spans="1:19">
      <c r="A294" t="s">
        <v>1152</v>
      </c>
      <c r="B294" t="s">
        <v>295</v>
      </c>
      <c r="C294" t="s">
        <v>295</v>
      </c>
      <c r="F294" s="358">
        <v>6</v>
      </c>
      <c r="I294">
        <v>0</v>
      </c>
      <c r="R294" t="s">
        <v>1293</v>
      </c>
      <c r="S294">
        <v>9</v>
      </c>
    </row>
    <row r="295" spans="1:19">
      <c r="R295" t="s">
        <v>1294</v>
      </c>
      <c r="S295">
        <v>1</v>
      </c>
    </row>
    <row r="296" spans="1:19">
      <c r="R296" t="s">
        <v>1295</v>
      </c>
      <c r="S296">
        <v>1</v>
      </c>
    </row>
    <row r="297" spans="1:19">
      <c r="R297" t="s">
        <v>1296</v>
      </c>
      <c r="S297">
        <v>1</v>
      </c>
    </row>
    <row r="298" spans="1:19">
      <c r="C298" s="154" t="s">
        <v>1277</v>
      </c>
      <c r="F298" s="356" t="s">
        <v>1277</v>
      </c>
      <c r="R298" t="s">
        <v>1297</v>
      </c>
      <c r="S298">
        <v>1</v>
      </c>
    </row>
    <row r="299" spans="1:19">
      <c r="A299" t="s">
        <v>298</v>
      </c>
      <c r="B299" t="s">
        <v>1327</v>
      </c>
      <c r="C299">
        <v>28</v>
      </c>
      <c r="F299" s="358">
        <v>28</v>
      </c>
      <c r="I299">
        <v>28</v>
      </c>
      <c r="R299" t="s">
        <v>1298</v>
      </c>
      <c r="S299">
        <v>6</v>
      </c>
    </row>
    <row r="300" spans="1:19">
      <c r="A300" t="s">
        <v>298</v>
      </c>
      <c r="B300" t="s">
        <v>1328</v>
      </c>
      <c r="C300">
        <v>22</v>
      </c>
      <c r="F300" s="358">
        <v>22</v>
      </c>
      <c r="I300">
        <v>22</v>
      </c>
      <c r="R300" t="s">
        <v>1299</v>
      </c>
      <c r="S300">
        <v>11</v>
      </c>
    </row>
    <row r="301" spans="1:19">
      <c r="A301" t="s">
        <v>298</v>
      </c>
      <c r="B301" t="s">
        <v>295</v>
      </c>
      <c r="C301">
        <v>25</v>
      </c>
      <c r="F301" s="358">
        <v>4</v>
      </c>
      <c r="I301">
        <v>4</v>
      </c>
      <c r="R301" t="s">
        <v>1300</v>
      </c>
      <c r="S301">
        <v>43</v>
      </c>
    </row>
    <row r="302" spans="1:19">
      <c r="A302" t="s">
        <v>298</v>
      </c>
      <c r="B302" t="s">
        <v>315</v>
      </c>
      <c r="C302">
        <v>63</v>
      </c>
      <c r="F302" s="358">
        <v>63</v>
      </c>
      <c r="I302">
        <v>63</v>
      </c>
      <c r="R302" t="s">
        <v>1301</v>
      </c>
      <c r="S302">
        <v>2</v>
      </c>
    </row>
    <row r="303" spans="1:19">
      <c r="C303">
        <v>138</v>
      </c>
      <c r="R303" t="s">
        <v>1302</v>
      </c>
      <c r="S303">
        <v>3</v>
      </c>
    </row>
    <row r="304" spans="1:19">
      <c r="R304" t="s">
        <v>434</v>
      </c>
      <c r="S304">
        <v>2</v>
      </c>
    </row>
    <row r="305" spans="1:19">
      <c r="R305" t="s">
        <v>1303</v>
      </c>
      <c r="S305">
        <v>1</v>
      </c>
    </row>
    <row r="306" spans="1:19" hidden="1">
      <c r="J306" s="100" t="s">
        <v>428</v>
      </c>
      <c r="K306" s="100" t="s">
        <v>1094</v>
      </c>
      <c r="L306" s="100" t="s">
        <v>536</v>
      </c>
      <c r="R306" t="s">
        <v>1304</v>
      </c>
      <c r="S306">
        <v>1</v>
      </c>
    </row>
    <row r="307" spans="1:19" hidden="1">
      <c r="A307" t="s">
        <v>1152</v>
      </c>
      <c r="B307" t="s">
        <v>301</v>
      </c>
      <c r="I307" s="154">
        <v>4</v>
      </c>
      <c r="J307" s="100">
        <v>2</v>
      </c>
      <c r="K307" s="100">
        <v>2</v>
      </c>
      <c r="R307" t="s">
        <v>432</v>
      </c>
      <c r="S307">
        <v>1</v>
      </c>
    </row>
    <row r="308" spans="1:19" hidden="1">
      <c r="A308" t="s">
        <v>1152</v>
      </c>
      <c r="B308" t="s">
        <v>26</v>
      </c>
      <c r="I308" s="154">
        <v>4</v>
      </c>
      <c r="R308" t="s">
        <v>1305</v>
      </c>
      <c r="S308">
        <v>1</v>
      </c>
    </row>
    <row r="309" spans="1:19" hidden="1">
      <c r="A309" t="s">
        <v>1152</v>
      </c>
      <c r="B309" t="s">
        <v>31</v>
      </c>
      <c r="I309" s="154">
        <v>3</v>
      </c>
      <c r="R309" t="s">
        <v>1306</v>
      </c>
      <c r="S309">
        <v>2</v>
      </c>
    </row>
    <row r="310" spans="1:19" hidden="1">
      <c r="A310" t="s">
        <v>1152</v>
      </c>
      <c r="B310" t="s">
        <v>1160</v>
      </c>
      <c r="I310">
        <v>3</v>
      </c>
    </row>
    <row r="311" spans="1:19" hidden="1">
      <c r="A311" t="s">
        <v>1152</v>
      </c>
      <c r="B311" t="s">
        <v>215</v>
      </c>
      <c r="I311">
        <v>1</v>
      </c>
    </row>
    <row r="312" spans="1:19" hidden="1">
      <c r="B312" t="s">
        <v>1161</v>
      </c>
      <c r="I312" s="154">
        <v>3</v>
      </c>
    </row>
    <row r="313" spans="1:19" hidden="1">
      <c r="B313" t="s">
        <v>1162</v>
      </c>
      <c r="I313" s="154">
        <v>5</v>
      </c>
    </row>
    <row r="314" spans="1:19" hidden="1">
      <c r="B314" t="s">
        <v>1163</v>
      </c>
      <c r="I314" s="154">
        <v>2</v>
      </c>
    </row>
    <row r="315" spans="1:19" hidden="1">
      <c r="B315" t="s">
        <v>1164</v>
      </c>
      <c r="I315">
        <v>1</v>
      </c>
    </row>
    <row r="316" spans="1:19" hidden="1">
      <c r="B316" t="s">
        <v>1165</v>
      </c>
      <c r="I316" s="154">
        <v>3</v>
      </c>
    </row>
    <row r="317" spans="1:19" hidden="1">
      <c r="B317" t="s">
        <v>215</v>
      </c>
      <c r="I317">
        <v>1</v>
      </c>
    </row>
    <row r="318" spans="1:19" hidden="1">
      <c r="B318" t="s">
        <v>1166</v>
      </c>
      <c r="I318" s="154">
        <v>3</v>
      </c>
    </row>
    <row r="319" spans="1:19" hidden="1">
      <c r="B319" t="s">
        <v>1167</v>
      </c>
      <c r="I319" s="154">
        <v>3</v>
      </c>
    </row>
  </sheetData>
  <autoFilter ref="A1:F165"/>
  <mergeCells count="10">
    <mergeCell ref="K262:K265"/>
    <mergeCell ref="T155:W155"/>
    <mergeCell ref="O180:O181"/>
    <mergeCell ref="O198:O199"/>
    <mergeCell ref="N1:O1"/>
    <mergeCell ref="A214:B214"/>
    <mergeCell ref="O121:O122"/>
    <mergeCell ref="O155:O156"/>
    <mergeCell ref="O154:Q154"/>
    <mergeCell ref="N15:R15"/>
  </mergeCell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S91"/>
  <sheetViews>
    <sheetView zoomScale="98" zoomScaleNormal="70" workbookViewId="0">
      <pane xSplit="1" ySplit="2" topLeftCell="BG15" activePane="bottomRight" state="frozen"/>
      <selection activeCell="L71" sqref="L71"/>
      <selection pane="topRight" activeCell="L71" sqref="L71"/>
      <selection pane="bottomLeft" activeCell="L71" sqref="L71"/>
      <selection pane="bottomRight" activeCell="CH18" sqref="CH18"/>
    </sheetView>
  </sheetViews>
  <sheetFormatPr defaultRowHeight="14.5"/>
  <cols>
    <col min="1" max="1" width="22.453125" bestFit="1" customWidth="1"/>
    <col min="2" max="2" width="9.54296875" customWidth="1"/>
    <col min="3" max="3" width="12.1796875" bestFit="1" customWidth="1"/>
    <col min="4" max="5" width="10.54296875" bestFit="1" customWidth="1"/>
    <col min="6" max="6" width="12.1796875" bestFit="1" customWidth="1"/>
    <col min="7" max="7" width="15.26953125" bestFit="1" customWidth="1"/>
    <col min="8" max="14" width="9.54296875" customWidth="1"/>
    <col min="74" max="74" width="9.1796875" customWidth="1"/>
    <col min="75" max="75" width="10" customWidth="1"/>
    <col min="82" max="82" width="10.81640625" bestFit="1" customWidth="1"/>
    <col min="83" max="83" width="17.453125" hidden="1" customWidth="1"/>
    <col min="84" max="84" width="16.26953125" hidden="1" customWidth="1"/>
    <col min="85" max="85" width="13" hidden="1" customWidth="1"/>
    <col min="86" max="86" width="13.453125" bestFit="1" customWidth="1"/>
    <col min="103" max="103" width="10" bestFit="1" customWidth="1"/>
    <col min="117" max="117" width="10.7265625" bestFit="1" customWidth="1"/>
    <col min="121" max="121" width="22.453125" bestFit="1" customWidth="1"/>
    <col min="128" max="128" width="11.26953125" bestFit="1" customWidth="1"/>
    <col min="131" max="142" width="10.26953125" bestFit="1" customWidth="1"/>
  </cols>
  <sheetData>
    <row r="1" spans="1:149">
      <c r="B1" s="1435">
        <v>46113</v>
      </c>
      <c r="C1" s="1395"/>
      <c r="D1" s="1395"/>
      <c r="E1" s="1395"/>
      <c r="F1" s="1395"/>
      <c r="G1" s="1395"/>
      <c r="H1" s="1435">
        <v>46143</v>
      </c>
      <c r="I1" s="1395"/>
      <c r="J1" s="1395"/>
      <c r="K1" s="1395"/>
      <c r="L1" s="1395"/>
      <c r="M1" s="1395"/>
      <c r="N1" s="1435">
        <v>46174</v>
      </c>
      <c r="O1" s="1395"/>
      <c r="P1" s="1395"/>
      <c r="Q1" s="1395"/>
      <c r="R1" s="1395"/>
      <c r="S1" s="1395"/>
      <c r="T1" s="1435">
        <v>46204</v>
      </c>
      <c r="U1" s="1395"/>
      <c r="V1" s="1395"/>
      <c r="W1" s="1395"/>
      <c r="X1" s="1395"/>
      <c r="Y1" s="1395"/>
      <c r="Z1" s="1435">
        <v>46235</v>
      </c>
      <c r="AA1" s="1395"/>
      <c r="AB1" s="1395"/>
      <c r="AC1" s="1395"/>
      <c r="AD1" s="1395"/>
      <c r="AE1" s="1395"/>
      <c r="AF1" s="1435">
        <v>46266</v>
      </c>
      <c r="AG1" s="1395"/>
      <c r="AH1" s="1395"/>
      <c r="AI1" s="1395"/>
      <c r="AJ1" s="1395"/>
      <c r="AK1" s="1395"/>
      <c r="AL1" s="1435">
        <v>46296</v>
      </c>
      <c r="AM1" s="1395"/>
      <c r="AN1" s="1395"/>
      <c r="AO1" s="1395"/>
      <c r="AP1" s="1395"/>
      <c r="AQ1" s="1395"/>
      <c r="AR1" s="1435">
        <v>46327</v>
      </c>
      <c r="AS1" s="1395"/>
      <c r="AT1" s="1395"/>
      <c r="AU1" s="1395"/>
      <c r="AV1" s="1395"/>
      <c r="AW1" s="1395"/>
      <c r="AX1" s="1435">
        <v>46357</v>
      </c>
      <c r="AY1" s="1395"/>
      <c r="AZ1" s="1395"/>
      <c r="BA1" s="1395"/>
      <c r="BB1" s="1395"/>
      <c r="BC1" s="1395"/>
      <c r="BD1" s="1435">
        <v>46388</v>
      </c>
      <c r="BE1" s="1395"/>
      <c r="BF1" s="1395"/>
      <c r="BG1" s="1395"/>
      <c r="BH1" s="1395"/>
      <c r="BI1" s="1395"/>
      <c r="BJ1" s="1435">
        <v>46419</v>
      </c>
      <c r="BK1" s="1395"/>
      <c r="BL1" s="1395"/>
      <c r="BM1" s="1395"/>
      <c r="BN1" s="1395"/>
      <c r="BO1" s="1395"/>
      <c r="BP1" s="1435">
        <v>46447</v>
      </c>
      <c r="BQ1" s="1395"/>
      <c r="BR1" s="1395"/>
      <c r="BS1" s="1395"/>
      <c r="BT1" s="1395"/>
      <c r="BU1" s="1395"/>
      <c r="BV1" s="144"/>
      <c r="BX1" s="1435" t="s">
        <v>1116</v>
      </c>
      <c r="BY1" s="1395"/>
      <c r="BZ1" s="1395"/>
      <c r="CA1" s="1395"/>
      <c r="CB1" s="1395"/>
      <c r="CC1" s="1395"/>
      <c r="CE1" s="1395" t="s">
        <v>1307</v>
      </c>
      <c r="CF1" s="1395"/>
      <c r="CI1" s="1395" t="s">
        <v>1121</v>
      </c>
      <c r="CJ1" s="1395"/>
      <c r="CK1" s="1395"/>
      <c r="CL1" s="1395"/>
      <c r="CM1" s="1395"/>
      <c r="CN1" s="1395"/>
      <c r="CQ1" s="1395" t="s">
        <v>1130</v>
      </c>
      <c r="CR1" s="1395"/>
      <c r="CS1" s="1395"/>
      <c r="CT1" s="1395"/>
      <c r="CU1" s="1395"/>
      <c r="CV1" s="1395"/>
    </row>
    <row r="2" spans="1:149" s="832" customFormat="1" ht="47.25" customHeight="1">
      <c r="A2" s="772" t="str">
        <f>'Monthly HC &amp; Prodn Working'!B2</f>
        <v>Section</v>
      </c>
      <c r="B2" s="827">
        <f>'Monthly HC &amp; Prodn Working'!D2</f>
        <v>46113</v>
      </c>
      <c r="C2" s="828" t="s">
        <v>428</v>
      </c>
      <c r="D2" s="829" t="s">
        <v>1094</v>
      </c>
      <c r="E2" s="830" t="s">
        <v>1095</v>
      </c>
      <c r="F2" s="831" t="s">
        <v>1096</v>
      </c>
      <c r="G2" s="827" t="s">
        <v>91</v>
      </c>
      <c r="H2" s="827">
        <f>'Monthly HC &amp; Prodn Working'!E2</f>
        <v>46143</v>
      </c>
      <c r="I2" s="828" t="s">
        <v>428</v>
      </c>
      <c r="J2" s="829" t="s">
        <v>1094</v>
      </c>
      <c r="K2" s="830" t="s">
        <v>1095</v>
      </c>
      <c r="L2" s="831" t="s">
        <v>1096</v>
      </c>
      <c r="M2" s="827" t="s">
        <v>91</v>
      </c>
      <c r="N2" s="827">
        <f>'Monthly HC &amp; Prodn Working'!F2</f>
        <v>46174</v>
      </c>
      <c r="O2" s="828" t="s">
        <v>428</v>
      </c>
      <c r="P2" s="829" t="s">
        <v>1094</v>
      </c>
      <c r="Q2" s="830" t="s">
        <v>1095</v>
      </c>
      <c r="R2" s="831" t="s">
        <v>1096</v>
      </c>
      <c r="S2" s="827" t="s">
        <v>91</v>
      </c>
      <c r="T2" s="827">
        <f>'Monthly HC &amp; Prodn Working'!G2</f>
        <v>46204</v>
      </c>
      <c r="U2" s="828" t="s">
        <v>428</v>
      </c>
      <c r="V2" s="829" t="s">
        <v>1094</v>
      </c>
      <c r="W2" s="830" t="s">
        <v>1095</v>
      </c>
      <c r="X2" s="831" t="s">
        <v>1096</v>
      </c>
      <c r="Y2" s="827" t="s">
        <v>91</v>
      </c>
      <c r="Z2" s="827">
        <f>'Monthly HC &amp; Prodn Working'!H2</f>
        <v>46235</v>
      </c>
      <c r="AA2" s="828" t="s">
        <v>428</v>
      </c>
      <c r="AB2" s="829" t="s">
        <v>1094</v>
      </c>
      <c r="AC2" s="830" t="s">
        <v>1095</v>
      </c>
      <c r="AD2" s="831" t="s">
        <v>1096</v>
      </c>
      <c r="AE2" s="827" t="s">
        <v>91</v>
      </c>
      <c r="AF2" s="827">
        <f>'Monthly HC &amp; Prodn Working'!I2</f>
        <v>46266</v>
      </c>
      <c r="AG2" s="828" t="s">
        <v>428</v>
      </c>
      <c r="AH2" s="829" t="s">
        <v>1094</v>
      </c>
      <c r="AI2" s="830" t="s">
        <v>1095</v>
      </c>
      <c r="AJ2" s="831" t="s">
        <v>1096</v>
      </c>
      <c r="AK2" s="827" t="s">
        <v>91</v>
      </c>
      <c r="AL2" s="827">
        <f>'Monthly HC &amp; Prodn Working'!J2</f>
        <v>46296</v>
      </c>
      <c r="AM2" s="828" t="s">
        <v>428</v>
      </c>
      <c r="AN2" s="829" t="s">
        <v>1094</v>
      </c>
      <c r="AO2" s="830" t="s">
        <v>1095</v>
      </c>
      <c r="AP2" s="831" t="s">
        <v>1096</v>
      </c>
      <c r="AQ2" s="827" t="s">
        <v>91</v>
      </c>
      <c r="AR2" s="827">
        <f>'Monthly HC &amp; Prodn Working'!K2</f>
        <v>46327</v>
      </c>
      <c r="AS2" s="828" t="s">
        <v>428</v>
      </c>
      <c r="AT2" s="829" t="s">
        <v>1094</v>
      </c>
      <c r="AU2" s="830" t="s">
        <v>1095</v>
      </c>
      <c r="AV2" s="831" t="s">
        <v>1096</v>
      </c>
      <c r="AW2" s="827" t="s">
        <v>91</v>
      </c>
      <c r="AX2" s="827">
        <f>'Monthly HC &amp; Prodn Working'!L2</f>
        <v>46357</v>
      </c>
      <c r="AY2" s="828" t="s">
        <v>428</v>
      </c>
      <c r="AZ2" s="829" t="s">
        <v>1094</v>
      </c>
      <c r="BA2" s="830" t="s">
        <v>1095</v>
      </c>
      <c r="BB2" s="831" t="s">
        <v>1096</v>
      </c>
      <c r="BC2" s="827" t="s">
        <v>91</v>
      </c>
      <c r="BD2" s="827">
        <f>'Monthly HC &amp; Prodn Working'!M2</f>
        <v>46388</v>
      </c>
      <c r="BE2" s="828" t="s">
        <v>428</v>
      </c>
      <c r="BF2" s="829" t="s">
        <v>1094</v>
      </c>
      <c r="BG2" s="830" t="s">
        <v>1095</v>
      </c>
      <c r="BH2" s="831" t="s">
        <v>1096</v>
      </c>
      <c r="BI2" s="827" t="s">
        <v>91</v>
      </c>
      <c r="BJ2" s="827">
        <f>'Monthly HC &amp; Prodn Working'!N2</f>
        <v>46419</v>
      </c>
      <c r="BK2" s="828" t="s">
        <v>428</v>
      </c>
      <c r="BL2" s="829" t="s">
        <v>1094</v>
      </c>
      <c r="BM2" s="830" t="s">
        <v>1095</v>
      </c>
      <c r="BN2" s="831" t="s">
        <v>1096</v>
      </c>
      <c r="BO2" s="827" t="s">
        <v>91</v>
      </c>
      <c r="BP2" s="827">
        <f>'Monthly HC &amp; Prodn Working'!O2</f>
        <v>46447</v>
      </c>
      <c r="BQ2" s="828" t="s">
        <v>428</v>
      </c>
      <c r="BR2" s="829" t="s">
        <v>1094</v>
      </c>
      <c r="BS2" s="830" t="s">
        <v>1095</v>
      </c>
      <c r="BT2" s="831" t="s">
        <v>1096</v>
      </c>
      <c r="BU2" s="827" t="s">
        <v>91</v>
      </c>
      <c r="BV2" s="963"/>
      <c r="BW2" s="772" t="s">
        <v>1117</v>
      </c>
      <c r="BX2" s="843" t="s">
        <v>266</v>
      </c>
      <c r="BY2" s="828" t="s">
        <v>428</v>
      </c>
      <c r="BZ2" s="829" t="s">
        <v>1094</v>
      </c>
      <c r="CA2" s="830" t="s">
        <v>1095</v>
      </c>
      <c r="CB2" s="831" t="s">
        <v>1096</v>
      </c>
      <c r="CC2" s="827" t="s">
        <v>91</v>
      </c>
      <c r="CD2" s="965" t="s">
        <v>537</v>
      </c>
      <c r="CE2" s="963" t="s">
        <v>1308</v>
      </c>
      <c r="CF2" s="963" t="s">
        <v>1309</v>
      </c>
      <c r="CI2" s="772" t="s">
        <v>2</v>
      </c>
      <c r="CJ2" s="827" t="s">
        <v>1120</v>
      </c>
      <c r="CK2" s="828" t="s">
        <v>428</v>
      </c>
      <c r="CL2" s="829" t="s">
        <v>1094</v>
      </c>
      <c r="CM2" s="830" t="s">
        <v>1095</v>
      </c>
      <c r="CN2" s="831" t="s">
        <v>1096</v>
      </c>
      <c r="CQ2" s="772" t="s">
        <v>2</v>
      </c>
      <c r="CR2" s="827" t="s">
        <v>1120</v>
      </c>
      <c r="CS2" s="828" t="s">
        <v>428</v>
      </c>
      <c r="CT2" s="829" t="s">
        <v>1094</v>
      </c>
      <c r="CU2" s="830" t="s">
        <v>1095</v>
      </c>
      <c r="CV2" s="831" t="s">
        <v>1096</v>
      </c>
      <c r="DA2" s="770">
        <f>'Monthly HC &amp; Prodn Working'!Q2</f>
        <v>46113</v>
      </c>
      <c r="DB2" s="770">
        <f>'Monthly HC &amp; Prodn Working'!R2</f>
        <v>46143</v>
      </c>
      <c r="DC2" s="770">
        <f>'Monthly HC &amp; Prodn Working'!S2</f>
        <v>46174</v>
      </c>
      <c r="DD2" s="770">
        <f>'Monthly HC &amp; Prodn Working'!T2</f>
        <v>46204</v>
      </c>
      <c r="DE2" s="770">
        <f>'Monthly HC &amp; Prodn Working'!U2</f>
        <v>46235</v>
      </c>
      <c r="DF2" s="770">
        <f>'Monthly HC &amp; Prodn Working'!V2</f>
        <v>46266</v>
      </c>
      <c r="DG2" s="770">
        <f>'Monthly HC &amp; Prodn Working'!W2</f>
        <v>46296</v>
      </c>
      <c r="DH2" s="770">
        <f>'Monthly HC &amp; Prodn Working'!X2</f>
        <v>46327</v>
      </c>
      <c r="DI2" s="770">
        <f>'Monthly HC &amp; Prodn Working'!Y2</f>
        <v>46357</v>
      </c>
      <c r="DJ2" s="770">
        <f>'Monthly HC &amp; Prodn Working'!Z2</f>
        <v>46388</v>
      </c>
      <c r="DK2" s="770">
        <f>'Monthly HC &amp; Prodn Working'!AA2</f>
        <v>46419</v>
      </c>
      <c r="DL2" s="770">
        <f>'Monthly HC &amp; Prodn Working'!AB2</f>
        <v>46447</v>
      </c>
      <c r="DP2"/>
      <c r="DQ2"/>
      <c r="DR2"/>
      <c r="DS2"/>
      <c r="DT2"/>
      <c r="DU2"/>
      <c r="DV2"/>
      <c r="DW2"/>
      <c r="DX2"/>
      <c r="DY2"/>
      <c r="DZ2"/>
      <c r="EA2"/>
      <c r="EB2"/>
      <c r="EC2"/>
      <c r="ED2"/>
      <c r="EE2"/>
      <c r="EF2"/>
      <c r="EG2"/>
      <c r="EH2"/>
      <c r="EI2"/>
      <c r="EJ2"/>
      <c r="EK2"/>
      <c r="EL2"/>
    </row>
    <row r="3" spans="1:149">
      <c r="A3" s="132" t="str">
        <f>'Monthly HC &amp; Prodn Working'!B3</f>
        <v>1. POY</v>
      </c>
      <c r="B3" s="9">
        <f>'Monthly HC &amp; Prodn Working'!D3</f>
        <v>43</v>
      </c>
      <c r="C3" s="802">
        <v>35</v>
      </c>
      <c r="D3" s="803">
        <v>5</v>
      </c>
      <c r="E3" s="804">
        <v>3</v>
      </c>
      <c r="F3" s="805"/>
      <c r="G3" s="9">
        <f>SUM(C3:F3)</f>
        <v>43</v>
      </c>
      <c r="H3" s="9">
        <f>'Monthly HC &amp; Prodn Working'!E3</f>
        <v>43</v>
      </c>
      <c r="I3" s="802">
        <v>35</v>
      </c>
      <c r="J3" s="803">
        <v>5</v>
      </c>
      <c r="K3" s="804">
        <v>3</v>
      </c>
      <c r="L3" s="805"/>
      <c r="M3" s="9">
        <f>SUM(I3:L3)</f>
        <v>43</v>
      </c>
      <c r="N3" s="9">
        <f>'Monthly HC &amp; Prodn Working'!F3</f>
        <v>43</v>
      </c>
      <c r="O3" s="802">
        <v>35</v>
      </c>
      <c r="P3" s="803">
        <v>5</v>
      </c>
      <c r="Q3" s="804">
        <v>3</v>
      </c>
      <c r="R3" s="805"/>
      <c r="S3" s="9">
        <f>SUM(O3:R3)</f>
        <v>43</v>
      </c>
      <c r="T3" s="9">
        <f>'Monthly HC &amp; Prodn Working'!G3</f>
        <v>43</v>
      </c>
      <c r="U3" s="802">
        <v>35</v>
      </c>
      <c r="V3" s="803">
        <v>5</v>
      </c>
      <c r="W3" s="804">
        <v>3</v>
      </c>
      <c r="X3" s="805"/>
      <c r="Y3" s="9">
        <f>SUM(U3:X3)</f>
        <v>43</v>
      </c>
      <c r="Z3" s="9">
        <f>'Monthly HC &amp; Prodn Working'!H3</f>
        <v>43</v>
      </c>
      <c r="AA3" s="802">
        <v>35</v>
      </c>
      <c r="AB3" s="803">
        <v>5</v>
      </c>
      <c r="AC3" s="804">
        <v>3</v>
      </c>
      <c r="AD3" s="805"/>
      <c r="AE3" s="9">
        <f>SUM(AA3:AD3)</f>
        <v>43</v>
      </c>
      <c r="AF3" s="9">
        <f>'Monthly HC &amp; Prodn Working'!I3</f>
        <v>43</v>
      </c>
      <c r="AG3" s="802">
        <v>35</v>
      </c>
      <c r="AH3" s="803">
        <v>5</v>
      </c>
      <c r="AI3" s="804">
        <v>3</v>
      </c>
      <c r="AJ3" s="805"/>
      <c r="AK3" s="9">
        <f>SUM(AG3:AJ3)</f>
        <v>43</v>
      </c>
      <c r="AL3" s="9">
        <f>'Monthly HC &amp; Prodn Working'!J3</f>
        <v>43</v>
      </c>
      <c r="AM3" s="802">
        <v>35</v>
      </c>
      <c r="AN3" s="803">
        <v>5</v>
      </c>
      <c r="AO3" s="804">
        <v>3</v>
      </c>
      <c r="AP3" s="805"/>
      <c r="AQ3" s="9">
        <f>SUM(AM3:AP3)</f>
        <v>43</v>
      </c>
      <c r="AR3" s="9">
        <f>'Monthly HC &amp; Prodn Working'!K3</f>
        <v>43</v>
      </c>
      <c r="AS3" s="802">
        <v>35</v>
      </c>
      <c r="AT3" s="803">
        <v>5</v>
      </c>
      <c r="AU3" s="804">
        <v>3</v>
      </c>
      <c r="AV3" s="805"/>
      <c r="AW3" s="9">
        <f>SUM(AS3:AV3)</f>
        <v>43</v>
      </c>
      <c r="AX3" s="9">
        <f>'Monthly HC &amp; Prodn Working'!L3</f>
        <v>43</v>
      </c>
      <c r="AY3" s="802">
        <v>35</v>
      </c>
      <c r="AZ3" s="803">
        <v>5</v>
      </c>
      <c r="BA3" s="804">
        <v>3</v>
      </c>
      <c r="BB3" s="805"/>
      <c r="BC3" s="9">
        <f>SUM(AY3:BB3)</f>
        <v>43</v>
      </c>
      <c r="BD3" s="9">
        <f>'Monthly HC &amp; Prodn Working'!M3</f>
        <v>43</v>
      </c>
      <c r="BE3" s="802">
        <v>35</v>
      </c>
      <c r="BF3" s="803">
        <v>5</v>
      </c>
      <c r="BG3" s="804">
        <v>3</v>
      </c>
      <c r="BH3" s="805"/>
      <c r="BI3" s="9">
        <f>SUM(BE3:BH3)</f>
        <v>43</v>
      </c>
      <c r="BJ3" s="9">
        <f>'Monthly HC &amp; Prodn Working'!N3</f>
        <v>43</v>
      </c>
      <c r="BK3" s="802">
        <v>35</v>
      </c>
      <c r="BL3" s="803">
        <v>5</v>
      </c>
      <c r="BM3" s="804">
        <v>3</v>
      </c>
      <c r="BN3" s="805"/>
      <c r="BO3" s="9">
        <f>SUM(BK3:BN3)</f>
        <v>43</v>
      </c>
      <c r="BP3" s="9">
        <f>'Monthly HC &amp; Prodn Working'!O3</f>
        <v>43</v>
      </c>
      <c r="BQ3" s="802">
        <v>35</v>
      </c>
      <c r="BR3" s="803">
        <v>5</v>
      </c>
      <c r="BS3" s="804">
        <v>3</v>
      </c>
      <c r="BT3" s="805"/>
      <c r="BU3" s="9">
        <f>SUM(BQ3:BT3)</f>
        <v>43</v>
      </c>
      <c r="BV3" s="989"/>
      <c r="BW3" s="10">
        <f>'Monthly HC &amp; Prodn Working'!AC3</f>
        <v>37828.859689030149</v>
      </c>
      <c r="BX3" s="397">
        <f t="shared" ref="BX3:BX29" si="0">IFERROR((AVERAGE(B3,H3,N3,T3,Z3,AF3,AL3,AR3,AX3,BD3,BJ3,BP3)),"")</f>
        <v>43</v>
      </c>
      <c r="BY3" s="802">
        <f t="shared" ref="BY3:BY29" si="1">IFERROR((AVERAGE(C3,I3,O3,U3,AA3,AG3,AM3,AS3,AY3,BE3,BK3,BQ3)),"")</f>
        <v>35</v>
      </c>
      <c r="BZ3" s="803">
        <f t="shared" ref="BZ3:BZ29" si="2">IFERROR((AVERAGE(D3,J3,P3,V3,AB3,AH3,AN3,AT3,AZ3,BF3,BL3,BR3)),"")</f>
        <v>5</v>
      </c>
      <c r="CA3" s="804">
        <f t="shared" ref="CA3:CA29" si="3">IFERROR((AVERAGE(E3,K3,Q3,W3,AC3,AI3,AO3,AU3,BA3,BG3,BM3,BS3)),"")</f>
        <v>3</v>
      </c>
      <c r="CB3" s="805" t="str">
        <f t="shared" ref="CB3:CB29" si="4">IFERROR((AVERAGE(F3,L3,R3,X3,AD3,AJ3,AP3,AV3,BB3,BH3,BN3,BT3)),"")</f>
        <v/>
      </c>
      <c r="CC3" s="9">
        <f t="shared" ref="CC3:CC29" si="5">IFERROR((AVERAGE(G3,M3,S3,Y3,AE3,AK3,AQ3,AW3,BC3,BI3,BO3,BU3)),"")</f>
        <v>43</v>
      </c>
      <c r="CD3" s="979" t="s">
        <v>1086</v>
      </c>
      <c r="CE3" s="624"/>
      <c r="CF3" s="624"/>
      <c r="CG3" s="798" t="s">
        <v>1134</v>
      </c>
      <c r="CH3" s="39"/>
      <c r="CI3" s="767">
        <v>46113</v>
      </c>
      <c r="CJ3" s="43">
        <f>B29</f>
        <v>1637.5</v>
      </c>
      <c r="CK3" s="43">
        <f>C29</f>
        <v>519</v>
      </c>
      <c r="CL3" s="43">
        <f>D29</f>
        <v>270</v>
      </c>
      <c r="CM3" s="43">
        <f>E29</f>
        <v>277.5</v>
      </c>
      <c r="CN3" s="43">
        <f>F29</f>
        <v>591</v>
      </c>
      <c r="CO3" s="39"/>
      <c r="CP3" s="39"/>
      <c r="CQ3" s="767">
        <v>46113</v>
      </c>
      <c r="CR3" s="43">
        <f>B38</f>
        <v>66</v>
      </c>
      <c r="CS3" s="43">
        <f>C38</f>
        <v>32</v>
      </c>
      <c r="CT3" s="43">
        <f>D38</f>
        <v>0</v>
      </c>
      <c r="CU3" s="43">
        <f>E38</f>
        <v>20</v>
      </c>
      <c r="CV3" s="43">
        <f>F38</f>
        <v>14</v>
      </c>
      <c r="CW3" s="39"/>
      <c r="CX3" s="39"/>
      <c r="CY3" s="19">
        <v>29307.048499999994</v>
      </c>
      <c r="CZ3" s="39"/>
      <c r="DA3" s="43">
        <f>'Monthly HC &amp; Prodn Working'!Q3</f>
        <v>50613.667538818154</v>
      </c>
      <c r="DB3" s="43">
        <f>'Monthly HC &amp; Prodn Working'!R3</f>
        <v>40984.506715719152</v>
      </c>
      <c r="DC3" s="43">
        <f>'Monthly HC &amp; Prodn Working'!S3</f>
        <v>35678.920404370176</v>
      </c>
      <c r="DD3" s="43">
        <f>'Monthly HC &amp; Prodn Working'!T3</f>
        <v>48507.406003135155</v>
      </c>
      <c r="DE3" s="43">
        <f>'Monthly HC &amp; Prodn Working'!U3</f>
        <v>37814.245483172235</v>
      </c>
      <c r="DF3" s="43">
        <f>'Monthly HC &amp; Prodn Working'!V3</f>
        <v>35651.418688229067</v>
      </c>
      <c r="DG3" s="43">
        <f>'Monthly HC &amp; Prodn Working'!W3</f>
        <v>37403.158993685662</v>
      </c>
      <c r="DH3" s="43">
        <f>'Monthly HC &amp; Prodn Working'!X3</f>
        <v>34395.261301297389</v>
      </c>
      <c r="DI3" s="43">
        <f>'Monthly HC &amp; Prodn Working'!Y3</f>
        <v>33711.280943895981</v>
      </c>
      <c r="DJ3" s="43">
        <f>'Monthly HC &amp; Prodn Working'!Z3</f>
        <v>33761.519179139214</v>
      </c>
      <c r="DK3" s="43">
        <f>'Monthly HC &amp; Prodn Working'!AA3</f>
        <v>35709.419840274299</v>
      </c>
      <c r="DL3" s="43">
        <f>'Monthly HC &amp; Prodn Working'!AB3</f>
        <v>29715.511176625227</v>
      </c>
      <c r="DM3" s="39">
        <f>SUM(DA3:DL3)</f>
        <v>453946.31626836176</v>
      </c>
      <c r="DN3" s="39"/>
      <c r="DO3" s="39"/>
      <c r="EM3" s="39"/>
      <c r="EN3" s="39"/>
      <c r="EO3" s="39"/>
      <c r="EP3" s="39"/>
      <c r="EQ3" s="39"/>
      <c r="ER3" s="39"/>
      <c r="ES3" s="39"/>
    </row>
    <row r="4" spans="1:149">
      <c r="A4" s="132" t="str">
        <f>'Monthly HC &amp; Prodn Working'!B4</f>
        <v>2. BCF</v>
      </c>
      <c r="B4" s="9">
        <f>'Monthly HC &amp; Prodn Working'!D4</f>
        <v>23</v>
      </c>
      <c r="C4" s="802">
        <v>18</v>
      </c>
      <c r="D4" s="803">
        <f>B4-C4-E4</f>
        <v>2</v>
      </c>
      <c r="E4" s="804">
        <v>3</v>
      </c>
      <c r="F4" s="805"/>
      <c r="G4" s="9">
        <f t="shared" ref="G4:G28" si="6">SUM(C4:F4)</f>
        <v>23</v>
      </c>
      <c r="H4" s="9">
        <f>'Monthly HC &amp; Prodn Working'!E4</f>
        <v>25</v>
      </c>
      <c r="I4" s="802">
        <v>18</v>
      </c>
      <c r="J4" s="803">
        <f>H4-I4-K4</f>
        <v>4</v>
      </c>
      <c r="K4" s="804">
        <v>3</v>
      </c>
      <c r="L4" s="805"/>
      <c r="M4" s="9">
        <f t="shared" ref="M4:M28" si="7">SUM(I4:L4)</f>
        <v>25</v>
      </c>
      <c r="N4" s="9">
        <f>'Monthly HC &amp; Prodn Working'!F4</f>
        <v>23</v>
      </c>
      <c r="O4" s="802">
        <v>18</v>
      </c>
      <c r="P4" s="803">
        <f>N4-O4-Q4</f>
        <v>2</v>
      </c>
      <c r="Q4" s="804">
        <v>3</v>
      </c>
      <c r="R4" s="805"/>
      <c r="S4" s="9">
        <f t="shared" ref="S4:S28" si="8">SUM(O4:R4)</f>
        <v>23</v>
      </c>
      <c r="T4" s="9">
        <f>'Monthly HC &amp; Prodn Working'!G4</f>
        <v>23</v>
      </c>
      <c r="U4" s="802">
        <v>18</v>
      </c>
      <c r="V4" s="803">
        <f>T4-U4-W4</f>
        <v>2</v>
      </c>
      <c r="W4" s="804">
        <v>3</v>
      </c>
      <c r="X4" s="805"/>
      <c r="Y4" s="9">
        <f t="shared" ref="Y4:Y28" si="9">SUM(U4:X4)</f>
        <v>23</v>
      </c>
      <c r="Z4" s="9">
        <f>'Monthly HC &amp; Prodn Working'!H4</f>
        <v>25</v>
      </c>
      <c r="AA4" s="802">
        <v>18</v>
      </c>
      <c r="AB4" s="803">
        <f>Z4-AA4-AC4</f>
        <v>4</v>
      </c>
      <c r="AC4" s="804">
        <v>3</v>
      </c>
      <c r="AD4" s="805"/>
      <c r="AE4" s="9">
        <f t="shared" ref="AE4:AE28" si="10">SUM(AA4:AD4)</f>
        <v>25</v>
      </c>
      <c r="AF4" s="9">
        <f>'Monthly HC &amp; Prodn Working'!I4</f>
        <v>29</v>
      </c>
      <c r="AG4" s="802">
        <v>18</v>
      </c>
      <c r="AH4" s="803">
        <f>AF4-AG4-AI4</f>
        <v>8</v>
      </c>
      <c r="AI4" s="804">
        <v>3</v>
      </c>
      <c r="AJ4" s="805"/>
      <c r="AK4" s="9">
        <f t="shared" ref="AK4:AK28" si="11">SUM(AG4:AJ4)</f>
        <v>29</v>
      </c>
      <c r="AL4" s="9">
        <f>'Monthly HC &amp; Prodn Working'!J4</f>
        <v>26</v>
      </c>
      <c r="AM4" s="802">
        <v>18</v>
      </c>
      <c r="AN4" s="803">
        <f>AL4-AM4-AO4</f>
        <v>5</v>
      </c>
      <c r="AO4" s="804">
        <v>3</v>
      </c>
      <c r="AP4" s="805"/>
      <c r="AQ4" s="9">
        <f t="shared" ref="AQ4:AQ28" si="12">SUM(AM4:AP4)</f>
        <v>26</v>
      </c>
      <c r="AR4" s="9">
        <f>'Monthly HC &amp; Prodn Working'!K4</f>
        <v>29</v>
      </c>
      <c r="AS4" s="802">
        <v>18</v>
      </c>
      <c r="AT4" s="803">
        <f>AR4-AS4-AU4</f>
        <v>8</v>
      </c>
      <c r="AU4" s="804">
        <v>3</v>
      </c>
      <c r="AV4" s="805"/>
      <c r="AW4" s="9">
        <f t="shared" ref="AW4:AW28" si="13">SUM(AS4:AV4)</f>
        <v>29</v>
      </c>
      <c r="AX4" s="9">
        <f>'Monthly HC &amp; Prodn Working'!L4</f>
        <v>38</v>
      </c>
      <c r="AY4" s="802">
        <v>30</v>
      </c>
      <c r="AZ4" s="803">
        <f>AX4-AY4-BA4</f>
        <v>5</v>
      </c>
      <c r="BA4" s="804">
        <v>3</v>
      </c>
      <c r="BB4" s="805"/>
      <c r="BC4" s="9">
        <f t="shared" ref="BC4:BC28" si="14">SUM(AY4:BB4)</f>
        <v>38</v>
      </c>
      <c r="BD4" s="9">
        <f>'Monthly HC &amp; Prodn Working'!M4</f>
        <v>33</v>
      </c>
      <c r="BE4" s="802">
        <v>25</v>
      </c>
      <c r="BF4" s="803">
        <f>BD4-BE4-BG4</f>
        <v>5</v>
      </c>
      <c r="BG4" s="804">
        <v>3</v>
      </c>
      <c r="BH4" s="805"/>
      <c r="BI4" s="9">
        <f t="shared" ref="BI4:BI28" si="15">SUM(BE4:BH4)</f>
        <v>33</v>
      </c>
      <c r="BJ4" s="9">
        <f>'Monthly HC &amp; Prodn Working'!N4</f>
        <v>33</v>
      </c>
      <c r="BK4" s="802">
        <v>25</v>
      </c>
      <c r="BL4" s="803">
        <f>BJ4-BK4-BM4</f>
        <v>5</v>
      </c>
      <c r="BM4" s="804">
        <v>3</v>
      </c>
      <c r="BN4" s="805"/>
      <c r="BO4" s="9">
        <f t="shared" ref="BO4:BO28" si="16">SUM(BK4:BN4)</f>
        <v>33</v>
      </c>
      <c r="BP4" s="9">
        <f>'Monthly HC &amp; Prodn Working'!O4</f>
        <v>31</v>
      </c>
      <c r="BQ4" s="802">
        <v>24</v>
      </c>
      <c r="BR4" s="803">
        <f>BP4-BQ4-BS4</f>
        <v>4</v>
      </c>
      <c r="BS4" s="804">
        <v>3</v>
      </c>
      <c r="BT4" s="805"/>
      <c r="BU4" s="9">
        <f t="shared" ref="BU4:BU28" si="17">SUM(BQ4:BT4)</f>
        <v>31</v>
      </c>
      <c r="BV4" s="989"/>
      <c r="BW4" s="10">
        <f>'Monthly HC &amp; Prodn Working'!AC4</f>
        <v>11641.99534501814</v>
      </c>
      <c r="BX4" s="397">
        <f t="shared" si="0"/>
        <v>28.166666666666668</v>
      </c>
      <c r="BY4" s="802">
        <f t="shared" si="1"/>
        <v>20.666666666666668</v>
      </c>
      <c r="BZ4" s="803">
        <f t="shared" si="2"/>
        <v>4.5</v>
      </c>
      <c r="CA4" s="804">
        <f t="shared" si="3"/>
        <v>3</v>
      </c>
      <c r="CB4" s="805" t="str">
        <f t="shared" si="4"/>
        <v/>
      </c>
      <c r="CC4" s="9">
        <f t="shared" si="5"/>
        <v>28.166666666666668</v>
      </c>
      <c r="CD4" s="979" t="s">
        <v>1356</v>
      </c>
      <c r="CE4" s="624"/>
      <c r="CF4" s="624"/>
      <c r="CG4" s="798"/>
      <c r="CH4" s="39"/>
      <c r="CI4" s="767">
        <v>46143</v>
      </c>
      <c r="CJ4" s="43">
        <f>H29</f>
        <v>1627</v>
      </c>
      <c r="CK4" s="43">
        <f>I29</f>
        <v>518</v>
      </c>
      <c r="CL4" s="43">
        <f>J29</f>
        <v>267</v>
      </c>
      <c r="CM4" s="43">
        <f>K29</f>
        <v>275</v>
      </c>
      <c r="CN4" s="43">
        <f>L29</f>
        <v>585</v>
      </c>
      <c r="CQ4" s="767">
        <v>46143</v>
      </c>
      <c r="CR4" s="43">
        <f>CR3</f>
        <v>66</v>
      </c>
      <c r="CS4" s="43">
        <f>CS3</f>
        <v>32</v>
      </c>
      <c r="CT4" s="43">
        <f>CT3</f>
        <v>0</v>
      </c>
      <c r="CU4" s="43">
        <f>CU3</f>
        <v>20</v>
      </c>
      <c r="CV4" s="43">
        <f>CV3</f>
        <v>14</v>
      </c>
      <c r="CY4" s="19">
        <v>27055.371500000001</v>
      </c>
      <c r="DA4" s="43">
        <f>'Monthly HC &amp; Prodn Working'!Q4</f>
        <v>6335.1185921886217</v>
      </c>
      <c r="DB4" s="43">
        <f>'Monthly HC &amp; Prodn Working'!R4</f>
        <v>7343.1179459607247</v>
      </c>
      <c r="DC4" s="43">
        <f>'Monthly HC &amp; Prodn Working'!S4</f>
        <v>5757.8726906013535</v>
      </c>
      <c r="DD4" s="43">
        <f>'Monthly HC &amp; Prodn Working'!T4</f>
        <v>6631.5757487786796</v>
      </c>
      <c r="DE4" s="43">
        <f>'Monthly HC &amp; Prodn Working'!U4</f>
        <v>8091.1841247840584</v>
      </c>
      <c r="DF4" s="43">
        <f>'Monthly HC &amp; Prodn Working'!V4</f>
        <v>13123.900339820473</v>
      </c>
      <c r="DG4" s="43">
        <f>'Monthly HC &amp; Prodn Working'!W4</f>
        <v>9321.0410097002386</v>
      </c>
      <c r="DH4" s="43">
        <f>'Monthly HC &amp; Prodn Working'!X4</f>
        <v>12237.75407168092</v>
      </c>
      <c r="DI4" s="43">
        <f>'Monthly HC &amp; Prodn Working'!Y4</f>
        <v>21844.944561204364</v>
      </c>
      <c r="DJ4" s="43">
        <f>'Monthly HC &amp; Prodn Working'!Z4</f>
        <v>17033.689068936208</v>
      </c>
      <c r="DK4" s="43">
        <f>'Monthly HC &amp; Prodn Working'!AA4</f>
        <v>17417.413110346832</v>
      </c>
      <c r="DL4" s="43">
        <f>'Monthly HC &amp; Prodn Working'!AB4</f>
        <v>14566.332876215205</v>
      </c>
      <c r="DM4" s="39">
        <f>SUM(DA4:DL4)</f>
        <v>139703.94414021767</v>
      </c>
      <c r="DN4" s="39"/>
      <c r="DO4" s="39"/>
      <c r="EM4" s="39"/>
      <c r="EN4" s="39"/>
      <c r="EO4" s="39"/>
      <c r="EP4" s="39"/>
      <c r="EQ4" s="39"/>
      <c r="ER4" s="39"/>
      <c r="ES4" s="39"/>
    </row>
    <row r="5" spans="1:149">
      <c r="A5" s="132" t="str">
        <f>'Monthly HC &amp; Prodn Working'!B5</f>
        <v>3. Texturizing</v>
      </c>
      <c r="B5" s="9">
        <f>'Monthly HC &amp; Prodn Working'!D5</f>
        <v>84</v>
      </c>
      <c r="C5" s="802"/>
      <c r="D5" s="803"/>
      <c r="E5" s="804"/>
      <c r="F5" s="805">
        <f>B5</f>
        <v>84</v>
      </c>
      <c r="G5" s="9">
        <f t="shared" si="6"/>
        <v>84</v>
      </c>
      <c r="H5" s="9">
        <f>'Monthly HC &amp; Prodn Working'!E5</f>
        <v>84</v>
      </c>
      <c r="I5" s="802"/>
      <c r="J5" s="803"/>
      <c r="K5" s="804"/>
      <c r="L5" s="805">
        <f>H5</f>
        <v>84</v>
      </c>
      <c r="M5" s="9">
        <f t="shared" si="7"/>
        <v>84</v>
      </c>
      <c r="N5" s="9">
        <f>'Monthly HC &amp; Prodn Working'!F5</f>
        <v>84</v>
      </c>
      <c r="O5" s="802"/>
      <c r="P5" s="803"/>
      <c r="Q5" s="804"/>
      <c r="R5" s="805">
        <f>N5</f>
        <v>84</v>
      </c>
      <c r="S5" s="9">
        <f t="shared" si="8"/>
        <v>84</v>
      </c>
      <c r="T5" s="9">
        <f>'Monthly HC &amp; Prodn Working'!G5</f>
        <v>84</v>
      </c>
      <c r="U5" s="802"/>
      <c r="V5" s="803"/>
      <c r="W5" s="804"/>
      <c r="X5" s="805">
        <f>T5</f>
        <v>84</v>
      </c>
      <c r="Y5" s="9">
        <f t="shared" si="9"/>
        <v>84</v>
      </c>
      <c r="Z5" s="9">
        <f>'Monthly HC &amp; Prodn Working'!H5</f>
        <v>84</v>
      </c>
      <c r="AA5" s="802"/>
      <c r="AB5" s="803"/>
      <c r="AC5" s="804"/>
      <c r="AD5" s="805">
        <f>Z5</f>
        <v>84</v>
      </c>
      <c r="AE5" s="9">
        <f t="shared" si="10"/>
        <v>84</v>
      </c>
      <c r="AF5" s="9">
        <f>'Monthly HC &amp; Prodn Working'!I5</f>
        <v>84</v>
      </c>
      <c r="AG5" s="802"/>
      <c r="AH5" s="803"/>
      <c r="AI5" s="804"/>
      <c r="AJ5" s="805">
        <f>AF5</f>
        <v>84</v>
      </c>
      <c r="AK5" s="9">
        <f t="shared" si="11"/>
        <v>84</v>
      </c>
      <c r="AL5" s="9">
        <f>'Monthly HC &amp; Prodn Working'!J5</f>
        <v>84</v>
      </c>
      <c r="AM5" s="802"/>
      <c r="AN5" s="803"/>
      <c r="AO5" s="804"/>
      <c r="AP5" s="805">
        <f>AL5</f>
        <v>84</v>
      </c>
      <c r="AQ5" s="9">
        <f t="shared" si="12"/>
        <v>84</v>
      </c>
      <c r="AR5" s="9">
        <f>'Monthly HC &amp; Prodn Working'!K5</f>
        <v>84</v>
      </c>
      <c r="AS5" s="802"/>
      <c r="AT5" s="803"/>
      <c r="AU5" s="804"/>
      <c r="AV5" s="805">
        <f>AR5</f>
        <v>84</v>
      </c>
      <c r="AW5" s="9">
        <f t="shared" si="13"/>
        <v>84</v>
      </c>
      <c r="AX5" s="9">
        <f>'Monthly HC &amp; Prodn Working'!L5</f>
        <v>84</v>
      </c>
      <c r="AY5" s="802"/>
      <c r="AZ5" s="803"/>
      <c r="BA5" s="804"/>
      <c r="BB5" s="805">
        <f>AX5</f>
        <v>84</v>
      </c>
      <c r="BC5" s="9">
        <f t="shared" si="14"/>
        <v>84</v>
      </c>
      <c r="BD5" s="9">
        <f>'Monthly HC &amp; Prodn Working'!M5</f>
        <v>84</v>
      </c>
      <c r="BE5" s="802"/>
      <c r="BF5" s="803"/>
      <c r="BG5" s="804"/>
      <c r="BH5" s="805">
        <f>BD5</f>
        <v>84</v>
      </c>
      <c r="BI5" s="9">
        <f t="shared" si="15"/>
        <v>84</v>
      </c>
      <c r="BJ5" s="9">
        <f>'Monthly HC &amp; Prodn Working'!N5</f>
        <v>84</v>
      </c>
      <c r="BK5" s="802"/>
      <c r="BL5" s="803"/>
      <c r="BM5" s="804"/>
      <c r="BN5" s="805">
        <f>BJ5</f>
        <v>84</v>
      </c>
      <c r="BO5" s="9">
        <f t="shared" si="16"/>
        <v>84</v>
      </c>
      <c r="BP5" s="9">
        <f>'Monthly HC &amp; Prodn Working'!O5</f>
        <v>84</v>
      </c>
      <c r="BQ5" s="802"/>
      <c r="BR5" s="803"/>
      <c r="BS5" s="804"/>
      <c r="BT5" s="805">
        <f>BP5</f>
        <v>84</v>
      </c>
      <c r="BU5" s="9">
        <f t="shared" si="17"/>
        <v>84</v>
      </c>
      <c r="BV5" s="989"/>
      <c r="BW5" s="10">
        <f>'Monthly HC &amp; Prodn Working'!AC5</f>
        <v>37771.135725778287</v>
      </c>
      <c r="BX5" s="397">
        <f t="shared" si="0"/>
        <v>84</v>
      </c>
      <c r="BY5" s="802" t="str">
        <f t="shared" si="1"/>
        <v/>
      </c>
      <c r="BZ5" s="803" t="str">
        <f t="shared" si="2"/>
        <v/>
      </c>
      <c r="CA5" s="804" t="str">
        <f t="shared" si="3"/>
        <v/>
      </c>
      <c r="CB5" s="805">
        <f t="shared" si="4"/>
        <v>84</v>
      </c>
      <c r="CC5" s="9">
        <f t="shared" si="5"/>
        <v>84</v>
      </c>
      <c r="CD5" s="980" t="s">
        <v>1086</v>
      </c>
      <c r="CE5" s="43">
        <f>CB5*24596*12</f>
        <v>24792768</v>
      </c>
      <c r="CF5" s="43">
        <f>BV5*2.49*30*12</f>
        <v>0</v>
      </c>
      <c r="CG5" s="798"/>
      <c r="CI5" s="767">
        <v>46174</v>
      </c>
      <c r="CJ5" s="43">
        <f>N29</f>
        <v>1607.5</v>
      </c>
      <c r="CK5" s="43">
        <f>O29</f>
        <v>519</v>
      </c>
      <c r="CL5" s="43">
        <f>P29</f>
        <v>258</v>
      </c>
      <c r="CM5" s="43">
        <f>Q29</f>
        <v>267.5</v>
      </c>
      <c r="CN5" s="43">
        <f>R29</f>
        <v>578</v>
      </c>
      <c r="CQ5" s="767">
        <v>46174</v>
      </c>
      <c r="CR5" s="43">
        <f t="shared" ref="CR5:CR14" si="18">CR4</f>
        <v>66</v>
      </c>
      <c r="CS5" s="43">
        <f t="shared" ref="CS5:CS14" si="19">CS4</f>
        <v>32</v>
      </c>
      <c r="CT5" s="43">
        <f t="shared" ref="CT5:CT14" si="20">CT4</f>
        <v>0</v>
      </c>
      <c r="CU5" s="43">
        <f t="shared" ref="CU5:CU14" si="21">CU4</f>
        <v>20</v>
      </c>
      <c r="CV5" s="43">
        <f t="shared" ref="CV5:CV14" si="22">CV4</f>
        <v>14</v>
      </c>
      <c r="CY5" s="19">
        <v>28660.127500000002</v>
      </c>
      <c r="DA5" s="43">
        <f>'Monthly HC &amp; Prodn Working'!Q5</f>
        <v>48085.276984219709</v>
      </c>
      <c r="DB5" s="43">
        <f>'Monthly HC &amp; Prodn Working'!R5</f>
        <v>40196.040004010647</v>
      </c>
      <c r="DC5" s="43">
        <f>'Monthly HC &amp; Prodn Working'!S5</f>
        <v>38656.900576141074</v>
      </c>
      <c r="DD5" s="43">
        <f>'Monthly HC &amp; Prodn Working'!T5</f>
        <v>40295.113555653224</v>
      </c>
      <c r="DE5" s="43">
        <f>'Monthly HC &amp; Prodn Working'!U5</f>
        <v>43144.011319133242</v>
      </c>
      <c r="DF5" s="43">
        <f>'Monthly HC &amp; Prodn Working'!V5</f>
        <v>38015.305778484471</v>
      </c>
      <c r="DG5" s="43">
        <f>'Monthly HC &amp; Prodn Working'!W5</f>
        <v>37561.645598046605</v>
      </c>
      <c r="DH5" s="43">
        <f>'Monthly HC &amp; Prodn Working'!X5</f>
        <v>34406.076681617313</v>
      </c>
      <c r="DI5" s="43">
        <f>'Monthly HC &amp; Prodn Working'!Y5</f>
        <v>33689.358524434516</v>
      </c>
      <c r="DJ5" s="43">
        <f>'Monthly HC &amp; Prodn Working'!Z5</f>
        <v>33726.015686628838</v>
      </c>
      <c r="DK5" s="43">
        <f>'Monthly HC &amp; Prodn Working'!AA5</f>
        <v>35663.593584933507</v>
      </c>
      <c r="DL5" s="43">
        <f>'Monthly HC &amp; Prodn Working'!AB5</f>
        <v>29814.290416036336</v>
      </c>
    </row>
    <row r="6" spans="1:149">
      <c r="A6" s="132" t="str">
        <f>'Monthly HC &amp; Prodn Working'!B6</f>
        <v>4. Parallel Winding</v>
      </c>
      <c r="B6" s="9">
        <f>'Monthly HC &amp; Prodn Working'!D6</f>
        <v>27</v>
      </c>
      <c r="C6" s="802"/>
      <c r="D6" s="803"/>
      <c r="E6" s="804"/>
      <c r="F6" s="805">
        <f>B6</f>
        <v>27</v>
      </c>
      <c r="G6" s="9">
        <f t="shared" si="6"/>
        <v>27</v>
      </c>
      <c r="H6" s="9">
        <f>'Monthly HC &amp; Prodn Working'!E6</f>
        <v>27</v>
      </c>
      <c r="I6" s="802"/>
      <c r="J6" s="803"/>
      <c r="K6" s="804"/>
      <c r="L6" s="805">
        <f>H6</f>
        <v>27</v>
      </c>
      <c r="M6" s="9">
        <f t="shared" si="7"/>
        <v>27</v>
      </c>
      <c r="N6" s="9">
        <f>'Monthly HC &amp; Prodn Working'!F6</f>
        <v>27</v>
      </c>
      <c r="O6" s="802"/>
      <c r="P6" s="803"/>
      <c r="Q6" s="804"/>
      <c r="R6" s="805">
        <f>N6</f>
        <v>27</v>
      </c>
      <c r="S6" s="9">
        <f t="shared" si="8"/>
        <v>27</v>
      </c>
      <c r="T6" s="9">
        <f>'Monthly HC &amp; Prodn Working'!G6</f>
        <v>27</v>
      </c>
      <c r="U6" s="802"/>
      <c r="V6" s="803"/>
      <c r="W6" s="804"/>
      <c r="X6" s="805">
        <f>T6</f>
        <v>27</v>
      </c>
      <c r="Y6" s="9">
        <f t="shared" si="9"/>
        <v>27</v>
      </c>
      <c r="Z6" s="9">
        <f>'Monthly HC &amp; Prodn Working'!H6</f>
        <v>27</v>
      </c>
      <c r="AA6" s="802"/>
      <c r="AB6" s="803"/>
      <c r="AC6" s="804"/>
      <c r="AD6" s="805">
        <f>Z6</f>
        <v>27</v>
      </c>
      <c r="AE6" s="9">
        <f t="shared" si="10"/>
        <v>27</v>
      </c>
      <c r="AF6" s="9">
        <f>'Monthly HC &amp; Prodn Working'!I6</f>
        <v>27</v>
      </c>
      <c r="AG6" s="802"/>
      <c r="AH6" s="803"/>
      <c r="AI6" s="804"/>
      <c r="AJ6" s="805">
        <f>AF6</f>
        <v>27</v>
      </c>
      <c r="AK6" s="9">
        <f t="shared" si="11"/>
        <v>27</v>
      </c>
      <c r="AL6" s="9">
        <f>'Monthly HC &amp; Prodn Working'!J6</f>
        <v>27</v>
      </c>
      <c r="AM6" s="802"/>
      <c r="AN6" s="803"/>
      <c r="AO6" s="804"/>
      <c r="AP6" s="805">
        <f>AL6</f>
        <v>27</v>
      </c>
      <c r="AQ6" s="9">
        <f t="shared" si="12"/>
        <v>27</v>
      </c>
      <c r="AR6" s="9">
        <f>'Monthly HC &amp; Prodn Working'!K6</f>
        <v>27</v>
      </c>
      <c r="AS6" s="802"/>
      <c r="AT6" s="803"/>
      <c r="AU6" s="804"/>
      <c r="AV6" s="805">
        <f>AR6</f>
        <v>27</v>
      </c>
      <c r="AW6" s="9">
        <f t="shared" si="13"/>
        <v>27</v>
      </c>
      <c r="AX6" s="9">
        <f>'Monthly HC &amp; Prodn Working'!L6</f>
        <v>27</v>
      </c>
      <c r="AY6" s="802"/>
      <c r="AZ6" s="803"/>
      <c r="BA6" s="804"/>
      <c r="BB6" s="805">
        <f>AX6</f>
        <v>27</v>
      </c>
      <c r="BC6" s="9">
        <f t="shared" si="14"/>
        <v>27</v>
      </c>
      <c r="BD6" s="9">
        <f>'Monthly HC &amp; Prodn Working'!M6</f>
        <v>27</v>
      </c>
      <c r="BE6" s="802"/>
      <c r="BF6" s="803"/>
      <c r="BG6" s="804"/>
      <c r="BH6" s="805">
        <f>BD6</f>
        <v>27</v>
      </c>
      <c r="BI6" s="9">
        <f t="shared" si="15"/>
        <v>27</v>
      </c>
      <c r="BJ6" s="9">
        <f>'Monthly HC &amp; Prodn Working'!N6</f>
        <v>27</v>
      </c>
      <c r="BK6" s="802"/>
      <c r="BL6" s="803"/>
      <c r="BM6" s="804"/>
      <c r="BN6" s="805">
        <f>BJ6</f>
        <v>27</v>
      </c>
      <c r="BO6" s="9">
        <f t="shared" si="16"/>
        <v>27</v>
      </c>
      <c r="BP6" s="9">
        <f>'Monthly HC &amp; Prodn Working'!O6</f>
        <v>27</v>
      </c>
      <c r="BQ6" s="802"/>
      <c r="BR6" s="803"/>
      <c r="BS6" s="804"/>
      <c r="BT6" s="805">
        <f>BP6</f>
        <v>27</v>
      </c>
      <c r="BU6" s="9">
        <f t="shared" si="17"/>
        <v>27</v>
      </c>
      <c r="BV6" s="989"/>
      <c r="BW6" s="10">
        <f>'Monthly HC &amp; Prodn Working'!AC6</f>
        <v>21152.914411274302</v>
      </c>
      <c r="BX6" s="397">
        <f t="shared" si="0"/>
        <v>27</v>
      </c>
      <c r="BY6" s="802" t="str">
        <f t="shared" si="1"/>
        <v/>
      </c>
      <c r="BZ6" s="803" t="str">
        <f t="shared" si="2"/>
        <v/>
      </c>
      <c r="CA6" s="804" t="str">
        <f t="shared" si="3"/>
        <v/>
      </c>
      <c r="CB6" s="805">
        <f t="shared" si="4"/>
        <v>27</v>
      </c>
      <c r="CC6" s="9">
        <f t="shared" si="5"/>
        <v>27</v>
      </c>
      <c r="CD6" s="980" t="s">
        <v>1086</v>
      </c>
      <c r="CE6" s="43">
        <f>CB6*24596*12</f>
        <v>7969104</v>
      </c>
      <c r="CF6" s="43">
        <f>BV6*1.9*30*12</f>
        <v>0</v>
      </c>
      <c r="CG6" s="798"/>
      <c r="CI6" s="767">
        <v>46204</v>
      </c>
      <c r="CJ6" s="43">
        <f>T29</f>
        <v>1622.5</v>
      </c>
      <c r="CK6" s="43">
        <f>U29</f>
        <v>522</v>
      </c>
      <c r="CL6" s="43">
        <f>V29</f>
        <v>262</v>
      </c>
      <c r="CM6" s="43">
        <f>W29</f>
        <v>275.5</v>
      </c>
      <c r="CN6" s="43">
        <f>X29</f>
        <v>580</v>
      </c>
      <c r="CQ6" s="767">
        <v>46204</v>
      </c>
      <c r="CR6" s="43">
        <f t="shared" si="18"/>
        <v>66</v>
      </c>
      <c r="CS6" s="43">
        <f t="shared" si="19"/>
        <v>32</v>
      </c>
      <c r="CT6" s="43">
        <f t="shared" si="20"/>
        <v>0</v>
      </c>
      <c r="CU6" s="43">
        <f t="shared" si="21"/>
        <v>20</v>
      </c>
      <c r="CV6" s="43">
        <f t="shared" si="22"/>
        <v>14</v>
      </c>
      <c r="CY6" s="19">
        <v>37349.860999999997</v>
      </c>
      <c r="DA6" s="43">
        <f>'Monthly HC &amp; Prodn Working'!Q6</f>
        <v>25757.709134886449</v>
      </c>
      <c r="DB6" s="43">
        <f>'Monthly HC &amp; Prodn Working'!R6</f>
        <v>21764.217987658994</v>
      </c>
      <c r="DC6" s="43">
        <f>'Monthly HC &amp; Prodn Working'!S6</f>
        <v>20261.87931785595</v>
      </c>
      <c r="DD6" s="43">
        <f>'Monthly HC &amp; Prodn Working'!T6</f>
        <v>22493.296226954822</v>
      </c>
      <c r="DE6" s="43">
        <f>'Monthly HC &amp; Prodn Working'!U6</f>
        <v>21203.283110941531</v>
      </c>
      <c r="DF6" s="43">
        <f>'Monthly HC &amp; Prodn Working'!V6</f>
        <v>21151.793011945552</v>
      </c>
      <c r="DG6" s="43">
        <f>'Monthly HC &amp; Prodn Working'!W6</f>
        <v>19854.218246045853</v>
      </c>
      <c r="DH6" s="43">
        <f>'Monthly HC &amp; Prodn Working'!X6</f>
        <v>18321.186977943198</v>
      </c>
      <c r="DI6" s="43">
        <f>'Monthly HC &amp; Prodn Working'!Y6</f>
        <v>21404.060867608543</v>
      </c>
      <c r="DJ6" s="43">
        <f>'Monthly HC &amp; Prodn Working'!Z6</f>
        <v>20437.994791453595</v>
      </c>
      <c r="DK6" s="43">
        <f>'Monthly HC &amp; Prodn Working'!AA6</f>
        <v>21553.115709014492</v>
      </c>
      <c r="DL6" s="43">
        <f>'Monthly HC &amp; Prodn Working'!AB6</f>
        <v>19632.217552982656</v>
      </c>
    </row>
    <row r="7" spans="1:149">
      <c r="A7" s="132" t="str">
        <f>'Monthly HC &amp; Prodn Working'!B7</f>
        <v>Rewinding</v>
      </c>
      <c r="B7" s="9">
        <f>'Monthly HC &amp; Prodn Working'!D7</f>
        <v>15</v>
      </c>
      <c r="C7" s="802">
        <v>2</v>
      </c>
      <c r="D7" s="803"/>
      <c r="E7" s="804">
        <v>13</v>
      </c>
      <c r="F7" s="805"/>
      <c r="G7" s="9">
        <f t="shared" si="6"/>
        <v>15</v>
      </c>
      <c r="H7" s="9">
        <f>'Monthly HC &amp; Prodn Working'!E7</f>
        <v>15</v>
      </c>
      <c r="I7" s="802">
        <v>2</v>
      </c>
      <c r="J7" s="803"/>
      <c r="K7" s="804">
        <v>13</v>
      </c>
      <c r="L7" s="805"/>
      <c r="M7" s="9">
        <f t="shared" si="7"/>
        <v>15</v>
      </c>
      <c r="N7" s="9">
        <f>'Monthly HC &amp; Prodn Working'!F7</f>
        <v>15</v>
      </c>
      <c r="O7" s="802">
        <v>2</v>
      </c>
      <c r="P7" s="803"/>
      <c r="Q7" s="804">
        <v>13</v>
      </c>
      <c r="R7" s="805"/>
      <c r="S7" s="9">
        <f t="shared" si="8"/>
        <v>15</v>
      </c>
      <c r="T7" s="9">
        <f>'Monthly HC &amp; Prodn Working'!G7</f>
        <v>15</v>
      </c>
      <c r="U7" s="802">
        <v>2</v>
      </c>
      <c r="V7" s="803"/>
      <c r="W7" s="804">
        <v>13</v>
      </c>
      <c r="X7" s="805"/>
      <c r="Y7" s="9">
        <f t="shared" si="9"/>
        <v>15</v>
      </c>
      <c r="Z7" s="9">
        <f>'Monthly HC &amp; Prodn Working'!H7</f>
        <v>15</v>
      </c>
      <c r="AA7" s="802">
        <v>2</v>
      </c>
      <c r="AB7" s="803"/>
      <c r="AC7" s="804">
        <v>13</v>
      </c>
      <c r="AD7" s="805"/>
      <c r="AE7" s="9">
        <f t="shared" si="10"/>
        <v>15</v>
      </c>
      <c r="AF7" s="9">
        <f>'Monthly HC &amp; Prodn Working'!I7</f>
        <v>15</v>
      </c>
      <c r="AG7" s="802">
        <v>2</v>
      </c>
      <c r="AH7" s="803"/>
      <c r="AI7" s="804">
        <v>13</v>
      </c>
      <c r="AJ7" s="805"/>
      <c r="AK7" s="9">
        <f t="shared" si="11"/>
        <v>15</v>
      </c>
      <c r="AL7" s="9">
        <f>'Monthly HC &amp; Prodn Working'!J7</f>
        <v>15</v>
      </c>
      <c r="AM7" s="802">
        <v>2</v>
      </c>
      <c r="AN7" s="803"/>
      <c r="AO7" s="804">
        <v>13</v>
      </c>
      <c r="AP7" s="805"/>
      <c r="AQ7" s="9">
        <f t="shared" si="12"/>
        <v>15</v>
      </c>
      <c r="AR7" s="9">
        <f>'Monthly HC &amp; Prodn Working'!K7</f>
        <v>15</v>
      </c>
      <c r="AS7" s="802">
        <v>2</v>
      </c>
      <c r="AT7" s="803"/>
      <c r="AU7" s="804">
        <v>13</v>
      </c>
      <c r="AV7" s="805"/>
      <c r="AW7" s="9">
        <f t="shared" si="13"/>
        <v>15</v>
      </c>
      <c r="AX7" s="9">
        <f>'Monthly HC &amp; Prodn Working'!L7</f>
        <v>15</v>
      </c>
      <c r="AY7" s="802">
        <v>2</v>
      </c>
      <c r="AZ7" s="803"/>
      <c r="BA7" s="804">
        <v>13</v>
      </c>
      <c r="BB7" s="805"/>
      <c r="BC7" s="9">
        <f t="shared" si="14"/>
        <v>15</v>
      </c>
      <c r="BD7" s="9">
        <f>'Monthly HC &amp; Prodn Working'!M7</f>
        <v>15</v>
      </c>
      <c r="BE7" s="802">
        <v>2</v>
      </c>
      <c r="BF7" s="803"/>
      <c r="BG7" s="804">
        <v>13</v>
      </c>
      <c r="BH7" s="805"/>
      <c r="BI7" s="9">
        <f t="shared" si="15"/>
        <v>15</v>
      </c>
      <c r="BJ7" s="9">
        <f>'Monthly HC &amp; Prodn Working'!N7</f>
        <v>15</v>
      </c>
      <c r="BK7" s="802">
        <v>2</v>
      </c>
      <c r="BL7" s="803"/>
      <c r="BM7" s="804">
        <v>13</v>
      </c>
      <c r="BN7" s="805"/>
      <c r="BO7" s="9">
        <f t="shared" si="16"/>
        <v>15</v>
      </c>
      <c r="BP7" s="9">
        <f>'Monthly HC &amp; Prodn Working'!O7</f>
        <v>15</v>
      </c>
      <c r="BQ7" s="802">
        <v>2</v>
      </c>
      <c r="BR7" s="803"/>
      <c r="BS7" s="804">
        <v>13</v>
      </c>
      <c r="BT7" s="805"/>
      <c r="BU7" s="9">
        <f t="shared" si="17"/>
        <v>15</v>
      </c>
      <c r="BV7" s="989"/>
      <c r="BW7" s="10">
        <f>'Monthly HC &amp; Prodn Working'!AC7</f>
        <v>0</v>
      </c>
      <c r="BX7" s="397">
        <f t="shared" si="0"/>
        <v>15</v>
      </c>
      <c r="BY7" s="802">
        <f t="shared" si="1"/>
        <v>2</v>
      </c>
      <c r="BZ7" s="803" t="str">
        <f t="shared" si="2"/>
        <v/>
      </c>
      <c r="CA7" s="804">
        <f t="shared" si="3"/>
        <v>13</v>
      </c>
      <c r="CB7" s="805" t="str">
        <f t="shared" si="4"/>
        <v/>
      </c>
      <c r="CC7" s="9">
        <f t="shared" si="5"/>
        <v>15</v>
      </c>
      <c r="CD7" s="980"/>
      <c r="CE7" s="13"/>
      <c r="CF7" s="43"/>
      <c r="CI7" s="767">
        <v>46235</v>
      </c>
      <c r="CJ7" s="43">
        <f>Z29</f>
        <v>1666.5</v>
      </c>
      <c r="CK7" s="43">
        <f>AA29</f>
        <v>525</v>
      </c>
      <c r="CL7" s="43">
        <f>AB29</f>
        <v>278</v>
      </c>
      <c r="CM7" s="43">
        <f>AC29</f>
        <v>272.5</v>
      </c>
      <c r="CN7" s="43">
        <f>AD29</f>
        <v>611</v>
      </c>
      <c r="CQ7" s="767">
        <v>46235</v>
      </c>
      <c r="CR7" s="43">
        <f t="shared" si="18"/>
        <v>66</v>
      </c>
      <c r="CS7" s="43">
        <f t="shared" si="19"/>
        <v>32</v>
      </c>
      <c r="CT7" s="43">
        <f t="shared" si="20"/>
        <v>0</v>
      </c>
      <c r="CU7" s="43">
        <f t="shared" si="21"/>
        <v>20</v>
      </c>
      <c r="CV7" s="43">
        <f t="shared" si="22"/>
        <v>14</v>
      </c>
      <c r="CY7" s="19">
        <v>44727.179999999986</v>
      </c>
      <c r="DA7" s="43">
        <f>'Monthly HC &amp; Prodn Working'!Q7</f>
        <v>0</v>
      </c>
      <c r="DB7" s="43">
        <f>'Monthly HC &amp; Prodn Working'!R7</f>
        <v>0</v>
      </c>
      <c r="DC7" s="43">
        <f>'Monthly HC &amp; Prodn Working'!S7</f>
        <v>0</v>
      </c>
      <c r="DD7" s="43">
        <f>'Monthly HC &amp; Prodn Working'!T7</f>
        <v>0</v>
      </c>
      <c r="DE7" s="43">
        <f>'Monthly HC &amp; Prodn Working'!U7</f>
        <v>0</v>
      </c>
      <c r="DF7" s="43">
        <f>'Monthly HC &amp; Prodn Working'!V7</f>
        <v>0</v>
      </c>
      <c r="DG7" s="43">
        <f>'Monthly HC &amp; Prodn Working'!W7</f>
        <v>0</v>
      </c>
      <c r="DH7" s="43">
        <f>'Monthly HC &amp; Prodn Working'!X7</f>
        <v>0</v>
      </c>
      <c r="DI7" s="43">
        <f>'Monthly HC &amp; Prodn Working'!Y7</f>
        <v>0</v>
      </c>
      <c r="DJ7" s="43">
        <f>'Monthly HC &amp; Prodn Working'!Z7</f>
        <v>0</v>
      </c>
      <c r="DK7" s="43">
        <f>'Monthly HC &amp; Prodn Working'!AA7</f>
        <v>0</v>
      </c>
      <c r="DL7" s="43">
        <f>'Monthly HC &amp; Prodn Working'!AB7</f>
        <v>0</v>
      </c>
    </row>
    <row r="8" spans="1:149">
      <c r="A8" s="132" t="str">
        <f>'Monthly HC &amp; Prodn Working'!B8</f>
        <v>5. Multiply</v>
      </c>
      <c r="B8" s="9">
        <f>'Monthly HC &amp; Prodn Working'!D8</f>
        <v>107</v>
      </c>
      <c r="C8" s="802"/>
      <c r="D8" s="803"/>
      <c r="E8" s="804"/>
      <c r="F8" s="805">
        <f>B8</f>
        <v>107</v>
      </c>
      <c r="G8" s="9">
        <f t="shared" si="6"/>
        <v>107</v>
      </c>
      <c r="H8" s="9">
        <f>'Monthly HC &amp; Prodn Working'!E8</f>
        <v>121</v>
      </c>
      <c r="I8" s="802"/>
      <c r="J8" s="803"/>
      <c r="K8" s="804"/>
      <c r="L8" s="805">
        <f>H8</f>
        <v>121</v>
      </c>
      <c r="M8" s="9">
        <f t="shared" si="7"/>
        <v>121</v>
      </c>
      <c r="N8" s="9">
        <f>'Monthly HC &amp; Prodn Working'!F8</f>
        <v>128</v>
      </c>
      <c r="O8" s="802"/>
      <c r="P8" s="803"/>
      <c r="Q8" s="804"/>
      <c r="R8" s="805">
        <f>N8</f>
        <v>128</v>
      </c>
      <c r="S8" s="9">
        <f t="shared" si="8"/>
        <v>128</v>
      </c>
      <c r="T8" s="9">
        <f>'Monthly HC &amp; Prodn Working'!G8</f>
        <v>110</v>
      </c>
      <c r="U8" s="802"/>
      <c r="V8" s="803"/>
      <c r="W8" s="804"/>
      <c r="X8" s="805">
        <f>T8</f>
        <v>110</v>
      </c>
      <c r="Y8" s="9">
        <f t="shared" si="9"/>
        <v>110</v>
      </c>
      <c r="Z8" s="9">
        <f>'Monthly HC &amp; Prodn Working'!H8</f>
        <v>125</v>
      </c>
      <c r="AA8" s="802"/>
      <c r="AB8" s="803"/>
      <c r="AC8" s="804"/>
      <c r="AD8" s="805">
        <f>Z8</f>
        <v>125</v>
      </c>
      <c r="AE8" s="9">
        <f t="shared" si="10"/>
        <v>125</v>
      </c>
      <c r="AF8" s="9">
        <f>'Monthly HC &amp; Prodn Working'!I8</f>
        <v>121</v>
      </c>
      <c r="AG8" s="802"/>
      <c r="AH8" s="803"/>
      <c r="AI8" s="804"/>
      <c r="AJ8" s="805">
        <f>AF8</f>
        <v>121</v>
      </c>
      <c r="AK8" s="9">
        <f t="shared" si="11"/>
        <v>121</v>
      </c>
      <c r="AL8" s="9">
        <f>'Monthly HC &amp; Prodn Working'!J8</f>
        <v>128</v>
      </c>
      <c r="AM8" s="802"/>
      <c r="AN8" s="803"/>
      <c r="AO8" s="804"/>
      <c r="AP8" s="805">
        <f>AL8</f>
        <v>128</v>
      </c>
      <c r="AQ8" s="9">
        <f t="shared" si="12"/>
        <v>128</v>
      </c>
      <c r="AR8" s="9">
        <f>'Monthly HC &amp; Prodn Working'!K8</f>
        <v>138</v>
      </c>
      <c r="AS8" s="802"/>
      <c r="AT8" s="803"/>
      <c r="AU8" s="804"/>
      <c r="AV8" s="805">
        <f>AR8</f>
        <v>138</v>
      </c>
      <c r="AW8" s="9">
        <f t="shared" si="13"/>
        <v>138</v>
      </c>
      <c r="AX8" s="9">
        <f>'Monthly HC &amp; Prodn Working'!L8</f>
        <v>161</v>
      </c>
      <c r="AY8" s="802"/>
      <c r="AZ8" s="803"/>
      <c r="BA8" s="804"/>
      <c r="BB8" s="805">
        <f>AX8</f>
        <v>161</v>
      </c>
      <c r="BC8" s="9">
        <f t="shared" si="14"/>
        <v>161</v>
      </c>
      <c r="BD8" s="9">
        <f>'Monthly HC &amp; Prodn Working'!M8</f>
        <v>113</v>
      </c>
      <c r="BE8" s="802"/>
      <c r="BF8" s="803"/>
      <c r="BG8" s="804"/>
      <c r="BH8" s="805">
        <f>BD8</f>
        <v>113</v>
      </c>
      <c r="BI8" s="9">
        <f t="shared" si="15"/>
        <v>113</v>
      </c>
      <c r="BJ8" s="9">
        <f>'Monthly HC &amp; Prodn Working'!N8</f>
        <v>131</v>
      </c>
      <c r="BK8" s="802"/>
      <c r="BL8" s="803"/>
      <c r="BM8" s="804"/>
      <c r="BN8" s="805">
        <f>BJ8</f>
        <v>131</v>
      </c>
      <c r="BO8" s="9">
        <f t="shared" si="16"/>
        <v>131</v>
      </c>
      <c r="BP8" s="9">
        <f>'Monthly HC &amp; Prodn Working'!O8</f>
        <v>107</v>
      </c>
      <c r="BQ8" s="802"/>
      <c r="BR8" s="803"/>
      <c r="BS8" s="804"/>
      <c r="BT8" s="805">
        <f>BP8</f>
        <v>107</v>
      </c>
      <c r="BU8" s="9">
        <f t="shared" si="17"/>
        <v>107</v>
      </c>
      <c r="BV8" s="989"/>
      <c r="BW8" s="10">
        <f>'Monthly HC &amp; Prodn Working'!AC8</f>
        <v>4829.4533109717731</v>
      </c>
      <c r="BX8" s="397">
        <f t="shared" si="0"/>
        <v>124.16666666666667</v>
      </c>
      <c r="BY8" s="802" t="str">
        <f t="shared" si="1"/>
        <v/>
      </c>
      <c r="BZ8" s="803" t="str">
        <f t="shared" si="2"/>
        <v/>
      </c>
      <c r="CA8" s="804" t="str">
        <f t="shared" si="3"/>
        <v/>
      </c>
      <c r="CB8" s="805">
        <f t="shared" si="4"/>
        <v>124.16666666666667</v>
      </c>
      <c r="CC8" s="9">
        <f t="shared" si="5"/>
        <v>124.16666666666667</v>
      </c>
      <c r="CD8" s="980"/>
      <c r="CE8" s="43">
        <f>CB8*24596*12</f>
        <v>36648040</v>
      </c>
      <c r="CF8" s="43">
        <f>BW8*22*30*12</f>
        <v>38249270.222896442</v>
      </c>
      <c r="CI8" s="767">
        <v>46266</v>
      </c>
      <c r="CJ8" s="43">
        <f>AF29</f>
        <v>1669.5</v>
      </c>
      <c r="CK8" s="43">
        <f>AG29</f>
        <v>522</v>
      </c>
      <c r="CL8" s="43">
        <f>AH29</f>
        <v>288</v>
      </c>
      <c r="CM8" s="43">
        <f>AI29</f>
        <v>287.5</v>
      </c>
      <c r="CN8" s="43">
        <f>AJ29</f>
        <v>591</v>
      </c>
      <c r="CQ8" s="767">
        <v>46266</v>
      </c>
      <c r="CR8" s="43">
        <f t="shared" si="18"/>
        <v>66</v>
      </c>
      <c r="CS8" s="43">
        <f t="shared" si="19"/>
        <v>32</v>
      </c>
      <c r="CT8" s="43">
        <f t="shared" si="20"/>
        <v>0</v>
      </c>
      <c r="CU8" s="43">
        <f t="shared" si="21"/>
        <v>20</v>
      </c>
      <c r="CV8" s="43">
        <f t="shared" si="22"/>
        <v>14</v>
      </c>
      <c r="CY8" s="19">
        <v>57325.257499999985</v>
      </c>
      <c r="DA8" s="43">
        <f>'Monthly HC &amp; Prodn Working'!Q8</f>
        <v>3218.2216061105933</v>
      </c>
      <c r="DB8" s="43">
        <f>'Monthly HC &amp; Prodn Working'!R8</f>
        <v>4320.049398760455</v>
      </c>
      <c r="DC8" s="43">
        <f>'Monthly HC &amp; Prodn Working'!S8</f>
        <v>4862.0170990663064</v>
      </c>
      <c r="DD8" s="43">
        <f>'Monthly HC &amp; Prodn Working'!T8</f>
        <v>3418.4591657322826</v>
      </c>
      <c r="DE8" s="43">
        <f>'Monthly HC &amp; Prodn Working'!U8</f>
        <v>4856.3500631805828</v>
      </c>
      <c r="DF8" s="43">
        <f>'Monthly HC &amp; Prodn Working'!V8</f>
        <v>4531.8125959491354</v>
      </c>
      <c r="DG8" s="43">
        <f>'Monthly HC &amp; Prodn Working'!W8</f>
        <v>5257.8924475205076</v>
      </c>
      <c r="DH8" s="43">
        <f>'Monthly HC &amp; Prodn Working'!X8</f>
        <v>7080.4783695999158</v>
      </c>
      <c r="DI8" s="43">
        <f>'Monthly HC &amp; Prodn Working'!Y8</f>
        <v>7417.3323595380625</v>
      </c>
      <c r="DJ8" s="43">
        <f>'Monthly HC &amp; Prodn Working'!Z8</f>
        <v>3850.7188914838234</v>
      </c>
      <c r="DK8" s="43">
        <f>'Monthly HC &amp; Prodn Working'!AA8</f>
        <v>5583.6617537484699</v>
      </c>
      <c r="DL8" s="43">
        <f>'Monthly HC &amp; Prodn Working'!AB8</f>
        <v>3556.445980971132</v>
      </c>
    </row>
    <row r="9" spans="1:149">
      <c r="A9" s="132" t="str">
        <f>'Monthly HC &amp; Prodn Working'!B9</f>
        <v>TFO</v>
      </c>
      <c r="B9" s="9">
        <f>'Monthly HC &amp; Prodn Working'!D9</f>
        <v>0</v>
      </c>
      <c r="C9" s="802"/>
      <c r="D9" s="803"/>
      <c r="E9" s="804"/>
      <c r="F9" s="805"/>
      <c r="G9" s="9">
        <f t="shared" si="6"/>
        <v>0</v>
      </c>
      <c r="H9" s="9">
        <f>'Monthly HC &amp; Prodn Working'!E9</f>
        <v>0</v>
      </c>
      <c r="I9" s="802"/>
      <c r="J9" s="803"/>
      <c r="K9" s="804"/>
      <c r="L9" s="805"/>
      <c r="M9" s="9">
        <f t="shared" si="7"/>
        <v>0</v>
      </c>
      <c r="N9" s="9">
        <f>'Monthly HC &amp; Prodn Working'!F9</f>
        <v>0</v>
      </c>
      <c r="O9" s="802"/>
      <c r="P9" s="803"/>
      <c r="Q9" s="804"/>
      <c r="R9" s="805"/>
      <c r="S9" s="9">
        <f t="shared" si="8"/>
        <v>0</v>
      </c>
      <c r="T9" s="9">
        <f>'Monthly HC &amp; Prodn Working'!G9</f>
        <v>0</v>
      </c>
      <c r="U9" s="802"/>
      <c r="V9" s="803"/>
      <c r="W9" s="804"/>
      <c r="X9" s="805"/>
      <c r="Y9" s="9">
        <f t="shared" si="9"/>
        <v>0</v>
      </c>
      <c r="Z9" s="9">
        <f>'Monthly HC &amp; Prodn Working'!H9</f>
        <v>0</v>
      </c>
      <c r="AA9" s="802"/>
      <c r="AB9" s="803"/>
      <c r="AC9" s="804"/>
      <c r="AD9" s="805"/>
      <c r="AE9" s="9">
        <f t="shared" si="10"/>
        <v>0</v>
      </c>
      <c r="AF9" s="9">
        <f>'Monthly HC &amp; Prodn Working'!I9</f>
        <v>0</v>
      </c>
      <c r="AG9" s="802"/>
      <c r="AH9" s="803"/>
      <c r="AI9" s="804"/>
      <c r="AJ9" s="805"/>
      <c r="AK9" s="9">
        <f t="shared" si="11"/>
        <v>0</v>
      </c>
      <c r="AL9" s="9">
        <f>'Monthly HC &amp; Prodn Working'!J9</f>
        <v>0</v>
      </c>
      <c r="AM9" s="802"/>
      <c r="AN9" s="803"/>
      <c r="AO9" s="804"/>
      <c r="AP9" s="805"/>
      <c r="AQ9" s="9">
        <f t="shared" si="12"/>
        <v>0</v>
      </c>
      <c r="AR9" s="9">
        <f>'Monthly HC &amp; Prodn Working'!K9</f>
        <v>0</v>
      </c>
      <c r="AS9" s="802"/>
      <c r="AT9" s="803"/>
      <c r="AU9" s="804"/>
      <c r="AV9" s="805"/>
      <c r="AW9" s="9">
        <f t="shared" si="13"/>
        <v>0</v>
      </c>
      <c r="AX9" s="9">
        <f>'Monthly HC &amp; Prodn Working'!L9</f>
        <v>0</v>
      </c>
      <c r="AY9" s="802"/>
      <c r="AZ9" s="803"/>
      <c r="BA9" s="804"/>
      <c r="BB9" s="805"/>
      <c r="BC9" s="9">
        <f t="shared" si="14"/>
        <v>0</v>
      </c>
      <c r="BD9" s="9">
        <f>'Monthly HC &amp; Prodn Working'!M9</f>
        <v>0</v>
      </c>
      <c r="BE9" s="802"/>
      <c r="BF9" s="803"/>
      <c r="BG9" s="804"/>
      <c r="BH9" s="805"/>
      <c r="BI9" s="9">
        <f t="shared" si="15"/>
        <v>0</v>
      </c>
      <c r="BJ9" s="9">
        <f>'Monthly HC &amp; Prodn Working'!N9</f>
        <v>0</v>
      </c>
      <c r="BK9" s="802"/>
      <c r="BL9" s="803"/>
      <c r="BM9" s="804"/>
      <c r="BN9" s="805"/>
      <c r="BO9" s="9">
        <f t="shared" si="16"/>
        <v>0</v>
      </c>
      <c r="BP9" s="9">
        <f>'Monthly HC &amp; Prodn Working'!O9</f>
        <v>0</v>
      </c>
      <c r="BQ9" s="802"/>
      <c r="BR9" s="803"/>
      <c r="BS9" s="804"/>
      <c r="BT9" s="805"/>
      <c r="BU9" s="9">
        <f t="shared" si="17"/>
        <v>0</v>
      </c>
      <c r="BV9" s="989"/>
      <c r="BW9" s="10">
        <f>'Monthly HC &amp; Prodn Working'!AC9</f>
        <v>7407.3247816796656</v>
      </c>
      <c r="BX9" s="10">
        <f t="shared" si="0"/>
        <v>0</v>
      </c>
      <c r="BY9" s="802" t="str">
        <f t="shared" si="1"/>
        <v/>
      </c>
      <c r="BZ9" s="803" t="str">
        <f t="shared" si="2"/>
        <v/>
      </c>
      <c r="CA9" s="804" t="str">
        <f t="shared" si="3"/>
        <v/>
      </c>
      <c r="CB9" s="805" t="str">
        <f t="shared" si="4"/>
        <v/>
      </c>
      <c r="CC9" s="9">
        <f t="shared" si="5"/>
        <v>0</v>
      </c>
      <c r="CD9" s="980"/>
      <c r="CE9" s="13"/>
      <c r="CF9" s="43"/>
      <c r="CI9" s="767">
        <v>46296</v>
      </c>
      <c r="CJ9" s="43">
        <f>AL29</f>
        <v>1650.5</v>
      </c>
      <c r="CK9" s="43">
        <f>AM29</f>
        <v>527</v>
      </c>
      <c r="CL9" s="43">
        <f>AN29</f>
        <v>273</v>
      </c>
      <c r="CM9" s="43">
        <f>AO29</f>
        <v>279.5</v>
      </c>
      <c r="CN9" s="43">
        <f>AP29</f>
        <v>588</v>
      </c>
      <c r="CQ9" s="767">
        <v>46296</v>
      </c>
      <c r="CR9" s="43">
        <f t="shared" si="18"/>
        <v>66</v>
      </c>
      <c r="CS9" s="43">
        <f t="shared" si="19"/>
        <v>32</v>
      </c>
      <c r="CT9" s="43">
        <f t="shared" si="20"/>
        <v>0</v>
      </c>
      <c r="CU9" s="43">
        <f t="shared" si="21"/>
        <v>20</v>
      </c>
      <c r="CV9" s="43">
        <f t="shared" si="22"/>
        <v>14</v>
      </c>
      <c r="CY9" s="19">
        <v>72117.17849999998</v>
      </c>
      <c r="DA9" s="43">
        <f>'Monthly HC &amp; Prodn Working'!Q9</f>
        <v>5622.564964599731</v>
      </c>
      <c r="DB9" s="43">
        <f>'Monthly HC &amp; Prodn Working'!R9</f>
        <v>6890.4034571148713</v>
      </c>
      <c r="DC9" s="43">
        <f>'Monthly HC &amp; Prodn Working'!S9</f>
        <v>7301.7361695315067</v>
      </c>
      <c r="DD9" s="43">
        <f>'Monthly HC &amp; Prodn Working'!T9</f>
        <v>6087.6181532175024</v>
      </c>
      <c r="DE9" s="43">
        <f>'Monthly HC &amp; Prodn Working'!U9</f>
        <v>7138.41850740468</v>
      </c>
      <c r="DF9" s="43">
        <f>'Monthly HC &amp; Prodn Working'!V9</f>
        <v>6981.954758677788</v>
      </c>
      <c r="DG9" s="43">
        <f>'Monthly HC &amp; Prodn Working'!W9</f>
        <v>8056.8771578203468</v>
      </c>
      <c r="DH9" s="43">
        <f>'Monthly HC &amp; Prodn Working'!X9</f>
        <v>8173.2848880736401</v>
      </c>
      <c r="DI9" s="43">
        <f>'Monthly HC &amp; Prodn Working'!Y9</f>
        <v>12103.023983036295</v>
      </c>
      <c r="DJ9" s="43">
        <f>'Monthly HC &amp; Prodn Working'!Z9</f>
        <v>6657.2644062060244</v>
      </c>
      <c r="DK9" s="43">
        <f>'Monthly HC &amp; Prodn Working'!AA9</f>
        <v>7963.8524180259901</v>
      </c>
      <c r="DL9" s="43">
        <f>'Monthly HC &amp; Prodn Working'!AB9</f>
        <v>5910.8985164476026</v>
      </c>
    </row>
    <row r="10" spans="1:149">
      <c r="A10" s="132" t="str">
        <f>'Monthly HC &amp; Prodn Working'!B10</f>
        <v>Auto Clave</v>
      </c>
      <c r="B10" s="9">
        <f>'Monthly HC &amp; Prodn Working'!D10</f>
        <v>0</v>
      </c>
      <c r="C10" s="802"/>
      <c r="D10" s="803"/>
      <c r="E10" s="804"/>
      <c r="F10" s="805"/>
      <c r="G10" s="9">
        <f t="shared" si="6"/>
        <v>0</v>
      </c>
      <c r="H10" s="9">
        <f>'Monthly HC &amp; Prodn Working'!E10</f>
        <v>0</v>
      </c>
      <c r="I10" s="802"/>
      <c r="J10" s="803"/>
      <c r="K10" s="804"/>
      <c r="L10" s="805"/>
      <c r="M10" s="9">
        <f t="shared" si="7"/>
        <v>0</v>
      </c>
      <c r="N10" s="9">
        <f>'Monthly HC &amp; Prodn Working'!F10</f>
        <v>0</v>
      </c>
      <c r="O10" s="802"/>
      <c r="P10" s="803"/>
      <c r="Q10" s="804"/>
      <c r="R10" s="805"/>
      <c r="S10" s="9">
        <f t="shared" si="8"/>
        <v>0</v>
      </c>
      <c r="T10" s="9">
        <f>'Monthly HC &amp; Prodn Working'!G10</f>
        <v>0</v>
      </c>
      <c r="U10" s="802"/>
      <c r="V10" s="803"/>
      <c r="W10" s="804"/>
      <c r="X10" s="805"/>
      <c r="Y10" s="9">
        <f t="shared" si="9"/>
        <v>0</v>
      </c>
      <c r="Z10" s="9">
        <f>'Monthly HC &amp; Prodn Working'!H10</f>
        <v>0</v>
      </c>
      <c r="AA10" s="802"/>
      <c r="AB10" s="803"/>
      <c r="AC10" s="804"/>
      <c r="AD10" s="805"/>
      <c r="AE10" s="9">
        <f t="shared" si="10"/>
        <v>0</v>
      </c>
      <c r="AF10" s="9">
        <f>'Monthly HC &amp; Prodn Working'!I10</f>
        <v>0</v>
      </c>
      <c r="AG10" s="802"/>
      <c r="AH10" s="803"/>
      <c r="AI10" s="804"/>
      <c r="AJ10" s="805"/>
      <c r="AK10" s="9">
        <f t="shared" si="11"/>
        <v>0</v>
      </c>
      <c r="AL10" s="9">
        <f>'Monthly HC &amp; Prodn Working'!J10</f>
        <v>0</v>
      </c>
      <c r="AM10" s="802"/>
      <c r="AN10" s="803"/>
      <c r="AO10" s="804"/>
      <c r="AP10" s="805"/>
      <c r="AQ10" s="9">
        <f t="shared" si="12"/>
        <v>0</v>
      </c>
      <c r="AR10" s="9">
        <f>'Monthly HC &amp; Prodn Working'!K10</f>
        <v>0</v>
      </c>
      <c r="AS10" s="802"/>
      <c r="AT10" s="803"/>
      <c r="AU10" s="804"/>
      <c r="AV10" s="805"/>
      <c r="AW10" s="9">
        <f t="shared" si="13"/>
        <v>0</v>
      </c>
      <c r="AX10" s="9">
        <f>'Monthly HC &amp; Prodn Working'!L10</f>
        <v>0</v>
      </c>
      <c r="AY10" s="802"/>
      <c r="AZ10" s="803"/>
      <c r="BA10" s="804"/>
      <c r="BB10" s="805"/>
      <c r="BC10" s="9">
        <f t="shared" si="14"/>
        <v>0</v>
      </c>
      <c r="BD10" s="9">
        <f>'Monthly HC &amp; Prodn Working'!M10</f>
        <v>0</v>
      </c>
      <c r="BE10" s="802"/>
      <c r="BF10" s="803"/>
      <c r="BG10" s="804"/>
      <c r="BH10" s="805"/>
      <c r="BI10" s="9">
        <f t="shared" si="15"/>
        <v>0</v>
      </c>
      <c r="BJ10" s="9">
        <f>'Monthly HC &amp; Prodn Working'!N10</f>
        <v>0</v>
      </c>
      <c r="BK10" s="802"/>
      <c r="BL10" s="803"/>
      <c r="BM10" s="804"/>
      <c r="BN10" s="805"/>
      <c r="BO10" s="9">
        <f t="shared" si="16"/>
        <v>0</v>
      </c>
      <c r="BP10" s="9">
        <f>'Monthly HC &amp; Prodn Working'!O10</f>
        <v>0</v>
      </c>
      <c r="BQ10" s="802"/>
      <c r="BR10" s="803"/>
      <c r="BS10" s="804"/>
      <c r="BT10" s="805"/>
      <c r="BU10" s="9">
        <f t="shared" si="17"/>
        <v>0</v>
      </c>
      <c r="BV10" s="989"/>
      <c r="BW10" s="10">
        <f>'Monthly HC &amp; Prodn Working'!AC10</f>
        <v>2577.871470707893</v>
      </c>
      <c r="BX10" s="10">
        <f t="shared" si="0"/>
        <v>0</v>
      </c>
      <c r="BY10" s="802" t="str">
        <f t="shared" si="1"/>
        <v/>
      </c>
      <c r="BZ10" s="803" t="str">
        <f t="shared" si="2"/>
        <v/>
      </c>
      <c r="CA10" s="804" t="str">
        <f t="shared" si="3"/>
        <v/>
      </c>
      <c r="CB10" s="805" t="str">
        <f t="shared" si="4"/>
        <v/>
      </c>
      <c r="CC10" s="9">
        <f t="shared" si="5"/>
        <v>0</v>
      </c>
      <c r="CD10" s="980"/>
      <c r="CE10" s="13"/>
      <c r="CF10" s="43">
        <f>BW10*8.25*30*12</f>
        <v>7656278.2680024421</v>
      </c>
      <c r="CI10" s="767">
        <v>46327</v>
      </c>
      <c r="CJ10" s="43">
        <f>AR29</f>
        <v>1606.5</v>
      </c>
      <c r="CK10" s="43">
        <f>AS29</f>
        <v>522</v>
      </c>
      <c r="CL10" s="43">
        <f>AT29</f>
        <v>267</v>
      </c>
      <c r="CM10" s="43">
        <f>AU29</f>
        <v>274</v>
      </c>
      <c r="CN10" s="43">
        <f>AV29</f>
        <v>563.5</v>
      </c>
      <c r="CQ10" s="767">
        <v>46327</v>
      </c>
      <c r="CR10" s="43">
        <f t="shared" si="18"/>
        <v>66</v>
      </c>
      <c r="CS10" s="43">
        <f t="shared" si="19"/>
        <v>32</v>
      </c>
      <c r="CT10" s="43">
        <f t="shared" si="20"/>
        <v>0</v>
      </c>
      <c r="CU10" s="43">
        <f t="shared" si="21"/>
        <v>20</v>
      </c>
      <c r="CV10" s="43">
        <f t="shared" si="22"/>
        <v>14</v>
      </c>
      <c r="CY10" s="19">
        <v>74386.185999999987</v>
      </c>
      <c r="DA10" s="43">
        <f>'Monthly HC &amp; Prodn Working'!Q10</f>
        <v>2404.3433584891382</v>
      </c>
      <c r="DB10" s="43">
        <f>'Monthly HC &amp; Prodn Working'!R10</f>
        <v>2570.3540583544168</v>
      </c>
      <c r="DC10" s="43">
        <f>'Monthly HC &amp; Prodn Working'!S10</f>
        <v>2439.7190704652007</v>
      </c>
      <c r="DD10" s="43">
        <f>'Monthly HC &amp; Prodn Working'!T10</f>
        <v>2669.1589874852198</v>
      </c>
      <c r="DE10" s="43">
        <f>'Monthly HC &amp; Prodn Working'!U10</f>
        <v>2282.0684442240977</v>
      </c>
      <c r="DF10" s="43">
        <f>'Monthly HC &amp; Prodn Working'!V10</f>
        <v>2450.1421627286522</v>
      </c>
      <c r="DG10" s="43">
        <f>'Monthly HC &amp; Prodn Working'!W10</f>
        <v>2798.9847102998397</v>
      </c>
      <c r="DH10" s="43">
        <f>'Monthly HC &amp; Prodn Working'!X10</f>
        <v>1092.8065184737245</v>
      </c>
      <c r="DI10" s="43">
        <f>'Monthly HC &amp; Prodn Working'!Y10</f>
        <v>4685.6916234982345</v>
      </c>
      <c r="DJ10" s="43">
        <f>'Monthly HC &amp; Prodn Working'!Z10</f>
        <v>2806.5455147222001</v>
      </c>
      <c r="DK10" s="43">
        <f>'Monthly HC &amp; Prodn Working'!AA10</f>
        <v>2380.1906642775202</v>
      </c>
      <c r="DL10" s="43">
        <f>'Monthly HC &amp; Prodn Working'!AB10</f>
        <v>2354.4525354764696</v>
      </c>
    </row>
    <row r="11" spans="1:149">
      <c r="A11" s="132" t="str">
        <f>'Monthly HC &amp; Prodn Working'!B11</f>
        <v>6. Cabling</v>
      </c>
      <c r="B11" s="9">
        <f>'Monthly HC &amp; Prodn Working'!D11</f>
        <v>69</v>
      </c>
      <c r="C11" s="802"/>
      <c r="D11" s="803"/>
      <c r="E11" s="804"/>
      <c r="F11" s="805">
        <f>B11</f>
        <v>69</v>
      </c>
      <c r="G11" s="9">
        <f t="shared" si="6"/>
        <v>69</v>
      </c>
      <c r="H11" s="9">
        <f>'Monthly HC &amp; Prodn Working'!E11</f>
        <v>63</v>
      </c>
      <c r="I11" s="802"/>
      <c r="J11" s="803"/>
      <c r="K11" s="804"/>
      <c r="L11" s="805">
        <f>H11</f>
        <v>63</v>
      </c>
      <c r="M11" s="9">
        <f t="shared" si="7"/>
        <v>63</v>
      </c>
      <c r="N11" s="9">
        <f>'Monthly HC &amp; Prodn Working'!F11</f>
        <v>59</v>
      </c>
      <c r="O11" s="802"/>
      <c r="P11" s="803"/>
      <c r="Q11" s="804"/>
      <c r="R11" s="805">
        <f>N11</f>
        <v>59</v>
      </c>
      <c r="S11" s="9">
        <f t="shared" si="8"/>
        <v>59</v>
      </c>
      <c r="T11" s="9">
        <f>'Monthly HC &amp; Prodn Working'!G11</f>
        <v>62</v>
      </c>
      <c r="U11" s="802"/>
      <c r="V11" s="803"/>
      <c r="W11" s="804"/>
      <c r="X11" s="805">
        <f>T11</f>
        <v>62</v>
      </c>
      <c r="Y11" s="9">
        <f t="shared" si="9"/>
        <v>62</v>
      </c>
      <c r="Z11" s="9">
        <f>'Monthly HC &amp; Prodn Working'!H11</f>
        <v>68</v>
      </c>
      <c r="AA11" s="802"/>
      <c r="AB11" s="803"/>
      <c r="AC11" s="804"/>
      <c r="AD11" s="805">
        <f>Z11</f>
        <v>68</v>
      </c>
      <c r="AE11" s="9">
        <f t="shared" si="10"/>
        <v>68</v>
      </c>
      <c r="AF11" s="9">
        <f>'Monthly HC &amp; Prodn Working'!I11</f>
        <v>69</v>
      </c>
      <c r="AG11" s="802"/>
      <c r="AH11" s="803"/>
      <c r="AI11" s="804"/>
      <c r="AJ11" s="805">
        <f>AF11</f>
        <v>69</v>
      </c>
      <c r="AK11" s="9">
        <f t="shared" si="11"/>
        <v>69</v>
      </c>
      <c r="AL11" s="9">
        <f>'Monthly HC &amp; Prodn Working'!J11</f>
        <v>61</v>
      </c>
      <c r="AM11" s="802"/>
      <c r="AN11" s="803"/>
      <c r="AO11" s="804"/>
      <c r="AP11" s="805">
        <f>AL11</f>
        <v>61</v>
      </c>
      <c r="AQ11" s="9">
        <f t="shared" si="12"/>
        <v>61</v>
      </c>
      <c r="AR11" s="9">
        <f>'Monthly HC &amp; Prodn Working'!K11</f>
        <v>58</v>
      </c>
      <c r="AS11" s="802"/>
      <c r="AT11" s="803"/>
      <c r="AU11" s="804"/>
      <c r="AV11" s="805">
        <f>AR11</f>
        <v>58</v>
      </c>
      <c r="AW11" s="9">
        <f t="shared" si="13"/>
        <v>58</v>
      </c>
      <c r="AX11" s="9">
        <f>'Monthly HC &amp; Prodn Working'!L11</f>
        <v>67</v>
      </c>
      <c r="AY11" s="802"/>
      <c r="AZ11" s="803"/>
      <c r="BA11" s="804"/>
      <c r="BB11" s="805">
        <f>AX11</f>
        <v>67</v>
      </c>
      <c r="BC11" s="9">
        <f t="shared" si="14"/>
        <v>67</v>
      </c>
      <c r="BD11" s="9">
        <f>'Monthly HC &amp; Prodn Working'!M11</f>
        <v>66</v>
      </c>
      <c r="BE11" s="802"/>
      <c r="BF11" s="803"/>
      <c r="BG11" s="804"/>
      <c r="BH11" s="805">
        <f>BD11</f>
        <v>66</v>
      </c>
      <c r="BI11" s="9">
        <f t="shared" si="15"/>
        <v>66</v>
      </c>
      <c r="BJ11" s="9">
        <f>'Monthly HC &amp; Prodn Working'!N11</f>
        <v>68</v>
      </c>
      <c r="BK11" s="802"/>
      <c r="BL11" s="803"/>
      <c r="BM11" s="804"/>
      <c r="BN11" s="805">
        <f>BJ11</f>
        <v>68</v>
      </c>
      <c r="BO11" s="9">
        <f t="shared" si="16"/>
        <v>68</v>
      </c>
      <c r="BP11" s="9">
        <f>'Monthly HC &amp; Prodn Working'!O11</f>
        <v>60</v>
      </c>
      <c r="BQ11" s="802"/>
      <c r="BR11" s="803"/>
      <c r="BS11" s="804"/>
      <c r="BT11" s="805">
        <f>BP11</f>
        <v>60</v>
      </c>
      <c r="BU11" s="9">
        <f t="shared" si="17"/>
        <v>60</v>
      </c>
      <c r="BV11" s="989"/>
      <c r="BW11" s="10">
        <f>'Monthly HC &amp; Prodn Working'!AC11</f>
        <v>36103.398448813641</v>
      </c>
      <c r="BX11" s="10">
        <f t="shared" si="0"/>
        <v>64.166666666666671</v>
      </c>
      <c r="BY11" s="802" t="str">
        <f t="shared" si="1"/>
        <v/>
      </c>
      <c r="BZ11" s="803" t="str">
        <f t="shared" si="2"/>
        <v/>
      </c>
      <c r="CA11" s="804" t="str">
        <f t="shared" si="3"/>
        <v/>
      </c>
      <c r="CB11" s="805">
        <f t="shared" si="4"/>
        <v>64.166666666666671</v>
      </c>
      <c r="CC11" s="9">
        <f t="shared" si="5"/>
        <v>64.166666666666671</v>
      </c>
      <c r="CD11" s="980" t="s">
        <v>1118</v>
      </c>
      <c r="CE11" s="43">
        <f>CB11*24596*12</f>
        <v>18938920</v>
      </c>
      <c r="CF11" s="43">
        <f>BW11*1.71*30*12</f>
        <v>22225252.085089676</v>
      </c>
      <c r="CI11" s="767">
        <v>46357</v>
      </c>
      <c r="CJ11" s="43">
        <f>AX29</f>
        <v>1633.5</v>
      </c>
      <c r="CK11" s="43">
        <f>AY29</f>
        <v>542</v>
      </c>
      <c r="CL11" s="43">
        <f>AZ29</f>
        <v>282</v>
      </c>
      <c r="CM11" s="43">
        <f>BA29</f>
        <v>293</v>
      </c>
      <c r="CN11" s="43">
        <f>BB29</f>
        <v>536.5</v>
      </c>
      <c r="CQ11" s="767">
        <v>46357</v>
      </c>
      <c r="CR11" s="43">
        <f t="shared" si="18"/>
        <v>66</v>
      </c>
      <c r="CS11" s="43">
        <f t="shared" si="19"/>
        <v>32</v>
      </c>
      <c r="CT11" s="43">
        <f t="shared" si="20"/>
        <v>0</v>
      </c>
      <c r="CU11" s="43">
        <f t="shared" si="21"/>
        <v>20</v>
      </c>
      <c r="CV11" s="43">
        <f t="shared" si="22"/>
        <v>14</v>
      </c>
      <c r="CY11" s="19">
        <v>54424.173200000005</v>
      </c>
      <c r="DA11" s="43">
        <f>'Monthly HC &amp; Prodn Working'!Q11</f>
        <v>41292.948564621576</v>
      </c>
      <c r="DB11" s="43">
        <f>'Monthly HC &amp; Prodn Working'!R11</f>
        <v>34846.488560269885</v>
      </c>
      <c r="DC11" s="43">
        <f>'Monthly HC &amp; Prodn Working'!S11</f>
        <v>32022.756126797543</v>
      </c>
      <c r="DD11" s="43">
        <f>'Monthly HC &amp; Prodn Working'!T11</f>
        <v>34633.558317913623</v>
      </c>
      <c r="DE11" s="43">
        <f>'Monthly HC &amp; Prodn Working'!U11</f>
        <v>38506.101631586273</v>
      </c>
      <c r="DF11" s="43">
        <f>'Monthly HC &amp; Prodn Working'!V11</f>
        <v>39007.07849021069</v>
      </c>
      <c r="DG11" s="43">
        <f>'Monthly HC &amp; Prodn Working'!W11</f>
        <v>34028.047628986453</v>
      </c>
      <c r="DH11" s="43">
        <f>'Monthly HC &amp; Prodn Working'!X11</f>
        <v>31353.977283563971</v>
      </c>
      <c r="DI11" s="43">
        <f>'Monthly HC &amp; Prodn Working'!Y11</f>
        <v>37743.215570490967</v>
      </c>
      <c r="DJ11" s="43">
        <f>'Monthly HC &amp; Prodn Working'!Z11</f>
        <v>37545.075372272251</v>
      </c>
      <c r="DK11" s="43">
        <f>'Monthly HC &amp; Prodn Working'!AA11</f>
        <v>38907.620069402488</v>
      </c>
      <c r="DL11" s="43">
        <f>'Monthly HC &amp; Prodn Working'!AB11</f>
        <v>33353.913769647988</v>
      </c>
    </row>
    <row r="12" spans="1:149">
      <c r="A12" s="132" t="str">
        <f>'Monthly HC &amp; Prodn Working'!B12</f>
        <v>7. Heat Set</v>
      </c>
      <c r="B12" s="9">
        <f>'Monthly HC &amp; Prodn Working'!D12</f>
        <v>64</v>
      </c>
      <c r="C12" s="802">
        <v>42</v>
      </c>
      <c r="D12" s="803">
        <v>36</v>
      </c>
      <c r="E12" s="804">
        <v>6</v>
      </c>
      <c r="F12" s="805"/>
      <c r="G12" s="9">
        <f t="shared" si="6"/>
        <v>84</v>
      </c>
      <c r="H12" s="9">
        <f>'Monthly HC &amp; Prodn Working'!E12</f>
        <v>60</v>
      </c>
      <c r="I12" s="802">
        <v>42</v>
      </c>
      <c r="J12" s="803">
        <v>30</v>
      </c>
      <c r="K12" s="804">
        <v>6</v>
      </c>
      <c r="L12" s="805"/>
      <c r="M12" s="9">
        <f t="shared" si="7"/>
        <v>78</v>
      </c>
      <c r="N12" s="9">
        <f>'Monthly HC &amp; Prodn Working'!F12</f>
        <v>57</v>
      </c>
      <c r="O12" s="802">
        <v>42</v>
      </c>
      <c r="P12" s="803">
        <v>24</v>
      </c>
      <c r="Q12" s="804">
        <v>6</v>
      </c>
      <c r="R12" s="805"/>
      <c r="S12" s="9">
        <f t="shared" si="8"/>
        <v>72</v>
      </c>
      <c r="T12" s="9">
        <f>'Monthly HC &amp; Prodn Working'!G12</f>
        <v>59</v>
      </c>
      <c r="U12" s="802">
        <v>42</v>
      </c>
      <c r="V12" s="803">
        <v>25</v>
      </c>
      <c r="W12" s="804">
        <v>9</v>
      </c>
      <c r="X12" s="805"/>
      <c r="Y12" s="9">
        <f t="shared" si="9"/>
        <v>76</v>
      </c>
      <c r="Z12" s="9">
        <f>'Monthly HC &amp; Prodn Working'!H12</f>
        <v>64</v>
      </c>
      <c r="AA12" s="802">
        <v>42</v>
      </c>
      <c r="AB12" s="803">
        <v>36</v>
      </c>
      <c r="AC12" s="804">
        <v>6</v>
      </c>
      <c r="AD12" s="805"/>
      <c r="AE12" s="9">
        <f t="shared" si="10"/>
        <v>84</v>
      </c>
      <c r="AF12" s="9">
        <f>'Monthly HC &amp; Prodn Working'!I12</f>
        <v>63</v>
      </c>
      <c r="AG12" s="802">
        <v>42</v>
      </c>
      <c r="AH12" s="803">
        <v>36</v>
      </c>
      <c r="AI12" s="804">
        <v>4</v>
      </c>
      <c r="AJ12" s="805"/>
      <c r="AK12" s="9">
        <f t="shared" si="11"/>
        <v>82</v>
      </c>
      <c r="AL12" s="9">
        <f>'Monthly HC &amp; Prodn Working'!J12</f>
        <v>55</v>
      </c>
      <c r="AM12" s="802">
        <v>42</v>
      </c>
      <c r="AN12" s="803">
        <v>24</v>
      </c>
      <c r="AO12" s="804">
        <v>6</v>
      </c>
      <c r="AP12" s="805"/>
      <c r="AQ12" s="9">
        <f t="shared" si="12"/>
        <v>72</v>
      </c>
      <c r="AR12" s="9">
        <f>'Monthly HC &amp; Prodn Working'!K12</f>
        <v>56</v>
      </c>
      <c r="AS12" s="802">
        <v>42</v>
      </c>
      <c r="AT12" s="803">
        <v>24</v>
      </c>
      <c r="AU12" s="804">
        <v>10</v>
      </c>
      <c r="AV12" s="805"/>
      <c r="AW12" s="9">
        <f t="shared" si="13"/>
        <v>76</v>
      </c>
      <c r="AX12" s="9">
        <f>'Monthly HC &amp; Prodn Working'!L12</f>
        <v>64</v>
      </c>
      <c r="AY12" s="802">
        <v>42</v>
      </c>
      <c r="AZ12" s="803">
        <v>30</v>
      </c>
      <c r="BA12" s="804">
        <v>12</v>
      </c>
      <c r="BB12" s="805"/>
      <c r="BC12" s="9">
        <f t="shared" si="14"/>
        <v>84</v>
      </c>
      <c r="BD12" s="9">
        <f>'Monthly HC &amp; Prodn Working'!M12</f>
        <v>58</v>
      </c>
      <c r="BE12" s="802">
        <v>42</v>
      </c>
      <c r="BF12" s="803">
        <v>33</v>
      </c>
      <c r="BG12" s="804">
        <v>4</v>
      </c>
      <c r="BH12" s="805"/>
      <c r="BI12" s="9">
        <f t="shared" si="15"/>
        <v>79</v>
      </c>
      <c r="BJ12" s="9">
        <f>'Monthly HC &amp; Prodn Working'!N12</f>
        <v>63</v>
      </c>
      <c r="BK12" s="802">
        <v>42</v>
      </c>
      <c r="BL12" s="803">
        <v>36</v>
      </c>
      <c r="BM12" s="804">
        <v>6</v>
      </c>
      <c r="BN12" s="805"/>
      <c r="BO12" s="9">
        <f t="shared" si="16"/>
        <v>84</v>
      </c>
      <c r="BP12" s="9">
        <f>'Monthly HC &amp; Prodn Working'!O12</f>
        <v>56</v>
      </c>
      <c r="BQ12" s="802">
        <v>42</v>
      </c>
      <c r="BR12" s="803">
        <v>28</v>
      </c>
      <c r="BS12" s="804">
        <v>5</v>
      </c>
      <c r="BT12" s="805"/>
      <c r="BU12" s="9">
        <f t="shared" si="17"/>
        <v>75</v>
      </c>
      <c r="BV12" s="989"/>
      <c r="BW12" s="10">
        <f>'Monthly HC &amp; Prodn Working'!AC12</f>
        <v>33603.811239104398</v>
      </c>
      <c r="BX12" s="10">
        <f t="shared" si="0"/>
        <v>59.916666666666664</v>
      </c>
      <c r="BY12" s="802">
        <f t="shared" si="1"/>
        <v>42</v>
      </c>
      <c r="BZ12" s="803">
        <f t="shared" si="2"/>
        <v>30.166666666666668</v>
      </c>
      <c r="CA12" s="804">
        <f t="shared" si="3"/>
        <v>6.666666666666667</v>
      </c>
      <c r="CB12" s="805" t="str">
        <f t="shared" si="4"/>
        <v/>
      </c>
      <c r="CC12" s="9">
        <f t="shared" si="5"/>
        <v>78.833333333333329</v>
      </c>
      <c r="CD12" s="980" t="s">
        <v>1039</v>
      </c>
      <c r="CE12" s="13"/>
      <c r="CF12" s="13"/>
      <c r="CG12" s="798"/>
      <c r="CI12" s="767">
        <v>46388</v>
      </c>
      <c r="CJ12" s="43">
        <f>BD29</f>
        <v>1559</v>
      </c>
      <c r="CK12" s="43">
        <f>BE29</f>
        <v>532</v>
      </c>
      <c r="CL12" s="43">
        <f>BF29</f>
        <v>285</v>
      </c>
      <c r="CM12" s="43">
        <f>BG29</f>
        <v>280</v>
      </c>
      <c r="CN12" s="43">
        <f>BH29</f>
        <v>473</v>
      </c>
      <c r="CQ12" s="767">
        <v>46388</v>
      </c>
      <c r="CR12" s="43">
        <f t="shared" si="18"/>
        <v>66</v>
      </c>
      <c r="CS12" s="43">
        <f t="shared" si="19"/>
        <v>32</v>
      </c>
      <c r="CT12" s="43">
        <f t="shared" si="20"/>
        <v>0</v>
      </c>
      <c r="CU12" s="43">
        <f t="shared" si="21"/>
        <v>20</v>
      </c>
      <c r="CV12" s="43">
        <f t="shared" si="22"/>
        <v>14</v>
      </c>
      <c r="CY12" s="19">
        <v>65285.157299999999</v>
      </c>
      <c r="DA12" s="43">
        <f>'Monthly HC &amp; Prodn Working'!Q12</f>
        <v>36944.505538265548</v>
      </c>
      <c r="DB12" s="43">
        <f>'Monthly HC &amp; Prodn Working'!R12</f>
        <v>33161.583419790557</v>
      </c>
      <c r="DC12" s="43">
        <f>'Monthly HC &amp; Prodn Working'!S12</f>
        <v>31323.721468184875</v>
      </c>
      <c r="DD12" s="43">
        <f>'Monthly HC &amp; Prodn Working'!T12</f>
        <v>32311.931183481469</v>
      </c>
      <c r="DE12" s="43">
        <f>'Monthly HC &amp; Prodn Working'!U12</f>
        <v>36469.040246453776</v>
      </c>
      <c r="DF12" s="43">
        <f>'Monthly HC &amp; Prodn Working'!V12</f>
        <v>35212.370227201376</v>
      </c>
      <c r="DG12" s="43">
        <f>'Monthly HC &amp; Prodn Working'!W12</f>
        <v>30108.678386115094</v>
      </c>
      <c r="DH12" s="43">
        <f>'Monthly HC &amp; Prodn Working'!X12</f>
        <v>30671.38599439021</v>
      </c>
      <c r="DI12" s="43">
        <f>'Monthly HC &amp; Prodn Working'!Y12</f>
        <v>39099.955871035221</v>
      </c>
      <c r="DJ12" s="43">
        <f>'Monthly HC &amp; Prodn Working'!Z12</f>
        <v>32022.662426409217</v>
      </c>
      <c r="DK12" s="43">
        <f>'Monthly HC &amp; Prodn Working'!AA12</f>
        <v>35550.068739102797</v>
      </c>
      <c r="DL12" s="43">
        <f>'Monthly HC &amp; Prodn Working'!AB12</f>
        <v>30369.831368822677</v>
      </c>
    </row>
    <row r="13" spans="1:149">
      <c r="A13" s="132" t="str">
        <f>'Monthly HC &amp; Prodn Working'!B13</f>
        <v>Yarn Common</v>
      </c>
      <c r="B13" s="9">
        <f>'Monthly HC &amp; Prodn Working'!D13</f>
        <v>24</v>
      </c>
      <c r="C13" s="802"/>
      <c r="D13" s="803"/>
      <c r="E13" s="804">
        <v>6</v>
      </c>
      <c r="F13" s="805">
        <v>18</v>
      </c>
      <c r="G13" s="9">
        <f t="shared" si="6"/>
        <v>24</v>
      </c>
      <c r="H13" s="9">
        <f>'Monthly HC &amp; Prodn Working'!E13</f>
        <v>24</v>
      </c>
      <c r="I13" s="802"/>
      <c r="J13" s="803"/>
      <c r="K13" s="804">
        <v>6</v>
      </c>
      <c r="L13" s="805">
        <v>18</v>
      </c>
      <c r="M13" s="9">
        <f t="shared" si="7"/>
        <v>24</v>
      </c>
      <c r="N13" s="9">
        <f>'Monthly HC &amp; Prodn Working'!F13</f>
        <v>24</v>
      </c>
      <c r="O13" s="802"/>
      <c r="P13" s="803"/>
      <c r="Q13" s="804">
        <v>6</v>
      </c>
      <c r="R13" s="805">
        <v>18</v>
      </c>
      <c r="S13" s="9">
        <f t="shared" si="8"/>
        <v>24</v>
      </c>
      <c r="T13" s="9">
        <f>'Monthly HC &amp; Prodn Working'!G13</f>
        <v>24</v>
      </c>
      <c r="U13" s="802"/>
      <c r="V13" s="803"/>
      <c r="W13" s="804">
        <v>6</v>
      </c>
      <c r="X13" s="805">
        <v>18</v>
      </c>
      <c r="Y13" s="9">
        <f t="shared" si="9"/>
        <v>24</v>
      </c>
      <c r="Z13" s="9">
        <f>'Monthly HC &amp; Prodn Working'!H13</f>
        <v>24</v>
      </c>
      <c r="AA13" s="802"/>
      <c r="AB13" s="803"/>
      <c r="AC13" s="804">
        <v>6</v>
      </c>
      <c r="AD13" s="805">
        <v>18</v>
      </c>
      <c r="AE13" s="9">
        <f t="shared" si="10"/>
        <v>24</v>
      </c>
      <c r="AF13" s="9">
        <f>'Monthly HC &amp; Prodn Working'!I13</f>
        <v>24</v>
      </c>
      <c r="AG13" s="802"/>
      <c r="AH13" s="803"/>
      <c r="AI13" s="804">
        <v>6</v>
      </c>
      <c r="AJ13" s="805">
        <v>18</v>
      </c>
      <c r="AK13" s="9">
        <f t="shared" si="11"/>
        <v>24</v>
      </c>
      <c r="AL13" s="9">
        <f>'Monthly HC &amp; Prodn Working'!J13</f>
        <v>24</v>
      </c>
      <c r="AM13" s="802"/>
      <c r="AN13" s="803"/>
      <c r="AO13" s="804">
        <v>6</v>
      </c>
      <c r="AP13" s="805">
        <v>18</v>
      </c>
      <c r="AQ13" s="9">
        <f t="shared" si="12"/>
        <v>24</v>
      </c>
      <c r="AR13" s="9">
        <f>'Monthly HC &amp; Prodn Working'!K13</f>
        <v>24</v>
      </c>
      <c r="AS13" s="802"/>
      <c r="AT13" s="803"/>
      <c r="AU13" s="804">
        <v>6</v>
      </c>
      <c r="AV13" s="805">
        <v>18</v>
      </c>
      <c r="AW13" s="9">
        <f t="shared" si="13"/>
        <v>24</v>
      </c>
      <c r="AX13" s="9">
        <f>'Monthly HC &amp; Prodn Working'!L13</f>
        <v>24</v>
      </c>
      <c r="AY13" s="802"/>
      <c r="AZ13" s="803"/>
      <c r="BA13" s="804">
        <v>6</v>
      </c>
      <c r="BB13" s="805">
        <v>18</v>
      </c>
      <c r="BC13" s="9">
        <f t="shared" si="14"/>
        <v>24</v>
      </c>
      <c r="BD13" s="9">
        <f>'Monthly HC &amp; Prodn Working'!M13</f>
        <v>24</v>
      </c>
      <c r="BE13" s="802"/>
      <c r="BF13" s="803"/>
      <c r="BG13" s="804">
        <v>6</v>
      </c>
      <c r="BH13" s="805">
        <v>18</v>
      </c>
      <c r="BI13" s="9">
        <f t="shared" si="15"/>
        <v>24</v>
      </c>
      <c r="BJ13" s="9">
        <f>'Monthly HC &amp; Prodn Working'!N13</f>
        <v>24</v>
      </c>
      <c r="BK13" s="802"/>
      <c r="BL13" s="803"/>
      <c r="BM13" s="804">
        <v>6</v>
      </c>
      <c r="BN13" s="805">
        <v>18</v>
      </c>
      <c r="BO13" s="9">
        <f t="shared" si="16"/>
        <v>24</v>
      </c>
      <c r="BP13" s="9">
        <f>'Monthly HC &amp; Prodn Working'!O13</f>
        <v>24</v>
      </c>
      <c r="BQ13" s="802"/>
      <c r="BR13" s="803"/>
      <c r="BS13" s="804">
        <v>6</v>
      </c>
      <c r="BT13" s="805">
        <v>18</v>
      </c>
      <c r="BU13" s="9">
        <f t="shared" si="17"/>
        <v>24</v>
      </c>
      <c r="BV13" s="989"/>
      <c r="BW13" s="10">
        <f>'Monthly HC &amp; Prodn Working'!AC13</f>
        <v>0</v>
      </c>
      <c r="BX13" s="10">
        <f t="shared" si="0"/>
        <v>24</v>
      </c>
      <c r="BY13" s="802" t="str">
        <f t="shared" si="1"/>
        <v/>
      </c>
      <c r="BZ13" s="803" t="str">
        <f t="shared" si="2"/>
        <v/>
      </c>
      <c r="CA13" s="804">
        <f t="shared" si="3"/>
        <v>6</v>
      </c>
      <c r="CB13" s="805">
        <f t="shared" si="4"/>
        <v>18</v>
      </c>
      <c r="CC13" s="9">
        <f t="shared" si="5"/>
        <v>24</v>
      </c>
      <c r="CD13" s="980"/>
      <c r="CE13" s="43">
        <f>CB13*24596*12</f>
        <v>5312736</v>
      </c>
      <c r="CF13" s="10">
        <f>9*47000*12</f>
        <v>5076000</v>
      </c>
      <c r="CG13" s="798"/>
      <c r="CI13" s="767">
        <v>46419</v>
      </c>
      <c r="CJ13" s="43">
        <f>BJ29</f>
        <v>1612</v>
      </c>
      <c r="CK13" s="43">
        <f>BK29</f>
        <v>532</v>
      </c>
      <c r="CL13" s="43">
        <f>BL29</f>
        <v>288</v>
      </c>
      <c r="CM13" s="43">
        <f>BM29</f>
        <v>292</v>
      </c>
      <c r="CN13" s="43">
        <f>BN29</f>
        <v>521</v>
      </c>
      <c r="CQ13" s="767">
        <v>46419</v>
      </c>
      <c r="CR13" s="43">
        <f t="shared" si="18"/>
        <v>66</v>
      </c>
      <c r="CS13" s="43">
        <f t="shared" si="19"/>
        <v>32</v>
      </c>
      <c r="CT13" s="43">
        <f t="shared" si="20"/>
        <v>0</v>
      </c>
      <c r="CU13" s="43">
        <f t="shared" si="21"/>
        <v>20</v>
      </c>
      <c r="CV13" s="43">
        <f t="shared" si="22"/>
        <v>14</v>
      </c>
      <c r="CY13" s="19">
        <v>60950</v>
      </c>
      <c r="DA13" s="43">
        <f>'Monthly HC &amp; Prodn Working'!Q13</f>
        <v>0</v>
      </c>
      <c r="DB13" s="43">
        <f>'Monthly HC &amp; Prodn Working'!R13</f>
        <v>0</v>
      </c>
      <c r="DC13" s="43">
        <f>'Monthly HC &amp; Prodn Working'!S13</f>
        <v>0</v>
      </c>
      <c r="DD13" s="43">
        <f>'Monthly HC &amp; Prodn Working'!T13</f>
        <v>0</v>
      </c>
      <c r="DE13" s="43">
        <f>'Monthly HC &amp; Prodn Working'!U13</f>
        <v>0</v>
      </c>
      <c r="DF13" s="43">
        <f>'Monthly HC &amp; Prodn Working'!V13</f>
        <v>0</v>
      </c>
      <c r="DG13" s="43">
        <f>'Monthly HC &amp; Prodn Working'!W13</f>
        <v>0</v>
      </c>
      <c r="DH13" s="43">
        <f>'Monthly HC &amp; Prodn Working'!X13</f>
        <v>0</v>
      </c>
      <c r="DI13" s="43">
        <f>'Monthly HC &amp; Prodn Working'!Y13</f>
        <v>0</v>
      </c>
      <c r="DJ13" s="43">
        <f>'Monthly HC &amp; Prodn Working'!Z13</f>
        <v>0</v>
      </c>
      <c r="DK13" s="43">
        <f>'Monthly HC &amp; Prodn Working'!AA13</f>
        <v>0</v>
      </c>
      <c r="DL13" s="43">
        <f>'Monthly HC &amp; Prodn Working'!AB13</f>
        <v>0</v>
      </c>
    </row>
    <row r="14" spans="1:149">
      <c r="A14" s="132" t="str">
        <f>'Monthly HC &amp; Prodn Working'!B14</f>
        <v>Master Batch</v>
      </c>
      <c r="B14" s="9">
        <f>'Monthly HC &amp; Prodn Working'!D14</f>
        <v>31</v>
      </c>
      <c r="C14" s="802">
        <v>20</v>
      </c>
      <c r="D14" s="803">
        <v>11</v>
      </c>
      <c r="E14" s="804"/>
      <c r="F14" s="805"/>
      <c r="G14" s="9">
        <f t="shared" si="6"/>
        <v>31</v>
      </c>
      <c r="H14" s="9">
        <f>'Monthly HC &amp; Prodn Working'!E14</f>
        <v>31</v>
      </c>
      <c r="I14" s="802">
        <v>20</v>
      </c>
      <c r="J14" s="803">
        <v>11</v>
      </c>
      <c r="K14" s="804"/>
      <c r="L14" s="805"/>
      <c r="M14" s="9">
        <f t="shared" si="7"/>
        <v>31</v>
      </c>
      <c r="N14" s="9">
        <f>'Monthly HC &amp; Prodn Working'!F14</f>
        <v>31</v>
      </c>
      <c r="O14" s="802">
        <v>20</v>
      </c>
      <c r="P14" s="803">
        <v>11</v>
      </c>
      <c r="Q14" s="804"/>
      <c r="R14" s="805"/>
      <c r="S14" s="9">
        <f t="shared" si="8"/>
        <v>31</v>
      </c>
      <c r="T14" s="9">
        <f>'Monthly HC &amp; Prodn Working'!G14</f>
        <v>31</v>
      </c>
      <c r="U14" s="802">
        <v>20</v>
      </c>
      <c r="V14" s="803">
        <v>11</v>
      </c>
      <c r="W14" s="804"/>
      <c r="X14" s="805"/>
      <c r="Y14" s="9">
        <f t="shared" si="9"/>
        <v>31</v>
      </c>
      <c r="Z14" s="9">
        <f>'Monthly HC &amp; Prodn Working'!H14</f>
        <v>31</v>
      </c>
      <c r="AA14" s="802">
        <v>20</v>
      </c>
      <c r="AB14" s="803">
        <v>11</v>
      </c>
      <c r="AC14" s="804"/>
      <c r="AD14" s="805"/>
      <c r="AE14" s="9">
        <f t="shared" si="10"/>
        <v>31</v>
      </c>
      <c r="AF14" s="9">
        <f>'Monthly HC &amp; Prodn Working'!I14</f>
        <v>31</v>
      </c>
      <c r="AG14" s="802">
        <v>20</v>
      </c>
      <c r="AH14" s="803">
        <v>11</v>
      </c>
      <c r="AI14" s="804"/>
      <c r="AJ14" s="805"/>
      <c r="AK14" s="9">
        <f t="shared" si="11"/>
        <v>31</v>
      </c>
      <c r="AL14" s="9">
        <f>'Monthly HC &amp; Prodn Working'!J14</f>
        <v>31</v>
      </c>
      <c r="AM14" s="802">
        <v>20</v>
      </c>
      <c r="AN14" s="803">
        <v>11</v>
      </c>
      <c r="AO14" s="804"/>
      <c r="AP14" s="805"/>
      <c r="AQ14" s="9">
        <f t="shared" si="12"/>
        <v>31</v>
      </c>
      <c r="AR14" s="9">
        <f>'Monthly HC &amp; Prodn Working'!K14</f>
        <v>31</v>
      </c>
      <c r="AS14" s="802">
        <v>20</v>
      </c>
      <c r="AT14" s="803">
        <v>11</v>
      </c>
      <c r="AU14" s="804"/>
      <c r="AV14" s="805"/>
      <c r="AW14" s="9">
        <f t="shared" si="13"/>
        <v>31</v>
      </c>
      <c r="AX14" s="9">
        <f>'Monthly HC &amp; Prodn Working'!L14</f>
        <v>31</v>
      </c>
      <c r="AY14" s="802">
        <v>20</v>
      </c>
      <c r="AZ14" s="803">
        <v>11</v>
      </c>
      <c r="BA14" s="804"/>
      <c r="BB14" s="805"/>
      <c r="BC14" s="9">
        <f t="shared" si="14"/>
        <v>31</v>
      </c>
      <c r="BD14" s="9">
        <f>'Monthly HC &amp; Prodn Working'!M14</f>
        <v>31</v>
      </c>
      <c r="BE14" s="802">
        <v>20</v>
      </c>
      <c r="BF14" s="803">
        <v>11</v>
      </c>
      <c r="BG14" s="804"/>
      <c r="BH14" s="805"/>
      <c r="BI14" s="9">
        <f t="shared" si="15"/>
        <v>31</v>
      </c>
      <c r="BJ14" s="9">
        <f>'Monthly HC &amp; Prodn Working'!N14</f>
        <v>31</v>
      </c>
      <c r="BK14" s="802">
        <v>20</v>
      </c>
      <c r="BL14" s="803">
        <v>11</v>
      </c>
      <c r="BM14" s="804"/>
      <c r="BN14" s="805"/>
      <c r="BO14" s="9">
        <f t="shared" si="16"/>
        <v>31</v>
      </c>
      <c r="BP14" s="9">
        <f>'Monthly HC &amp; Prodn Working'!O14</f>
        <v>31</v>
      </c>
      <c r="BQ14" s="802">
        <v>20</v>
      </c>
      <c r="BR14" s="803">
        <v>11</v>
      </c>
      <c r="BS14" s="804"/>
      <c r="BT14" s="805"/>
      <c r="BU14" s="9">
        <f t="shared" si="17"/>
        <v>31</v>
      </c>
      <c r="BV14" s="989"/>
      <c r="BW14" s="10">
        <f>'Monthly HC &amp; Prodn Working'!AC14</f>
        <v>0</v>
      </c>
      <c r="BX14" s="10">
        <f t="shared" si="0"/>
        <v>31</v>
      </c>
      <c r="BY14" s="802">
        <f t="shared" si="1"/>
        <v>20</v>
      </c>
      <c r="BZ14" s="803">
        <f t="shared" si="2"/>
        <v>11</v>
      </c>
      <c r="CA14" s="804" t="str">
        <f t="shared" si="3"/>
        <v/>
      </c>
      <c r="CB14" s="805" t="str">
        <f t="shared" si="4"/>
        <v/>
      </c>
      <c r="CC14" s="9">
        <f t="shared" si="5"/>
        <v>31</v>
      </c>
      <c r="CD14" s="980"/>
      <c r="CE14" s="13"/>
      <c r="CF14" s="10">
        <f>358690*12</f>
        <v>4304280</v>
      </c>
      <c r="CG14" s="798"/>
      <c r="CI14" s="767">
        <v>46447</v>
      </c>
      <c r="CJ14" s="43">
        <f>BP29</f>
        <v>1537.5</v>
      </c>
      <c r="CK14" s="43">
        <f>BQ29</f>
        <v>528</v>
      </c>
      <c r="CL14" s="43">
        <f>BR29</f>
        <v>276</v>
      </c>
      <c r="CM14" s="43">
        <f>BS29</f>
        <v>286</v>
      </c>
      <c r="CN14" s="43">
        <f>BT29</f>
        <v>466.5</v>
      </c>
      <c r="CQ14" s="767">
        <v>46447</v>
      </c>
      <c r="CR14" s="43">
        <f t="shared" si="18"/>
        <v>66</v>
      </c>
      <c r="CS14" s="43">
        <f t="shared" si="19"/>
        <v>32</v>
      </c>
      <c r="CT14" s="43">
        <f t="shared" si="20"/>
        <v>0</v>
      </c>
      <c r="CU14" s="43">
        <f t="shared" si="21"/>
        <v>20</v>
      </c>
      <c r="CV14" s="43">
        <f t="shared" si="22"/>
        <v>14</v>
      </c>
      <c r="CY14" s="19">
        <v>57500</v>
      </c>
      <c r="DA14" s="43">
        <f>'Monthly HC &amp; Prodn Working'!Q14</f>
        <v>0</v>
      </c>
      <c r="DB14" s="43">
        <f>'Monthly HC &amp; Prodn Working'!R14</f>
        <v>0</v>
      </c>
      <c r="DC14" s="43">
        <f>'Monthly HC &amp; Prodn Working'!S14</f>
        <v>0</v>
      </c>
      <c r="DD14" s="43">
        <f>'Monthly HC &amp; Prodn Working'!T14</f>
        <v>0</v>
      </c>
      <c r="DE14" s="43">
        <f>'Monthly HC &amp; Prodn Working'!U14</f>
        <v>0</v>
      </c>
      <c r="DF14" s="43">
        <f>'Monthly HC &amp; Prodn Working'!V14</f>
        <v>0</v>
      </c>
      <c r="DG14" s="43">
        <f>'Monthly HC &amp; Prodn Working'!W14</f>
        <v>0</v>
      </c>
      <c r="DH14" s="43">
        <f>'Monthly HC &amp; Prodn Working'!X14</f>
        <v>0</v>
      </c>
      <c r="DI14" s="43">
        <f>'Monthly HC &amp; Prodn Working'!Y14</f>
        <v>0</v>
      </c>
      <c r="DJ14" s="43">
        <f>'Monthly HC &amp; Prodn Working'!Z14</f>
        <v>0</v>
      </c>
      <c r="DK14" s="43">
        <f>'Monthly HC &amp; Prodn Working'!AA14</f>
        <v>0</v>
      </c>
      <c r="DL14" s="43">
        <f>'Monthly HC &amp; Prodn Working'!AB14</f>
        <v>0</v>
      </c>
    </row>
    <row r="15" spans="1:149">
      <c r="A15" s="132" t="str">
        <f>'Monthly HC &amp; Prodn Working'!B15</f>
        <v>8. Tufting</v>
      </c>
      <c r="B15" s="9">
        <f>'Monthly HC &amp; Prodn Working'!D15</f>
        <v>167.5</v>
      </c>
      <c r="C15" s="802">
        <v>60</v>
      </c>
      <c r="D15" s="803">
        <v>66</v>
      </c>
      <c r="E15" s="804">
        <f>B15-(C15+D15+F15)</f>
        <v>29.5</v>
      </c>
      <c r="F15" s="805">
        <v>12</v>
      </c>
      <c r="G15" s="9">
        <f t="shared" si="6"/>
        <v>167.5</v>
      </c>
      <c r="H15" s="9">
        <f>'Monthly HC &amp; Prodn Working'!E15</f>
        <v>165</v>
      </c>
      <c r="I15" s="802">
        <v>60</v>
      </c>
      <c r="J15" s="803">
        <v>66</v>
      </c>
      <c r="K15" s="804">
        <f>H15-(I15+J15+L15)</f>
        <v>27</v>
      </c>
      <c r="L15" s="805">
        <v>12</v>
      </c>
      <c r="M15" s="9">
        <f t="shared" si="7"/>
        <v>165</v>
      </c>
      <c r="N15" s="9">
        <f>'Monthly HC &amp; Prodn Working'!F15</f>
        <v>157.5</v>
      </c>
      <c r="O15" s="802">
        <v>60</v>
      </c>
      <c r="P15" s="803">
        <v>66</v>
      </c>
      <c r="Q15" s="804">
        <f>N15-(O15+P15+R15)</f>
        <v>19.5</v>
      </c>
      <c r="R15" s="805">
        <v>12</v>
      </c>
      <c r="S15" s="9">
        <f t="shared" si="8"/>
        <v>157.5</v>
      </c>
      <c r="T15" s="9">
        <f>'Monthly HC &amp; Prodn Working'!G15</f>
        <v>162.5</v>
      </c>
      <c r="U15" s="802">
        <v>60</v>
      </c>
      <c r="V15" s="803">
        <v>66</v>
      </c>
      <c r="W15" s="804">
        <f>T15-(U15+V15+X15)</f>
        <v>24.5</v>
      </c>
      <c r="X15" s="805">
        <v>12</v>
      </c>
      <c r="Y15" s="9">
        <f t="shared" si="9"/>
        <v>162.5</v>
      </c>
      <c r="Z15" s="9">
        <f>'Monthly HC &amp; Prodn Working'!H15</f>
        <v>162.5</v>
      </c>
      <c r="AA15" s="802">
        <v>60</v>
      </c>
      <c r="AB15" s="803">
        <v>66</v>
      </c>
      <c r="AC15" s="804">
        <f>Z15-(AA15+AB15+AD15)</f>
        <v>24.5</v>
      </c>
      <c r="AD15" s="805">
        <v>12</v>
      </c>
      <c r="AE15" s="9">
        <f t="shared" si="10"/>
        <v>162.5</v>
      </c>
      <c r="AF15" s="9">
        <f>'Monthly HC &amp; Prodn Working'!I15</f>
        <v>167.5</v>
      </c>
      <c r="AG15" s="802">
        <v>60</v>
      </c>
      <c r="AH15" s="803">
        <v>66</v>
      </c>
      <c r="AI15" s="804">
        <f>AF15-(AG15+AH15+AJ15)</f>
        <v>29.5</v>
      </c>
      <c r="AJ15" s="805">
        <v>12</v>
      </c>
      <c r="AK15" s="9">
        <f t="shared" si="11"/>
        <v>167.5</v>
      </c>
      <c r="AL15" s="9">
        <f>'Monthly HC &amp; Prodn Working'!J15</f>
        <v>162.5</v>
      </c>
      <c r="AM15" s="802">
        <v>60</v>
      </c>
      <c r="AN15" s="803">
        <v>66</v>
      </c>
      <c r="AO15" s="804">
        <f>AL15-(AM15+AN15+AP15)</f>
        <v>24.5</v>
      </c>
      <c r="AP15" s="805">
        <v>12</v>
      </c>
      <c r="AQ15" s="9">
        <f t="shared" si="12"/>
        <v>162.5</v>
      </c>
      <c r="AR15" s="9">
        <f>'Monthly HC &amp; Prodn Working'!K15</f>
        <v>160</v>
      </c>
      <c r="AS15" s="802">
        <v>60</v>
      </c>
      <c r="AT15" s="803">
        <v>66</v>
      </c>
      <c r="AU15" s="804">
        <f>AR15-(AS15+AT15+AV15)</f>
        <v>22</v>
      </c>
      <c r="AV15" s="805">
        <v>12</v>
      </c>
      <c r="AW15" s="9">
        <f t="shared" si="13"/>
        <v>160</v>
      </c>
      <c r="AX15" s="9">
        <f>'Monthly HC &amp; Prodn Working'!L15</f>
        <v>170</v>
      </c>
      <c r="AY15" s="802">
        <v>60</v>
      </c>
      <c r="AZ15" s="803">
        <v>66</v>
      </c>
      <c r="BA15" s="804">
        <f>AX15-(AY15+AZ15+BB15)</f>
        <v>32</v>
      </c>
      <c r="BB15" s="805">
        <v>12</v>
      </c>
      <c r="BC15" s="9">
        <f t="shared" si="14"/>
        <v>170</v>
      </c>
      <c r="BD15" s="9">
        <f>'Monthly HC &amp; Prodn Working'!M15</f>
        <v>170</v>
      </c>
      <c r="BE15" s="802">
        <v>60</v>
      </c>
      <c r="BF15" s="803">
        <v>66</v>
      </c>
      <c r="BG15" s="804">
        <f>BD15-(BE15+BF15+BH15)</f>
        <v>32</v>
      </c>
      <c r="BH15" s="805">
        <v>12</v>
      </c>
      <c r="BI15" s="9">
        <f t="shared" si="15"/>
        <v>170</v>
      </c>
      <c r="BJ15" s="9">
        <f>'Monthly HC &amp; Prodn Working'!N15</f>
        <v>170</v>
      </c>
      <c r="BK15" s="802">
        <v>60</v>
      </c>
      <c r="BL15" s="803">
        <v>66</v>
      </c>
      <c r="BM15" s="804">
        <f>BJ15-(BK15+BL15+BN15)</f>
        <v>32</v>
      </c>
      <c r="BN15" s="805">
        <v>12</v>
      </c>
      <c r="BO15" s="9">
        <f t="shared" si="16"/>
        <v>170</v>
      </c>
      <c r="BP15" s="9">
        <f>'Monthly HC &amp; Prodn Working'!O15</f>
        <v>165</v>
      </c>
      <c r="BQ15" s="802">
        <v>60</v>
      </c>
      <c r="BR15" s="803">
        <v>66</v>
      </c>
      <c r="BS15" s="804">
        <f>BP15-(BQ15+BR15+BT15)</f>
        <v>27</v>
      </c>
      <c r="BT15" s="805">
        <v>12</v>
      </c>
      <c r="BU15" s="9">
        <f t="shared" si="17"/>
        <v>165</v>
      </c>
      <c r="BV15" s="989"/>
      <c r="BW15" s="10">
        <f>'Monthly HC &amp; Prodn Working'!AC15</f>
        <v>46120.959187046297</v>
      </c>
      <c r="BX15" s="10">
        <f t="shared" si="0"/>
        <v>165</v>
      </c>
      <c r="BY15" s="802">
        <f t="shared" si="1"/>
        <v>60</v>
      </c>
      <c r="BZ15" s="803">
        <f t="shared" si="2"/>
        <v>66</v>
      </c>
      <c r="CA15" s="804">
        <f t="shared" si="3"/>
        <v>27</v>
      </c>
      <c r="CB15" s="805">
        <f t="shared" si="4"/>
        <v>12</v>
      </c>
      <c r="CC15" s="9">
        <f t="shared" si="5"/>
        <v>165</v>
      </c>
      <c r="CD15" s="980" t="s">
        <v>1355</v>
      </c>
      <c r="CE15" s="43">
        <f>CB15*24596*12</f>
        <v>3541824</v>
      </c>
      <c r="CF15" s="13"/>
      <c r="CG15" s="798"/>
      <c r="CI15" s="13"/>
      <c r="CJ15" s="43">
        <f>AVERAGE(CJ3:CJ14)</f>
        <v>1619.125</v>
      </c>
      <c r="CK15" s="43">
        <f>AVERAGE(CK3:CK14)</f>
        <v>525.66666666666663</v>
      </c>
      <c r="CL15" s="43">
        <f>AVERAGE(CL3:CL14)</f>
        <v>274.5</v>
      </c>
      <c r="CM15" s="43">
        <f>AVERAGE(CM3:CM14)</f>
        <v>280</v>
      </c>
      <c r="CN15" s="43">
        <f>AVERAGE(CN3:CN14)</f>
        <v>557.04166666666663</v>
      </c>
      <c r="CQ15" s="13"/>
      <c r="CR15" s="43">
        <f>AVERAGE(CR3:CR14)</f>
        <v>66</v>
      </c>
      <c r="CS15" s="43">
        <f>AVERAGE(CS3:CS14)</f>
        <v>32</v>
      </c>
      <c r="CT15" s="43">
        <f>AVERAGE(CT3:CT14)</f>
        <v>0</v>
      </c>
      <c r="CU15" s="43">
        <f>AVERAGE(CU3:CU14)</f>
        <v>20</v>
      </c>
      <c r="CV15" s="43">
        <f>AVERAGE(CV3:CV14)</f>
        <v>14</v>
      </c>
      <c r="DA15" s="43">
        <f>'Monthly HC &amp; Prodn Working'!Q15</f>
        <v>52035.401610658977</v>
      </c>
      <c r="DB15" s="43">
        <f>'Monthly HC &amp; Prodn Working'!R15</f>
        <v>45259.705235970294</v>
      </c>
      <c r="DC15" s="43">
        <f>'Monthly HC &amp; Prodn Working'!S15</f>
        <v>41963.46711804418</v>
      </c>
      <c r="DD15" s="43">
        <f>'Monthly HC &amp; Prodn Working'!T15</f>
        <v>45149.462615836208</v>
      </c>
      <c r="DE15" s="43">
        <f>'Monthly HC &amp; Prodn Working'!U15</f>
        <v>55734.102763651492</v>
      </c>
      <c r="DF15" s="43">
        <f>'Monthly HC &amp; Prodn Working'!V15</f>
        <v>48188.250467753955</v>
      </c>
      <c r="DG15" s="43">
        <f>'Monthly HC &amp; Prodn Working'!W15</f>
        <v>45314.78605616017</v>
      </c>
      <c r="DH15" s="43">
        <f>'Monthly HC &amp; Prodn Working'!X15</f>
        <v>39960.989807301987</v>
      </c>
      <c r="DI15" s="43">
        <f>'Monthly HC &amp; Prodn Working'!Y15</f>
        <v>44315.176480305301</v>
      </c>
      <c r="DJ15" s="43">
        <f>'Monthly HC &amp; Prodn Working'!Z15</f>
        <v>44457.686927837909</v>
      </c>
      <c r="DK15" s="43">
        <f>'Monthly HC &amp; Prodn Working'!AA15</f>
        <v>48053.759492729456</v>
      </c>
      <c r="DL15" s="43">
        <f>'Monthly HC &amp; Prodn Working'!AB15</f>
        <v>43018.721668305654</v>
      </c>
    </row>
    <row r="16" spans="1:149">
      <c r="A16" s="132" t="str">
        <f>'Monthly HC &amp; Prodn Working'!B16</f>
        <v>9.1 Printing - Chromojet</v>
      </c>
      <c r="B16" s="1019">
        <f>'Monthly HC &amp; Prodn Working'!D16</f>
        <v>42</v>
      </c>
      <c r="C16" s="802">
        <v>27</v>
      </c>
      <c r="D16" s="803">
        <v>12</v>
      </c>
      <c r="E16" s="804">
        <v>3</v>
      </c>
      <c r="F16" s="805"/>
      <c r="G16" s="9">
        <f t="shared" si="6"/>
        <v>42</v>
      </c>
      <c r="H16" s="9">
        <f>'Monthly HC &amp; Prodn Working'!E16</f>
        <v>42</v>
      </c>
      <c r="I16" s="802">
        <v>26</v>
      </c>
      <c r="J16" s="803">
        <v>13</v>
      </c>
      <c r="K16" s="804">
        <v>3</v>
      </c>
      <c r="L16" s="805"/>
      <c r="M16" s="9">
        <f t="shared" si="7"/>
        <v>42</v>
      </c>
      <c r="N16" s="9">
        <f>'Monthly HC &amp; Prodn Working'!F16</f>
        <v>42</v>
      </c>
      <c r="O16" s="802">
        <v>27</v>
      </c>
      <c r="P16" s="803">
        <v>12</v>
      </c>
      <c r="Q16" s="804">
        <v>3</v>
      </c>
      <c r="R16" s="805"/>
      <c r="S16" s="9">
        <f t="shared" si="8"/>
        <v>42</v>
      </c>
      <c r="T16" s="9">
        <f>'Monthly HC &amp; Prodn Working'!G16</f>
        <v>48</v>
      </c>
      <c r="U16" s="802">
        <v>30</v>
      </c>
      <c r="V16" s="803">
        <v>15</v>
      </c>
      <c r="W16" s="804">
        <v>3</v>
      </c>
      <c r="X16" s="805"/>
      <c r="Y16" s="9">
        <f t="shared" si="9"/>
        <v>48</v>
      </c>
      <c r="Z16" s="9">
        <f>'Monthly HC &amp; Prodn Working'!H16</f>
        <v>54</v>
      </c>
      <c r="AA16" s="802">
        <v>33</v>
      </c>
      <c r="AB16" s="803">
        <v>18</v>
      </c>
      <c r="AC16" s="804">
        <v>3</v>
      </c>
      <c r="AD16" s="805"/>
      <c r="AE16" s="9">
        <f t="shared" si="10"/>
        <v>54</v>
      </c>
      <c r="AF16" s="9">
        <f>'Monthly HC &amp; Prodn Working'!I16</f>
        <v>48</v>
      </c>
      <c r="AG16" s="802">
        <v>30</v>
      </c>
      <c r="AH16" s="803">
        <v>15</v>
      </c>
      <c r="AI16" s="804">
        <v>3</v>
      </c>
      <c r="AJ16" s="805"/>
      <c r="AK16" s="9">
        <f t="shared" si="11"/>
        <v>48</v>
      </c>
      <c r="AL16" s="9">
        <f>'Monthly HC &amp; Prodn Working'!J16</f>
        <v>48</v>
      </c>
      <c r="AM16" s="802">
        <v>30</v>
      </c>
      <c r="AN16" s="803">
        <v>15</v>
      </c>
      <c r="AO16" s="804">
        <v>3</v>
      </c>
      <c r="AP16" s="805"/>
      <c r="AQ16" s="9">
        <f t="shared" si="12"/>
        <v>48</v>
      </c>
      <c r="AR16" s="9">
        <f>'Monthly HC &amp; Prodn Working'!K16</f>
        <v>48</v>
      </c>
      <c r="AS16" s="802">
        <v>30</v>
      </c>
      <c r="AT16" s="803">
        <v>15</v>
      </c>
      <c r="AU16" s="804">
        <v>3</v>
      </c>
      <c r="AV16" s="805"/>
      <c r="AW16" s="9">
        <f t="shared" si="13"/>
        <v>48</v>
      </c>
      <c r="AX16" s="9">
        <f>'Monthly HC &amp; Prodn Working'!L16</f>
        <v>54</v>
      </c>
      <c r="AY16" s="802">
        <v>33</v>
      </c>
      <c r="AZ16" s="803">
        <v>18</v>
      </c>
      <c r="BA16" s="804">
        <v>3</v>
      </c>
      <c r="BB16" s="805"/>
      <c r="BC16" s="9">
        <f t="shared" si="14"/>
        <v>54</v>
      </c>
      <c r="BD16" s="9">
        <f>'Monthly HC &amp; Prodn Working'!M16</f>
        <v>54</v>
      </c>
      <c r="BE16" s="802">
        <v>33</v>
      </c>
      <c r="BF16" s="803">
        <v>18</v>
      </c>
      <c r="BG16" s="804">
        <v>3</v>
      </c>
      <c r="BH16" s="805"/>
      <c r="BI16" s="9">
        <f t="shared" si="15"/>
        <v>54</v>
      </c>
      <c r="BJ16" s="9">
        <f>'Monthly HC &amp; Prodn Working'!N16</f>
        <v>54</v>
      </c>
      <c r="BK16" s="802">
        <v>33</v>
      </c>
      <c r="BL16" s="803">
        <v>18</v>
      </c>
      <c r="BM16" s="804">
        <v>3</v>
      </c>
      <c r="BN16" s="805"/>
      <c r="BO16" s="9">
        <f t="shared" si="16"/>
        <v>54</v>
      </c>
      <c r="BP16" s="9">
        <f>'Monthly HC &amp; Prodn Working'!O16</f>
        <v>48</v>
      </c>
      <c r="BQ16" s="802">
        <v>30</v>
      </c>
      <c r="BR16" s="803">
        <v>15</v>
      </c>
      <c r="BS16" s="804">
        <v>3</v>
      </c>
      <c r="BT16" s="805"/>
      <c r="BU16" s="9">
        <f t="shared" si="17"/>
        <v>48</v>
      </c>
      <c r="BV16" s="989"/>
      <c r="BW16" s="10">
        <f>'Monthly HC &amp; Prodn Working'!AC16</f>
        <v>4691.4353584334676</v>
      </c>
      <c r="BX16" s="10">
        <f t="shared" si="0"/>
        <v>48.5</v>
      </c>
      <c r="BY16" s="974">
        <f t="shared" si="1"/>
        <v>30.166666666666668</v>
      </c>
      <c r="BZ16" s="975">
        <f t="shared" si="2"/>
        <v>15.333333333333334</v>
      </c>
      <c r="CA16" s="976">
        <f t="shared" si="3"/>
        <v>3</v>
      </c>
      <c r="CB16" s="805" t="str">
        <f t="shared" si="4"/>
        <v/>
      </c>
      <c r="CC16" s="9">
        <f t="shared" si="5"/>
        <v>48.5</v>
      </c>
      <c r="CD16" s="980" t="s">
        <v>1041</v>
      </c>
      <c r="CE16" s="13"/>
      <c r="CF16" s="13"/>
      <c r="CG16" s="798"/>
      <c r="CI16" s="13"/>
      <c r="CJ16" s="13"/>
      <c r="CK16" s="809">
        <f>CK15/$CJ$15</f>
        <v>0.3246609537044185</v>
      </c>
      <c r="CL16" s="809">
        <f>CL15/$CJ$15</f>
        <v>0.16953601482282096</v>
      </c>
      <c r="CM16" s="809">
        <f>CM15/$CJ$15</f>
        <v>0.17293291129468077</v>
      </c>
      <c r="CN16" s="809">
        <f>CN15/$CJ$15</f>
        <v>0.34403870403252784</v>
      </c>
      <c r="CQ16" s="13"/>
      <c r="CR16" s="13"/>
      <c r="CS16" s="809">
        <f>CS15/$CR$15</f>
        <v>0.48484848484848486</v>
      </c>
      <c r="CT16" s="809">
        <f t="shared" ref="CT16:CV16" si="23">CT15/$CR$15</f>
        <v>0</v>
      </c>
      <c r="CU16" s="809">
        <f t="shared" si="23"/>
        <v>0.30303030303030304</v>
      </c>
      <c r="CV16" s="809">
        <f t="shared" si="23"/>
        <v>0.21212121212121213</v>
      </c>
      <c r="DA16" s="43">
        <f>'Monthly HC &amp; Prodn Working'!Q16</f>
        <v>3741.7637127995558</v>
      </c>
      <c r="DB16" s="43">
        <f>'Monthly HC &amp; Prodn Working'!R16</f>
        <v>5344.9177693834981</v>
      </c>
      <c r="DC16" s="43">
        <f>'Monthly HC &amp; Prodn Working'!S16</f>
        <v>3803.4603111559059</v>
      </c>
      <c r="DD16" s="43">
        <f>'Monthly HC &amp; Prodn Working'!T16</f>
        <v>4207.6172253198538</v>
      </c>
      <c r="DE16" s="43">
        <f>'Monthly HC &amp; Prodn Working'!U16</f>
        <v>3706.956053581232</v>
      </c>
      <c r="DF16" s="43">
        <f>'Monthly HC &amp; Prodn Working'!V16</f>
        <v>4102.8094415862224</v>
      </c>
      <c r="DG16" s="43">
        <f>'Monthly HC &amp; Prodn Working'!W16</f>
        <v>3534.5520076242337</v>
      </c>
      <c r="DH16" s="43">
        <f>'Monthly HC &amp; Prodn Working'!X16</f>
        <v>4363.4885856845258</v>
      </c>
      <c r="DI16" s="43">
        <f>'Monthly HC &amp; Prodn Working'!Y16</f>
        <v>5239.3986324082889</v>
      </c>
      <c r="DJ16" s="43">
        <f>'Monthly HC &amp; Prodn Working'!Z16</f>
        <v>5357.3058326215059</v>
      </c>
      <c r="DK16" s="43">
        <f>'Monthly HC &amp; Prodn Working'!AA16</f>
        <v>6099.9454000023816</v>
      </c>
      <c r="DL16" s="43">
        <f>'Monthly HC &amp; Prodn Working'!AB16</f>
        <v>6795.0093290344075</v>
      </c>
    </row>
    <row r="17" spans="1:116">
      <c r="A17" s="132" t="str">
        <f>'Monthly HC &amp; Prodn Working'!B17</f>
        <v>9.2 Printing - Digital</v>
      </c>
      <c r="B17" s="9">
        <f>'Monthly HC &amp; Prodn Working'!D17</f>
        <v>0</v>
      </c>
      <c r="C17" s="802"/>
      <c r="D17" s="803"/>
      <c r="E17" s="804"/>
      <c r="F17" s="805"/>
      <c r="G17" s="9">
        <f t="shared" si="6"/>
        <v>0</v>
      </c>
      <c r="H17" s="9">
        <f>'Monthly HC &amp; Prodn Working'!E17</f>
        <v>0</v>
      </c>
      <c r="I17" s="802"/>
      <c r="J17" s="803"/>
      <c r="K17" s="804"/>
      <c r="L17" s="805"/>
      <c r="M17" s="9">
        <f t="shared" si="7"/>
        <v>0</v>
      </c>
      <c r="N17" s="9">
        <f>'Monthly HC &amp; Prodn Working'!F17</f>
        <v>0</v>
      </c>
      <c r="O17" s="802"/>
      <c r="P17" s="803"/>
      <c r="Q17" s="804"/>
      <c r="R17" s="805"/>
      <c r="S17" s="9">
        <f t="shared" si="8"/>
        <v>0</v>
      </c>
      <c r="T17" s="9">
        <f>'Monthly HC &amp; Prodn Working'!G17</f>
        <v>0</v>
      </c>
      <c r="U17" s="802"/>
      <c r="V17" s="803"/>
      <c r="W17" s="804"/>
      <c r="X17" s="805"/>
      <c r="Y17" s="9">
        <f t="shared" si="9"/>
        <v>0</v>
      </c>
      <c r="Z17" s="9">
        <f>'Monthly HC &amp; Prodn Working'!H17</f>
        <v>0</v>
      </c>
      <c r="AA17" s="802"/>
      <c r="AB17" s="803"/>
      <c r="AC17" s="804"/>
      <c r="AD17" s="805"/>
      <c r="AE17" s="9">
        <f t="shared" si="10"/>
        <v>0</v>
      </c>
      <c r="AF17" s="9">
        <f>'Monthly HC &amp; Prodn Working'!I17</f>
        <v>0</v>
      </c>
      <c r="AG17" s="802"/>
      <c r="AH17" s="803"/>
      <c r="AI17" s="804"/>
      <c r="AJ17" s="805"/>
      <c r="AK17" s="9">
        <f t="shared" si="11"/>
        <v>0</v>
      </c>
      <c r="AL17" s="9">
        <f>'Monthly HC &amp; Prodn Working'!J17</f>
        <v>0</v>
      </c>
      <c r="AM17" s="802"/>
      <c r="AN17" s="803"/>
      <c r="AO17" s="804"/>
      <c r="AP17" s="805"/>
      <c r="AQ17" s="9">
        <f t="shared" si="12"/>
        <v>0</v>
      </c>
      <c r="AR17" s="9">
        <f>'Monthly HC &amp; Prodn Working'!K17</f>
        <v>0</v>
      </c>
      <c r="AS17" s="802"/>
      <c r="AT17" s="803"/>
      <c r="AU17" s="804"/>
      <c r="AV17" s="805"/>
      <c r="AW17" s="9">
        <f t="shared" si="13"/>
        <v>0</v>
      </c>
      <c r="AX17" s="9">
        <f>'Monthly HC &amp; Prodn Working'!L17</f>
        <v>0</v>
      </c>
      <c r="AY17" s="802"/>
      <c r="AZ17" s="803"/>
      <c r="BA17" s="804"/>
      <c r="BB17" s="805"/>
      <c r="BC17" s="9">
        <f t="shared" si="14"/>
        <v>0</v>
      </c>
      <c r="BD17" s="9">
        <f>'Monthly HC &amp; Prodn Working'!M17</f>
        <v>0</v>
      </c>
      <c r="BE17" s="802"/>
      <c r="BF17" s="803"/>
      <c r="BG17" s="804"/>
      <c r="BH17" s="805"/>
      <c r="BI17" s="9">
        <f t="shared" si="15"/>
        <v>0</v>
      </c>
      <c r="BJ17" s="9">
        <f>'Monthly HC &amp; Prodn Working'!N17</f>
        <v>0</v>
      </c>
      <c r="BK17" s="802"/>
      <c r="BL17" s="803"/>
      <c r="BM17" s="804"/>
      <c r="BN17" s="805"/>
      <c r="BO17" s="9">
        <f t="shared" si="16"/>
        <v>0</v>
      </c>
      <c r="BP17" s="9">
        <f>'Monthly HC &amp; Prodn Working'!O17</f>
        <v>0</v>
      </c>
      <c r="BQ17" s="802"/>
      <c r="BR17" s="803"/>
      <c r="BS17" s="804"/>
      <c r="BT17" s="805"/>
      <c r="BU17" s="9">
        <f t="shared" si="17"/>
        <v>0</v>
      </c>
      <c r="BV17" s="989"/>
      <c r="BW17" s="10">
        <f>'Monthly HC &amp; Prodn Working'!AC17</f>
        <v>1415.1439455752688</v>
      </c>
      <c r="BX17" s="10">
        <f t="shared" si="0"/>
        <v>0</v>
      </c>
      <c r="BY17" s="802" t="str">
        <f t="shared" si="1"/>
        <v/>
      </c>
      <c r="BZ17" s="803" t="str">
        <f t="shared" si="2"/>
        <v/>
      </c>
      <c r="CA17" s="804" t="str">
        <f t="shared" si="3"/>
        <v/>
      </c>
      <c r="CB17" s="805" t="str">
        <f t="shared" si="4"/>
        <v/>
      </c>
      <c r="CC17" s="9">
        <f t="shared" si="5"/>
        <v>0</v>
      </c>
      <c r="CD17" s="980" t="s">
        <v>1333</v>
      </c>
      <c r="CE17" s="13"/>
      <c r="CF17" s="10">
        <f>((((BW20*88%)/1.8)*3.1)+((((BW20*12%)/0.3))*0.83))*30*12</f>
        <v>6585228.1835506298</v>
      </c>
      <c r="CG17" s="41">
        <f>CF17/12</f>
        <v>548769.01529588585</v>
      </c>
      <c r="DA17" s="43">
        <f>'Monthly HC &amp; Prodn Working'!Q17</f>
        <v>825.87981866666667</v>
      </c>
      <c r="DB17" s="43">
        <f>'Monthly HC &amp; Prodn Working'!R17</f>
        <v>558.46608306451617</v>
      </c>
      <c r="DC17" s="43">
        <f>'Monthly HC &amp; Prodn Working'!S17</f>
        <v>598.60279966666667</v>
      </c>
      <c r="DD17" s="43">
        <f>'Monthly HC &amp; Prodn Working'!T17</f>
        <v>1008.0738916129031</v>
      </c>
      <c r="DE17" s="43">
        <f>'Monthly HC &amp; Prodn Working'!U17</f>
        <v>1887.1514803225807</v>
      </c>
      <c r="DF17" s="43">
        <f>'Monthly HC &amp; Prodn Working'!V17</f>
        <v>987.08333333333337</v>
      </c>
      <c r="DG17" s="43">
        <f>'Monthly HC &amp; Prodn Working'!W17</f>
        <v>1445.3225806451612</v>
      </c>
      <c r="DH17" s="43">
        <f>'Monthly HC &amp; Prodn Working'!X17</f>
        <v>1383.6333333333334</v>
      </c>
      <c r="DI17" s="43">
        <f>'Monthly HC &amp; Prodn Working'!Y17</f>
        <v>2083.5404838709678</v>
      </c>
      <c r="DJ17" s="43">
        <f>'Monthly HC &amp; Prodn Working'!Z17</f>
        <v>3201.6066069032258</v>
      </c>
      <c r="DK17" s="43">
        <f>'Monthly HC &amp; Prodn Working'!AA17</f>
        <v>1841.125</v>
      </c>
      <c r="DL17" s="43">
        <f>'Monthly HC &amp; Prodn Working'!AB17</f>
        <v>1161.241935483871</v>
      </c>
    </row>
    <row r="18" spans="1:116">
      <c r="A18" s="132" t="str">
        <f>'Monthly HC &amp; Prodn Working'!B18</f>
        <v>10.1 Carpet Tiles</v>
      </c>
      <c r="B18" s="9">
        <f>'Monthly HC &amp; Prodn Working'!D18</f>
        <v>98</v>
      </c>
      <c r="C18" s="802">
        <v>58</v>
      </c>
      <c r="D18" s="803">
        <v>28</v>
      </c>
      <c r="E18" s="804">
        <v>12</v>
      </c>
      <c r="F18" s="805"/>
      <c r="G18" s="9">
        <f t="shared" si="6"/>
        <v>98</v>
      </c>
      <c r="H18" s="9">
        <f>'Monthly HC &amp; Prodn Working'!E18</f>
        <v>98</v>
      </c>
      <c r="I18" s="802">
        <v>58</v>
      </c>
      <c r="J18" s="803">
        <v>28</v>
      </c>
      <c r="K18" s="804">
        <v>12</v>
      </c>
      <c r="L18" s="805"/>
      <c r="M18" s="9">
        <f t="shared" si="7"/>
        <v>98</v>
      </c>
      <c r="N18" s="9">
        <f>'Monthly HC &amp; Prodn Working'!F18</f>
        <v>98</v>
      </c>
      <c r="O18" s="802">
        <v>58</v>
      </c>
      <c r="P18" s="803">
        <v>28</v>
      </c>
      <c r="Q18" s="804">
        <v>12</v>
      </c>
      <c r="R18" s="805"/>
      <c r="S18" s="9">
        <f t="shared" si="8"/>
        <v>98</v>
      </c>
      <c r="T18" s="9">
        <f>'Monthly HC &amp; Prodn Working'!G18</f>
        <v>98</v>
      </c>
      <c r="U18" s="802">
        <v>58</v>
      </c>
      <c r="V18" s="803">
        <v>28</v>
      </c>
      <c r="W18" s="804">
        <v>12</v>
      </c>
      <c r="X18" s="805"/>
      <c r="Y18" s="9">
        <f t="shared" si="9"/>
        <v>98</v>
      </c>
      <c r="Z18" s="9">
        <f>'Monthly HC &amp; Prodn Working'!H18</f>
        <v>98</v>
      </c>
      <c r="AA18" s="802">
        <v>58</v>
      </c>
      <c r="AB18" s="803">
        <v>28</v>
      </c>
      <c r="AC18" s="804">
        <v>12</v>
      </c>
      <c r="AD18" s="805"/>
      <c r="AE18" s="9">
        <f t="shared" si="10"/>
        <v>98</v>
      </c>
      <c r="AF18" s="9">
        <f>'Monthly HC &amp; Prodn Working'!I18</f>
        <v>119</v>
      </c>
      <c r="AG18" s="802">
        <v>58</v>
      </c>
      <c r="AH18" s="803">
        <v>37</v>
      </c>
      <c r="AI18" s="804">
        <v>24</v>
      </c>
      <c r="AJ18" s="805"/>
      <c r="AK18" s="9">
        <f t="shared" si="11"/>
        <v>119</v>
      </c>
      <c r="AL18" s="9">
        <f>'Monthly HC &amp; Prodn Working'!J18</f>
        <v>119</v>
      </c>
      <c r="AM18" s="802">
        <v>63</v>
      </c>
      <c r="AN18" s="803">
        <v>37</v>
      </c>
      <c r="AO18" s="804">
        <v>19</v>
      </c>
      <c r="AP18" s="805"/>
      <c r="AQ18" s="9">
        <f t="shared" si="12"/>
        <v>119</v>
      </c>
      <c r="AR18" s="9">
        <f>'Monthly HC &amp; Prodn Working'!K18</f>
        <v>98</v>
      </c>
      <c r="AS18" s="802">
        <v>58</v>
      </c>
      <c r="AT18" s="803">
        <v>28</v>
      </c>
      <c r="AU18" s="804">
        <v>12</v>
      </c>
      <c r="AV18" s="805"/>
      <c r="AW18" s="9">
        <f t="shared" si="13"/>
        <v>98</v>
      </c>
      <c r="AX18" s="9">
        <f>'Monthly HC &amp; Prodn Working'!L18</f>
        <v>119</v>
      </c>
      <c r="AY18" s="802">
        <v>63</v>
      </c>
      <c r="AZ18" s="803">
        <v>37</v>
      </c>
      <c r="BA18" s="804">
        <v>19</v>
      </c>
      <c r="BB18" s="805"/>
      <c r="BC18" s="9">
        <f t="shared" si="14"/>
        <v>119</v>
      </c>
      <c r="BD18" s="9">
        <f>'Monthly HC &amp; Prodn Working'!M18</f>
        <v>119</v>
      </c>
      <c r="BE18" s="802">
        <v>58</v>
      </c>
      <c r="BF18" s="803">
        <v>37</v>
      </c>
      <c r="BG18" s="804">
        <v>14</v>
      </c>
      <c r="BH18" s="805"/>
      <c r="BI18" s="9">
        <f t="shared" si="15"/>
        <v>109</v>
      </c>
      <c r="BJ18" s="9">
        <f>'Monthly HC &amp; Prodn Working'!N18</f>
        <v>119</v>
      </c>
      <c r="BK18" s="802">
        <v>58</v>
      </c>
      <c r="BL18" s="803">
        <v>37</v>
      </c>
      <c r="BM18" s="804">
        <v>24</v>
      </c>
      <c r="BN18" s="805"/>
      <c r="BO18" s="9">
        <f t="shared" si="16"/>
        <v>119</v>
      </c>
      <c r="BP18" s="9">
        <f>'Monthly HC &amp; Prodn Working'!O18</f>
        <v>119</v>
      </c>
      <c r="BQ18" s="802">
        <v>58</v>
      </c>
      <c r="BR18" s="803">
        <v>37</v>
      </c>
      <c r="BS18" s="804">
        <v>24</v>
      </c>
      <c r="BT18" s="805"/>
      <c r="BU18" s="9">
        <f t="shared" si="17"/>
        <v>119</v>
      </c>
      <c r="BV18" s="989"/>
      <c r="BW18" s="10">
        <f>'Monthly HC &amp; Prodn Working'!AC18</f>
        <v>5002.371438504415</v>
      </c>
      <c r="BX18" s="10">
        <f t="shared" si="0"/>
        <v>108.5</v>
      </c>
      <c r="BY18" s="802">
        <f t="shared" si="1"/>
        <v>58.833333333333336</v>
      </c>
      <c r="BZ18" s="803">
        <f t="shared" si="2"/>
        <v>32.5</v>
      </c>
      <c r="CA18" s="804">
        <f t="shared" si="3"/>
        <v>16.333333333333332</v>
      </c>
      <c r="CB18" s="805" t="str">
        <f t="shared" si="4"/>
        <v/>
      </c>
      <c r="CC18" s="9">
        <f t="shared" si="5"/>
        <v>107.66666666666667</v>
      </c>
      <c r="CD18" s="980" t="s">
        <v>1119</v>
      </c>
      <c r="CE18" s="13"/>
      <c r="CF18" s="10">
        <f>((BW20*40%)/1.8)*1.5*1.59*30*12*2</f>
        <v>3778149.920078964</v>
      </c>
      <c r="CG18" s="41">
        <f>CF18/12</f>
        <v>314845.82667324698</v>
      </c>
      <c r="DA18" s="43">
        <f>'Monthly HC &amp; Prodn Working'!Q18</f>
        <v>3210.8762807017538</v>
      </c>
      <c r="DB18" s="43">
        <f>'Monthly HC &amp; Prodn Working'!R18</f>
        <v>2681.0287775891352</v>
      </c>
      <c r="DC18" s="43">
        <f>'Monthly HC &amp; Prodn Working'!S18</f>
        <v>2879.8178245614022</v>
      </c>
      <c r="DD18" s="43">
        <f>'Monthly HC &amp; Prodn Working'!T18</f>
        <v>2513.5465534804766</v>
      </c>
      <c r="DE18" s="43">
        <f>'Monthly HC &amp; Prodn Working'!U18</f>
        <v>4220.4073344651979</v>
      </c>
      <c r="DF18" s="43">
        <f>'Monthly HC &amp; Prodn Working'!V18</f>
        <v>5516.9802105263179</v>
      </c>
      <c r="DG18" s="43">
        <f>'Monthly HC &amp; Prodn Working'!W18</f>
        <v>6204.7226146010198</v>
      </c>
      <c r="DH18" s="43">
        <f>'Monthly HC &amp; Prodn Working'!X18</f>
        <v>5051.5701578947383</v>
      </c>
      <c r="DI18" s="43">
        <f>'Monthly HC &amp; Prodn Working'!Y18</f>
        <v>6250.0450594227495</v>
      </c>
      <c r="DJ18" s="43">
        <f>'Monthly HC &amp; Prodn Working'!Z18</f>
        <v>7630.3789066213822</v>
      </c>
      <c r="DK18" s="43">
        <f>'Monthly HC &amp; Prodn Working'!AA18</f>
        <v>7716.4051796157091</v>
      </c>
      <c r="DL18" s="43">
        <f>'Monthly HC &amp; Prodn Working'!AB18</f>
        <v>6152.6783625731023</v>
      </c>
    </row>
    <row r="19" spans="1:116">
      <c r="A19" s="132" t="str">
        <f>'Monthly HC &amp; Prodn Working'!B19</f>
        <v>10.2 W2W</v>
      </c>
      <c r="B19" s="9">
        <f>'Monthly HC &amp; Prodn Working'!D19</f>
        <v>0</v>
      </c>
      <c r="C19" s="802"/>
      <c r="D19" s="803"/>
      <c r="E19" s="804"/>
      <c r="F19" s="805"/>
      <c r="G19" s="9">
        <f t="shared" si="6"/>
        <v>0</v>
      </c>
      <c r="H19" s="9">
        <f>'Monthly HC &amp; Prodn Working'!E19</f>
        <v>0</v>
      </c>
      <c r="I19" s="802"/>
      <c r="J19" s="803"/>
      <c r="K19" s="804"/>
      <c r="L19" s="805"/>
      <c r="M19" s="9">
        <f t="shared" si="7"/>
        <v>0</v>
      </c>
      <c r="N19" s="9">
        <f>'Monthly HC &amp; Prodn Working'!F19</f>
        <v>0</v>
      </c>
      <c r="O19" s="802"/>
      <c r="P19" s="803"/>
      <c r="Q19" s="804"/>
      <c r="R19" s="805"/>
      <c r="S19" s="9">
        <f t="shared" si="8"/>
        <v>0</v>
      </c>
      <c r="T19" s="9">
        <f>'Monthly HC &amp; Prodn Working'!G19</f>
        <v>0</v>
      </c>
      <c r="U19" s="802"/>
      <c r="V19" s="803"/>
      <c r="W19" s="804"/>
      <c r="X19" s="805"/>
      <c r="Y19" s="9">
        <f t="shared" si="9"/>
        <v>0</v>
      </c>
      <c r="Z19" s="9">
        <f>'Monthly HC &amp; Prodn Working'!H19</f>
        <v>0</v>
      </c>
      <c r="AA19" s="802"/>
      <c r="AB19" s="803"/>
      <c r="AC19" s="804"/>
      <c r="AD19" s="805"/>
      <c r="AE19" s="9">
        <f t="shared" si="10"/>
        <v>0</v>
      </c>
      <c r="AF19" s="9">
        <f>'Monthly HC &amp; Prodn Working'!I19</f>
        <v>0</v>
      </c>
      <c r="AG19" s="802"/>
      <c r="AH19" s="803"/>
      <c r="AI19" s="804"/>
      <c r="AJ19" s="805"/>
      <c r="AK19" s="9">
        <f t="shared" si="11"/>
        <v>0</v>
      </c>
      <c r="AL19" s="9">
        <f>'Monthly HC &amp; Prodn Working'!J19</f>
        <v>0</v>
      </c>
      <c r="AM19" s="802"/>
      <c r="AN19" s="803"/>
      <c r="AO19" s="804"/>
      <c r="AP19" s="805"/>
      <c r="AQ19" s="9">
        <f t="shared" si="12"/>
        <v>0</v>
      </c>
      <c r="AR19" s="9">
        <f>'Monthly HC &amp; Prodn Working'!K19</f>
        <v>0</v>
      </c>
      <c r="AS19" s="802"/>
      <c r="AT19" s="803"/>
      <c r="AU19" s="804"/>
      <c r="AV19" s="805"/>
      <c r="AW19" s="9">
        <f t="shared" si="13"/>
        <v>0</v>
      </c>
      <c r="AX19" s="9">
        <f>'Monthly HC &amp; Prodn Working'!L19</f>
        <v>0</v>
      </c>
      <c r="AY19" s="802"/>
      <c r="AZ19" s="803"/>
      <c r="BA19" s="804"/>
      <c r="BB19" s="805"/>
      <c r="BC19" s="9">
        <f t="shared" si="14"/>
        <v>0</v>
      </c>
      <c r="BD19" s="9">
        <f>'Monthly HC &amp; Prodn Working'!M19</f>
        <v>0</v>
      </c>
      <c r="BE19" s="802"/>
      <c r="BF19" s="803"/>
      <c r="BG19" s="804"/>
      <c r="BH19" s="805"/>
      <c r="BI19" s="9">
        <f t="shared" si="15"/>
        <v>0</v>
      </c>
      <c r="BJ19" s="9">
        <f>'Monthly HC &amp; Prodn Working'!N19</f>
        <v>0</v>
      </c>
      <c r="BK19" s="802"/>
      <c r="BL19" s="803"/>
      <c r="BM19" s="804"/>
      <c r="BN19" s="805"/>
      <c r="BO19" s="9">
        <f t="shared" si="16"/>
        <v>0</v>
      </c>
      <c r="BP19" s="9">
        <f>'Monthly HC &amp; Prodn Working'!O19</f>
        <v>0</v>
      </c>
      <c r="BQ19" s="802"/>
      <c r="BR19" s="803"/>
      <c r="BS19" s="804"/>
      <c r="BT19" s="805"/>
      <c r="BU19" s="9">
        <f t="shared" si="17"/>
        <v>0</v>
      </c>
      <c r="BV19" s="989"/>
      <c r="BW19" s="10">
        <f>'Monthly HC &amp; Prodn Working'!AC19</f>
        <v>18816.099340525809</v>
      </c>
      <c r="BX19" s="10">
        <f t="shared" si="0"/>
        <v>0</v>
      </c>
      <c r="BY19" s="802" t="str">
        <f t="shared" si="1"/>
        <v/>
      </c>
      <c r="BZ19" s="803" t="str">
        <f t="shared" si="2"/>
        <v/>
      </c>
      <c r="CA19" s="804" t="str">
        <f t="shared" si="3"/>
        <v/>
      </c>
      <c r="CB19" s="805" t="str">
        <f t="shared" si="4"/>
        <v/>
      </c>
      <c r="CC19" s="9">
        <f t="shared" si="5"/>
        <v>0</v>
      </c>
      <c r="CD19" s="980" t="s">
        <v>1334</v>
      </c>
      <c r="CE19" s="13"/>
      <c r="CF19" s="43">
        <f>((BW20*40%)/1.8)*1.5*1.96*30*12*2</f>
        <v>4657342.0398457665</v>
      </c>
      <c r="CG19" s="41">
        <f>CF19/12</f>
        <v>388111.83665381389</v>
      </c>
      <c r="CI19" s="963" t="s">
        <v>2</v>
      </c>
      <c r="CJ19" s="13"/>
      <c r="CK19" s="13"/>
      <c r="CL19" s="13"/>
      <c r="CM19" s="13"/>
      <c r="CN19" s="13"/>
      <c r="DA19" s="43">
        <f>'Monthly HC &amp; Prodn Working'!Q19</f>
        <v>22870.599037409709</v>
      </c>
      <c r="DB19" s="43">
        <f>'Monthly HC &amp; Prodn Working'!R19</f>
        <v>18252.806928072474</v>
      </c>
      <c r="DC19" s="43">
        <f>'Monthly HC &amp; Prodn Working'!S19</f>
        <v>16178.853533834912</v>
      </c>
      <c r="DD19" s="43">
        <f>'Monthly HC &amp; Prodn Working'!T19</f>
        <v>19106.5979253896</v>
      </c>
      <c r="DE19" s="43">
        <f>'Monthly HC &amp; Prodn Working'!U19</f>
        <v>28060.688373235498</v>
      </c>
      <c r="DF19" s="43">
        <f>'Monthly HC &amp; Prodn Working'!V19</f>
        <v>20106.698899736624</v>
      </c>
      <c r="DG19" s="43">
        <f>'Monthly HC &amp; Prodn Working'!W19</f>
        <v>16403.006454527545</v>
      </c>
      <c r="DH19" s="43">
        <f>'Monthly HC &amp; Prodn Working'!X19</f>
        <v>16940.991824720535</v>
      </c>
      <c r="DI19" s="43">
        <f>'Monthly HC &amp; Prodn Working'!Y19</f>
        <v>15951.951273805251</v>
      </c>
      <c r="DJ19" s="43">
        <f>'Monthly HC &amp; Prodn Working'!Z19</f>
        <v>15845.398144329953</v>
      </c>
      <c r="DK19" s="43">
        <f>'Monthly HC &amp; Prodn Working'!AA19</f>
        <v>18250.386959513835</v>
      </c>
      <c r="DL19" s="43">
        <f>'Monthly HC &amp; Prodn Working'!AB19</f>
        <v>17825.21273173378</v>
      </c>
    </row>
    <row r="20" spans="1:116">
      <c r="A20" s="13" t="str">
        <f>'Monthly HC &amp; Prodn Working'!B20</f>
        <v>CSP</v>
      </c>
      <c r="B20" s="9">
        <f>'Monthly HC &amp; Prodn Working'!D20</f>
        <v>312</v>
      </c>
      <c r="C20" s="802">
        <v>42</v>
      </c>
      <c r="D20" s="803">
        <v>34</v>
      </c>
      <c r="E20" s="804">
        <v>0</v>
      </c>
      <c r="F20" s="805">
        <f>B20-C20-D20</f>
        <v>236</v>
      </c>
      <c r="G20" s="9">
        <f t="shared" si="6"/>
        <v>312</v>
      </c>
      <c r="H20" s="9">
        <f>'Monthly HC &amp; Prodn Working'!E20</f>
        <v>298</v>
      </c>
      <c r="I20" s="802">
        <v>42</v>
      </c>
      <c r="J20" s="803">
        <v>34</v>
      </c>
      <c r="K20" s="804">
        <v>0</v>
      </c>
      <c r="L20" s="805">
        <f>H20-I20-J20</f>
        <v>222</v>
      </c>
      <c r="M20" s="9">
        <f t="shared" si="7"/>
        <v>298</v>
      </c>
      <c r="N20" s="9">
        <f>'Monthly HC &amp; Prodn Working'!F20</f>
        <v>288</v>
      </c>
      <c r="O20" s="802">
        <v>42</v>
      </c>
      <c r="P20" s="803">
        <v>34</v>
      </c>
      <c r="Q20" s="804">
        <v>0</v>
      </c>
      <c r="R20" s="805">
        <f>N20-O20-P20</f>
        <v>212</v>
      </c>
      <c r="S20" s="9">
        <f t="shared" si="8"/>
        <v>288</v>
      </c>
      <c r="T20" s="9">
        <f>'Monthly HC &amp; Prodn Working'!G20</f>
        <v>305</v>
      </c>
      <c r="U20" s="802">
        <v>42</v>
      </c>
      <c r="V20" s="803">
        <v>34</v>
      </c>
      <c r="W20" s="804">
        <v>0</v>
      </c>
      <c r="X20" s="805">
        <f>T20-U20-V20</f>
        <v>229</v>
      </c>
      <c r="Y20" s="9">
        <f t="shared" si="9"/>
        <v>305</v>
      </c>
      <c r="Z20" s="9">
        <f>'Monthly HC &amp; Prodn Working'!H20</f>
        <v>315</v>
      </c>
      <c r="AA20" s="802">
        <v>42</v>
      </c>
      <c r="AB20" s="803">
        <v>34</v>
      </c>
      <c r="AC20" s="804">
        <v>0</v>
      </c>
      <c r="AD20" s="805">
        <f>Z20-AA20-AB20</f>
        <v>239</v>
      </c>
      <c r="AE20" s="9">
        <f t="shared" si="10"/>
        <v>315</v>
      </c>
      <c r="AF20" s="9">
        <f>'Monthly HC &amp; Prodn Working'!I20</f>
        <v>298</v>
      </c>
      <c r="AG20" s="802">
        <v>42</v>
      </c>
      <c r="AH20" s="803">
        <v>34</v>
      </c>
      <c r="AI20" s="804">
        <v>0</v>
      </c>
      <c r="AJ20" s="805">
        <f>AF20-AG20-AH20</f>
        <v>222</v>
      </c>
      <c r="AK20" s="9">
        <f t="shared" si="11"/>
        <v>298</v>
      </c>
      <c r="AL20" s="9">
        <f>'Monthly HC &amp; Prodn Working'!J20</f>
        <v>296</v>
      </c>
      <c r="AM20" s="802">
        <v>42</v>
      </c>
      <c r="AN20" s="803">
        <v>34</v>
      </c>
      <c r="AO20" s="804">
        <v>0</v>
      </c>
      <c r="AP20" s="805">
        <f>AL20-AM20-AN20</f>
        <v>220</v>
      </c>
      <c r="AQ20" s="9">
        <f t="shared" si="12"/>
        <v>296</v>
      </c>
      <c r="AR20" s="9">
        <f>'Monthly HC &amp; Prodn Working'!K20</f>
        <v>264.5</v>
      </c>
      <c r="AS20" s="802">
        <v>42</v>
      </c>
      <c r="AT20" s="803">
        <v>34</v>
      </c>
      <c r="AU20" s="804">
        <v>0</v>
      </c>
      <c r="AV20" s="805">
        <f>AR20-AS20-AT20</f>
        <v>188.5</v>
      </c>
      <c r="AW20" s="9">
        <f t="shared" si="13"/>
        <v>264.5</v>
      </c>
      <c r="AX20" s="9">
        <f>'Monthly HC &amp; Prodn Working'!L20</f>
        <v>205.5</v>
      </c>
      <c r="AY20" s="802">
        <v>42</v>
      </c>
      <c r="AZ20" s="803">
        <v>34</v>
      </c>
      <c r="BA20" s="804">
        <v>0</v>
      </c>
      <c r="BB20" s="805">
        <f>AX20-AY20-AZ20</f>
        <v>129.5</v>
      </c>
      <c r="BC20" s="9">
        <f t="shared" si="14"/>
        <v>205.5</v>
      </c>
      <c r="BD20" s="9">
        <f>'Monthly HC &amp; Prodn Working'!M20</f>
        <v>191</v>
      </c>
      <c r="BE20" s="802">
        <v>42</v>
      </c>
      <c r="BF20" s="803">
        <v>34</v>
      </c>
      <c r="BG20" s="804">
        <v>0</v>
      </c>
      <c r="BH20" s="805">
        <f>BD20-BE20-BF20</f>
        <v>115</v>
      </c>
      <c r="BI20" s="9">
        <f t="shared" si="15"/>
        <v>191</v>
      </c>
      <c r="BJ20" s="9">
        <f>'Monthly HC &amp; Prodn Working'!N20</f>
        <v>219</v>
      </c>
      <c r="BK20" s="802">
        <v>42</v>
      </c>
      <c r="BL20" s="803">
        <v>34</v>
      </c>
      <c r="BM20" s="804">
        <v>0</v>
      </c>
      <c r="BN20" s="805">
        <f>BJ20-BK20-BL20</f>
        <v>143</v>
      </c>
      <c r="BO20" s="9">
        <f t="shared" si="16"/>
        <v>219</v>
      </c>
      <c r="BP20" s="9">
        <f>'Monthly HC &amp; Prodn Working'!O20</f>
        <v>196.5</v>
      </c>
      <c r="BQ20" s="802">
        <v>42</v>
      </c>
      <c r="BR20" s="803">
        <v>34</v>
      </c>
      <c r="BS20" s="804">
        <v>0</v>
      </c>
      <c r="BT20" s="805">
        <f>BP20-BQ20-BR20</f>
        <v>120.5</v>
      </c>
      <c r="BU20" s="9">
        <f t="shared" si="17"/>
        <v>196.5</v>
      </c>
      <c r="BV20" s="989"/>
      <c r="BW20" s="10">
        <f>'Monthly HC &amp; Prodn Working'!AC20</f>
        <v>9900.8121595360681</v>
      </c>
      <c r="BX20" s="10">
        <f t="shared" si="0"/>
        <v>265.70833333333331</v>
      </c>
      <c r="BY20" s="974">
        <f t="shared" si="1"/>
        <v>42</v>
      </c>
      <c r="BZ20" s="975">
        <f t="shared" si="2"/>
        <v>34</v>
      </c>
      <c r="CA20" s="976">
        <f t="shared" si="3"/>
        <v>0</v>
      </c>
      <c r="CB20" s="805">
        <f t="shared" si="4"/>
        <v>189.70833333333334</v>
      </c>
      <c r="CC20" s="9">
        <f t="shared" si="5"/>
        <v>265.70833333333331</v>
      </c>
      <c r="CD20" s="980"/>
      <c r="CE20" s="43">
        <f>CB20*24596*12</f>
        <v>55992794</v>
      </c>
      <c r="CF20" s="43">
        <f>(BW20*88%)*30*10.1*12</f>
        <v>31679430.650624368</v>
      </c>
      <c r="CG20" s="838">
        <f>BW20*12%</f>
        <v>1188.097459144328</v>
      </c>
      <c r="CI20" s="767">
        <v>46113</v>
      </c>
      <c r="CJ20" s="43">
        <f>CJ3+CR3</f>
        <v>1703.5</v>
      </c>
      <c r="CK20" s="43">
        <f t="shared" ref="CK20:CN20" si="24">CK3+CS3</f>
        <v>551</v>
      </c>
      <c r="CL20" s="43">
        <f t="shared" si="24"/>
        <v>270</v>
      </c>
      <c r="CM20" s="43">
        <f t="shared" si="24"/>
        <v>297.5</v>
      </c>
      <c r="CN20" s="43">
        <f t="shared" si="24"/>
        <v>605</v>
      </c>
      <c r="CQ20" s="798">
        <f>CK20/$CJ20</f>
        <v>0.32345171705312592</v>
      </c>
      <c r="CR20" s="798">
        <f>CL20/$CJ20</f>
        <v>0.15849721162312885</v>
      </c>
      <c r="CS20" s="798">
        <f>CM20/$CJ20</f>
        <v>0.17464044614029939</v>
      </c>
      <c r="CT20" s="798">
        <f>CN20/$CJ20</f>
        <v>0.35515115937775171</v>
      </c>
      <c r="DA20" s="43">
        <f>'Monthly HC &amp; Prodn Working'!Q20</f>
        <v>15347.054674855948</v>
      </c>
      <c r="DB20" s="43">
        <f>'Monthly HC &amp; Prodn Working'!R20</f>
        <v>10285.954409279861</v>
      </c>
      <c r="DC20" s="43">
        <f>'Monthly HC &amp; Prodn Working'!S20</f>
        <v>9206.1022335126581</v>
      </c>
      <c r="DD20" s="43">
        <f>'Monthly HC &amp; Prodn Working'!T20</f>
        <v>12100.98826829652</v>
      </c>
      <c r="DE20" s="43">
        <f>'Monthly HC &amp; Prodn Working'!U20</f>
        <v>20542.260631347624</v>
      </c>
      <c r="DF20" s="43">
        <f>'Monthly HC &amp; Prodn Working'!V20</f>
        <v>11342.677296315534</v>
      </c>
      <c r="DG20" s="43">
        <f>'Monthly HC &amp; Prodn Working'!W20</f>
        <v>9358.4119616767875</v>
      </c>
      <c r="DH20" s="43">
        <f>'Monthly HC &amp; Prodn Working'!X20</f>
        <v>7936.7272047885381</v>
      </c>
      <c r="DI20" s="43">
        <f>'Monthly HC &amp; Prodn Working'!Y20</f>
        <v>5255.2384161585906</v>
      </c>
      <c r="DJ20" s="43">
        <f>'Monthly HC &amp; Prodn Working'!Z20</f>
        <v>4662.4716711605115</v>
      </c>
      <c r="DK20" s="43">
        <f>'Monthly HC &amp; Prodn Working'!AA20</f>
        <v>6406.672782879742</v>
      </c>
      <c r="DL20" s="43">
        <f>'Monthly HC &amp; Prodn Working'!AB20</f>
        <v>6365.1863641604978</v>
      </c>
    </row>
    <row r="21" spans="1:116">
      <c r="A21" s="132" t="str">
        <f>'Monthly HC &amp; Prodn Working'!B21</f>
        <v>Process Control</v>
      </c>
      <c r="B21" s="9">
        <f>'Monthly HC &amp; Prodn Working'!D21</f>
        <v>12</v>
      </c>
      <c r="C21" s="802">
        <v>8</v>
      </c>
      <c r="D21" s="803">
        <v>4</v>
      </c>
      <c r="E21" s="804"/>
      <c r="F21" s="805"/>
      <c r="G21" s="9">
        <f t="shared" si="6"/>
        <v>12</v>
      </c>
      <c r="H21" s="9">
        <f>'Monthly HC &amp; Prodn Working'!E21</f>
        <v>12</v>
      </c>
      <c r="I21" s="802">
        <v>8</v>
      </c>
      <c r="J21" s="803">
        <v>4</v>
      </c>
      <c r="K21" s="804"/>
      <c r="L21" s="805"/>
      <c r="M21" s="9">
        <f t="shared" si="7"/>
        <v>12</v>
      </c>
      <c r="N21" s="9">
        <f>'Monthly HC &amp; Prodn Working'!F21</f>
        <v>12</v>
      </c>
      <c r="O21" s="802">
        <v>8</v>
      </c>
      <c r="P21" s="803">
        <v>4</v>
      </c>
      <c r="Q21" s="804"/>
      <c r="R21" s="805"/>
      <c r="S21" s="9">
        <f t="shared" si="8"/>
        <v>12</v>
      </c>
      <c r="T21" s="9">
        <f>'Monthly HC &amp; Prodn Working'!G21</f>
        <v>12</v>
      </c>
      <c r="U21" s="802">
        <v>8</v>
      </c>
      <c r="V21" s="803">
        <v>4</v>
      </c>
      <c r="W21" s="804"/>
      <c r="X21" s="805"/>
      <c r="Y21" s="9">
        <f t="shared" si="9"/>
        <v>12</v>
      </c>
      <c r="Z21" s="9">
        <f>'Monthly HC &amp; Prodn Working'!H21</f>
        <v>12</v>
      </c>
      <c r="AA21" s="802">
        <v>8</v>
      </c>
      <c r="AB21" s="803">
        <v>4</v>
      </c>
      <c r="AC21" s="804"/>
      <c r="AD21" s="805"/>
      <c r="AE21" s="9">
        <f t="shared" si="10"/>
        <v>12</v>
      </c>
      <c r="AF21" s="9">
        <f>'Monthly HC &amp; Prodn Working'!I21</f>
        <v>12</v>
      </c>
      <c r="AG21" s="802">
        <v>8</v>
      </c>
      <c r="AH21" s="803">
        <v>4</v>
      </c>
      <c r="AI21" s="804"/>
      <c r="AJ21" s="805"/>
      <c r="AK21" s="9">
        <f t="shared" si="11"/>
        <v>12</v>
      </c>
      <c r="AL21" s="9">
        <f>'Monthly HC &amp; Prodn Working'!J21</f>
        <v>12</v>
      </c>
      <c r="AM21" s="802">
        <v>8</v>
      </c>
      <c r="AN21" s="803">
        <v>4</v>
      </c>
      <c r="AO21" s="804"/>
      <c r="AP21" s="805"/>
      <c r="AQ21" s="9">
        <f t="shared" si="12"/>
        <v>12</v>
      </c>
      <c r="AR21" s="9">
        <f>'Monthly HC &amp; Prodn Working'!K21</f>
        <v>12</v>
      </c>
      <c r="AS21" s="802">
        <v>8</v>
      </c>
      <c r="AT21" s="803">
        <v>4</v>
      </c>
      <c r="AU21" s="804"/>
      <c r="AV21" s="805"/>
      <c r="AW21" s="9">
        <f t="shared" si="13"/>
        <v>12</v>
      </c>
      <c r="AX21" s="9">
        <f>'Monthly HC &amp; Prodn Working'!L21</f>
        <v>12</v>
      </c>
      <c r="AY21" s="802">
        <v>8</v>
      </c>
      <c r="AZ21" s="803">
        <v>4</v>
      </c>
      <c r="BA21" s="804"/>
      <c r="BB21" s="805"/>
      <c r="BC21" s="9">
        <f t="shared" si="14"/>
        <v>12</v>
      </c>
      <c r="BD21" s="9">
        <f>'Monthly HC &amp; Prodn Working'!M21</f>
        <v>12</v>
      </c>
      <c r="BE21" s="802">
        <v>8</v>
      </c>
      <c r="BF21" s="803">
        <v>4</v>
      </c>
      <c r="BG21" s="804"/>
      <c r="BH21" s="805"/>
      <c r="BI21" s="9">
        <f t="shared" si="15"/>
        <v>12</v>
      </c>
      <c r="BJ21" s="9">
        <f>'Monthly HC &amp; Prodn Working'!N21</f>
        <v>12</v>
      </c>
      <c r="BK21" s="802">
        <v>8</v>
      </c>
      <c r="BL21" s="803">
        <v>4</v>
      </c>
      <c r="BM21" s="804"/>
      <c r="BN21" s="805"/>
      <c r="BO21" s="9">
        <f t="shared" si="16"/>
        <v>12</v>
      </c>
      <c r="BP21" s="9">
        <f>'Monthly HC &amp; Prodn Working'!O21</f>
        <v>12</v>
      </c>
      <c r="BQ21" s="802">
        <v>8</v>
      </c>
      <c r="BR21" s="803">
        <v>4</v>
      </c>
      <c r="BS21" s="804"/>
      <c r="BT21" s="805"/>
      <c r="BU21" s="9">
        <f t="shared" si="17"/>
        <v>12</v>
      </c>
      <c r="BV21" s="989"/>
      <c r="BW21" s="13"/>
      <c r="BX21" s="10">
        <f t="shared" si="0"/>
        <v>12</v>
      </c>
      <c r="BY21" s="802">
        <f t="shared" si="1"/>
        <v>8</v>
      </c>
      <c r="BZ21" s="803">
        <f t="shared" si="2"/>
        <v>4</v>
      </c>
      <c r="CA21" s="804" t="str">
        <f t="shared" si="3"/>
        <v/>
      </c>
      <c r="CB21" s="805" t="str">
        <f t="shared" si="4"/>
        <v/>
      </c>
      <c r="CC21" s="9">
        <f t="shared" si="5"/>
        <v>12</v>
      </c>
      <c r="CD21" s="980"/>
      <c r="CE21" s="13"/>
      <c r="CF21" s="216">
        <f>((((BW20*12%))/0.3)*6.2)*12*30</f>
        <v>8839445.0960338004</v>
      </c>
      <c r="CG21" s="838">
        <f>CG20/0.3</f>
        <v>3960.3248638144269</v>
      </c>
      <c r="CI21" s="767">
        <v>46143</v>
      </c>
      <c r="CJ21" s="43">
        <f t="shared" ref="CJ21:CJ31" si="25">CJ4+CR4</f>
        <v>1693</v>
      </c>
      <c r="CK21" s="43">
        <f t="shared" ref="CK21:CK31" si="26">CK4+CS4</f>
        <v>550</v>
      </c>
      <c r="CL21" s="43">
        <f t="shared" ref="CL21:CL31" si="27">CL4+CT4</f>
        <v>267</v>
      </c>
      <c r="CM21" s="43">
        <f t="shared" ref="CM21:CM31" si="28">CM4+CU4</f>
        <v>295</v>
      </c>
      <c r="CN21" s="43">
        <f t="shared" ref="CN21:CN31" si="29">CN4+CV4</f>
        <v>599</v>
      </c>
      <c r="CQ21" s="798">
        <f t="shared" ref="CQ21:CQ31" si="30">CK21/$CJ21</f>
        <v>0.32486709982279977</v>
      </c>
      <c r="CR21" s="798">
        <f t="shared" ref="CR21:CR31" si="31">CL21/$CJ21</f>
        <v>0.1577082102776137</v>
      </c>
      <c r="CS21" s="798">
        <f t="shared" ref="CS21:CS31" si="32">CM21/$CJ21</f>
        <v>0.17424689899586532</v>
      </c>
      <c r="CT21" s="798">
        <f t="shared" ref="CT21:CT31" si="33">CN21/$CJ21</f>
        <v>0.35380980507974008</v>
      </c>
      <c r="DA21" s="13"/>
      <c r="DB21" s="13"/>
      <c r="DC21" s="13"/>
      <c r="DD21" s="13"/>
      <c r="DE21" s="13"/>
      <c r="DF21" s="13"/>
      <c r="DG21" s="13"/>
      <c r="DH21" s="13"/>
      <c r="DI21" s="13"/>
      <c r="DJ21" s="13"/>
      <c r="DK21" s="13"/>
      <c r="DL21" s="13"/>
    </row>
    <row r="22" spans="1:116">
      <c r="A22" s="132" t="str">
        <f>'Monthly HC &amp; Prodn Working'!B22</f>
        <v>TQM</v>
      </c>
      <c r="B22" s="9">
        <f>'Monthly HC &amp; Prodn Working'!D22</f>
        <v>93</v>
      </c>
      <c r="C22" s="802">
        <v>53</v>
      </c>
      <c r="D22" s="803">
        <v>40</v>
      </c>
      <c r="E22" s="804"/>
      <c r="F22" s="805"/>
      <c r="G22" s="9">
        <f t="shared" si="6"/>
        <v>93</v>
      </c>
      <c r="H22" s="9">
        <f>'Monthly HC &amp; Prodn Working'!E22</f>
        <v>93</v>
      </c>
      <c r="I22" s="802">
        <v>53</v>
      </c>
      <c r="J22" s="803">
        <v>40</v>
      </c>
      <c r="K22" s="804"/>
      <c r="L22" s="805"/>
      <c r="M22" s="9">
        <f t="shared" si="7"/>
        <v>93</v>
      </c>
      <c r="N22" s="9">
        <f>'Monthly HC &amp; Prodn Working'!F22</f>
        <v>93</v>
      </c>
      <c r="O22" s="802">
        <v>53</v>
      </c>
      <c r="P22" s="803">
        <v>40</v>
      </c>
      <c r="Q22" s="804"/>
      <c r="R22" s="805"/>
      <c r="S22" s="9">
        <f t="shared" si="8"/>
        <v>93</v>
      </c>
      <c r="T22" s="9">
        <f>'Monthly HC &amp; Prodn Working'!G22</f>
        <v>93</v>
      </c>
      <c r="U22" s="802">
        <v>53</v>
      </c>
      <c r="V22" s="803">
        <v>40</v>
      </c>
      <c r="W22" s="804"/>
      <c r="X22" s="805"/>
      <c r="Y22" s="9">
        <f t="shared" si="9"/>
        <v>93</v>
      </c>
      <c r="Z22" s="9">
        <f>'Monthly HC &amp; Prodn Working'!H22</f>
        <v>93</v>
      </c>
      <c r="AA22" s="802">
        <v>53</v>
      </c>
      <c r="AB22" s="803">
        <v>40</v>
      </c>
      <c r="AC22" s="804"/>
      <c r="AD22" s="805"/>
      <c r="AE22" s="9">
        <f t="shared" si="10"/>
        <v>93</v>
      </c>
      <c r="AF22" s="9">
        <f>'Monthly HC &amp; Prodn Working'!I22</f>
        <v>93</v>
      </c>
      <c r="AG22" s="802">
        <v>53</v>
      </c>
      <c r="AH22" s="803">
        <v>40</v>
      </c>
      <c r="AI22" s="804"/>
      <c r="AJ22" s="805"/>
      <c r="AK22" s="9">
        <f t="shared" si="11"/>
        <v>93</v>
      </c>
      <c r="AL22" s="9">
        <f>'Monthly HC &amp; Prodn Working'!J22</f>
        <v>93</v>
      </c>
      <c r="AM22" s="802">
        <v>53</v>
      </c>
      <c r="AN22" s="803">
        <v>40</v>
      </c>
      <c r="AO22" s="804"/>
      <c r="AP22" s="805"/>
      <c r="AQ22" s="9">
        <f t="shared" si="12"/>
        <v>93</v>
      </c>
      <c r="AR22" s="9">
        <f>'Monthly HC &amp; Prodn Working'!K22</f>
        <v>93</v>
      </c>
      <c r="AS22" s="802">
        <v>53</v>
      </c>
      <c r="AT22" s="803">
        <v>40</v>
      </c>
      <c r="AU22" s="804"/>
      <c r="AV22" s="805"/>
      <c r="AW22" s="9">
        <f t="shared" si="13"/>
        <v>93</v>
      </c>
      <c r="AX22" s="9">
        <f>'Monthly HC &amp; Prodn Working'!L22</f>
        <v>93</v>
      </c>
      <c r="AY22" s="802">
        <v>53</v>
      </c>
      <c r="AZ22" s="803">
        <v>40</v>
      </c>
      <c r="BA22" s="804"/>
      <c r="BB22" s="805"/>
      <c r="BC22" s="9">
        <f t="shared" si="14"/>
        <v>93</v>
      </c>
      <c r="BD22" s="9">
        <f>'Monthly HC &amp; Prodn Working'!M22</f>
        <v>93</v>
      </c>
      <c r="BE22" s="802">
        <v>53</v>
      </c>
      <c r="BF22" s="803">
        <v>40</v>
      </c>
      <c r="BG22" s="804"/>
      <c r="BH22" s="805"/>
      <c r="BI22" s="9">
        <f t="shared" si="15"/>
        <v>93</v>
      </c>
      <c r="BJ22" s="9">
        <f>'Monthly HC &amp; Prodn Working'!N22</f>
        <v>93</v>
      </c>
      <c r="BK22" s="802">
        <v>53</v>
      </c>
      <c r="BL22" s="803">
        <v>40</v>
      </c>
      <c r="BM22" s="804"/>
      <c r="BN22" s="805"/>
      <c r="BO22" s="9">
        <f t="shared" si="16"/>
        <v>93</v>
      </c>
      <c r="BP22" s="9">
        <f>'Monthly HC &amp; Prodn Working'!O22</f>
        <v>93</v>
      </c>
      <c r="BQ22" s="802">
        <v>53</v>
      </c>
      <c r="BR22" s="803">
        <v>40</v>
      </c>
      <c r="BS22" s="804"/>
      <c r="BT22" s="805"/>
      <c r="BU22" s="9">
        <f t="shared" si="17"/>
        <v>93</v>
      </c>
      <c r="BV22" s="989"/>
      <c r="BW22" s="13"/>
      <c r="BX22" s="10">
        <f t="shared" si="0"/>
        <v>93</v>
      </c>
      <c r="BY22" s="802">
        <f t="shared" si="1"/>
        <v>53</v>
      </c>
      <c r="BZ22" s="803">
        <f t="shared" si="2"/>
        <v>40</v>
      </c>
      <c r="CA22" s="804" t="str">
        <f t="shared" si="3"/>
        <v/>
      </c>
      <c r="CB22" s="805" t="str">
        <f t="shared" si="4"/>
        <v/>
      </c>
      <c r="CC22" s="9">
        <f t="shared" si="5"/>
        <v>93</v>
      </c>
      <c r="CD22" s="980"/>
      <c r="CE22" s="13"/>
      <c r="CF22" s="13"/>
      <c r="CG22" s="838">
        <f>CG21*6.2*30*12</f>
        <v>8839445.0960338004</v>
      </c>
      <c r="CI22" s="767">
        <v>46174</v>
      </c>
      <c r="CJ22" s="43">
        <f t="shared" si="25"/>
        <v>1673.5</v>
      </c>
      <c r="CK22" s="43">
        <f t="shared" si="26"/>
        <v>551</v>
      </c>
      <c r="CL22" s="43">
        <f t="shared" si="27"/>
        <v>258</v>
      </c>
      <c r="CM22" s="43">
        <f t="shared" si="28"/>
        <v>287.5</v>
      </c>
      <c r="CN22" s="43">
        <f t="shared" si="29"/>
        <v>592</v>
      </c>
      <c r="CQ22" s="798">
        <f t="shared" si="30"/>
        <v>0.32925007469375561</v>
      </c>
      <c r="CR22" s="798">
        <f t="shared" si="31"/>
        <v>0.15416791156259338</v>
      </c>
      <c r="CS22" s="798">
        <f t="shared" si="32"/>
        <v>0.17179563788467284</v>
      </c>
      <c r="CT22" s="798">
        <f t="shared" si="33"/>
        <v>0.35374962653122199</v>
      </c>
      <c r="DA22" s="13"/>
      <c r="DB22" s="13"/>
      <c r="DC22" s="13"/>
      <c r="DD22" s="13"/>
      <c r="DE22" s="13"/>
      <c r="DF22" s="13"/>
      <c r="DG22" s="13"/>
      <c r="DH22" s="13"/>
      <c r="DI22" s="13"/>
      <c r="DJ22" s="13"/>
      <c r="DK22" s="13"/>
      <c r="DL22" s="13"/>
    </row>
    <row r="23" spans="1:116">
      <c r="A23" s="132" t="str">
        <f>'Monthly HC &amp; Prodn Working'!B24</f>
        <v>Engg.</v>
      </c>
      <c r="B23" s="9">
        <f>'Monthly HC &amp; Prodn Working'!D24</f>
        <v>50</v>
      </c>
      <c r="C23" s="802">
        <v>40</v>
      </c>
      <c r="D23" s="803">
        <v>5</v>
      </c>
      <c r="E23" s="804">
        <v>5</v>
      </c>
      <c r="F23" s="805"/>
      <c r="G23" s="9">
        <f t="shared" si="6"/>
        <v>50</v>
      </c>
      <c r="H23" s="9">
        <f>'Monthly HC &amp; Prodn Working'!E24</f>
        <v>50</v>
      </c>
      <c r="I23" s="802">
        <v>40</v>
      </c>
      <c r="J23" s="803">
        <v>5</v>
      </c>
      <c r="K23" s="804">
        <v>5</v>
      </c>
      <c r="L23" s="805"/>
      <c r="M23" s="9">
        <f t="shared" si="7"/>
        <v>50</v>
      </c>
      <c r="N23" s="9">
        <f>'Monthly HC &amp; Prodn Working'!F24</f>
        <v>50</v>
      </c>
      <c r="O23" s="802">
        <v>40</v>
      </c>
      <c r="P23" s="803">
        <v>5</v>
      </c>
      <c r="Q23" s="804">
        <v>5</v>
      </c>
      <c r="R23" s="805"/>
      <c r="S23" s="9">
        <f t="shared" si="8"/>
        <v>50</v>
      </c>
      <c r="T23" s="9">
        <f>'Monthly HC &amp; Prodn Working'!G24</f>
        <v>50</v>
      </c>
      <c r="U23" s="802">
        <v>40</v>
      </c>
      <c r="V23" s="803">
        <v>5</v>
      </c>
      <c r="W23" s="804">
        <v>5</v>
      </c>
      <c r="X23" s="805"/>
      <c r="Y23" s="9">
        <f t="shared" si="9"/>
        <v>50</v>
      </c>
      <c r="Z23" s="9">
        <f>'Monthly HC &amp; Prodn Working'!H24</f>
        <v>50</v>
      </c>
      <c r="AA23" s="802">
        <v>40</v>
      </c>
      <c r="AB23" s="803">
        <v>5</v>
      </c>
      <c r="AC23" s="804">
        <v>5</v>
      </c>
      <c r="AD23" s="805"/>
      <c r="AE23" s="9">
        <f t="shared" si="10"/>
        <v>50</v>
      </c>
      <c r="AF23" s="9">
        <f>'Monthly HC &amp; Prodn Working'!I24</f>
        <v>50</v>
      </c>
      <c r="AG23" s="802">
        <v>40</v>
      </c>
      <c r="AH23" s="803">
        <v>5</v>
      </c>
      <c r="AI23" s="804">
        <v>5</v>
      </c>
      <c r="AJ23" s="805"/>
      <c r="AK23" s="9">
        <f t="shared" si="11"/>
        <v>50</v>
      </c>
      <c r="AL23" s="9">
        <f>'Monthly HC &amp; Prodn Working'!J24</f>
        <v>50</v>
      </c>
      <c r="AM23" s="802">
        <v>40</v>
      </c>
      <c r="AN23" s="803">
        <v>5</v>
      </c>
      <c r="AO23" s="804">
        <v>5</v>
      </c>
      <c r="AP23" s="805"/>
      <c r="AQ23" s="9">
        <f t="shared" si="12"/>
        <v>50</v>
      </c>
      <c r="AR23" s="9">
        <f>'Monthly HC &amp; Prodn Working'!K24</f>
        <v>50</v>
      </c>
      <c r="AS23" s="802">
        <v>40</v>
      </c>
      <c r="AT23" s="803">
        <v>5</v>
      </c>
      <c r="AU23" s="804">
        <v>5</v>
      </c>
      <c r="AV23" s="805"/>
      <c r="AW23" s="9">
        <f t="shared" si="13"/>
        <v>50</v>
      </c>
      <c r="AX23" s="9">
        <f>'Monthly HC &amp; Prodn Working'!L24</f>
        <v>50</v>
      </c>
      <c r="AY23" s="802">
        <v>40</v>
      </c>
      <c r="AZ23" s="803">
        <v>5</v>
      </c>
      <c r="BA23" s="804">
        <v>5</v>
      </c>
      <c r="BB23" s="805"/>
      <c r="BC23" s="9">
        <f t="shared" si="14"/>
        <v>50</v>
      </c>
      <c r="BD23" s="9">
        <f>'Monthly HC &amp; Prodn Working'!M24</f>
        <v>50</v>
      </c>
      <c r="BE23" s="802">
        <v>40</v>
      </c>
      <c r="BF23" s="803">
        <v>5</v>
      </c>
      <c r="BG23" s="804">
        <v>5</v>
      </c>
      <c r="BH23" s="805"/>
      <c r="BI23" s="9">
        <f t="shared" si="15"/>
        <v>50</v>
      </c>
      <c r="BJ23" s="9">
        <f>'Monthly HC &amp; Prodn Working'!N24</f>
        <v>50</v>
      </c>
      <c r="BK23" s="802">
        <v>40</v>
      </c>
      <c r="BL23" s="803">
        <v>5</v>
      </c>
      <c r="BM23" s="804">
        <v>5</v>
      </c>
      <c r="BN23" s="805"/>
      <c r="BO23" s="9">
        <f t="shared" si="16"/>
        <v>50</v>
      </c>
      <c r="BP23" s="9">
        <f>'Monthly HC &amp; Prodn Working'!O24</f>
        <v>50</v>
      </c>
      <c r="BQ23" s="802">
        <v>40</v>
      </c>
      <c r="BR23" s="803">
        <v>5</v>
      </c>
      <c r="BS23" s="804">
        <v>5</v>
      </c>
      <c r="BT23" s="805"/>
      <c r="BU23" s="9">
        <f t="shared" si="17"/>
        <v>50</v>
      </c>
      <c r="BV23" s="989"/>
      <c r="BW23" s="13"/>
      <c r="BX23" s="10">
        <f t="shared" si="0"/>
        <v>50</v>
      </c>
      <c r="BY23" s="802">
        <f t="shared" si="1"/>
        <v>40</v>
      </c>
      <c r="BZ23" s="803">
        <f t="shared" si="2"/>
        <v>5</v>
      </c>
      <c r="CA23" s="804">
        <f t="shared" si="3"/>
        <v>5</v>
      </c>
      <c r="CB23" s="805" t="str">
        <f t="shared" si="4"/>
        <v/>
      </c>
      <c r="CC23" s="9">
        <f t="shared" si="5"/>
        <v>50</v>
      </c>
      <c r="CD23" s="981"/>
      <c r="CE23" s="13"/>
      <c r="CF23" s="13"/>
      <c r="CG23" s="798"/>
      <c r="CI23" s="767">
        <v>46204</v>
      </c>
      <c r="CJ23" s="43">
        <f t="shared" si="25"/>
        <v>1688.5</v>
      </c>
      <c r="CK23" s="43">
        <f t="shared" si="26"/>
        <v>554</v>
      </c>
      <c r="CL23" s="43">
        <f t="shared" si="27"/>
        <v>262</v>
      </c>
      <c r="CM23" s="43">
        <f t="shared" si="28"/>
        <v>295.5</v>
      </c>
      <c r="CN23" s="43">
        <f t="shared" si="29"/>
        <v>594</v>
      </c>
      <c r="CQ23" s="798">
        <f t="shared" si="30"/>
        <v>0.32810186556114895</v>
      </c>
      <c r="CR23" s="798">
        <f t="shared" si="31"/>
        <v>0.1551673082617708</v>
      </c>
      <c r="CS23" s="798">
        <f t="shared" si="32"/>
        <v>0.17500740302043233</v>
      </c>
      <c r="CT23" s="798">
        <f t="shared" si="33"/>
        <v>0.3517915309446254</v>
      </c>
      <c r="DA23" s="13"/>
      <c r="DB23" s="13"/>
      <c r="DC23" s="13"/>
      <c r="DD23" s="13"/>
      <c r="DE23" s="13"/>
      <c r="DF23" s="13"/>
      <c r="DG23" s="13"/>
      <c r="DH23" s="13"/>
      <c r="DI23" s="13"/>
      <c r="DJ23" s="13"/>
      <c r="DK23" s="13"/>
      <c r="DL23" s="13"/>
    </row>
    <row r="24" spans="1:116">
      <c r="A24" s="132" t="str">
        <f>'Monthly HC &amp; Prodn Working'!B26</f>
        <v>Engg.</v>
      </c>
      <c r="B24" s="9">
        <f>'Monthly HC &amp; Prodn Working'!D26</f>
        <v>63</v>
      </c>
      <c r="C24" s="802">
        <v>32</v>
      </c>
      <c r="D24" s="803">
        <v>8</v>
      </c>
      <c r="E24" s="804">
        <v>11</v>
      </c>
      <c r="F24" s="805">
        <v>12</v>
      </c>
      <c r="G24" s="9">
        <f t="shared" si="6"/>
        <v>63</v>
      </c>
      <c r="H24" s="9">
        <f>'Monthly HC &amp; Prodn Working'!E26</f>
        <v>63</v>
      </c>
      <c r="I24" s="802">
        <v>32</v>
      </c>
      <c r="J24" s="803">
        <v>8</v>
      </c>
      <c r="K24" s="804">
        <v>11</v>
      </c>
      <c r="L24" s="805">
        <v>12</v>
      </c>
      <c r="M24" s="9">
        <f t="shared" si="7"/>
        <v>63</v>
      </c>
      <c r="N24" s="9">
        <f>'Monthly HC &amp; Prodn Working'!F26</f>
        <v>63</v>
      </c>
      <c r="O24" s="802">
        <v>32</v>
      </c>
      <c r="P24" s="803">
        <v>8</v>
      </c>
      <c r="Q24" s="804">
        <v>11</v>
      </c>
      <c r="R24" s="805">
        <v>12</v>
      </c>
      <c r="S24" s="9">
        <f t="shared" si="8"/>
        <v>63</v>
      </c>
      <c r="T24" s="9">
        <f>'Monthly HC &amp; Prodn Working'!G26</f>
        <v>63</v>
      </c>
      <c r="U24" s="802">
        <v>32</v>
      </c>
      <c r="V24" s="803">
        <v>8</v>
      </c>
      <c r="W24" s="804">
        <v>11</v>
      </c>
      <c r="X24" s="805">
        <v>12</v>
      </c>
      <c r="Y24" s="9">
        <f t="shared" si="9"/>
        <v>63</v>
      </c>
      <c r="Z24" s="9">
        <f>'Monthly HC &amp; Prodn Working'!H26</f>
        <v>63</v>
      </c>
      <c r="AA24" s="802">
        <v>32</v>
      </c>
      <c r="AB24" s="803">
        <v>8</v>
      </c>
      <c r="AC24" s="804">
        <v>11</v>
      </c>
      <c r="AD24" s="805">
        <v>12</v>
      </c>
      <c r="AE24" s="9">
        <f t="shared" si="10"/>
        <v>63</v>
      </c>
      <c r="AF24" s="9">
        <f>'Monthly HC &amp; Prodn Working'!I26</f>
        <v>63</v>
      </c>
      <c r="AG24" s="802">
        <v>32</v>
      </c>
      <c r="AH24" s="803">
        <v>8</v>
      </c>
      <c r="AI24" s="804">
        <v>11</v>
      </c>
      <c r="AJ24" s="805">
        <v>12</v>
      </c>
      <c r="AK24" s="9">
        <f t="shared" si="11"/>
        <v>63</v>
      </c>
      <c r="AL24" s="9">
        <f>'Monthly HC &amp; Prodn Working'!J26</f>
        <v>63</v>
      </c>
      <c r="AM24" s="802">
        <v>32</v>
      </c>
      <c r="AN24" s="803">
        <v>8</v>
      </c>
      <c r="AO24" s="804">
        <v>11</v>
      </c>
      <c r="AP24" s="805">
        <v>12</v>
      </c>
      <c r="AQ24" s="9">
        <f t="shared" si="12"/>
        <v>63</v>
      </c>
      <c r="AR24" s="9">
        <f>'Monthly HC &amp; Prodn Working'!K26</f>
        <v>63</v>
      </c>
      <c r="AS24" s="802">
        <v>32</v>
      </c>
      <c r="AT24" s="803">
        <v>8</v>
      </c>
      <c r="AU24" s="804">
        <v>11</v>
      </c>
      <c r="AV24" s="805">
        <v>12</v>
      </c>
      <c r="AW24" s="9">
        <f t="shared" si="13"/>
        <v>63</v>
      </c>
      <c r="AX24" s="9">
        <f>'Monthly HC &amp; Prodn Working'!L26</f>
        <v>63</v>
      </c>
      <c r="AY24" s="802">
        <v>32</v>
      </c>
      <c r="AZ24" s="803">
        <v>8</v>
      </c>
      <c r="BA24" s="804">
        <v>11</v>
      </c>
      <c r="BB24" s="805">
        <v>12</v>
      </c>
      <c r="BC24" s="9">
        <f t="shared" si="14"/>
        <v>63</v>
      </c>
      <c r="BD24" s="9">
        <f>'Monthly HC &amp; Prodn Working'!M26</f>
        <v>63</v>
      </c>
      <c r="BE24" s="802">
        <v>32</v>
      </c>
      <c r="BF24" s="803">
        <v>8</v>
      </c>
      <c r="BG24" s="804">
        <v>11</v>
      </c>
      <c r="BH24" s="805">
        <v>12</v>
      </c>
      <c r="BI24" s="9">
        <f t="shared" si="15"/>
        <v>63</v>
      </c>
      <c r="BJ24" s="9">
        <f>'Monthly HC &amp; Prodn Working'!N26</f>
        <v>63</v>
      </c>
      <c r="BK24" s="802">
        <v>32</v>
      </c>
      <c r="BL24" s="803">
        <v>8</v>
      </c>
      <c r="BM24" s="804">
        <v>11</v>
      </c>
      <c r="BN24" s="805">
        <v>12</v>
      </c>
      <c r="BO24" s="9">
        <f t="shared" si="16"/>
        <v>63</v>
      </c>
      <c r="BP24" s="9">
        <f>'Monthly HC &amp; Prodn Working'!O26</f>
        <v>63</v>
      </c>
      <c r="BQ24" s="802">
        <v>32</v>
      </c>
      <c r="BR24" s="803">
        <v>8</v>
      </c>
      <c r="BS24" s="804">
        <v>11</v>
      </c>
      <c r="BT24" s="805">
        <v>12</v>
      </c>
      <c r="BU24" s="9">
        <f t="shared" si="17"/>
        <v>63</v>
      </c>
      <c r="BV24" s="989"/>
      <c r="BW24" s="13"/>
      <c r="BX24" s="10">
        <f t="shared" si="0"/>
        <v>63</v>
      </c>
      <c r="BY24" s="802">
        <f t="shared" si="1"/>
        <v>32</v>
      </c>
      <c r="BZ24" s="803">
        <f t="shared" si="2"/>
        <v>8</v>
      </c>
      <c r="CA24" s="804">
        <f t="shared" si="3"/>
        <v>11</v>
      </c>
      <c r="CB24" s="805">
        <f t="shared" si="4"/>
        <v>12</v>
      </c>
      <c r="CC24" s="9">
        <f t="shared" si="5"/>
        <v>63</v>
      </c>
      <c r="CD24" s="980"/>
      <c r="CE24" s="43">
        <f>CB24*24596*12</f>
        <v>3541824</v>
      </c>
      <c r="CF24" s="10">
        <f>1000000*0.35*12</f>
        <v>4200000</v>
      </c>
      <c r="CG24" s="798"/>
      <c r="CI24" s="767">
        <v>46235</v>
      </c>
      <c r="CJ24" s="43">
        <f t="shared" si="25"/>
        <v>1732.5</v>
      </c>
      <c r="CK24" s="43">
        <f t="shared" si="26"/>
        <v>557</v>
      </c>
      <c r="CL24" s="43">
        <f t="shared" si="27"/>
        <v>278</v>
      </c>
      <c r="CM24" s="43">
        <f t="shared" si="28"/>
        <v>292.5</v>
      </c>
      <c r="CN24" s="43">
        <f t="shared" si="29"/>
        <v>625</v>
      </c>
      <c r="CQ24" s="798">
        <f t="shared" si="30"/>
        <v>0.32150072150072151</v>
      </c>
      <c r="CR24" s="798">
        <f t="shared" si="31"/>
        <v>0.16046176046176047</v>
      </c>
      <c r="CS24" s="798">
        <f t="shared" si="32"/>
        <v>0.16883116883116883</v>
      </c>
      <c r="CT24" s="798">
        <f t="shared" si="33"/>
        <v>0.36075036075036077</v>
      </c>
      <c r="DA24" s="13"/>
      <c r="DB24" s="13"/>
      <c r="DC24" s="13"/>
      <c r="DD24" s="13"/>
      <c r="DE24" s="13"/>
      <c r="DF24" s="13"/>
      <c r="DG24" s="13"/>
      <c r="DH24" s="13"/>
      <c r="DI24" s="13"/>
      <c r="DJ24" s="13"/>
      <c r="DK24" s="13"/>
      <c r="DL24" s="13"/>
    </row>
    <row r="25" spans="1:116">
      <c r="A25" s="132" t="str">
        <f>'Monthly HC &amp; Prodn Working'!B27</f>
        <v>R&amp;D (PD)</v>
      </c>
      <c r="B25" s="9">
        <f>'Monthly HC &amp; Prodn Working'!D27</f>
        <v>38</v>
      </c>
      <c r="C25" s="802">
        <v>22</v>
      </c>
      <c r="D25" s="803">
        <v>9</v>
      </c>
      <c r="E25" s="804">
        <v>7</v>
      </c>
      <c r="F25" s="805"/>
      <c r="G25" s="9">
        <f t="shared" si="6"/>
        <v>38</v>
      </c>
      <c r="H25" s="9">
        <f>'Monthly HC &amp; Prodn Working'!E27</f>
        <v>38</v>
      </c>
      <c r="I25" s="802">
        <v>22</v>
      </c>
      <c r="J25" s="803">
        <v>9</v>
      </c>
      <c r="K25" s="804">
        <v>7</v>
      </c>
      <c r="L25" s="805"/>
      <c r="M25" s="9">
        <f t="shared" si="7"/>
        <v>38</v>
      </c>
      <c r="N25" s="9">
        <f>'Monthly HC &amp; Prodn Working'!F27</f>
        <v>38</v>
      </c>
      <c r="O25" s="802">
        <v>22</v>
      </c>
      <c r="P25" s="803">
        <v>9</v>
      </c>
      <c r="Q25" s="804">
        <v>7</v>
      </c>
      <c r="R25" s="805"/>
      <c r="S25" s="9">
        <f t="shared" si="8"/>
        <v>38</v>
      </c>
      <c r="T25" s="9">
        <f>'Monthly HC &amp; Prodn Working'!G27</f>
        <v>38</v>
      </c>
      <c r="U25" s="802">
        <v>22</v>
      </c>
      <c r="V25" s="803">
        <v>9</v>
      </c>
      <c r="W25" s="804">
        <v>7</v>
      </c>
      <c r="X25" s="805"/>
      <c r="Y25" s="9">
        <f t="shared" si="9"/>
        <v>38</v>
      </c>
      <c r="Z25" s="9">
        <f>'Monthly HC &amp; Prodn Working'!H27</f>
        <v>38</v>
      </c>
      <c r="AA25" s="802">
        <v>22</v>
      </c>
      <c r="AB25" s="803">
        <v>9</v>
      </c>
      <c r="AC25" s="804">
        <v>7</v>
      </c>
      <c r="AD25" s="805"/>
      <c r="AE25" s="9">
        <f t="shared" si="10"/>
        <v>38</v>
      </c>
      <c r="AF25" s="9">
        <f>'Monthly HC &amp; Prodn Working'!I27</f>
        <v>38</v>
      </c>
      <c r="AG25" s="802">
        <v>22</v>
      </c>
      <c r="AH25" s="803">
        <v>9</v>
      </c>
      <c r="AI25" s="804">
        <v>7</v>
      </c>
      <c r="AJ25" s="805"/>
      <c r="AK25" s="9">
        <f t="shared" si="11"/>
        <v>38</v>
      </c>
      <c r="AL25" s="9">
        <f>'Monthly HC &amp; Prodn Working'!J27</f>
        <v>38</v>
      </c>
      <c r="AM25" s="802">
        <v>22</v>
      </c>
      <c r="AN25" s="803">
        <v>9</v>
      </c>
      <c r="AO25" s="804">
        <v>7</v>
      </c>
      <c r="AP25" s="805"/>
      <c r="AQ25" s="9">
        <f t="shared" si="12"/>
        <v>38</v>
      </c>
      <c r="AR25" s="9">
        <f>'Monthly HC &amp; Prodn Working'!K27</f>
        <v>38</v>
      </c>
      <c r="AS25" s="802">
        <v>22</v>
      </c>
      <c r="AT25" s="803">
        <v>9</v>
      </c>
      <c r="AU25" s="804">
        <v>7</v>
      </c>
      <c r="AV25" s="805"/>
      <c r="AW25" s="9">
        <f t="shared" si="13"/>
        <v>38</v>
      </c>
      <c r="AX25" s="9">
        <f>'Monthly HC &amp; Prodn Working'!L27</f>
        <v>38</v>
      </c>
      <c r="AY25" s="802">
        <v>22</v>
      </c>
      <c r="AZ25" s="803">
        <v>9</v>
      </c>
      <c r="BA25" s="804">
        <v>7</v>
      </c>
      <c r="BB25" s="805"/>
      <c r="BC25" s="9">
        <f t="shared" si="14"/>
        <v>38</v>
      </c>
      <c r="BD25" s="9">
        <f>'Monthly HC &amp; Prodn Working'!M27</f>
        <v>38</v>
      </c>
      <c r="BE25" s="802">
        <v>22</v>
      </c>
      <c r="BF25" s="803">
        <v>9</v>
      </c>
      <c r="BG25" s="804">
        <v>7</v>
      </c>
      <c r="BH25" s="805"/>
      <c r="BI25" s="9">
        <f t="shared" si="15"/>
        <v>38</v>
      </c>
      <c r="BJ25" s="9">
        <f>'Monthly HC &amp; Prodn Working'!N27</f>
        <v>38</v>
      </c>
      <c r="BK25" s="802">
        <v>22</v>
      </c>
      <c r="BL25" s="803">
        <v>9</v>
      </c>
      <c r="BM25" s="804">
        <v>7</v>
      </c>
      <c r="BN25" s="805"/>
      <c r="BO25" s="9">
        <f t="shared" si="16"/>
        <v>38</v>
      </c>
      <c r="BP25" s="9">
        <f>'Monthly HC &amp; Prodn Working'!O27</f>
        <v>38</v>
      </c>
      <c r="BQ25" s="802">
        <v>22</v>
      </c>
      <c r="BR25" s="803">
        <v>9</v>
      </c>
      <c r="BS25" s="804">
        <v>7</v>
      </c>
      <c r="BT25" s="805"/>
      <c r="BU25" s="9">
        <f t="shared" si="17"/>
        <v>38</v>
      </c>
      <c r="BV25" s="989"/>
      <c r="BW25" s="13"/>
      <c r="BX25" s="10">
        <f t="shared" si="0"/>
        <v>38</v>
      </c>
      <c r="BY25" s="802">
        <f t="shared" si="1"/>
        <v>22</v>
      </c>
      <c r="BZ25" s="803">
        <f t="shared" si="2"/>
        <v>9</v>
      </c>
      <c r="CA25" s="804">
        <f t="shared" si="3"/>
        <v>7</v>
      </c>
      <c r="CB25" s="805" t="str">
        <f t="shared" si="4"/>
        <v/>
      </c>
      <c r="CC25" s="9">
        <f t="shared" si="5"/>
        <v>38</v>
      </c>
      <c r="CD25" s="980"/>
      <c r="CE25" s="13"/>
      <c r="CF25" s="10"/>
      <c r="CG25" s="798"/>
      <c r="CI25" s="767">
        <v>46266</v>
      </c>
      <c r="CJ25" s="43">
        <f t="shared" si="25"/>
        <v>1735.5</v>
      </c>
      <c r="CK25" s="43">
        <f t="shared" si="26"/>
        <v>554</v>
      </c>
      <c r="CL25" s="43">
        <f t="shared" si="27"/>
        <v>288</v>
      </c>
      <c r="CM25" s="43">
        <f t="shared" si="28"/>
        <v>307.5</v>
      </c>
      <c r="CN25" s="43">
        <f t="shared" si="29"/>
        <v>605</v>
      </c>
      <c r="CQ25" s="798">
        <f t="shared" si="30"/>
        <v>0.3192163641601844</v>
      </c>
      <c r="CR25" s="798">
        <f t="shared" si="31"/>
        <v>0.16594641313742436</v>
      </c>
      <c r="CS25" s="798">
        <f t="shared" si="32"/>
        <v>0.17718236819360414</v>
      </c>
      <c r="CT25" s="798">
        <f t="shared" si="33"/>
        <v>0.34860270815326994</v>
      </c>
      <c r="DA25" s="13"/>
      <c r="DB25" s="13"/>
      <c r="DC25" s="13"/>
      <c r="DD25" s="13"/>
      <c r="DE25" s="13"/>
      <c r="DF25" s="13"/>
      <c r="DG25" s="13"/>
      <c r="DH25" s="13"/>
      <c r="DI25" s="13"/>
      <c r="DJ25" s="13"/>
      <c r="DK25" s="13"/>
      <c r="DL25" s="13"/>
    </row>
    <row r="26" spans="1:116">
      <c r="A26" s="132" t="str">
        <f>'Monthly HC &amp; Prodn Working'!B29</f>
        <v>SCM (Stores &amp; WH)</v>
      </c>
      <c r="B26" s="9">
        <f>'Monthly HC &amp; Prodn Working'!D29</f>
        <v>70</v>
      </c>
      <c r="C26" s="802">
        <v>28</v>
      </c>
      <c r="D26" s="803">
        <v>5</v>
      </c>
      <c r="E26" s="804">
        <v>37</v>
      </c>
      <c r="F26" s="805"/>
      <c r="G26" s="9">
        <f t="shared" si="6"/>
        <v>70</v>
      </c>
      <c r="H26" s="9">
        <f>'Monthly HC &amp; Prodn Working'!E29</f>
        <v>70</v>
      </c>
      <c r="I26" s="802">
        <v>28</v>
      </c>
      <c r="J26" s="803">
        <v>5</v>
      </c>
      <c r="K26" s="804">
        <v>37</v>
      </c>
      <c r="L26" s="805"/>
      <c r="M26" s="9">
        <f t="shared" si="7"/>
        <v>70</v>
      </c>
      <c r="N26" s="9">
        <f>'Monthly HC &amp; Prodn Working'!F29</f>
        <v>70</v>
      </c>
      <c r="O26" s="802">
        <v>28</v>
      </c>
      <c r="P26" s="803">
        <v>5</v>
      </c>
      <c r="Q26" s="804">
        <v>37</v>
      </c>
      <c r="R26" s="805"/>
      <c r="S26" s="9">
        <f t="shared" si="8"/>
        <v>70</v>
      </c>
      <c r="T26" s="9">
        <f>'Monthly HC &amp; Prodn Working'!G29</f>
        <v>70</v>
      </c>
      <c r="U26" s="802">
        <v>28</v>
      </c>
      <c r="V26" s="803">
        <v>5</v>
      </c>
      <c r="W26" s="804">
        <v>37</v>
      </c>
      <c r="X26" s="805"/>
      <c r="Y26" s="9">
        <f t="shared" si="9"/>
        <v>70</v>
      </c>
      <c r="Z26" s="9">
        <f>'Monthly HC &amp; Prodn Working'!H29</f>
        <v>70</v>
      </c>
      <c r="AA26" s="802">
        <v>28</v>
      </c>
      <c r="AB26" s="803">
        <v>5</v>
      </c>
      <c r="AC26" s="804">
        <v>37</v>
      </c>
      <c r="AD26" s="805"/>
      <c r="AE26" s="9">
        <f t="shared" si="10"/>
        <v>70</v>
      </c>
      <c r="AF26" s="9">
        <f>'Monthly HC &amp; Prodn Working'!I29</f>
        <v>70</v>
      </c>
      <c r="AG26" s="802">
        <v>28</v>
      </c>
      <c r="AH26" s="803">
        <v>5</v>
      </c>
      <c r="AI26" s="804">
        <v>37</v>
      </c>
      <c r="AJ26" s="805"/>
      <c r="AK26" s="9">
        <f t="shared" si="11"/>
        <v>70</v>
      </c>
      <c r="AL26" s="9">
        <f>'Monthly HC &amp; Prodn Working'!J29</f>
        <v>70</v>
      </c>
      <c r="AM26" s="802">
        <v>28</v>
      </c>
      <c r="AN26" s="803">
        <v>5</v>
      </c>
      <c r="AO26" s="804">
        <v>37</v>
      </c>
      <c r="AP26" s="805"/>
      <c r="AQ26" s="9">
        <f t="shared" si="12"/>
        <v>70</v>
      </c>
      <c r="AR26" s="9">
        <f>'Monthly HC &amp; Prodn Working'!K29</f>
        <v>70</v>
      </c>
      <c r="AS26" s="802">
        <v>28</v>
      </c>
      <c r="AT26" s="803">
        <v>5</v>
      </c>
      <c r="AU26" s="804">
        <v>37</v>
      </c>
      <c r="AV26" s="805"/>
      <c r="AW26" s="9">
        <f t="shared" si="13"/>
        <v>70</v>
      </c>
      <c r="AX26" s="9">
        <f>'Monthly HC &amp; Prodn Working'!L29</f>
        <v>70</v>
      </c>
      <c r="AY26" s="802">
        <v>28</v>
      </c>
      <c r="AZ26" s="803">
        <v>5</v>
      </c>
      <c r="BA26" s="804">
        <v>37</v>
      </c>
      <c r="BB26" s="805"/>
      <c r="BC26" s="9">
        <f t="shared" si="14"/>
        <v>70</v>
      </c>
      <c r="BD26" s="9">
        <f>'Monthly HC &amp; Prodn Working'!M29</f>
        <v>70</v>
      </c>
      <c r="BE26" s="802">
        <v>28</v>
      </c>
      <c r="BF26" s="803">
        <v>5</v>
      </c>
      <c r="BG26" s="804">
        <v>37</v>
      </c>
      <c r="BH26" s="805"/>
      <c r="BI26" s="9">
        <f t="shared" si="15"/>
        <v>70</v>
      </c>
      <c r="BJ26" s="9">
        <f>'Monthly HC &amp; Prodn Working'!N29</f>
        <v>70</v>
      </c>
      <c r="BK26" s="802">
        <v>28</v>
      </c>
      <c r="BL26" s="803">
        <v>5</v>
      </c>
      <c r="BM26" s="804">
        <v>37</v>
      </c>
      <c r="BN26" s="805"/>
      <c r="BO26" s="9">
        <f t="shared" si="16"/>
        <v>70</v>
      </c>
      <c r="BP26" s="9">
        <f>'Monthly HC &amp; Prodn Working'!O29</f>
        <v>70</v>
      </c>
      <c r="BQ26" s="802">
        <v>28</v>
      </c>
      <c r="BR26" s="803">
        <v>5</v>
      </c>
      <c r="BS26" s="804">
        <v>37</v>
      </c>
      <c r="BT26" s="805"/>
      <c r="BU26" s="9">
        <f t="shared" si="17"/>
        <v>70</v>
      </c>
      <c r="BV26" s="989"/>
      <c r="BW26" s="13"/>
      <c r="BX26" s="10">
        <f t="shared" si="0"/>
        <v>70</v>
      </c>
      <c r="BY26" s="802">
        <f t="shared" si="1"/>
        <v>28</v>
      </c>
      <c r="BZ26" s="803">
        <f t="shared" si="2"/>
        <v>5</v>
      </c>
      <c r="CA26" s="804">
        <f t="shared" si="3"/>
        <v>37</v>
      </c>
      <c r="CB26" s="805" t="str">
        <f t="shared" si="4"/>
        <v/>
      </c>
      <c r="CC26" s="9">
        <f t="shared" si="5"/>
        <v>70</v>
      </c>
      <c r="CD26" s="980"/>
      <c r="CE26" s="13"/>
      <c r="CF26" s="10"/>
      <c r="CG26" s="798"/>
      <c r="CI26" s="767">
        <v>46296</v>
      </c>
      <c r="CJ26" s="43">
        <f t="shared" si="25"/>
        <v>1716.5</v>
      </c>
      <c r="CK26" s="43">
        <f t="shared" si="26"/>
        <v>559</v>
      </c>
      <c r="CL26" s="43">
        <f t="shared" si="27"/>
        <v>273</v>
      </c>
      <c r="CM26" s="43">
        <f t="shared" si="28"/>
        <v>299.5</v>
      </c>
      <c r="CN26" s="43">
        <f t="shared" si="29"/>
        <v>602</v>
      </c>
      <c r="CQ26" s="798">
        <f t="shared" si="30"/>
        <v>0.32566268569764056</v>
      </c>
      <c r="CR26" s="798">
        <f t="shared" si="31"/>
        <v>0.15904456743373144</v>
      </c>
      <c r="CS26" s="798">
        <f t="shared" si="32"/>
        <v>0.17448295951063211</v>
      </c>
      <c r="CT26" s="798">
        <f t="shared" si="33"/>
        <v>0.35071366152053596</v>
      </c>
      <c r="DA26" s="13"/>
      <c r="DB26" s="13"/>
      <c r="DC26" s="13"/>
      <c r="DD26" s="13"/>
      <c r="DE26" s="13"/>
      <c r="DF26" s="13"/>
      <c r="DG26" s="13"/>
      <c r="DH26" s="13"/>
      <c r="DI26" s="13"/>
      <c r="DJ26" s="13"/>
      <c r="DK26" s="13"/>
      <c r="DL26" s="13"/>
    </row>
    <row r="27" spans="1:116">
      <c r="A27" s="132" t="str">
        <f>'Monthly HC &amp; Prodn Working'!B31</f>
        <v>SCM (Stores &amp; WH)</v>
      </c>
      <c r="B27" s="9">
        <f>'Monthly HC &amp; Prodn Working'!D31</f>
        <v>30</v>
      </c>
      <c r="C27" s="802">
        <v>2</v>
      </c>
      <c r="D27" s="803"/>
      <c r="E27" s="804">
        <v>2</v>
      </c>
      <c r="F27" s="805">
        <v>26</v>
      </c>
      <c r="G27" s="9">
        <f t="shared" si="6"/>
        <v>30</v>
      </c>
      <c r="H27" s="9">
        <f>'Monthly HC &amp; Prodn Working'!E31</f>
        <v>30</v>
      </c>
      <c r="I27" s="802">
        <v>2</v>
      </c>
      <c r="J27" s="803"/>
      <c r="K27" s="804">
        <v>2</v>
      </c>
      <c r="L27" s="805">
        <v>26</v>
      </c>
      <c r="M27" s="9">
        <f t="shared" si="7"/>
        <v>30</v>
      </c>
      <c r="N27" s="9">
        <f>'Monthly HC &amp; Prodn Working'!F31</f>
        <v>30</v>
      </c>
      <c r="O27" s="802">
        <v>2</v>
      </c>
      <c r="P27" s="803"/>
      <c r="Q27" s="804">
        <v>2</v>
      </c>
      <c r="R27" s="805">
        <v>26</v>
      </c>
      <c r="S27" s="9">
        <f t="shared" si="8"/>
        <v>30</v>
      </c>
      <c r="T27" s="9">
        <f>'Monthly HC &amp; Prodn Working'!G31</f>
        <v>30</v>
      </c>
      <c r="U27" s="802">
        <v>2</v>
      </c>
      <c r="V27" s="803"/>
      <c r="W27" s="804">
        <v>2</v>
      </c>
      <c r="X27" s="805">
        <v>26</v>
      </c>
      <c r="Y27" s="9">
        <f t="shared" si="9"/>
        <v>30</v>
      </c>
      <c r="Z27" s="9">
        <f>'Monthly HC &amp; Prodn Working'!H31</f>
        <v>30</v>
      </c>
      <c r="AA27" s="802">
        <v>2</v>
      </c>
      <c r="AB27" s="803"/>
      <c r="AC27" s="804">
        <v>2</v>
      </c>
      <c r="AD27" s="805">
        <v>26</v>
      </c>
      <c r="AE27" s="9">
        <f t="shared" si="10"/>
        <v>30</v>
      </c>
      <c r="AF27" s="9">
        <f>'Monthly HC &amp; Prodn Working'!I31</f>
        <v>30</v>
      </c>
      <c r="AG27" s="802">
        <v>2</v>
      </c>
      <c r="AH27" s="803"/>
      <c r="AI27" s="804">
        <v>2</v>
      </c>
      <c r="AJ27" s="805">
        <v>26</v>
      </c>
      <c r="AK27" s="9">
        <f t="shared" si="11"/>
        <v>30</v>
      </c>
      <c r="AL27" s="9">
        <f>'Monthly HC &amp; Prodn Working'!J31</f>
        <v>30</v>
      </c>
      <c r="AM27" s="802">
        <v>2</v>
      </c>
      <c r="AN27" s="803"/>
      <c r="AO27" s="804">
        <v>2</v>
      </c>
      <c r="AP27" s="805">
        <v>26</v>
      </c>
      <c r="AQ27" s="9">
        <f t="shared" si="12"/>
        <v>30</v>
      </c>
      <c r="AR27" s="9">
        <f>'Monthly HC &amp; Prodn Working'!K31</f>
        <v>30</v>
      </c>
      <c r="AS27" s="802">
        <v>2</v>
      </c>
      <c r="AT27" s="803"/>
      <c r="AU27" s="804">
        <v>2</v>
      </c>
      <c r="AV27" s="805">
        <v>26</v>
      </c>
      <c r="AW27" s="9">
        <f t="shared" si="13"/>
        <v>30</v>
      </c>
      <c r="AX27" s="9">
        <f>'Monthly HC &amp; Prodn Working'!L31</f>
        <v>30</v>
      </c>
      <c r="AY27" s="802">
        <v>2</v>
      </c>
      <c r="AZ27" s="803"/>
      <c r="BA27" s="804">
        <v>2</v>
      </c>
      <c r="BB27" s="805">
        <v>26</v>
      </c>
      <c r="BC27" s="9">
        <f t="shared" si="14"/>
        <v>30</v>
      </c>
      <c r="BD27" s="9">
        <f>'Monthly HC &amp; Prodn Working'!M31</f>
        <v>30</v>
      </c>
      <c r="BE27" s="802">
        <v>2</v>
      </c>
      <c r="BF27" s="803"/>
      <c r="BG27" s="804">
        <v>2</v>
      </c>
      <c r="BH27" s="805">
        <v>26</v>
      </c>
      <c r="BI27" s="9">
        <f t="shared" si="15"/>
        <v>30</v>
      </c>
      <c r="BJ27" s="9">
        <f>'Monthly HC &amp; Prodn Working'!N31</f>
        <v>30</v>
      </c>
      <c r="BK27" s="802">
        <v>2</v>
      </c>
      <c r="BL27" s="803"/>
      <c r="BM27" s="804">
        <v>2</v>
      </c>
      <c r="BN27" s="805">
        <v>26</v>
      </c>
      <c r="BO27" s="9">
        <f t="shared" si="16"/>
        <v>30</v>
      </c>
      <c r="BP27" s="9">
        <f>'Monthly HC &amp; Prodn Working'!O31</f>
        <v>30</v>
      </c>
      <c r="BQ27" s="802">
        <v>2</v>
      </c>
      <c r="BR27" s="803"/>
      <c r="BS27" s="804">
        <v>2</v>
      </c>
      <c r="BT27" s="805">
        <v>26</v>
      </c>
      <c r="BU27" s="9">
        <f t="shared" si="17"/>
        <v>30</v>
      </c>
      <c r="BV27" s="18"/>
      <c r="BW27" s="13"/>
      <c r="BX27" s="10">
        <f t="shared" si="0"/>
        <v>30</v>
      </c>
      <c r="BY27" s="802">
        <f t="shared" si="1"/>
        <v>2</v>
      </c>
      <c r="BZ27" s="803" t="str">
        <f t="shared" si="2"/>
        <v/>
      </c>
      <c r="CA27" s="804">
        <f t="shared" si="3"/>
        <v>2</v>
      </c>
      <c r="CB27" s="805">
        <f t="shared" si="4"/>
        <v>26</v>
      </c>
      <c r="CC27" s="9">
        <f t="shared" si="5"/>
        <v>30</v>
      </c>
      <c r="CD27" s="980"/>
      <c r="CE27" s="43">
        <f>CB27*24596*12</f>
        <v>7673952</v>
      </c>
      <c r="CF27" s="10">
        <f>169000*1.68*12</f>
        <v>3407040</v>
      </c>
      <c r="CG27" s="798"/>
      <c r="CI27" s="767">
        <v>46327</v>
      </c>
      <c r="CJ27" s="43">
        <f t="shared" si="25"/>
        <v>1672.5</v>
      </c>
      <c r="CK27" s="43">
        <f t="shared" si="26"/>
        <v>554</v>
      </c>
      <c r="CL27" s="43">
        <f t="shared" si="27"/>
        <v>267</v>
      </c>
      <c r="CM27" s="43">
        <f t="shared" si="28"/>
        <v>294</v>
      </c>
      <c r="CN27" s="43">
        <f t="shared" si="29"/>
        <v>577.5</v>
      </c>
      <c r="CQ27" s="798">
        <f t="shared" si="30"/>
        <v>0.33124065769805683</v>
      </c>
      <c r="CR27" s="798">
        <f t="shared" si="31"/>
        <v>0.15964125560538117</v>
      </c>
      <c r="CS27" s="798">
        <f t="shared" si="32"/>
        <v>0.17578475336322871</v>
      </c>
      <c r="CT27" s="798">
        <f t="shared" si="33"/>
        <v>0.3452914798206278</v>
      </c>
      <c r="DA27" s="13"/>
      <c r="DB27" s="13"/>
      <c r="DC27" s="13"/>
      <c r="DD27" s="13"/>
      <c r="DE27" s="13"/>
      <c r="DF27" s="13"/>
      <c r="DG27" s="13"/>
      <c r="DH27" s="13"/>
      <c r="DI27" s="13"/>
      <c r="DJ27" s="13"/>
      <c r="DK27" s="13"/>
      <c r="DL27" s="13"/>
    </row>
    <row r="28" spans="1:116">
      <c r="A28" s="132" t="str">
        <f>'Monthly HC &amp; Prodn Working'!B32</f>
        <v>Common</v>
      </c>
      <c r="B28" s="9">
        <f>'Monthly HC &amp; Prodn Working'!$D$32-8</f>
        <v>175</v>
      </c>
      <c r="C28" s="802">
        <v>30</v>
      </c>
      <c r="D28" s="803">
        <v>5</v>
      </c>
      <c r="E28" s="804">
        <v>140</v>
      </c>
      <c r="F28" s="805"/>
      <c r="G28" s="9">
        <f t="shared" si="6"/>
        <v>175</v>
      </c>
      <c r="H28" s="9">
        <f>'Monthly HC &amp; Prodn Working'!$D$32-8</f>
        <v>175</v>
      </c>
      <c r="I28" s="802">
        <v>30</v>
      </c>
      <c r="J28" s="803">
        <v>5</v>
      </c>
      <c r="K28" s="804">
        <v>140</v>
      </c>
      <c r="L28" s="805"/>
      <c r="M28" s="9">
        <f t="shared" si="7"/>
        <v>175</v>
      </c>
      <c r="N28" s="9">
        <f>'Monthly HC &amp; Prodn Working'!$D$32-8</f>
        <v>175</v>
      </c>
      <c r="O28" s="802">
        <v>30</v>
      </c>
      <c r="P28" s="803">
        <v>5</v>
      </c>
      <c r="Q28" s="804">
        <v>140</v>
      </c>
      <c r="R28" s="805"/>
      <c r="S28" s="9">
        <f t="shared" si="8"/>
        <v>175</v>
      </c>
      <c r="T28" s="9">
        <f>'Monthly HC &amp; Prodn Working'!$D$32-8</f>
        <v>175</v>
      </c>
      <c r="U28" s="802">
        <v>30</v>
      </c>
      <c r="V28" s="803">
        <v>5</v>
      </c>
      <c r="W28" s="804">
        <v>140</v>
      </c>
      <c r="X28" s="805"/>
      <c r="Y28" s="9">
        <f t="shared" si="9"/>
        <v>175</v>
      </c>
      <c r="Z28" s="9">
        <f>'Monthly HC &amp; Prodn Working'!$D$32-8</f>
        <v>175</v>
      </c>
      <c r="AA28" s="802">
        <v>30</v>
      </c>
      <c r="AB28" s="803">
        <v>5</v>
      </c>
      <c r="AC28" s="804">
        <v>140</v>
      </c>
      <c r="AD28" s="805"/>
      <c r="AE28" s="9">
        <f t="shared" si="10"/>
        <v>175</v>
      </c>
      <c r="AF28" s="9">
        <f>'Monthly HC &amp; Prodn Working'!$D$32-8</f>
        <v>175</v>
      </c>
      <c r="AG28" s="802">
        <v>30</v>
      </c>
      <c r="AH28" s="803">
        <v>5</v>
      </c>
      <c r="AI28" s="804">
        <v>140</v>
      </c>
      <c r="AJ28" s="805"/>
      <c r="AK28" s="9">
        <f t="shared" si="11"/>
        <v>175</v>
      </c>
      <c r="AL28" s="9">
        <f>'Monthly HC &amp; Prodn Working'!$D$32-8</f>
        <v>175</v>
      </c>
      <c r="AM28" s="802">
        <v>30</v>
      </c>
      <c r="AN28" s="803">
        <v>5</v>
      </c>
      <c r="AO28" s="804">
        <v>140</v>
      </c>
      <c r="AP28" s="805"/>
      <c r="AQ28" s="9">
        <f t="shared" si="12"/>
        <v>175</v>
      </c>
      <c r="AR28" s="9">
        <f>'Monthly HC &amp; Prodn Working'!$D$32-8</f>
        <v>175</v>
      </c>
      <c r="AS28" s="802">
        <v>30</v>
      </c>
      <c r="AT28" s="803">
        <v>5</v>
      </c>
      <c r="AU28" s="804">
        <v>140</v>
      </c>
      <c r="AV28" s="805"/>
      <c r="AW28" s="9">
        <f t="shared" si="13"/>
        <v>175</v>
      </c>
      <c r="AX28" s="9">
        <f>'Monthly HC &amp; Prodn Working'!$D$32-8</f>
        <v>175</v>
      </c>
      <c r="AY28" s="802">
        <v>30</v>
      </c>
      <c r="AZ28" s="803">
        <v>5</v>
      </c>
      <c r="BA28" s="804">
        <v>140</v>
      </c>
      <c r="BB28" s="805"/>
      <c r="BC28" s="9">
        <f t="shared" si="14"/>
        <v>175</v>
      </c>
      <c r="BD28" s="9">
        <f>'Monthly HC &amp; Prodn Working'!$D$32-8</f>
        <v>175</v>
      </c>
      <c r="BE28" s="802">
        <v>30</v>
      </c>
      <c r="BF28" s="803">
        <v>5</v>
      </c>
      <c r="BG28" s="804">
        <v>140</v>
      </c>
      <c r="BH28" s="805"/>
      <c r="BI28" s="9">
        <f t="shared" si="15"/>
        <v>175</v>
      </c>
      <c r="BJ28" s="9">
        <f>'Monthly HC &amp; Prodn Working'!$D$32-8</f>
        <v>175</v>
      </c>
      <c r="BK28" s="802">
        <v>30</v>
      </c>
      <c r="BL28" s="803">
        <v>5</v>
      </c>
      <c r="BM28" s="804">
        <v>140</v>
      </c>
      <c r="BN28" s="805"/>
      <c r="BO28" s="9">
        <f t="shared" si="16"/>
        <v>175</v>
      </c>
      <c r="BP28" s="9">
        <f>'Monthly HC &amp; Prodn Working'!$D$32-8</f>
        <v>175</v>
      </c>
      <c r="BQ28" s="802">
        <v>30</v>
      </c>
      <c r="BR28" s="803">
        <v>5</v>
      </c>
      <c r="BS28" s="804">
        <v>140</v>
      </c>
      <c r="BT28" s="805"/>
      <c r="BU28" s="9">
        <f t="shared" si="17"/>
        <v>175</v>
      </c>
      <c r="BV28" s="18"/>
      <c r="BW28" s="13"/>
      <c r="BX28" s="10">
        <f t="shared" si="0"/>
        <v>175</v>
      </c>
      <c r="BY28" s="802">
        <f t="shared" si="1"/>
        <v>30</v>
      </c>
      <c r="BZ28" s="803">
        <f t="shared" si="2"/>
        <v>5</v>
      </c>
      <c r="CA28" s="804">
        <f t="shared" si="3"/>
        <v>140</v>
      </c>
      <c r="CB28" s="805" t="str">
        <f t="shared" si="4"/>
        <v/>
      </c>
      <c r="CC28" s="9">
        <f t="shared" si="5"/>
        <v>175</v>
      </c>
      <c r="CD28" s="980"/>
      <c r="CE28" s="13"/>
      <c r="CF28" s="13"/>
      <c r="CG28" s="798"/>
      <c r="CI28" s="767">
        <v>46357</v>
      </c>
      <c r="CJ28" s="43">
        <f t="shared" si="25"/>
        <v>1699.5</v>
      </c>
      <c r="CK28" s="43">
        <f t="shared" si="26"/>
        <v>574</v>
      </c>
      <c r="CL28" s="43">
        <f t="shared" si="27"/>
        <v>282</v>
      </c>
      <c r="CM28" s="43">
        <f t="shared" si="28"/>
        <v>313</v>
      </c>
      <c r="CN28" s="43">
        <f t="shared" si="29"/>
        <v>550.5</v>
      </c>
      <c r="CQ28" s="798">
        <f t="shared" si="30"/>
        <v>0.33774639599882317</v>
      </c>
      <c r="CR28" s="798">
        <f t="shared" si="31"/>
        <v>0.16593115622241836</v>
      </c>
      <c r="CS28" s="798">
        <f t="shared" si="32"/>
        <v>0.18417181523977641</v>
      </c>
      <c r="CT28" s="798">
        <f t="shared" si="33"/>
        <v>0.32391879964695497</v>
      </c>
      <c r="DA28" s="13"/>
      <c r="DB28" s="13"/>
      <c r="DC28" s="13"/>
      <c r="DD28" s="13"/>
      <c r="DE28" s="13"/>
      <c r="DF28" s="13"/>
      <c r="DG28" s="13"/>
      <c r="DH28" s="13"/>
      <c r="DI28" s="13"/>
      <c r="DJ28" s="13"/>
      <c r="DK28" s="13"/>
      <c r="DL28" s="13"/>
    </row>
    <row r="29" spans="1:116">
      <c r="A29" s="13"/>
      <c r="B29" s="9">
        <f>SUM(B3:B28)</f>
        <v>1637.5</v>
      </c>
      <c r="C29" s="802">
        <f t="shared" ref="C29:BN29" si="34">SUM(C3:C28)</f>
        <v>519</v>
      </c>
      <c r="D29" s="803">
        <f t="shared" si="34"/>
        <v>270</v>
      </c>
      <c r="E29" s="804">
        <f t="shared" si="34"/>
        <v>277.5</v>
      </c>
      <c r="F29" s="805">
        <f t="shared" si="34"/>
        <v>591</v>
      </c>
      <c r="G29" s="9">
        <f t="shared" si="34"/>
        <v>1657.5</v>
      </c>
      <c r="H29" s="9">
        <f t="shared" si="34"/>
        <v>1627</v>
      </c>
      <c r="I29" s="802">
        <f t="shared" si="34"/>
        <v>518</v>
      </c>
      <c r="J29" s="803">
        <f t="shared" si="34"/>
        <v>267</v>
      </c>
      <c r="K29" s="804">
        <f t="shared" si="34"/>
        <v>275</v>
      </c>
      <c r="L29" s="805">
        <f t="shared" si="34"/>
        <v>585</v>
      </c>
      <c r="M29" s="9">
        <f t="shared" si="34"/>
        <v>1645</v>
      </c>
      <c r="N29" s="9">
        <f t="shared" si="34"/>
        <v>1607.5</v>
      </c>
      <c r="O29" s="802">
        <f t="shared" si="34"/>
        <v>519</v>
      </c>
      <c r="P29" s="803">
        <f t="shared" si="34"/>
        <v>258</v>
      </c>
      <c r="Q29" s="804">
        <f t="shared" si="34"/>
        <v>267.5</v>
      </c>
      <c r="R29" s="805">
        <f t="shared" si="34"/>
        <v>578</v>
      </c>
      <c r="S29" s="9">
        <f t="shared" si="34"/>
        <v>1622.5</v>
      </c>
      <c r="T29" s="9">
        <f t="shared" si="34"/>
        <v>1622.5</v>
      </c>
      <c r="U29" s="802">
        <f t="shared" si="34"/>
        <v>522</v>
      </c>
      <c r="V29" s="803">
        <f t="shared" si="34"/>
        <v>262</v>
      </c>
      <c r="W29" s="804">
        <f t="shared" si="34"/>
        <v>275.5</v>
      </c>
      <c r="X29" s="805">
        <f t="shared" si="34"/>
        <v>580</v>
      </c>
      <c r="Y29" s="9">
        <f t="shared" si="34"/>
        <v>1639.5</v>
      </c>
      <c r="Z29" s="9">
        <f t="shared" si="34"/>
        <v>1666.5</v>
      </c>
      <c r="AA29" s="802">
        <f t="shared" si="34"/>
        <v>525</v>
      </c>
      <c r="AB29" s="803">
        <f t="shared" si="34"/>
        <v>278</v>
      </c>
      <c r="AC29" s="804">
        <f t="shared" si="34"/>
        <v>272.5</v>
      </c>
      <c r="AD29" s="805">
        <f t="shared" si="34"/>
        <v>611</v>
      </c>
      <c r="AE29" s="9">
        <f t="shared" si="34"/>
        <v>1686.5</v>
      </c>
      <c r="AF29" s="9">
        <f t="shared" si="34"/>
        <v>1669.5</v>
      </c>
      <c r="AG29" s="802">
        <f t="shared" si="34"/>
        <v>522</v>
      </c>
      <c r="AH29" s="803">
        <f t="shared" si="34"/>
        <v>288</v>
      </c>
      <c r="AI29" s="804">
        <f t="shared" si="34"/>
        <v>287.5</v>
      </c>
      <c r="AJ29" s="805">
        <f t="shared" si="34"/>
        <v>591</v>
      </c>
      <c r="AK29" s="9">
        <f t="shared" si="34"/>
        <v>1688.5</v>
      </c>
      <c r="AL29" s="9">
        <f t="shared" si="34"/>
        <v>1650.5</v>
      </c>
      <c r="AM29" s="802">
        <f t="shared" si="34"/>
        <v>527</v>
      </c>
      <c r="AN29" s="803">
        <f t="shared" si="34"/>
        <v>273</v>
      </c>
      <c r="AO29" s="804">
        <f t="shared" si="34"/>
        <v>279.5</v>
      </c>
      <c r="AP29" s="805">
        <f t="shared" si="34"/>
        <v>588</v>
      </c>
      <c r="AQ29" s="9">
        <f t="shared" si="34"/>
        <v>1667.5</v>
      </c>
      <c r="AR29" s="9">
        <f t="shared" si="34"/>
        <v>1606.5</v>
      </c>
      <c r="AS29" s="802">
        <f t="shared" si="34"/>
        <v>522</v>
      </c>
      <c r="AT29" s="803">
        <f t="shared" si="34"/>
        <v>267</v>
      </c>
      <c r="AU29" s="804">
        <f t="shared" si="34"/>
        <v>274</v>
      </c>
      <c r="AV29" s="805">
        <f t="shared" si="34"/>
        <v>563.5</v>
      </c>
      <c r="AW29" s="9">
        <f t="shared" si="34"/>
        <v>1626.5</v>
      </c>
      <c r="AX29" s="9">
        <f t="shared" si="34"/>
        <v>1633.5</v>
      </c>
      <c r="AY29" s="802">
        <f t="shared" si="34"/>
        <v>542</v>
      </c>
      <c r="AZ29" s="803">
        <f t="shared" si="34"/>
        <v>282</v>
      </c>
      <c r="BA29" s="804">
        <f t="shared" si="34"/>
        <v>293</v>
      </c>
      <c r="BB29" s="805">
        <f t="shared" si="34"/>
        <v>536.5</v>
      </c>
      <c r="BC29" s="9">
        <f t="shared" si="34"/>
        <v>1653.5</v>
      </c>
      <c r="BD29" s="9">
        <f t="shared" si="34"/>
        <v>1559</v>
      </c>
      <c r="BE29" s="802">
        <f t="shared" si="34"/>
        <v>532</v>
      </c>
      <c r="BF29" s="803">
        <f t="shared" si="34"/>
        <v>285</v>
      </c>
      <c r="BG29" s="804">
        <f t="shared" si="34"/>
        <v>280</v>
      </c>
      <c r="BH29" s="805">
        <f t="shared" si="34"/>
        <v>473</v>
      </c>
      <c r="BI29" s="9">
        <f t="shared" si="34"/>
        <v>1570</v>
      </c>
      <c r="BJ29" s="9">
        <f t="shared" si="34"/>
        <v>1612</v>
      </c>
      <c r="BK29" s="802">
        <f t="shared" si="34"/>
        <v>532</v>
      </c>
      <c r="BL29" s="803">
        <f t="shared" si="34"/>
        <v>288</v>
      </c>
      <c r="BM29" s="804">
        <f t="shared" si="34"/>
        <v>292</v>
      </c>
      <c r="BN29" s="805">
        <f t="shared" si="34"/>
        <v>521</v>
      </c>
      <c r="BO29" s="9">
        <f t="shared" ref="BO29:BU29" si="35">SUM(BO3:BO28)</f>
        <v>1633</v>
      </c>
      <c r="BP29" s="9">
        <f t="shared" si="35"/>
        <v>1537.5</v>
      </c>
      <c r="BQ29" s="802">
        <f t="shared" si="35"/>
        <v>528</v>
      </c>
      <c r="BR29" s="803">
        <f t="shared" si="35"/>
        <v>276</v>
      </c>
      <c r="BS29" s="804">
        <f t="shared" si="35"/>
        <v>286</v>
      </c>
      <c r="BT29" s="805">
        <f t="shared" si="35"/>
        <v>466.5</v>
      </c>
      <c r="BU29" s="9">
        <f t="shared" si="35"/>
        <v>1556.5</v>
      </c>
      <c r="BV29" s="18"/>
      <c r="BW29" s="13"/>
      <c r="BX29" s="10">
        <f t="shared" si="0"/>
        <v>1619.125</v>
      </c>
      <c r="BY29" s="802">
        <f t="shared" si="1"/>
        <v>525.66666666666663</v>
      </c>
      <c r="BZ29" s="803">
        <f t="shared" si="2"/>
        <v>274.5</v>
      </c>
      <c r="CA29" s="804">
        <f t="shared" si="3"/>
        <v>280</v>
      </c>
      <c r="CB29" s="805">
        <f t="shared" si="4"/>
        <v>557.04166666666663</v>
      </c>
      <c r="CC29" s="9">
        <f t="shared" si="5"/>
        <v>1637.2083333333333</v>
      </c>
      <c r="CD29" s="980"/>
      <c r="CE29" s="10">
        <f>SUM(CE5:CE28)</f>
        <v>164411962</v>
      </c>
      <c r="CF29" s="43">
        <f>SUM(CF5:CF28)</f>
        <v>140657716.46612209</v>
      </c>
      <c r="CG29" s="850"/>
      <c r="CH29" s="41"/>
      <c r="CI29" s="767">
        <v>46388</v>
      </c>
      <c r="CJ29" s="43">
        <f t="shared" si="25"/>
        <v>1625</v>
      </c>
      <c r="CK29" s="43">
        <f t="shared" si="26"/>
        <v>564</v>
      </c>
      <c r="CL29" s="43">
        <f t="shared" si="27"/>
        <v>285</v>
      </c>
      <c r="CM29" s="43">
        <f t="shared" si="28"/>
        <v>300</v>
      </c>
      <c r="CN29" s="43">
        <f t="shared" si="29"/>
        <v>487</v>
      </c>
      <c r="CQ29" s="798">
        <f t="shared" si="30"/>
        <v>0.34707692307692306</v>
      </c>
      <c r="CR29" s="798">
        <f t="shared" si="31"/>
        <v>0.17538461538461539</v>
      </c>
      <c r="CS29" s="798">
        <f t="shared" si="32"/>
        <v>0.18461538461538463</v>
      </c>
      <c r="CT29" s="798">
        <f t="shared" si="33"/>
        <v>0.2996923076923077</v>
      </c>
      <c r="DA29" s="13"/>
      <c r="DB29" s="13"/>
      <c r="DC29" s="13"/>
      <c r="DD29" s="13"/>
      <c r="DE29" s="13"/>
      <c r="DF29" s="13"/>
      <c r="DG29" s="13"/>
      <c r="DH29" s="13"/>
      <c r="DI29" s="13"/>
      <c r="DJ29" s="13"/>
      <c r="DK29" s="13"/>
      <c r="DL29" s="13"/>
    </row>
    <row r="30" spans="1:116">
      <c r="A30" s="13"/>
      <c r="B30" s="777"/>
      <c r="C30" s="806"/>
      <c r="D30" s="588"/>
      <c r="E30" s="807"/>
      <c r="F30" s="590"/>
      <c r="G30" s="777"/>
      <c r="H30" s="777"/>
      <c r="I30" s="806"/>
      <c r="J30" s="588"/>
      <c r="K30" s="807"/>
      <c r="L30" s="590"/>
      <c r="M30" s="777"/>
      <c r="N30" s="777"/>
      <c r="O30" s="806"/>
      <c r="P30" s="588"/>
      <c r="Q30" s="807"/>
      <c r="R30" s="590"/>
      <c r="S30" s="777"/>
      <c r="T30" s="777"/>
      <c r="U30" s="806"/>
      <c r="V30" s="588"/>
      <c r="W30" s="807"/>
      <c r="X30" s="590"/>
      <c r="Y30" s="777"/>
      <c r="Z30" s="777"/>
      <c r="AA30" s="806"/>
      <c r="AB30" s="588"/>
      <c r="AC30" s="807"/>
      <c r="AD30" s="590"/>
      <c r="AE30" s="777"/>
      <c r="AF30" s="777"/>
      <c r="AG30" s="806"/>
      <c r="AH30" s="588"/>
      <c r="AI30" s="807"/>
      <c r="AJ30" s="590"/>
      <c r="AK30" s="777"/>
      <c r="AL30" s="777"/>
      <c r="AM30" s="806"/>
      <c r="AN30" s="588"/>
      <c r="AO30" s="807"/>
      <c r="AP30" s="590"/>
      <c r="AQ30" s="777"/>
      <c r="AR30" s="777"/>
      <c r="AS30" s="806"/>
      <c r="AT30" s="588"/>
      <c r="AU30" s="807"/>
      <c r="AV30" s="590"/>
      <c r="AW30" s="777"/>
      <c r="AX30" s="777"/>
      <c r="AY30" s="806"/>
      <c r="AZ30" s="588"/>
      <c r="BA30" s="807"/>
      <c r="BB30" s="590"/>
      <c r="BC30" s="777"/>
      <c r="BD30" s="777"/>
      <c r="BE30" s="806"/>
      <c r="BF30" s="588"/>
      <c r="BG30" s="807"/>
      <c r="BH30" s="590"/>
      <c r="BI30" s="777"/>
      <c r="BJ30" s="777"/>
      <c r="BK30" s="806"/>
      <c r="BL30" s="588"/>
      <c r="BM30" s="807"/>
      <c r="BN30" s="590"/>
      <c r="BO30" s="777"/>
      <c r="BP30" s="777"/>
      <c r="BQ30" s="806"/>
      <c r="BR30" s="588"/>
      <c r="BS30" s="807"/>
      <c r="BT30" s="590"/>
      <c r="BU30" s="777"/>
      <c r="BV30" s="15"/>
      <c r="BW30" s="13"/>
      <c r="BX30" s="10"/>
      <c r="BY30" s="802"/>
      <c r="BZ30" s="803"/>
      <c r="CA30" s="804"/>
      <c r="CB30" s="805">
        <v>590</v>
      </c>
      <c r="CC30" s="9"/>
      <c r="CD30" s="980"/>
      <c r="CE30" s="43">
        <f>CB30*24596*12</f>
        <v>174139680</v>
      </c>
      <c r="CF30" s="43">
        <f>CF29-173200000</f>
        <v>-32542283.533877909</v>
      </c>
      <c r="CI30" s="767">
        <v>46419</v>
      </c>
      <c r="CJ30" s="43">
        <f t="shared" si="25"/>
        <v>1678</v>
      </c>
      <c r="CK30" s="43">
        <f t="shared" si="26"/>
        <v>564</v>
      </c>
      <c r="CL30" s="43">
        <f t="shared" si="27"/>
        <v>288</v>
      </c>
      <c r="CM30" s="43">
        <f t="shared" si="28"/>
        <v>312</v>
      </c>
      <c r="CN30" s="43">
        <f t="shared" si="29"/>
        <v>535</v>
      </c>
      <c r="CQ30" s="798">
        <f t="shared" si="30"/>
        <v>0.3361144219308701</v>
      </c>
      <c r="CR30" s="798">
        <f t="shared" si="31"/>
        <v>0.17163289630512515</v>
      </c>
      <c r="CS30" s="798">
        <f t="shared" si="32"/>
        <v>0.18593563766388557</v>
      </c>
      <c r="CT30" s="798">
        <f t="shared" si="33"/>
        <v>0.31883194278903454</v>
      </c>
      <c r="DA30" s="13"/>
      <c r="DB30" s="13"/>
      <c r="DC30" s="13"/>
      <c r="DD30" s="13"/>
      <c r="DE30" s="13"/>
      <c r="DF30" s="13"/>
      <c r="DG30" s="13"/>
      <c r="DH30" s="13"/>
      <c r="DI30" s="13"/>
      <c r="DJ30" s="13"/>
      <c r="DK30" s="13"/>
      <c r="DL30" s="13"/>
    </row>
    <row r="31" spans="1:116">
      <c r="A31" s="13"/>
      <c r="B31" s="777"/>
      <c r="C31" s="806"/>
      <c r="D31" s="588"/>
      <c r="E31" s="807"/>
      <c r="F31" s="590"/>
      <c r="G31" s="777"/>
      <c r="H31" s="777"/>
      <c r="I31" s="806"/>
      <c r="J31" s="588"/>
      <c r="K31" s="807"/>
      <c r="L31" s="590"/>
      <c r="M31" s="777"/>
      <c r="N31" s="777"/>
      <c r="O31" s="806"/>
      <c r="P31" s="588"/>
      <c r="Q31" s="807"/>
      <c r="R31" s="590"/>
      <c r="S31" s="777"/>
      <c r="T31" s="777"/>
      <c r="U31" s="806"/>
      <c r="V31" s="588"/>
      <c r="W31" s="807"/>
      <c r="X31" s="590"/>
      <c r="Y31" s="777"/>
      <c r="Z31" s="777"/>
      <c r="AA31" s="806"/>
      <c r="AB31" s="588"/>
      <c r="AC31" s="807"/>
      <c r="AD31" s="590"/>
      <c r="AE31" s="777"/>
      <c r="AF31" s="777"/>
      <c r="AG31" s="806"/>
      <c r="AH31" s="588"/>
      <c r="AI31" s="807"/>
      <c r="AJ31" s="590"/>
      <c r="AK31" s="777"/>
      <c r="AL31" s="777"/>
      <c r="AM31" s="806"/>
      <c r="AN31" s="588"/>
      <c r="AO31" s="807"/>
      <c r="AP31" s="590"/>
      <c r="AQ31" s="777"/>
      <c r="AR31" s="777"/>
      <c r="AS31" s="806"/>
      <c r="AT31" s="588"/>
      <c r="AU31" s="807"/>
      <c r="AV31" s="590"/>
      <c r="AW31" s="777"/>
      <c r="AX31" s="777"/>
      <c r="AY31" s="806"/>
      <c r="AZ31" s="588"/>
      <c r="BA31" s="807"/>
      <c r="BB31" s="590"/>
      <c r="BC31" s="777"/>
      <c r="BD31" s="777"/>
      <c r="BE31" s="806"/>
      <c r="BF31" s="588"/>
      <c r="BG31" s="807"/>
      <c r="BH31" s="590"/>
      <c r="BI31" s="777"/>
      <c r="BJ31" s="777"/>
      <c r="BK31" s="806"/>
      <c r="BL31" s="588"/>
      <c r="BM31" s="807"/>
      <c r="BN31" s="590"/>
      <c r="BO31" s="777"/>
      <c r="BP31" s="777"/>
      <c r="BQ31" s="806"/>
      <c r="BR31" s="588"/>
      <c r="BS31" s="807"/>
      <c r="BT31" s="590"/>
      <c r="BU31" s="777"/>
      <c r="BV31" s="15"/>
      <c r="BW31" s="13"/>
      <c r="BX31" s="10"/>
      <c r="BY31" s="802"/>
      <c r="BZ31" s="803"/>
      <c r="CA31" s="804"/>
      <c r="CB31" s="805"/>
      <c r="CC31" s="9"/>
      <c r="CD31" s="980"/>
      <c r="CE31" s="308"/>
      <c r="CF31" s="13"/>
      <c r="CI31" s="767">
        <v>46447</v>
      </c>
      <c r="CJ31" s="43">
        <f t="shared" si="25"/>
        <v>1603.5</v>
      </c>
      <c r="CK31" s="43">
        <f t="shared" si="26"/>
        <v>560</v>
      </c>
      <c r="CL31" s="43">
        <f t="shared" si="27"/>
        <v>276</v>
      </c>
      <c r="CM31" s="43">
        <f t="shared" si="28"/>
        <v>306</v>
      </c>
      <c r="CN31" s="43">
        <f t="shared" si="29"/>
        <v>480.5</v>
      </c>
      <c r="CQ31" s="798">
        <f t="shared" si="30"/>
        <v>0.34923604614904896</v>
      </c>
      <c r="CR31" s="798">
        <f t="shared" si="31"/>
        <v>0.17212347988774557</v>
      </c>
      <c r="CS31" s="798">
        <f t="shared" si="32"/>
        <v>0.19083255378858746</v>
      </c>
      <c r="CT31" s="798">
        <f t="shared" si="33"/>
        <v>0.29965700031181791</v>
      </c>
      <c r="DA31" s="13"/>
      <c r="DB31" s="13"/>
      <c r="DC31" s="13"/>
      <c r="DD31" s="13"/>
      <c r="DE31" s="13"/>
      <c r="DF31" s="13"/>
      <c r="DG31" s="13"/>
      <c r="DH31" s="13"/>
      <c r="DI31" s="13"/>
      <c r="DJ31" s="13"/>
      <c r="DK31" s="13"/>
      <c r="DL31" s="13"/>
    </row>
    <row r="32" spans="1:116">
      <c r="A32" s="13" t="str">
        <f>'Monthly HC &amp; Prodn Working'!B23</f>
        <v>TQM</v>
      </c>
      <c r="B32" s="9">
        <f>'Monthly HC &amp; Prodn Working'!D23</f>
        <v>4</v>
      </c>
      <c r="C32" s="802">
        <v>4</v>
      </c>
      <c r="D32" s="803"/>
      <c r="E32" s="804"/>
      <c r="F32" s="805"/>
      <c r="G32" s="9">
        <f t="shared" ref="G32:G37" si="36">SUM(C32:F32)</f>
        <v>4</v>
      </c>
      <c r="H32" s="9">
        <f>'Monthly HC &amp; Prodn Working'!E23</f>
        <v>4</v>
      </c>
      <c r="I32" s="802">
        <v>4</v>
      </c>
      <c r="J32" s="803"/>
      <c r="K32" s="804"/>
      <c r="L32" s="805"/>
      <c r="M32" s="9">
        <f t="shared" ref="M32:M37" si="37">SUM(I32:L32)</f>
        <v>4</v>
      </c>
      <c r="N32" s="9">
        <f>'Monthly HC &amp; Prodn Working'!F23</f>
        <v>4</v>
      </c>
      <c r="O32" s="802">
        <v>4</v>
      </c>
      <c r="P32" s="803"/>
      <c r="Q32" s="804"/>
      <c r="R32" s="805"/>
      <c r="S32" s="9">
        <f t="shared" ref="S32:S37" si="38">SUM(O32:R32)</f>
        <v>4</v>
      </c>
      <c r="T32" s="9">
        <f>'Monthly HC &amp; Prodn Working'!G23</f>
        <v>4</v>
      </c>
      <c r="U32" s="802">
        <v>4</v>
      </c>
      <c r="V32" s="803"/>
      <c r="W32" s="804"/>
      <c r="X32" s="805"/>
      <c r="Y32" s="9">
        <f t="shared" ref="Y32:Y37" si="39">SUM(U32:X32)</f>
        <v>4</v>
      </c>
      <c r="Z32" s="9">
        <f>'Monthly HC &amp; Prodn Working'!H23</f>
        <v>4</v>
      </c>
      <c r="AA32" s="802">
        <v>4</v>
      </c>
      <c r="AB32" s="803"/>
      <c r="AC32" s="804"/>
      <c r="AD32" s="805"/>
      <c r="AE32" s="9">
        <f t="shared" ref="AE32:AE37" si="40">SUM(AA32:AD32)</f>
        <v>4</v>
      </c>
      <c r="AF32" s="9">
        <f>'Monthly HC &amp; Prodn Working'!I23</f>
        <v>4</v>
      </c>
      <c r="AG32" s="802">
        <v>4</v>
      </c>
      <c r="AH32" s="803"/>
      <c r="AI32" s="804"/>
      <c r="AJ32" s="805"/>
      <c r="AK32" s="9">
        <f t="shared" ref="AK32:AK37" si="41">SUM(AG32:AJ32)</f>
        <v>4</v>
      </c>
      <c r="AL32" s="9">
        <f>'Monthly HC &amp; Prodn Working'!J23</f>
        <v>4</v>
      </c>
      <c r="AM32" s="802">
        <v>4</v>
      </c>
      <c r="AN32" s="803"/>
      <c r="AO32" s="804"/>
      <c r="AP32" s="805"/>
      <c r="AQ32" s="9">
        <f t="shared" ref="AQ32:AQ37" si="42">SUM(AM32:AP32)</f>
        <v>4</v>
      </c>
      <c r="AR32" s="9">
        <f>'Monthly HC &amp; Prodn Working'!K23</f>
        <v>4</v>
      </c>
      <c r="AS32" s="802">
        <v>4</v>
      </c>
      <c r="AT32" s="803"/>
      <c r="AU32" s="804"/>
      <c r="AV32" s="805"/>
      <c r="AW32" s="9">
        <f t="shared" ref="AW32:AW37" si="43">SUM(AS32:AV32)</f>
        <v>4</v>
      </c>
      <c r="AX32" s="9">
        <f>'Monthly HC &amp; Prodn Working'!L23</f>
        <v>4</v>
      </c>
      <c r="AY32" s="802">
        <v>4</v>
      </c>
      <c r="AZ32" s="803"/>
      <c r="BA32" s="804"/>
      <c r="BB32" s="805"/>
      <c r="BC32" s="9">
        <f t="shared" ref="BC32:BC37" si="44">SUM(AY32:BB32)</f>
        <v>4</v>
      </c>
      <c r="BD32" s="9">
        <f>'Monthly HC &amp; Prodn Working'!M23</f>
        <v>4</v>
      </c>
      <c r="BE32" s="802">
        <v>4</v>
      </c>
      <c r="BF32" s="803"/>
      <c r="BG32" s="804"/>
      <c r="BH32" s="805"/>
      <c r="BI32" s="9">
        <f t="shared" ref="BI32:BI37" si="45">SUM(BE32:BH32)</f>
        <v>4</v>
      </c>
      <c r="BJ32" s="9">
        <f>'Monthly HC &amp; Prodn Working'!N23</f>
        <v>4</v>
      </c>
      <c r="BK32" s="802">
        <v>4</v>
      </c>
      <c r="BL32" s="803"/>
      <c r="BM32" s="804"/>
      <c r="BN32" s="805"/>
      <c r="BO32" s="9">
        <f t="shared" ref="BO32:BO37" si="46">SUM(BK32:BN32)</f>
        <v>4</v>
      </c>
      <c r="BP32" s="9">
        <f>'Monthly HC &amp; Prodn Working'!O23</f>
        <v>4</v>
      </c>
      <c r="BQ32" s="802">
        <v>4</v>
      </c>
      <c r="BR32" s="803"/>
      <c r="BS32" s="804"/>
      <c r="BT32" s="805"/>
      <c r="BU32" s="9">
        <f t="shared" ref="BU32:BU37" si="47">SUM(BQ32:BT32)</f>
        <v>4</v>
      </c>
      <c r="BV32" s="18"/>
      <c r="BW32" s="13"/>
      <c r="BX32" s="10">
        <f t="shared" ref="BX32:BX38" si="48">IFERROR((AVERAGE(B32,H32,N32,T32,Z32,AF32,AL32,AR32,AX32,BD32,BJ32,BP32)),"")</f>
        <v>4</v>
      </c>
      <c r="BY32" s="802">
        <f t="shared" ref="BY32:BY38" si="49">IFERROR((AVERAGE(C32,I32,O32,U32,AA32,AG32,AM32,AS32,AY32,BE32,BK32,BQ32)),"")</f>
        <v>4</v>
      </c>
      <c r="BZ32" s="803" t="str">
        <f t="shared" ref="BZ32:BZ37" si="50">IFERROR((AVERAGE(D32,J32,P32,V32,AB32,AH32,AN32,AT32,AZ32,BF32,BL32,BR32)),"")</f>
        <v/>
      </c>
      <c r="CA32" s="804" t="str">
        <f t="shared" ref="CA32:CA38" si="51">IFERROR((AVERAGE(E32,K32,Q32,W32,AC32,AI32,AO32,AU32,BA32,BG32,BM32,BS32)),"")</f>
        <v/>
      </c>
      <c r="CB32" s="805" t="str">
        <f t="shared" ref="CB32:CB38" si="52">IFERROR((AVERAGE(F32,L32,R32,X32,AD32,AJ32,AP32,AV32,BB32,BH32,BN32,BT32)),"")</f>
        <v/>
      </c>
      <c r="CC32" s="9">
        <f t="shared" ref="CC32:CC38" si="53">IFERROR((AVERAGE(G32,M32,S32,Y32,AE32,AK32,AQ32,AW32,BC32,BI32,BO32,BU32)),"")</f>
        <v>4</v>
      </c>
      <c r="CD32" s="980"/>
      <c r="CE32" s="13"/>
      <c r="CF32" s="13"/>
      <c r="CI32" s="964" t="s">
        <v>266</v>
      </c>
      <c r="CJ32" s="43">
        <f>AVERAGE(CJ20:CJ31)</f>
        <v>1685.125</v>
      </c>
      <c r="CK32" s="43">
        <f>AVERAGE(CK20:CK31)</f>
        <v>557.66666666666663</v>
      </c>
      <c r="CL32" s="43">
        <f>AVERAGE(CL20:CL31)</f>
        <v>274.5</v>
      </c>
      <c r="CM32" s="43">
        <f>AVERAGE(CM20:CM31)</f>
        <v>300</v>
      </c>
      <c r="CN32" s="43">
        <f>AVERAGE(CN20:CN31)</f>
        <v>571.04166666666663</v>
      </c>
      <c r="CQ32" s="809">
        <f t="shared" ref="CQ32:CT32" si="54">AVERAGE(CQ20:CQ31)</f>
        <v>0.33112208111192493</v>
      </c>
      <c r="CR32" s="809">
        <f t="shared" si="54"/>
        <v>0.16297556551360909</v>
      </c>
      <c r="CS32" s="809">
        <f t="shared" si="54"/>
        <v>0.17812725227062812</v>
      </c>
      <c r="CT32" s="809">
        <f t="shared" si="54"/>
        <v>0.33849669855152076</v>
      </c>
      <c r="DA32" s="13"/>
      <c r="DB32" s="13"/>
      <c r="DC32" s="13"/>
      <c r="DD32" s="13"/>
      <c r="DE32" s="13"/>
      <c r="DF32" s="13"/>
      <c r="DG32" s="13"/>
      <c r="DH32" s="13"/>
      <c r="DI32" s="13"/>
      <c r="DJ32" s="13"/>
      <c r="DK32" s="13"/>
      <c r="DL32" s="13"/>
    </row>
    <row r="33" spans="1:142">
      <c r="A33" s="13" t="str">
        <f>'Monthly HC &amp; Prodn Working'!B25</f>
        <v>Engg.</v>
      </c>
      <c r="B33" s="9">
        <f>'Monthly HC &amp; Prodn Working'!D25</f>
        <v>4</v>
      </c>
      <c r="C33" s="802">
        <v>4</v>
      </c>
      <c r="D33" s="803"/>
      <c r="E33" s="804"/>
      <c r="F33" s="805"/>
      <c r="G33" s="9">
        <f t="shared" si="36"/>
        <v>4</v>
      </c>
      <c r="H33" s="9">
        <f>'Monthly HC &amp; Prodn Working'!E25</f>
        <v>4</v>
      </c>
      <c r="I33" s="802">
        <v>4</v>
      </c>
      <c r="J33" s="803"/>
      <c r="K33" s="804"/>
      <c r="L33" s="805"/>
      <c r="M33" s="9">
        <f t="shared" si="37"/>
        <v>4</v>
      </c>
      <c r="N33" s="9">
        <f>'Monthly HC &amp; Prodn Working'!F25</f>
        <v>4</v>
      </c>
      <c r="O33" s="802">
        <v>4</v>
      </c>
      <c r="P33" s="803"/>
      <c r="Q33" s="804"/>
      <c r="R33" s="805"/>
      <c r="S33" s="9">
        <f t="shared" si="38"/>
        <v>4</v>
      </c>
      <c r="T33" s="9">
        <f>'Monthly HC &amp; Prodn Working'!G25</f>
        <v>4</v>
      </c>
      <c r="U33" s="802">
        <v>4</v>
      </c>
      <c r="V33" s="803"/>
      <c r="W33" s="804"/>
      <c r="X33" s="805"/>
      <c r="Y33" s="9">
        <f t="shared" si="39"/>
        <v>4</v>
      </c>
      <c r="Z33" s="9">
        <f>'Monthly HC &amp; Prodn Working'!H25</f>
        <v>4</v>
      </c>
      <c r="AA33" s="802">
        <v>4</v>
      </c>
      <c r="AB33" s="803"/>
      <c r="AC33" s="804"/>
      <c r="AD33" s="805"/>
      <c r="AE33" s="9">
        <f t="shared" si="40"/>
        <v>4</v>
      </c>
      <c r="AF33" s="9">
        <f>'Monthly HC &amp; Prodn Working'!I25</f>
        <v>4</v>
      </c>
      <c r="AG33" s="802">
        <v>4</v>
      </c>
      <c r="AH33" s="803"/>
      <c r="AI33" s="804"/>
      <c r="AJ33" s="805"/>
      <c r="AK33" s="9">
        <f t="shared" si="41"/>
        <v>4</v>
      </c>
      <c r="AL33" s="9">
        <f>'Monthly HC &amp; Prodn Working'!J25</f>
        <v>4</v>
      </c>
      <c r="AM33" s="802">
        <v>4</v>
      </c>
      <c r="AN33" s="803"/>
      <c r="AO33" s="804"/>
      <c r="AP33" s="805"/>
      <c r="AQ33" s="9">
        <f t="shared" si="42"/>
        <v>4</v>
      </c>
      <c r="AR33" s="9">
        <f>'Monthly HC &amp; Prodn Working'!K25</f>
        <v>4</v>
      </c>
      <c r="AS33" s="802">
        <v>4</v>
      </c>
      <c r="AT33" s="803"/>
      <c r="AU33" s="804"/>
      <c r="AV33" s="805"/>
      <c r="AW33" s="9">
        <f t="shared" si="43"/>
        <v>4</v>
      </c>
      <c r="AX33" s="9">
        <f>'Monthly HC &amp; Prodn Working'!L25</f>
        <v>4</v>
      </c>
      <c r="AY33" s="802">
        <v>4</v>
      </c>
      <c r="AZ33" s="803"/>
      <c r="BA33" s="804"/>
      <c r="BB33" s="805"/>
      <c r="BC33" s="9">
        <f t="shared" si="44"/>
        <v>4</v>
      </c>
      <c r="BD33" s="9">
        <f>'Monthly HC &amp; Prodn Working'!M25</f>
        <v>4</v>
      </c>
      <c r="BE33" s="802">
        <v>4</v>
      </c>
      <c r="BF33" s="803"/>
      <c r="BG33" s="804"/>
      <c r="BH33" s="805"/>
      <c r="BI33" s="9">
        <f t="shared" si="45"/>
        <v>4</v>
      </c>
      <c r="BJ33" s="9">
        <f>'Monthly HC &amp; Prodn Working'!N25</f>
        <v>4</v>
      </c>
      <c r="BK33" s="802">
        <v>4</v>
      </c>
      <c r="BL33" s="803"/>
      <c r="BM33" s="804"/>
      <c r="BN33" s="805"/>
      <c r="BO33" s="9">
        <f t="shared" si="46"/>
        <v>4</v>
      </c>
      <c r="BP33" s="9">
        <f>'Monthly HC &amp; Prodn Working'!O25</f>
        <v>4</v>
      </c>
      <c r="BQ33" s="802">
        <v>4</v>
      </c>
      <c r="BR33" s="803"/>
      <c r="BS33" s="804"/>
      <c r="BT33" s="805"/>
      <c r="BU33" s="9">
        <f t="shared" si="47"/>
        <v>4</v>
      </c>
      <c r="BV33" s="18"/>
      <c r="BW33" s="13"/>
      <c r="BX33" s="10">
        <f t="shared" si="48"/>
        <v>4</v>
      </c>
      <c r="BY33" s="802">
        <f t="shared" si="49"/>
        <v>4</v>
      </c>
      <c r="BZ33" s="803" t="str">
        <f t="shared" si="50"/>
        <v/>
      </c>
      <c r="CA33" s="804" t="str">
        <f t="shared" si="51"/>
        <v/>
      </c>
      <c r="CB33" s="805" t="str">
        <f t="shared" si="52"/>
        <v/>
      </c>
      <c r="CC33" s="9">
        <f t="shared" si="53"/>
        <v>4</v>
      </c>
      <c r="CD33" s="980"/>
      <c r="CE33" s="13"/>
      <c r="CF33" s="13"/>
      <c r="CI33" s="964" t="s">
        <v>1171</v>
      </c>
      <c r="CJ33" s="43">
        <f>MAX(CJ20:CJ31)</f>
        <v>1735.5</v>
      </c>
      <c r="CK33" s="809">
        <f>CK32/$CJ$32</f>
        <v>0.33093489602650644</v>
      </c>
      <c r="CL33" s="809">
        <f>CL32/$CJ$32</f>
        <v>0.16289592760180996</v>
      </c>
      <c r="CM33" s="809">
        <f>CM32/$CJ$32</f>
        <v>0.17802833617684147</v>
      </c>
      <c r="CN33" s="809">
        <f>CN32/$CJ$32</f>
        <v>0.33887199268105728</v>
      </c>
      <c r="CQ33" s="798"/>
      <c r="CR33" s="798"/>
      <c r="CS33" s="798"/>
      <c r="CT33" s="798"/>
      <c r="DA33" s="13"/>
      <c r="DB33" s="13"/>
      <c r="DC33" s="13"/>
      <c r="DD33" s="13"/>
      <c r="DE33" s="13"/>
      <c r="DF33" s="13"/>
      <c r="DG33" s="13"/>
      <c r="DH33" s="13"/>
      <c r="DI33" s="13"/>
      <c r="DJ33" s="13"/>
      <c r="DK33" s="13"/>
      <c r="DL33" s="13"/>
    </row>
    <row r="34" spans="1:142">
      <c r="A34" s="13" t="str">
        <f>'Monthly HC &amp; Prodn Working'!B28</f>
        <v>R&amp;D (PD)</v>
      </c>
      <c r="B34" s="9"/>
      <c r="C34" s="802"/>
      <c r="D34" s="803"/>
      <c r="E34" s="804"/>
      <c r="F34" s="805"/>
      <c r="G34" s="9">
        <f t="shared" si="36"/>
        <v>0</v>
      </c>
      <c r="H34" s="9">
        <f>'Monthly HC &amp; Prodn Working'!E28</f>
        <v>0</v>
      </c>
      <c r="I34" s="802"/>
      <c r="J34" s="803"/>
      <c r="K34" s="804"/>
      <c r="L34" s="805"/>
      <c r="M34" s="9">
        <f t="shared" si="37"/>
        <v>0</v>
      </c>
      <c r="N34" s="9">
        <f>'Monthly HC &amp; Prodn Working'!F28</f>
        <v>0</v>
      </c>
      <c r="O34" s="802"/>
      <c r="P34" s="803"/>
      <c r="Q34" s="804"/>
      <c r="R34" s="805"/>
      <c r="S34" s="9">
        <f t="shared" si="38"/>
        <v>0</v>
      </c>
      <c r="T34" s="9">
        <f>'Monthly HC &amp; Prodn Working'!G28</f>
        <v>0</v>
      </c>
      <c r="U34" s="802"/>
      <c r="V34" s="803"/>
      <c r="W34" s="804"/>
      <c r="X34" s="805"/>
      <c r="Y34" s="9">
        <f t="shared" si="39"/>
        <v>0</v>
      </c>
      <c r="Z34" s="9">
        <f>'Monthly HC &amp; Prodn Working'!H28</f>
        <v>0</v>
      </c>
      <c r="AA34" s="802"/>
      <c r="AB34" s="803"/>
      <c r="AC34" s="804"/>
      <c r="AD34" s="805"/>
      <c r="AE34" s="9">
        <f t="shared" si="40"/>
        <v>0</v>
      </c>
      <c r="AF34" s="9">
        <f>'Monthly HC &amp; Prodn Working'!I28</f>
        <v>0</v>
      </c>
      <c r="AG34" s="802"/>
      <c r="AH34" s="803"/>
      <c r="AI34" s="804"/>
      <c r="AJ34" s="805"/>
      <c r="AK34" s="9">
        <f t="shared" si="41"/>
        <v>0</v>
      </c>
      <c r="AL34" s="9">
        <f>'Monthly HC &amp; Prodn Working'!J28</f>
        <v>0</v>
      </c>
      <c r="AM34" s="802"/>
      <c r="AN34" s="803"/>
      <c r="AO34" s="804"/>
      <c r="AP34" s="805"/>
      <c r="AQ34" s="9">
        <f t="shared" si="42"/>
        <v>0</v>
      </c>
      <c r="AR34" s="9">
        <f>'Monthly HC &amp; Prodn Working'!K28</f>
        <v>0</v>
      </c>
      <c r="AS34" s="802"/>
      <c r="AT34" s="803"/>
      <c r="AU34" s="804"/>
      <c r="AV34" s="805"/>
      <c r="AW34" s="9">
        <f t="shared" si="43"/>
        <v>0</v>
      </c>
      <c r="AX34" s="9">
        <f>'Monthly HC &amp; Prodn Working'!L28</f>
        <v>0</v>
      </c>
      <c r="AY34" s="802"/>
      <c r="AZ34" s="803"/>
      <c r="BA34" s="804"/>
      <c r="BB34" s="805"/>
      <c r="BC34" s="9">
        <f t="shared" si="44"/>
        <v>0</v>
      </c>
      <c r="BD34" s="9">
        <f>'Monthly HC &amp; Prodn Working'!M28</f>
        <v>0</v>
      </c>
      <c r="BE34" s="802"/>
      <c r="BF34" s="803"/>
      <c r="BG34" s="804"/>
      <c r="BH34" s="805"/>
      <c r="BI34" s="9">
        <f t="shared" si="45"/>
        <v>0</v>
      </c>
      <c r="BJ34" s="9">
        <f>'Monthly HC &amp; Prodn Working'!N28</f>
        <v>0</v>
      </c>
      <c r="BK34" s="802"/>
      <c r="BL34" s="803"/>
      <c r="BM34" s="804"/>
      <c r="BN34" s="805"/>
      <c r="BO34" s="9">
        <f t="shared" si="46"/>
        <v>0</v>
      </c>
      <c r="BP34" s="9">
        <f>'Monthly HC &amp; Prodn Working'!O28</f>
        <v>0</v>
      </c>
      <c r="BQ34" s="802"/>
      <c r="BR34" s="803"/>
      <c r="BS34" s="804"/>
      <c r="BT34" s="805"/>
      <c r="BU34" s="9">
        <f t="shared" si="47"/>
        <v>0</v>
      </c>
      <c r="BV34" s="18"/>
      <c r="BW34" s="13"/>
      <c r="BX34" s="10">
        <f t="shared" si="48"/>
        <v>0</v>
      </c>
      <c r="BY34" s="802" t="str">
        <f t="shared" si="49"/>
        <v/>
      </c>
      <c r="BZ34" s="803" t="str">
        <f t="shared" si="50"/>
        <v/>
      </c>
      <c r="CA34" s="804" t="str">
        <f t="shared" si="51"/>
        <v/>
      </c>
      <c r="CB34" s="805" t="str">
        <f t="shared" si="52"/>
        <v/>
      </c>
      <c r="CC34" s="9">
        <f t="shared" si="53"/>
        <v>0</v>
      </c>
      <c r="CD34" s="980"/>
      <c r="CE34" s="13"/>
      <c r="CF34" s="13"/>
      <c r="CI34" s="964" t="s">
        <v>1172</v>
      </c>
      <c r="CJ34" s="43">
        <f>MIN(CJ20:CJ31)</f>
        <v>1603.5</v>
      </c>
      <c r="CK34" s="13"/>
      <c r="CL34" s="13"/>
      <c r="CM34" s="13"/>
      <c r="CN34" s="13"/>
      <c r="CQ34" s="62"/>
      <c r="CR34" s="62"/>
      <c r="CS34" s="62"/>
      <c r="CT34" s="62"/>
      <c r="DA34" s="13"/>
      <c r="DB34" s="13"/>
      <c r="DC34" s="13"/>
      <c r="DD34" s="13"/>
      <c r="DE34" s="13"/>
      <c r="DF34" s="13"/>
      <c r="DG34" s="13"/>
      <c r="DH34" s="13"/>
      <c r="DI34" s="13"/>
      <c r="DJ34" s="13"/>
      <c r="DK34" s="13"/>
      <c r="DL34" s="13"/>
    </row>
    <row r="35" spans="1:142">
      <c r="A35" s="13" t="s">
        <v>307</v>
      </c>
      <c r="B35" s="9">
        <f>'Monthly HC &amp; Prodn Working'!$D$32-175</f>
        <v>8</v>
      </c>
      <c r="C35" s="802"/>
      <c r="D35" s="803"/>
      <c r="E35" s="804">
        <v>8</v>
      </c>
      <c r="F35" s="805"/>
      <c r="G35" s="9">
        <f t="shared" si="36"/>
        <v>8</v>
      </c>
      <c r="H35" s="9">
        <f>'Monthly HC &amp; Prodn Working'!$D$32-175</f>
        <v>8</v>
      </c>
      <c r="I35" s="802"/>
      <c r="J35" s="803"/>
      <c r="K35" s="804">
        <v>8</v>
      </c>
      <c r="L35" s="805"/>
      <c r="M35" s="9">
        <f t="shared" si="37"/>
        <v>8</v>
      </c>
      <c r="N35" s="9">
        <f>'Monthly HC &amp; Prodn Working'!$D$32-175</f>
        <v>8</v>
      </c>
      <c r="O35" s="802"/>
      <c r="P35" s="803"/>
      <c r="Q35" s="804">
        <v>8</v>
      </c>
      <c r="R35" s="805"/>
      <c r="S35" s="9">
        <f t="shared" si="38"/>
        <v>8</v>
      </c>
      <c r="T35" s="9">
        <f>'Monthly HC &amp; Prodn Working'!$D$32-175</f>
        <v>8</v>
      </c>
      <c r="U35" s="802"/>
      <c r="V35" s="803"/>
      <c r="W35" s="804">
        <v>8</v>
      </c>
      <c r="X35" s="805"/>
      <c r="Y35" s="9">
        <f t="shared" si="39"/>
        <v>8</v>
      </c>
      <c r="Z35" s="9">
        <f>'Monthly HC &amp; Prodn Working'!$D$32-175</f>
        <v>8</v>
      </c>
      <c r="AA35" s="802"/>
      <c r="AB35" s="803"/>
      <c r="AC35" s="804">
        <v>8</v>
      </c>
      <c r="AD35" s="805"/>
      <c r="AE35" s="9">
        <f t="shared" si="40"/>
        <v>8</v>
      </c>
      <c r="AF35" s="9">
        <f>'Monthly HC &amp; Prodn Working'!$D$32-175</f>
        <v>8</v>
      </c>
      <c r="AG35" s="802"/>
      <c r="AH35" s="803"/>
      <c r="AI35" s="804">
        <v>8</v>
      </c>
      <c r="AJ35" s="805"/>
      <c r="AK35" s="9">
        <f t="shared" si="41"/>
        <v>8</v>
      </c>
      <c r="AL35" s="9">
        <f>'Monthly HC &amp; Prodn Working'!$D$32-175</f>
        <v>8</v>
      </c>
      <c r="AM35" s="802"/>
      <c r="AN35" s="803"/>
      <c r="AO35" s="804">
        <v>8</v>
      </c>
      <c r="AP35" s="805"/>
      <c r="AQ35" s="9">
        <f t="shared" si="42"/>
        <v>8</v>
      </c>
      <c r="AR35" s="9">
        <f>'Monthly HC &amp; Prodn Working'!$D$32-175</f>
        <v>8</v>
      </c>
      <c r="AS35" s="802"/>
      <c r="AT35" s="803"/>
      <c r="AU35" s="804">
        <v>8</v>
      </c>
      <c r="AV35" s="805"/>
      <c r="AW35" s="9">
        <f t="shared" si="43"/>
        <v>8</v>
      </c>
      <c r="AX35" s="9">
        <f>'Monthly HC &amp; Prodn Working'!$D$32-175</f>
        <v>8</v>
      </c>
      <c r="AY35" s="802"/>
      <c r="AZ35" s="803"/>
      <c r="BA35" s="804">
        <v>8</v>
      </c>
      <c r="BB35" s="805"/>
      <c r="BC35" s="9">
        <f t="shared" si="44"/>
        <v>8</v>
      </c>
      <c r="BD35" s="9">
        <f>'Monthly HC &amp; Prodn Working'!$D$32-175</f>
        <v>8</v>
      </c>
      <c r="BE35" s="802"/>
      <c r="BF35" s="803"/>
      <c r="BG35" s="804">
        <v>8</v>
      </c>
      <c r="BH35" s="805"/>
      <c r="BI35" s="9">
        <f t="shared" si="45"/>
        <v>8</v>
      </c>
      <c r="BJ35" s="9">
        <f>'Monthly HC &amp; Prodn Working'!$D$32-175</f>
        <v>8</v>
      </c>
      <c r="BK35" s="802"/>
      <c r="BL35" s="803"/>
      <c r="BM35" s="804">
        <v>8</v>
      </c>
      <c r="BN35" s="805"/>
      <c r="BO35" s="9">
        <f t="shared" si="46"/>
        <v>8</v>
      </c>
      <c r="BP35" s="9">
        <f>'Monthly HC &amp; Prodn Working'!$D$32-175</f>
        <v>8</v>
      </c>
      <c r="BQ35" s="802"/>
      <c r="BR35" s="803"/>
      <c r="BS35" s="804">
        <v>8</v>
      </c>
      <c r="BT35" s="805"/>
      <c r="BU35" s="9">
        <f t="shared" si="47"/>
        <v>8</v>
      </c>
      <c r="BV35" s="18"/>
      <c r="BW35" s="13"/>
      <c r="BX35" s="10">
        <f t="shared" ref="BX35" si="55">IFERROR((AVERAGE(B35,H35,N35,T35,Z35,AF35,AL35,AR35,AX35,BD35,BJ35,BP35)),"")</f>
        <v>8</v>
      </c>
      <c r="BY35" s="802" t="str">
        <f t="shared" ref="BY35" si="56">IFERROR((AVERAGE(C35,I35,O35,U35,AA35,AG35,AM35,AS35,AY35,BE35,BK35,BQ35)),"")</f>
        <v/>
      </c>
      <c r="BZ35" s="803" t="str">
        <f t="shared" ref="BZ35" si="57">IFERROR((AVERAGE(D35,J35,P35,V35,AB35,AH35,AN35,AT35,AZ35,BF35,BL35,BR35)),"")</f>
        <v/>
      </c>
      <c r="CA35" s="804">
        <f t="shared" ref="CA35" si="58">IFERROR((AVERAGE(E35,K35,Q35,W35,AC35,AI35,AO35,AU35,BA35,BG35,BM35,BS35)),"")</f>
        <v>8</v>
      </c>
      <c r="CB35" s="805" t="str">
        <f t="shared" ref="CB35" si="59">IFERROR((AVERAGE(F35,L35,R35,X35,AD35,AJ35,AP35,AV35,BB35,BH35,BN35,BT35)),"")</f>
        <v/>
      </c>
      <c r="CC35" s="9">
        <f t="shared" ref="CC35" si="60">IFERROR((AVERAGE(G35,M35,S35,Y35,AE35,AK35,AQ35,AW35,BC35,BI35,BO35,BU35)),"")</f>
        <v>8</v>
      </c>
      <c r="CD35" s="980"/>
      <c r="CE35" s="13"/>
      <c r="CF35" s="13"/>
      <c r="CJ35" s="39"/>
      <c r="DA35" s="13"/>
      <c r="DB35" s="13"/>
      <c r="DC35" s="13"/>
      <c r="DD35" s="13"/>
      <c r="DE35" s="13"/>
      <c r="DF35" s="13"/>
      <c r="DG35" s="13"/>
      <c r="DH35" s="13"/>
      <c r="DI35" s="13"/>
      <c r="DJ35" s="13"/>
      <c r="DK35" s="13"/>
      <c r="DL35" s="13"/>
    </row>
    <row r="36" spans="1:142">
      <c r="A36" s="13" t="str">
        <f>'Monthly HC &amp; Prodn Working'!B30</f>
        <v>SCM (Stores &amp; WH)</v>
      </c>
      <c r="B36" s="9">
        <f>'Monthly HC &amp; Prodn Working'!D30</f>
        <v>4</v>
      </c>
      <c r="C36" s="802">
        <v>4</v>
      </c>
      <c r="D36" s="803"/>
      <c r="E36" s="804"/>
      <c r="F36" s="805"/>
      <c r="G36" s="9">
        <f t="shared" si="36"/>
        <v>4</v>
      </c>
      <c r="H36" s="9">
        <f>'Monthly HC &amp; Prodn Working'!E30</f>
        <v>4</v>
      </c>
      <c r="I36" s="802">
        <v>4</v>
      </c>
      <c r="J36" s="803"/>
      <c r="K36" s="804"/>
      <c r="L36" s="805"/>
      <c r="M36" s="9">
        <f t="shared" si="37"/>
        <v>4</v>
      </c>
      <c r="N36" s="9">
        <f>'Monthly HC &amp; Prodn Working'!F30</f>
        <v>4</v>
      </c>
      <c r="O36" s="802">
        <v>4</v>
      </c>
      <c r="P36" s="803"/>
      <c r="Q36" s="804"/>
      <c r="R36" s="805"/>
      <c r="S36" s="9">
        <f t="shared" si="38"/>
        <v>4</v>
      </c>
      <c r="T36" s="9">
        <f>'Monthly HC &amp; Prodn Working'!G30</f>
        <v>4</v>
      </c>
      <c r="U36" s="802">
        <v>4</v>
      </c>
      <c r="V36" s="803"/>
      <c r="W36" s="804"/>
      <c r="X36" s="805"/>
      <c r="Y36" s="9">
        <f t="shared" si="39"/>
        <v>4</v>
      </c>
      <c r="Z36" s="9">
        <f>'Monthly HC &amp; Prodn Working'!H30</f>
        <v>4</v>
      </c>
      <c r="AA36" s="802">
        <v>4</v>
      </c>
      <c r="AB36" s="803"/>
      <c r="AC36" s="804"/>
      <c r="AD36" s="805"/>
      <c r="AE36" s="9">
        <f t="shared" si="40"/>
        <v>4</v>
      </c>
      <c r="AF36" s="9">
        <f>'Monthly HC &amp; Prodn Working'!I30</f>
        <v>4</v>
      </c>
      <c r="AG36" s="802">
        <v>4</v>
      </c>
      <c r="AH36" s="803"/>
      <c r="AI36" s="804"/>
      <c r="AJ36" s="805"/>
      <c r="AK36" s="9">
        <f t="shared" si="41"/>
        <v>4</v>
      </c>
      <c r="AL36" s="9">
        <f>'Monthly HC &amp; Prodn Working'!J30</f>
        <v>4</v>
      </c>
      <c r="AM36" s="802">
        <v>4</v>
      </c>
      <c r="AN36" s="803"/>
      <c r="AO36" s="804"/>
      <c r="AP36" s="805"/>
      <c r="AQ36" s="9">
        <f t="shared" si="42"/>
        <v>4</v>
      </c>
      <c r="AR36" s="9">
        <f>'Monthly HC &amp; Prodn Working'!K30</f>
        <v>4</v>
      </c>
      <c r="AS36" s="802">
        <v>4</v>
      </c>
      <c r="AT36" s="803"/>
      <c r="AU36" s="804"/>
      <c r="AV36" s="805"/>
      <c r="AW36" s="9">
        <f t="shared" si="43"/>
        <v>4</v>
      </c>
      <c r="AX36" s="9">
        <f>'Monthly HC &amp; Prodn Working'!L30</f>
        <v>4</v>
      </c>
      <c r="AY36" s="802">
        <v>4</v>
      </c>
      <c r="AZ36" s="803"/>
      <c r="BA36" s="804"/>
      <c r="BB36" s="805"/>
      <c r="BC36" s="9">
        <f t="shared" si="44"/>
        <v>4</v>
      </c>
      <c r="BD36" s="9">
        <f>'Monthly HC &amp; Prodn Working'!M30</f>
        <v>4</v>
      </c>
      <c r="BE36" s="802">
        <v>4</v>
      </c>
      <c r="BF36" s="803"/>
      <c r="BG36" s="804"/>
      <c r="BH36" s="805"/>
      <c r="BI36" s="9">
        <f t="shared" si="45"/>
        <v>4</v>
      </c>
      <c r="BJ36" s="9">
        <f>'Monthly HC &amp; Prodn Working'!N30</f>
        <v>4</v>
      </c>
      <c r="BK36" s="802">
        <v>4</v>
      </c>
      <c r="BL36" s="803"/>
      <c r="BM36" s="804"/>
      <c r="BN36" s="805"/>
      <c r="BO36" s="9">
        <f t="shared" si="46"/>
        <v>4</v>
      </c>
      <c r="BP36" s="9">
        <f>'Monthly HC &amp; Prodn Working'!O30</f>
        <v>4</v>
      </c>
      <c r="BQ36" s="802">
        <v>4</v>
      </c>
      <c r="BR36" s="803"/>
      <c r="BS36" s="804"/>
      <c r="BT36" s="805"/>
      <c r="BU36" s="9">
        <f t="shared" si="47"/>
        <v>4</v>
      </c>
      <c r="BV36" s="18"/>
      <c r="BW36" s="13"/>
      <c r="BX36" s="10">
        <f t="shared" si="48"/>
        <v>4</v>
      </c>
      <c r="BY36" s="802">
        <f t="shared" si="49"/>
        <v>4</v>
      </c>
      <c r="BZ36" s="803" t="str">
        <f t="shared" si="50"/>
        <v/>
      </c>
      <c r="CA36" s="804" t="str">
        <f t="shared" si="51"/>
        <v/>
      </c>
      <c r="CB36" s="805" t="str">
        <f t="shared" si="52"/>
        <v/>
      </c>
      <c r="CC36" s="9">
        <f t="shared" si="53"/>
        <v>4</v>
      </c>
      <c r="CD36" s="980"/>
      <c r="CE36" s="13"/>
      <c r="CF36" s="13"/>
      <c r="DA36" s="13"/>
      <c r="DB36" s="13"/>
      <c r="DC36" s="13"/>
      <c r="DD36" s="13"/>
      <c r="DE36" s="13"/>
      <c r="DF36" s="13"/>
      <c r="DG36" s="13"/>
      <c r="DH36" s="13"/>
      <c r="DI36" s="13"/>
      <c r="DJ36" s="13"/>
      <c r="DK36" s="13"/>
      <c r="DL36" s="13"/>
    </row>
    <row r="37" spans="1:142">
      <c r="A37" s="13" t="str">
        <f>'Monthly HC &amp; Prodn Working'!B33</f>
        <v>SPC</v>
      </c>
      <c r="B37" s="9">
        <f>'Monthly HC &amp; Prodn Working'!D33</f>
        <v>46</v>
      </c>
      <c r="C37" s="802">
        <v>20</v>
      </c>
      <c r="D37" s="803"/>
      <c r="E37" s="804">
        <v>12</v>
      </c>
      <c r="F37" s="805">
        <v>14</v>
      </c>
      <c r="G37" s="9">
        <f t="shared" si="36"/>
        <v>46</v>
      </c>
      <c r="H37" s="9">
        <f>'Monthly HC &amp; Prodn Working'!E33</f>
        <v>46</v>
      </c>
      <c r="I37" s="802">
        <v>20</v>
      </c>
      <c r="J37" s="803"/>
      <c r="K37" s="804">
        <v>12</v>
      </c>
      <c r="L37" s="805">
        <v>14</v>
      </c>
      <c r="M37" s="9">
        <f t="shared" si="37"/>
        <v>46</v>
      </c>
      <c r="N37" s="9">
        <f>'Monthly HC &amp; Prodn Working'!F33</f>
        <v>46</v>
      </c>
      <c r="O37" s="802">
        <v>20</v>
      </c>
      <c r="P37" s="803"/>
      <c r="Q37" s="804">
        <v>12</v>
      </c>
      <c r="R37" s="805">
        <v>14</v>
      </c>
      <c r="S37" s="9">
        <f t="shared" si="38"/>
        <v>46</v>
      </c>
      <c r="T37" s="9">
        <f>'Monthly HC &amp; Prodn Working'!G33</f>
        <v>46</v>
      </c>
      <c r="U37" s="802">
        <v>20</v>
      </c>
      <c r="V37" s="803"/>
      <c r="W37" s="804">
        <v>12</v>
      </c>
      <c r="X37" s="805">
        <v>14</v>
      </c>
      <c r="Y37" s="9">
        <f t="shared" si="39"/>
        <v>46</v>
      </c>
      <c r="Z37" s="9">
        <f>'Monthly HC &amp; Prodn Working'!H33</f>
        <v>46</v>
      </c>
      <c r="AA37" s="802">
        <v>20</v>
      </c>
      <c r="AB37" s="803"/>
      <c r="AC37" s="804">
        <v>12</v>
      </c>
      <c r="AD37" s="805">
        <v>14</v>
      </c>
      <c r="AE37" s="9">
        <f t="shared" si="40"/>
        <v>46</v>
      </c>
      <c r="AF37" s="9">
        <f>'Monthly HC &amp; Prodn Working'!I33</f>
        <v>46</v>
      </c>
      <c r="AG37" s="802">
        <v>20</v>
      </c>
      <c r="AH37" s="803"/>
      <c r="AI37" s="804">
        <v>12</v>
      </c>
      <c r="AJ37" s="805">
        <v>14</v>
      </c>
      <c r="AK37" s="9">
        <f t="shared" si="41"/>
        <v>46</v>
      </c>
      <c r="AL37" s="9">
        <f>'Monthly HC &amp; Prodn Working'!J33</f>
        <v>46</v>
      </c>
      <c r="AM37" s="802">
        <v>20</v>
      </c>
      <c r="AN37" s="803"/>
      <c r="AO37" s="804">
        <v>12</v>
      </c>
      <c r="AP37" s="805">
        <v>14</v>
      </c>
      <c r="AQ37" s="9">
        <f t="shared" si="42"/>
        <v>46</v>
      </c>
      <c r="AR37" s="9">
        <f>'Monthly HC &amp; Prodn Working'!K33</f>
        <v>46</v>
      </c>
      <c r="AS37" s="802">
        <v>20</v>
      </c>
      <c r="AT37" s="803"/>
      <c r="AU37" s="804">
        <v>12</v>
      </c>
      <c r="AV37" s="805">
        <v>14</v>
      </c>
      <c r="AW37" s="9">
        <f t="shared" si="43"/>
        <v>46</v>
      </c>
      <c r="AX37" s="9">
        <f>'Monthly HC &amp; Prodn Working'!L33</f>
        <v>46</v>
      </c>
      <c r="AY37" s="802">
        <v>20</v>
      </c>
      <c r="AZ37" s="803"/>
      <c r="BA37" s="804">
        <v>12</v>
      </c>
      <c r="BB37" s="805">
        <v>14</v>
      </c>
      <c r="BC37" s="9">
        <f t="shared" si="44"/>
        <v>46</v>
      </c>
      <c r="BD37" s="9">
        <f>'Monthly HC &amp; Prodn Working'!M33</f>
        <v>46</v>
      </c>
      <c r="BE37" s="802">
        <v>20</v>
      </c>
      <c r="BF37" s="803"/>
      <c r="BG37" s="804">
        <v>12</v>
      </c>
      <c r="BH37" s="805">
        <v>14</v>
      </c>
      <c r="BI37" s="9">
        <f t="shared" si="45"/>
        <v>46</v>
      </c>
      <c r="BJ37" s="9">
        <f>'Monthly HC &amp; Prodn Working'!N33</f>
        <v>46</v>
      </c>
      <c r="BK37" s="802">
        <v>20</v>
      </c>
      <c r="BL37" s="803"/>
      <c r="BM37" s="804">
        <v>12</v>
      </c>
      <c r="BN37" s="805">
        <v>14</v>
      </c>
      <c r="BO37" s="9">
        <f t="shared" si="46"/>
        <v>46</v>
      </c>
      <c r="BP37" s="9">
        <f>'Monthly HC &amp; Prodn Working'!O33</f>
        <v>46</v>
      </c>
      <c r="BQ37" s="802">
        <v>20</v>
      </c>
      <c r="BR37" s="803"/>
      <c r="BS37" s="804">
        <v>12</v>
      </c>
      <c r="BT37" s="805">
        <v>14</v>
      </c>
      <c r="BU37" s="9">
        <f t="shared" si="47"/>
        <v>46</v>
      </c>
      <c r="BV37" s="18"/>
      <c r="BW37" s="13"/>
      <c r="BX37" s="10">
        <f t="shared" si="48"/>
        <v>46</v>
      </c>
      <c r="BY37" s="802">
        <f t="shared" si="49"/>
        <v>20</v>
      </c>
      <c r="BZ37" s="803" t="str">
        <f t="shared" si="50"/>
        <v/>
      </c>
      <c r="CA37" s="804">
        <f t="shared" si="51"/>
        <v>12</v>
      </c>
      <c r="CB37" s="805">
        <f t="shared" si="52"/>
        <v>14</v>
      </c>
      <c r="CC37" s="9">
        <f t="shared" si="53"/>
        <v>46</v>
      </c>
      <c r="CD37" s="980"/>
      <c r="CE37" s="13"/>
      <c r="CF37" s="13"/>
      <c r="DA37" s="43">
        <f>'Monthly HC &amp; Prodn Working'!Q33</f>
        <v>29307.048499999994</v>
      </c>
      <c r="DB37" s="43">
        <f>'Monthly HC &amp; Prodn Working'!R33</f>
        <v>27055.371500000001</v>
      </c>
      <c r="DC37" s="43">
        <f>'Monthly HC &amp; Prodn Working'!S33</f>
        <v>28660.127500000002</v>
      </c>
      <c r="DD37" s="43">
        <f>'Monthly HC &amp; Prodn Working'!T33</f>
        <v>37349.860999999997</v>
      </c>
      <c r="DE37" s="43">
        <f>'Monthly HC &amp; Prodn Working'!U33</f>
        <v>44727.179999999986</v>
      </c>
      <c r="DF37" s="43">
        <f>'Monthly HC &amp; Prodn Working'!V33</f>
        <v>57325.257499999985</v>
      </c>
      <c r="DG37" s="43">
        <f>'Monthly HC &amp; Prodn Working'!W33</f>
        <v>72117.17849999998</v>
      </c>
      <c r="DH37" s="43">
        <f>'Monthly HC &amp; Prodn Working'!X33</f>
        <v>74386.185999999987</v>
      </c>
      <c r="DI37" s="43">
        <f>'Monthly HC &amp; Prodn Working'!Y33</f>
        <v>54424.173200000005</v>
      </c>
      <c r="DJ37" s="43">
        <f>'Monthly HC &amp; Prodn Working'!Z33</f>
        <v>65285.157299999999</v>
      </c>
      <c r="DK37" s="43">
        <f>'Monthly HC &amp; Prodn Working'!AA33</f>
        <v>60950</v>
      </c>
      <c r="DL37" s="43">
        <f>'Monthly HC &amp; Prodn Working'!AB33</f>
        <v>57500</v>
      </c>
      <c r="DM37" s="39">
        <f>SUM(DA37:DL37)</f>
        <v>609087.54099999997</v>
      </c>
    </row>
    <row r="38" spans="1:142">
      <c r="A38" s="13"/>
      <c r="B38" s="9">
        <f>SUM(B32:B37)</f>
        <v>66</v>
      </c>
      <c r="C38" s="802">
        <f>SUM(C32:C37)</f>
        <v>32</v>
      </c>
      <c r="D38" s="803">
        <v>0</v>
      </c>
      <c r="E38" s="804">
        <f t="shared" ref="E38:BO38" si="61">SUM(E32:E37)</f>
        <v>20</v>
      </c>
      <c r="F38" s="805">
        <f t="shared" si="61"/>
        <v>14</v>
      </c>
      <c r="G38" s="9">
        <f t="shared" si="61"/>
        <v>66</v>
      </c>
      <c r="H38" s="9">
        <f t="shared" si="61"/>
        <v>66</v>
      </c>
      <c r="I38" s="802">
        <f t="shared" si="61"/>
        <v>32</v>
      </c>
      <c r="J38" s="803"/>
      <c r="K38" s="804">
        <f t="shared" si="61"/>
        <v>20</v>
      </c>
      <c r="L38" s="805">
        <f t="shared" si="61"/>
        <v>14</v>
      </c>
      <c r="M38" s="9">
        <f t="shared" si="61"/>
        <v>66</v>
      </c>
      <c r="N38" s="9">
        <f t="shared" si="61"/>
        <v>66</v>
      </c>
      <c r="O38" s="802">
        <f t="shared" si="61"/>
        <v>32</v>
      </c>
      <c r="P38" s="803"/>
      <c r="Q38" s="804">
        <f t="shared" si="61"/>
        <v>20</v>
      </c>
      <c r="R38" s="805">
        <f t="shared" si="61"/>
        <v>14</v>
      </c>
      <c r="S38" s="9">
        <f t="shared" si="61"/>
        <v>66</v>
      </c>
      <c r="T38" s="9">
        <f t="shared" si="61"/>
        <v>66</v>
      </c>
      <c r="U38" s="802">
        <f t="shared" si="61"/>
        <v>32</v>
      </c>
      <c r="V38" s="803"/>
      <c r="W38" s="804">
        <f t="shared" si="61"/>
        <v>20</v>
      </c>
      <c r="X38" s="805">
        <f t="shared" si="61"/>
        <v>14</v>
      </c>
      <c r="Y38" s="9">
        <f t="shared" si="61"/>
        <v>66</v>
      </c>
      <c r="Z38" s="9">
        <f t="shared" si="61"/>
        <v>66</v>
      </c>
      <c r="AA38" s="802">
        <f t="shared" si="61"/>
        <v>32</v>
      </c>
      <c r="AB38" s="803"/>
      <c r="AC38" s="804">
        <f t="shared" si="61"/>
        <v>20</v>
      </c>
      <c r="AD38" s="805">
        <f t="shared" si="61"/>
        <v>14</v>
      </c>
      <c r="AE38" s="9">
        <f t="shared" si="61"/>
        <v>66</v>
      </c>
      <c r="AF38" s="9">
        <f t="shared" si="61"/>
        <v>66</v>
      </c>
      <c r="AG38" s="802">
        <f t="shared" si="61"/>
        <v>32</v>
      </c>
      <c r="AH38" s="803"/>
      <c r="AI38" s="804">
        <f t="shared" si="61"/>
        <v>20</v>
      </c>
      <c r="AJ38" s="805">
        <f t="shared" si="61"/>
        <v>14</v>
      </c>
      <c r="AK38" s="9">
        <f t="shared" si="61"/>
        <v>66</v>
      </c>
      <c r="AL38" s="9">
        <f t="shared" si="61"/>
        <v>66</v>
      </c>
      <c r="AM38" s="802">
        <f t="shared" si="61"/>
        <v>32</v>
      </c>
      <c r="AN38" s="803"/>
      <c r="AO38" s="804">
        <f t="shared" si="61"/>
        <v>20</v>
      </c>
      <c r="AP38" s="805">
        <f t="shared" si="61"/>
        <v>14</v>
      </c>
      <c r="AQ38" s="9">
        <f t="shared" si="61"/>
        <v>66</v>
      </c>
      <c r="AR38" s="9">
        <f t="shared" si="61"/>
        <v>66</v>
      </c>
      <c r="AS38" s="802">
        <f t="shared" si="61"/>
        <v>32</v>
      </c>
      <c r="AT38" s="803"/>
      <c r="AU38" s="804">
        <f t="shared" si="61"/>
        <v>20</v>
      </c>
      <c r="AV38" s="805">
        <f t="shared" si="61"/>
        <v>14</v>
      </c>
      <c r="AW38" s="9">
        <f t="shared" si="61"/>
        <v>66</v>
      </c>
      <c r="AX38" s="9">
        <f t="shared" si="61"/>
        <v>66</v>
      </c>
      <c r="AY38" s="802">
        <f t="shared" si="61"/>
        <v>32</v>
      </c>
      <c r="AZ38" s="803"/>
      <c r="BA38" s="804">
        <f t="shared" si="61"/>
        <v>20</v>
      </c>
      <c r="BB38" s="805">
        <f t="shared" si="61"/>
        <v>14</v>
      </c>
      <c r="BC38" s="9">
        <f t="shared" si="61"/>
        <v>66</v>
      </c>
      <c r="BD38" s="9">
        <f t="shared" si="61"/>
        <v>66</v>
      </c>
      <c r="BE38" s="802">
        <f t="shared" si="61"/>
        <v>32</v>
      </c>
      <c r="BF38" s="803"/>
      <c r="BG38" s="804">
        <f t="shared" si="61"/>
        <v>20</v>
      </c>
      <c r="BH38" s="805">
        <f t="shared" si="61"/>
        <v>14</v>
      </c>
      <c r="BI38" s="9">
        <f t="shared" si="61"/>
        <v>66</v>
      </c>
      <c r="BJ38" s="9">
        <f t="shared" si="61"/>
        <v>66</v>
      </c>
      <c r="BK38" s="802">
        <f t="shared" si="61"/>
        <v>32</v>
      </c>
      <c r="BL38" s="803"/>
      <c r="BM38" s="804">
        <f t="shared" si="61"/>
        <v>20</v>
      </c>
      <c r="BN38" s="805">
        <f t="shared" si="61"/>
        <v>14</v>
      </c>
      <c r="BO38" s="9">
        <f t="shared" si="61"/>
        <v>66</v>
      </c>
      <c r="BP38" s="9">
        <f t="shared" ref="BP38:BU38" si="62">SUM(BP32:BP37)</f>
        <v>66</v>
      </c>
      <c r="BQ38" s="802">
        <f t="shared" si="62"/>
        <v>32</v>
      </c>
      <c r="BR38" s="803"/>
      <c r="BS38" s="804">
        <f t="shared" si="62"/>
        <v>20</v>
      </c>
      <c r="BT38" s="805">
        <f t="shared" si="62"/>
        <v>14</v>
      </c>
      <c r="BU38" s="9">
        <f t="shared" si="62"/>
        <v>66</v>
      </c>
      <c r="BV38" s="18"/>
      <c r="BW38" s="13"/>
      <c r="BX38" s="10">
        <f t="shared" si="48"/>
        <v>66</v>
      </c>
      <c r="BY38" s="802">
        <f t="shared" si="49"/>
        <v>32</v>
      </c>
      <c r="BZ38" s="803"/>
      <c r="CA38" s="804">
        <f t="shared" si="51"/>
        <v>20</v>
      </c>
      <c r="CB38" s="805">
        <f t="shared" si="52"/>
        <v>14</v>
      </c>
      <c r="CC38" s="9">
        <f t="shared" si="53"/>
        <v>66</v>
      </c>
      <c r="CD38" s="980"/>
      <c r="CE38" s="13"/>
      <c r="CF38" s="13"/>
    </row>
    <row r="39" spans="1:142">
      <c r="A39" s="13"/>
      <c r="B39" s="777"/>
      <c r="C39" s="777"/>
      <c r="D39" s="777"/>
      <c r="E39" s="777"/>
      <c r="F39" s="777"/>
      <c r="G39" s="777"/>
      <c r="H39" s="777"/>
      <c r="I39" s="777"/>
      <c r="J39" s="777"/>
      <c r="K39" s="777"/>
      <c r="L39" s="777"/>
      <c r="M39" s="777"/>
      <c r="N39" s="777"/>
      <c r="O39" s="777"/>
      <c r="P39" s="777"/>
      <c r="Q39" s="777"/>
      <c r="R39" s="777"/>
      <c r="S39" s="777"/>
      <c r="T39" s="777"/>
      <c r="U39" s="777"/>
      <c r="V39" s="777"/>
      <c r="W39" s="777"/>
      <c r="X39" s="777"/>
      <c r="Y39" s="777"/>
      <c r="Z39" s="777"/>
      <c r="AA39" s="777"/>
      <c r="AB39" s="777"/>
      <c r="AC39" s="777"/>
      <c r="AD39" s="777"/>
      <c r="AE39" s="777"/>
      <c r="AF39" s="777"/>
      <c r="AG39" s="777"/>
      <c r="AH39" s="777"/>
      <c r="AI39" s="777"/>
      <c r="AJ39" s="777"/>
      <c r="AK39" s="777"/>
      <c r="AL39" s="777"/>
      <c r="AM39" s="777"/>
      <c r="AN39" s="777"/>
      <c r="AO39" s="777"/>
      <c r="AP39" s="777"/>
      <c r="AQ39" s="777"/>
      <c r="AR39" s="777"/>
      <c r="AS39" s="777"/>
      <c r="AT39" s="777"/>
      <c r="AU39" s="777"/>
      <c r="AV39" s="777"/>
      <c r="AW39" s="777"/>
      <c r="AX39" s="777"/>
      <c r="AY39" s="777"/>
      <c r="AZ39" s="777"/>
      <c r="BA39" s="777"/>
      <c r="BB39" s="777"/>
      <c r="BC39" s="777"/>
      <c r="BD39" s="777"/>
      <c r="BE39" s="777"/>
      <c r="BF39" s="777"/>
      <c r="BG39" s="777"/>
      <c r="BH39" s="777"/>
      <c r="BI39" s="777"/>
      <c r="BJ39" s="777"/>
      <c r="BK39" s="777"/>
      <c r="BL39" s="777"/>
      <c r="BM39" s="777"/>
      <c r="BN39" s="777"/>
      <c r="BO39" s="777"/>
      <c r="BP39" s="777"/>
      <c r="BQ39" s="777"/>
      <c r="BR39" s="777"/>
      <c r="BS39" s="777"/>
      <c r="BT39" s="777"/>
      <c r="BU39" s="777"/>
      <c r="BV39" s="15"/>
      <c r="BW39" s="13"/>
      <c r="BX39" s="10"/>
      <c r="BY39" s="9"/>
      <c r="BZ39" s="9"/>
      <c r="CA39" s="9"/>
      <c r="CB39" s="9"/>
      <c r="CC39" s="9"/>
      <c r="CD39" s="980"/>
      <c r="CE39" s="13"/>
      <c r="CF39" s="13"/>
    </row>
    <row r="40" spans="1:142" s="19" customFormat="1">
      <c r="A40" s="10"/>
      <c r="B40" s="9">
        <f>SUM(B38+B29)</f>
        <v>1703.5</v>
      </c>
      <c r="C40" s="802">
        <f t="shared" ref="C40:BN40" si="63">SUM(C38+C29)</f>
        <v>551</v>
      </c>
      <c r="D40" s="803">
        <f t="shared" si="63"/>
        <v>270</v>
      </c>
      <c r="E40" s="804">
        <f t="shared" si="63"/>
        <v>297.5</v>
      </c>
      <c r="F40" s="805">
        <f t="shared" si="63"/>
        <v>605</v>
      </c>
      <c r="G40" s="9">
        <f t="shared" si="63"/>
        <v>1723.5</v>
      </c>
      <c r="H40" s="9">
        <f t="shared" si="63"/>
        <v>1693</v>
      </c>
      <c r="I40" s="802">
        <f t="shared" si="63"/>
        <v>550</v>
      </c>
      <c r="J40" s="803">
        <f t="shared" si="63"/>
        <v>267</v>
      </c>
      <c r="K40" s="804">
        <f t="shared" si="63"/>
        <v>295</v>
      </c>
      <c r="L40" s="805">
        <f t="shared" si="63"/>
        <v>599</v>
      </c>
      <c r="M40" s="9">
        <f t="shared" si="63"/>
        <v>1711</v>
      </c>
      <c r="N40" s="9">
        <f t="shared" si="63"/>
        <v>1673.5</v>
      </c>
      <c r="O40" s="802">
        <f t="shared" si="63"/>
        <v>551</v>
      </c>
      <c r="P40" s="803">
        <f t="shared" si="63"/>
        <v>258</v>
      </c>
      <c r="Q40" s="804">
        <f t="shared" si="63"/>
        <v>287.5</v>
      </c>
      <c r="R40" s="805">
        <f t="shared" si="63"/>
        <v>592</v>
      </c>
      <c r="S40" s="9">
        <f t="shared" si="63"/>
        <v>1688.5</v>
      </c>
      <c r="T40" s="9">
        <f t="shared" si="63"/>
        <v>1688.5</v>
      </c>
      <c r="U40" s="802">
        <f t="shared" si="63"/>
        <v>554</v>
      </c>
      <c r="V40" s="803">
        <f t="shared" si="63"/>
        <v>262</v>
      </c>
      <c r="W40" s="804">
        <f t="shared" si="63"/>
        <v>295.5</v>
      </c>
      <c r="X40" s="805">
        <f t="shared" si="63"/>
        <v>594</v>
      </c>
      <c r="Y40" s="9">
        <f t="shared" si="63"/>
        <v>1705.5</v>
      </c>
      <c r="Z40" s="9">
        <f t="shared" si="63"/>
        <v>1732.5</v>
      </c>
      <c r="AA40" s="802">
        <f t="shared" si="63"/>
        <v>557</v>
      </c>
      <c r="AB40" s="803">
        <f t="shared" si="63"/>
        <v>278</v>
      </c>
      <c r="AC40" s="804">
        <f t="shared" si="63"/>
        <v>292.5</v>
      </c>
      <c r="AD40" s="805">
        <f t="shared" si="63"/>
        <v>625</v>
      </c>
      <c r="AE40" s="9">
        <f t="shared" si="63"/>
        <v>1752.5</v>
      </c>
      <c r="AF40" s="9">
        <f t="shared" si="63"/>
        <v>1735.5</v>
      </c>
      <c r="AG40" s="802">
        <f t="shared" si="63"/>
        <v>554</v>
      </c>
      <c r="AH40" s="803">
        <f t="shared" si="63"/>
        <v>288</v>
      </c>
      <c r="AI40" s="804">
        <f t="shared" si="63"/>
        <v>307.5</v>
      </c>
      <c r="AJ40" s="805">
        <f t="shared" si="63"/>
        <v>605</v>
      </c>
      <c r="AK40" s="9">
        <f t="shared" si="63"/>
        <v>1754.5</v>
      </c>
      <c r="AL40" s="9">
        <f t="shared" si="63"/>
        <v>1716.5</v>
      </c>
      <c r="AM40" s="802">
        <f t="shared" si="63"/>
        <v>559</v>
      </c>
      <c r="AN40" s="803">
        <f t="shared" si="63"/>
        <v>273</v>
      </c>
      <c r="AO40" s="804">
        <f t="shared" si="63"/>
        <v>299.5</v>
      </c>
      <c r="AP40" s="805">
        <f t="shared" si="63"/>
        <v>602</v>
      </c>
      <c r="AQ40" s="9">
        <f t="shared" si="63"/>
        <v>1733.5</v>
      </c>
      <c r="AR40" s="9">
        <f t="shared" si="63"/>
        <v>1672.5</v>
      </c>
      <c r="AS40" s="802">
        <f t="shared" si="63"/>
        <v>554</v>
      </c>
      <c r="AT40" s="803">
        <f t="shared" si="63"/>
        <v>267</v>
      </c>
      <c r="AU40" s="804">
        <f t="shared" si="63"/>
        <v>294</v>
      </c>
      <c r="AV40" s="805">
        <f t="shared" si="63"/>
        <v>577.5</v>
      </c>
      <c r="AW40" s="9">
        <f t="shared" si="63"/>
        <v>1692.5</v>
      </c>
      <c r="AX40" s="9">
        <f t="shared" si="63"/>
        <v>1699.5</v>
      </c>
      <c r="AY40" s="802">
        <f t="shared" si="63"/>
        <v>574</v>
      </c>
      <c r="AZ40" s="803">
        <f t="shared" si="63"/>
        <v>282</v>
      </c>
      <c r="BA40" s="804">
        <f t="shared" si="63"/>
        <v>313</v>
      </c>
      <c r="BB40" s="805">
        <f t="shared" si="63"/>
        <v>550.5</v>
      </c>
      <c r="BC40" s="9">
        <f t="shared" si="63"/>
        <v>1719.5</v>
      </c>
      <c r="BD40" s="9">
        <f t="shared" si="63"/>
        <v>1625</v>
      </c>
      <c r="BE40" s="802">
        <f t="shared" si="63"/>
        <v>564</v>
      </c>
      <c r="BF40" s="803">
        <f t="shared" si="63"/>
        <v>285</v>
      </c>
      <c r="BG40" s="804">
        <f t="shared" si="63"/>
        <v>300</v>
      </c>
      <c r="BH40" s="805">
        <f t="shared" si="63"/>
        <v>487</v>
      </c>
      <c r="BI40" s="9">
        <f t="shared" si="63"/>
        <v>1636</v>
      </c>
      <c r="BJ40" s="9">
        <f t="shared" si="63"/>
        <v>1678</v>
      </c>
      <c r="BK40" s="802">
        <f t="shared" si="63"/>
        <v>564</v>
      </c>
      <c r="BL40" s="803">
        <f t="shared" si="63"/>
        <v>288</v>
      </c>
      <c r="BM40" s="804">
        <f t="shared" si="63"/>
        <v>312</v>
      </c>
      <c r="BN40" s="805">
        <f t="shared" si="63"/>
        <v>535</v>
      </c>
      <c r="BO40" s="9">
        <f t="shared" ref="BO40:BU40" si="64">SUM(BO38+BO29)</f>
        <v>1699</v>
      </c>
      <c r="BP40" s="9">
        <f t="shared" si="64"/>
        <v>1603.5</v>
      </c>
      <c r="BQ40" s="802">
        <f t="shared" si="64"/>
        <v>560</v>
      </c>
      <c r="BR40" s="803">
        <f t="shared" si="64"/>
        <v>276</v>
      </c>
      <c r="BS40" s="804">
        <f t="shared" si="64"/>
        <v>306</v>
      </c>
      <c r="BT40" s="805">
        <f t="shared" si="64"/>
        <v>480.5</v>
      </c>
      <c r="BU40" s="9">
        <f t="shared" si="64"/>
        <v>1622.5</v>
      </c>
      <c r="BV40" s="18"/>
      <c r="BW40" s="10"/>
      <c r="BX40" s="10">
        <f t="shared" ref="BX40" si="65">IFERROR((AVERAGE(B40,H40,N40,T40,Z40,AF40,AL40,AR40,AX40,BD40,BJ40,BP40)),"")</f>
        <v>1685.125</v>
      </c>
      <c r="BY40" s="802">
        <f t="shared" ref="BY40" si="66">IFERROR((AVERAGE(C40,I40,O40,U40,AA40,AG40,AM40,AS40,AY40,BE40,BK40,BQ40)),"")</f>
        <v>557.66666666666663</v>
      </c>
      <c r="BZ40" s="803">
        <f t="shared" ref="BZ40" si="67">IFERROR((AVERAGE(D40,J40,P40,V40,AB40,AH40,AN40,AT40,AZ40,BF40,BL40,BR40)),"")</f>
        <v>274.5</v>
      </c>
      <c r="CA40" s="804">
        <f t="shared" ref="CA40" si="68">IFERROR((AVERAGE(E40,K40,Q40,W40,AC40,AI40,AO40,AU40,BA40,BG40,BM40,BS40)),"")</f>
        <v>300</v>
      </c>
      <c r="CB40" s="805">
        <f t="shared" ref="CB40" si="69">IFERROR((AVERAGE(F40,L40,R40,X40,AD40,AJ40,AP40,AV40,BB40,BH40,BN40,BT40)),"")</f>
        <v>571.04166666666663</v>
      </c>
      <c r="CC40" s="9">
        <f t="shared" ref="CC40" si="70">IFERROR((AVERAGE(G40,M40,S40,Y40,AE40,AK40,AQ40,AW40,BC40,BI40,BO40,BU40)),"")</f>
        <v>1703.2083333333333</v>
      </c>
      <c r="CD40" s="982"/>
      <c r="CE40" s="10"/>
      <c r="CF40" s="10"/>
      <c r="CG40" s="798"/>
      <c r="DP40"/>
      <c r="DQ40"/>
      <c r="DR40"/>
      <c r="DS40"/>
      <c r="DT40"/>
      <c r="DU40"/>
      <c r="DV40"/>
      <c r="DW40"/>
      <c r="DX40"/>
      <c r="DY40"/>
      <c r="DZ40"/>
      <c r="EA40"/>
      <c r="EB40"/>
      <c r="EC40"/>
      <c r="ED40"/>
      <c r="EE40"/>
      <c r="EF40"/>
      <c r="EG40"/>
      <c r="EH40"/>
      <c r="EI40"/>
      <c r="EJ40"/>
      <c r="EK40"/>
      <c r="EL40"/>
    </row>
    <row r="41" spans="1:142">
      <c r="A41" s="13"/>
      <c r="B41" s="777"/>
      <c r="C41" s="808">
        <f>C40/G40</f>
        <v>0.31969828836669567</v>
      </c>
      <c r="D41" s="808">
        <f>D40/G40</f>
        <v>0.1566579634464752</v>
      </c>
      <c r="E41" s="808">
        <f>E40/G40</f>
        <v>0.1726138671308384</v>
      </c>
      <c r="F41" s="808">
        <f>F40/G40</f>
        <v>0.3510298810559907</v>
      </c>
      <c r="G41" s="777"/>
      <c r="H41" s="777"/>
      <c r="I41" s="808">
        <f>I40/M40</f>
        <v>0.32144944476914084</v>
      </c>
      <c r="J41" s="808">
        <f>J40/M40</f>
        <v>0.15604909409701928</v>
      </c>
      <c r="K41" s="808">
        <f>K40/M40</f>
        <v>0.17241379310344829</v>
      </c>
      <c r="L41" s="808">
        <f>L40/M40</f>
        <v>0.3500876680303916</v>
      </c>
      <c r="M41" s="777"/>
      <c r="N41" s="777"/>
      <c r="O41" s="808">
        <f>O40/S40</f>
        <v>0.32632514065738821</v>
      </c>
      <c r="P41" s="808">
        <f>P40/S40</f>
        <v>0.15279834172342316</v>
      </c>
      <c r="Q41" s="808">
        <f>Q40/S40</f>
        <v>0.17026946994373704</v>
      </c>
      <c r="R41" s="808">
        <f>R40/S40</f>
        <v>0.35060704767545159</v>
      </c>
      <c r="S41" s="777"/>
      <c r="T41" s="777"/>
      <c r="U41" s="808">
        <f>U40/Y40</f>
        <v>0.32483142773380241</v>
      </c>
      <c r="V41" s="808">
        <f>V40/Y40</f>
        <v>0.15362063910876575</v>
      </c>
      <c r="W41" s="808">
        <f>W40/Y40</f>
        <v>0.17326297273526825</v>
      </c>
      <c r="X41" s="808">
        <f>X40/Y40</f>
        <v>0.34828496042216361</v>
      </c>
      <c r="Y41" s="777"/>
      <c r="Z41" s="777"/>
      <c r="AA41" s="808">
        <f>AA40/AE40</f>
        <v>0.31783166904422255</v>
      </c>
      <c r="AB41" s="808">
        <f>AB40/AE40</f>
        <v>0.15863052781740372</v>
      </c>
      <c r="AC41" s="808">
        <f>AC40/AE40</f>
        <v>0.16690442225392296</v>
      </c>
      <c r="AD41" s="808">
        <f>AD40/AE40</f>
        <v>0.35663338088445079</v>
      </c>
      <c r="AE41" s="777"/>
      <c r="AF41" s="777"/>
      <c r="AG41" s="808">
        <f>AG40/AK40</f>
        <v>0.3157594756340838</v>
      </c>
      <c r="AH41" s="808">
        <f>AH40/AK40</f>
        <v>0.16414933029353093</v>
      </c>
      <c r="AI41" s="808">
        <f>AI40/AK40</f>
        <v>0.17526360786548875</v>
      </c>
      <c r="AJ41" s="808">
        <f>AJ40/AK40</f>
        <v>0.34482758620689657</v>
      </c>
      <c r="AK41" s="777"/>
      <c r="AL41" s="777"/>
      <c r="AM41" s="808">
        <f>AM40/AQ40</f>
        <v>0.32246899336602247</v>
      </c>
      <c r="AN41" s="808">
        <f>AN40/AQ40</f>
        <v>0.15748485722526681</v>
      </c>
      <c r="AO41" s="808">
        <f>AO40/AQ40</f>
        <v>0.17277184886068647</v>
      </c>
      <c r="AP41" s="808">
        <f>AP40/AQ40</f>
        <v>0.34727430054802422</v>
      </c>
      <c r="AQ41" s="777"/>
      <c r="AR41" s="777"/>
      <c r="AS41" s="808">
        <f>AS40/AW40</f>
        <v>0.3273264401772526</v>
      </c>
      <c r="AT41" s="808">
        <f>AT40/AW40</f>
        <v>0.15775480059084196</v>
      </c>
      <c r="AU41" s="808">
        <f>AU40/AW40</f>
        <v>0.17370753323485968</v>
      </c>
      <c r="AV41" s="808">
        <f>AV40/AW40</f>
        <v>0.34121122599704579</v>
      </c>
      <c r="AW41" s="777"/>
      <c r="AX41" s="777"/>
      <c r="AY41" s="808">
        <f>AY40/BC40</f>
        <v>0.33381797034021515</v>
      </c>
      <c r="AZ41" s="808">
        <f>AZ40/BC40</f>
        <v>0.16400116312881652</v>
      </c>
      <c r="BA41" s="808">
        <f>BA40/BC40</f>
        <v>0.18202965978482116</v>
      </c>
      <c r="BB41" s="808">
        <f>BB40/BC40</f>
        <v>0.32015120674614711</v>
      </c>
      <c r="BC41" s="777"/>
      <c r="BD41" s="777"/>
      <c r="BE41" s="808">
        <f>BE40/BI40</f>
        <v>0.34474327628361856</v>
      </c>
      <c r="BF41" s="808">
        <f>BF40/BI40</f>
        <v>0.17420537897310515</v>
      </c>
      <c r="BG41" s="808">
        <f>BG40/BI40</f>
        <v>0.18337408312958436</v>
      </c>
      <c r="BH41" s="808">
        <f>BH40/BI40</f>
        <v>0.29767726161369196</v>
      </c>
      <c r="BI41" s="777"/>
      <c r="BJ41" s="777"/>
      <c r="BK41" s="808">
        <f>BK40/BO40</f>
        <v>0.33195997645673925</v>
      </c>
      <c r="BL41" s="808">
        <f>BL40/BO40</f>
        <v>0.16951147733961153</v>
      </c>
      <c r="BM41" s="808">
        <f>BM40/BO40</f>
        <v>0.18363743378457917</v>
      </c>
      <c r="BN41" s="808">
        <f>BN40/BO40</f>
        <v>0.31489111241907003</v>
      </c>
      <c r="BO41" s="777"/>
      <c r="BP41" s="777"/>
      <c r="BQ41" s="808">
        <f>BQ40/BU40</f>
        <v>0.34514637904468415</v>
      </c>
      <c r="BR41" s="808">
        <f>BR40/BU40</f>
        <v>0.17010785824345145</v>
      </c>
      <c r="BS41" s="808">
        <f>BS40/BU40</f>
        <v>0.18859784283513098</v>
      </c>
      <c r="BT41" s="808">
        <f>BT40/BU40</f>
        <v>0.29614791987673345</v>
      </c>
      <c r="BU41" s="777"/>
      <c r="BV41" s="15"/>
      <c r="BW41" s="13"/>
      <c r="BX41" s="13"/>
      <c r="BY41" s="13"/>
      <c r="BZ41" s="13"/>
      <c r="CA41" s="13"/>
      <c r="CB41" s="13"/>
      <c r="CC41" s="13"/>
      <c r="CD41" s="980"/>
      <c r="CE41" s="43"/>
      <c r="CF41" s="13"/>
    </row>
    <row r="42" spans="1:142">
      <c r="A42" s="13"/>
      <c r="B42" s="777"/>
      <c r="C42" s="777"/>
      <c r="D42" s="777"/>
      <c r="E42" s="777"/>
      <c r="F42" s="777"/>
      <c r="G42" s="777"/>
      <c r="H42" s="777"/>
      <c r="I42" s="777"/>
      <c r="J42" s="777"/>
      <c r="K42" s="777"/>
      <c r="L42" s="777"/>
      <c r="M42" s="777"/>
      <c r="N42" s="777"/>
      <c r="O42" s="777"/>
      <c r="P42" s="777"/>
      <c r="Q42" s="777"/>
      <c r="R42" s="777"/>
      <c r="S42" s="777"/>
      <c r="T42" s="777"/>
      <c r="U42" s="777"/>
      <c r="V42" s="777"/>
      <c r="W42" s="777"/>
      <c r="X42" s="777"/>
      <c r="Y42" s="777"/>
      <c r="Z42" s="777"/>
      <c r="AA42" s="777"/>
      <c r="AB42" s="777"/>
      <c r="AC42" s="777"/>
      <c r="AD42" s="777"/>
      <c r="AE42" s="777"/>
      <c r="AF42" s="777"/>
      <c r="AG42" s="777"/>
      <c r="AH42" s="777"/>
      <c r="AI42" s="777"/>
      <c r="AJ42" s="777"/>
      <c r="AK42" s="777"/>
      <c r="AL42" s="777"/>
      <c r="AM42" s="777"/>
      <c r="AN42" s="777"/>
      <c r="AO42" s="777"/>
      <c r="AP42" s="777"/>
      <c r="AQ42" s="777"/>
      <c r="AR42" s="777"/>
      <c r="AS42" s="777"/>
      <c r="AT42" s="777"/>
      <c r="AU42" s="777"/>
      <c r="AV42" s="777"/>
      <c r="AW42" s="777"/>
      <c r="AX42" s="777"/>
      <c r="AY42" s="777"/>
      <c r="AZ42" s="777"/>
      <c r="BA42" s="777"/>
      <c r="BB42" s="777"/>
      <c r="BC42" s="777"/>
      <c r="BD42" s="777"/>
      <c r="BE42" s="777"/>
      <c r="BF42" s="777"/>
      <c r="BG42" s="777"/>
      <c r="BH42" s="777"/>
      <c r="BI42" s="777"/>
      <c r="BJ42" s="777"/>
      <c r="BK42" s="777"/>
      <c r="BL42" s="777"/>
      <c r="BM42" s="777"/>
      <c r="BN42" s="777"/>
      <c r="BO42" s="777"/>
      <c r="BP42" s="777"/>
      <c r="BQ42" s="777"/>
      <c r="BR42" s="777"/>
      <c r="BS42" s="777"/>
      <c r="BT42" s="777"/>
      <c r="BU42" s="777"/>
      <c r="BV42" s="15"/>
      <c r="BW42" s="13"/>
      <c r="BX42" s="13"/>
      <c r="BY42" s="13"/>
      <c r="BZ42" s="13"/>
      <c r="CA42" s="13"/>
      <c r="CB42" s="13"/>
      <c r="CC42" s="13"/>
      <c r="CD42" s="980"/>
      <c r="CE42" s="43"/>
      <c r="CF42" s="13"/>
    </row>
    <row r="43" spans="1:142">
      <c r="A43" s="13"/>
      <c r="B43" s="777"/>
      <c r="C43" s="777"/>
      <c r="D43" s="777"/>
      <c r="E43" s="777"/>
      <c r="F43" s="777"/>
      <c r="G43" s="777"/>
      <c r="H43" s="777"/>
      <c r="I43" s="777"/>
      <c r="J43" s="777"/>
      <c r="K43" s="777"/>
      <c r="L43" s="777"/>
      <c r="M43" s="777"/>
      <c r="N43" s="777"/>
      <c r="O43" s="777"/>
      <c r="P43" s="777"/>
      <c r="Q43" s="777"/>
      <c r="R43" s="777"/>
      <c r="S43" s="777"/>
      <c r="T43" s="777"/>
      <c r="U43" s="777"/>
      <c r="V43" s="777"/>
      <c r="W43" s="777"/>
      <c r="X43" s="777"/>
      <c r="Y43" s="777"/>
      <c r="Z43" s="777"/>
      <c r="AA43" s="777"/>
      <c r="AB43" s="777"/>
      <c r="AC43" s="777"/>
      <c r="AD43" s="777"/>
      <c r="AE43" s="777"/>
      <c r="AF43" s="777"/>
      <c r="AG43" s="777"/>
      <c r="AH43" s="777"/>
      <c r="AI43" s="777"/>
      <c r="AJ43" s="777"/>
      <c r="AK43" s="777"/>
      <c r="AL43" s="777"/>
      <c r="AM43" s="777"/>
      <c r="AN43" s="777"/>
      <c r="AO43" s="777"/>
      <c r="AP43" s="777"/>
      <c r="AQ43" s="777"/>
      <c r="AR43" s="777"/>
      <c r="AS43" s="777"/>
      <c r="AT43" s="777"/>
      <c r="AU43" s="777"/>
      <c r="AV43" s="777"/>
      <c r="AW43" s="777"/>
      <c r="AX43" s="777"/>
      <c r="AY43" s="777"/>
      <c r="AZ43" s="777"/>
      <c r="BA43" s="777"/>
      <c r="BB43" s="777"/>
      <c r="BC43" s="777"/>
      <c r="BD43" s="777"/>
      <c r="BE43" s="777"/>
      <c r="BF43" s="777"/>
      <c r="BG43" s="777"/>
      <c r="BH43" s="777"/>
      <c r="BI43" s="777"/>
      <c r="BJ43" s="777"/>
      <c r="BK43" s="777"/>
      <c r="BL43" s="777"/>
      <c r="BM43" s="777"/>
      <c r="BN43" s="777"/>
      <c r="BO43" s="777"/>
      <c r="BP43" s="777"/>
      <c r="BQ43" s="777"/>
      <c r="BR43" s="777"/>
      <c r="BS43" s="777"/>
      <c r="BT43" s="777"/>
      <c r="BU43" s="777"/>
      <c r="BV43" s="15"/>
      <c r="BW43" s="13"/>
      <c r="BX43" s="13"/>
      <c r="BY43" s="13"/>
      <c r="BZ43" s="13"/>
      <c r="CA43" s="13"/>
      <c r="CB43" s="13"/>
      <c r="CC43" s="13"/>
      <c r="CD43" s="980"/>
      <c r="CE43" s="43"/>
      <c r="CF43" s="13"/>
    </row>
    <row r="44" spans="1:142" ht="18.5">
      <c r="A44" s="22"/>
      <c r="B44" s="1436" t="s">
        <v>1276</v>
      </c>
      <c r="C44" s="1436"/>
      <c r="D44" s="1436"/>
      <c r="E44" s="1436"/>
      <c r="F44" s="1436"/>
      <c r="G44" s="1436"/>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row>
    <row r="45" spans="1:142">
      <c r="A45" s="22"/>
      <c r="B45" s="827" t="s">
        <v>1275</v>
      </c>
      <c r="C45" s="828" t="s">
        <v>428</v>
      </c>
      <c r="D45" s="829" t="s">
        <v>1094</v>
      </c>
      <c r="E45" s="830" t="s">
        <v>1095</v>
      </c>
      <c r="F45" s="831" t="s">
        <v>1096</v>
      </c>
      <c r="G45" s="827" t="s">
        <v>91</v>
      </c>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row>
    <row r="46" spans="1:142">
      <c r="A46" s="13" t="s">
        <v>940</v>
      </c>
      <c r="B46" s="43">
        <f t="shared" ref="B46:G46" si="71">AVERAGE(B29,H29,N29,T29,Z29,AF29,AL29,AR29,AX29,BD29,BJ29,BP29)</f>
        <v>1619.125</v>
      </c>
      <c r="C46" s="43">
        <f t="shared" si="71"/>
        <v>525.66666666666663</v>
      </c>
      <c r="D46" s="43">
        <f t="shared" si="71"/>
        <v>274.5</v>
      </c>
      <c r="E46" s="43">
        <f t="shared" si="71"/>
        <v>280</v>
      </c>
      <c r="F46" s="43">
        <f t="shared" si="71"/>
        <v>557.04166666666663</v>
      </c>
      <c r="G46" s="43">
        <f t="shared" si="71"/>
        <v>1637.2083333333333</v>
      </c>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row>
    <row r="47" spans="1:142">
      <c r="A47" s="13" t="s">
        <v>941</v>
      </c>
      <c r="B47" s="43">
        <f>AVERAGE(B38,H38,N38,T38,Z38,AF38,AL38,AR38,AX38,BD38,BJ38,BP38)</f>
        <v>66</v>
      </c>
      <c r="C47" s="43">
        <f t="shared" ref="C47:G47" si="72">AVERAGE(C38,I38,O38,U38,AA38,AG38,AM38,AS38,AY38,BE38,BK38,BQ38)</f>
        <v>32</v>
      </c>
      <c r="D47" s="43">
        <f t="shared" si="72"/>
        <v>0</v>
      </c>
      <c r="E47" s="43">
        <f t="shared" si="72"/>
        <v>20</v>
      </c>
      <c r="F47" s="43">
        <f t="shared" si="72"/>
        <v>14</v>
      </c>
      <c r="G47" s="43">
        <f t="shared" si="72"/>
        <v>66</v>
      </c>
      <c r="CE47" s="39"/>
    </row>
    <row r="48" spans="1:142" hidden="1">
      <c r="E48" s="156">
        <f>E49/(E49+F49)</f>
        <v>0.34441521167184885</v>
      </c>
      <c r="F48" s="155">
        <f>1-E48</f>
        <v>0.65558478832815115</v>
      </c>
    </row>
    <row r="49" spans="1:142">
      <c r="A49" s="13" t="s">
        <v>266</v>
      </c>
      <c r="B49" s="43">
        <f t="shared" ref="B49:G49" si="73">AVERAGE(B40,H40,N40,T40,Z40,AF40,AL40,AR40,AX40,BD40,BJ40,BP40)</f>
        <v>1685.125</v>
      </c>
      <c r="C49" s="43">
        <f t="shared" si="73"/>
        <v>557.66666666666663</v>
      </c>
      <c r="D49" s="43">
        <f t="shared" si="73"/>
        <v>274.5</v>
      </c>
      <c r="E49" s="43">
        <f t="shared" si="73"/>
        <v>300</v>
      </c>
      <c r="F49" s="43">
        <f t="shared" si="73"/>
        <v>571.04166666666663</v>
      </c>
      <c r="G49" s="43">
        <f t="shared" si="73"/>
        <v>1703.2083333333333</v>
      </c>
      <c r="CE49" s="39"/>
    </row>
    <row r="50" spans="1:142">
      <c r="A50" s="13"/>
      <c r="B50" s="13"/>
      <c r="C50" s="809">
        <f>AVERAGE(C41,I41,O41,U41,AA41,AG41,AM41,AS41,AY41,BE41,BK41,BQ41)</f>
        <v>0.32761320682282213</v>
      </c>
      <c r="D50" s="809">
        <f>AVERAGE(D41,J41,P41,V41,AB41,AH41,AN41,AT41,AZ41,BF41,BL41,BR41)</f>
        <v>0.16124761933230927</v>
      </c>
      <c r="E50" s="809">
        <f>AVERAGE(E41,K41,Q41,W41,AC41,AI41,AO41,AU41,BA41,BG41,BM41,BS41)</f>
        <v>0.17623721122186378</v>
      </c>
      <c r="F50" s="809">
        <f>AVERAGE(F41,L41,R41,X41,AD41,AJ41,AP41,AV41,BB41,BH41,BN41,BT41)</f>
        <v>0.33490196262300476</v>
      </c>
      <c r="G50" s="13"/>
      <c r="CE50" s="39"/>
    </row>
    <row r="51" spans="1:142">
      <c r="C51" s="798">
        <f>C49/$B$49</f>
        <v>0.33093489602650644</v>
      </c>
      <c r="D51" s="798">
        <f>D49/$B$49</f>
        <v>0.16289592760180996</v>
      </c>
      <c r="E51" s="798">
        <f>E49/$B$49</f>
        <v>0.17802833617684147</v>
      </c>
      <c r="F51" s="798">
        <f>F49/$B$49</f>
        <v>0.33887199268105728</v>
      </c>
    </row>
    <row r="52" spans="1:142">
      <c r="C52" s="39"/>
      <c r="D52" s="39"/>
      <c r="E52" s="39"/>
      <c r="F52" s="39"/>
      <c r="G52" s="39"/>
      <c r="H52" s="859"/>
    </row>
    <row r="53" spans="1:142">
      <c r="B53" s="39"/>
    </row>
    <row r="54" spans="1:142">
      <c r="B54" s="39"/>
      <c r="H54">
        <f>H55/12</f>
        <v>44.758333333333333</v>
      </c>
      <c r="I54" s="44">
        <f>I55/12</f>
        <v>59.666666666666664</v>
      </c>
    </row>
    <row r="55" spans="1:142">
      <c r="A55" t="s">
        <v>1109</v>
      </c>
      <c r="B55" s="39"/>
      <c r="E55" s="44">
        <v>537.1</v>
      </c>
      <c r="G55" s="44">
        <v>716</v>
      </c>
      <c r="H55" s="44">
        <v>537.1</v>
      </c>
      <c r="I55" s="44">
        <v>716</v>
      </c>
      <c r="J55" s="44">
        <v>196</v>
      </c>
      <c r="K55" s="44">
        <v>38</v>
      </c>
      <c r="R55" s="798">
        <f>(-E55+G55)/G55</f>
        <v>0.24986033519553069</v>
      </c>
    </row>
    <row r="56" spans="1:142">
      <c r="A56" t="s">
        <v>1110</v>
      </c>
      <c r="E56" s="44">
        <v>196</v>
      </c>
      <c r="R56" s="798"/>
    </row>
    <row r="57" spans="1:142" s="606" customFormat="1" ht="29.25" customHeight="1">
      <c r="A57" s="825" t="s">
        <v>1097</v>
      </c>
      <c r="B57" s="825"/>
      <c r="C57" s="825" t="s">
        <v>605</v>
      </c>
      <c r="D57" s="825" t="s">
        <v>606</v>
      </c>
      <c r="E57" s="825" t="s">
        <v>480</v>
      </c>
      <c r="F57" s="825" t="s">
        <v>1106</v>
      </c>
      <c r="G57" s="825" t="s">
        <v>1105</v>
      </c>
      <c r="H57" s="826" t="s">
        <v>1112</v>
      </c>
      <c r="I57" s="826" t="s">
        <v>1113</v>
      </c>
      <c r="J57" s="826" t="s">
        <v>1114</v>
      </c>
      <c r="K57" s="826" t="s">
        <v>1115</v>
      </c>
      <c r="DP57"/>
      <c r="DQ57"/>
      <c r="DR57"/>
      <c r="DS57"/>
      <c r="DT57"/>
      <c r="DU57"/>
      <c r="DV57"/>
      <c r="DW57"/>
      <c r="DX57"/>
      <c r="DY57"/>
      <c r="DZ57"/>
      <c r="EA57"/>
      <c r="EB57"/>
      <c r="EC57"/>
      <c r="ED57"/>
      <c r="EE57"/>
      <c r="EF57"/>
      <c r="EG57"/>
      <c r="EH57"/>
      <c r="EI57"/>
      <c r="EJ57"/>
      <c r="EK57"/>
      <c r="EL57"/>
    </row>
    <row r="58" spans="1:142">
      <c r="A58" s="811" t="s">
        <v>1036</v>
      </c>
      <c r="B58" s="811"/>
      <c r="C58" s="811"/>
      <c r="D58" s="811"/>
      <c r="E58" s="811"/>
      <c r="F58" s="833"/>
      <c r="G58" s="811"/>
    </row>
    <row r="59" spans="1:142">
      <c r="A59" s="310" t="s">
        <v>1098</v>
      </c>
      <c r="B59" s="310" t="s">
        <v>1099</v>
      </c>
      <c r="C59" s="812">
        <v>709.75</v>
      </c>
      <c r="D59" s="812">
        <v>871.25</v>
      </c>
      <c r="E59" s="812">
        <v>702.43721311475417</v>
      </c>
      <c r="F59" s="834">
        <v>732.4</v>
      </c>
      <c r="G59" s="812">
        <f>C49</f>
        <v>557.66666666666663</v>
      </c>
      <c r="H59" s="10">
        <v>587.9098360655737</v>
      </c>
      <c r="I59" s="10">
        <f>C46</f>
        <v>525.66666666666663</v>
      </c>
      <c r="J59" s="10">
        <v>114.52737704918047</v>
      </c>
      <c r="K59" s="216">
        <v>32</v>
      </c>
    </row>
    <row r="60" spans="1:142">
      <c r="A60" s="310" t="s">
        <v>535</v>
      </c>
      <c r="B60" s="310" t="s">
        <v>1099</v>
      </c>
      <c r="C60" s="812">
        <v>350.625</v>
      </c>
      <c r="D60" s="812">
        <v>241.91666666666666</v>
      </c>
      <c r="E60" s="812">
        <v>397.58333333333331</v>
      </c>
      <c r="F60" s="834">
        <v>215.9</v>
      </c>
      <c r="G60" s="812">
        <f>D49</f>
        <v>274.5</v>
      </c>
      <c r="H60" s="10">
        <v>350.16666666666669</v>
      </c>
      <c r="I60" s="10">
        <f>D46</f>
        <v>274.5</v>
      </c>
      <c r="J60" s="10">
        <v>47.416666666666629</v>
      </c>
      <c r="K60" s="216">
        <v>0</v>
      </c>
    </row>
    <row r="61" spans="1:142">
      <c r="A61" s="310" t="s">
        <v>1107</v>
      </c>
      <c r="B61" s="310" t="s">
        <v>1099</v>
      </c>
      <c r="C61" s="812">
        <v>1241.0491181805623</v>
      </c>
      <c r="D61" s="812">
        <v>913.14190742607525</v>
      </c>
      <c r="E61" s="812">
        <v>431.80737704918033</v>
      </c>
      <c r="F61" s="834">
        <v>785.3</v>
      </c>
      <c r="G61" s="812">
        <f>E49</f>
        <v>300</v>
      </c>
      <c r="H61" s="10">
        <v>381.80737704918033</v>
      </c>
      <c r="I61" s="10">
        <f>E46</f>
        <v>280</v>
      </c>
      <c r="J61" s="10">
        <v>50</v>
      </c>
      <c r="K61" s="216">
        <v>12</v>
      </c>
    </row>
    <row r="62" spans="1:142">
      <c r="A62" s="310" t="s">
        <v>1108</v>
      </c>
      <c r="B62" s="310"/>
      <c r="C62" s="812"/>
      <c r="D62" s="812"/>
      <c r="E62" s="812">
        <v>303</v>
      </c>
      <c r="F62" s="834"/>
      <c r="G62" s="812">
        <f>F49</f>
        <v>571.04166666666663</v>
      </c>
      <c r="H62" s="10">
        <v>289</v>
      </c>
      <c r="I62" s="10">
        <f>F46</f>
        <v>557.04166666666663</v>
      </c>
      <c r="J62" s="10">
        <v>14</v>
      </c>
      <c r="K62" s="216">
        <v>14</v>
      </c>
    </row>
    <row r="63" spans="1:142">
      <c r="A63" s="810" t="s">
        <v>561</v>
      </c>
      <c r="B63" s="810" t="s">
        <v>1099</v>
      </c>
      <c r="C63" s="813">
        <v>2301.4241181805623</v>
      </c>
      <c r="D63" s="813">
        <v>2026.308574092742</v>
      </c>
      <c r="E63" s="813">
        <v>1834.8279234972679</v>
      </c>
      <c r="F63" s="813">
        <f t="shared" ref="F63:K63" si="74">SUM(F59:F62)</f>
        <v>1733.6</v>
      </c>
      <c r="G63" s="813">
        <f>SUM(G59:G62)</f>
        <v>1703.208333333333</v>
      </c>
      <c r="H63" s="813">
        <f t="shared" si="74"/>
        <v>1608.8838797814208</v>
      </c>
      <c r="I63" s="813">
        <f t="shared" si="74"/>
        <v>1637.208333333333</v>
      </c>
      <c r="J63" s="813">
        <f t="shared" si="74"/>
        <v>225.9440437158471</v>
      </c>
      <c r="K63" s="813">
        <f t="shared" si="74"/>
        <v>58</v>
      </c>
      <c r="R63" s="798">
        <f>(-E63+G63)/G63</f>
        <v>-7.7277446092776786E-2</v>
      </c>
    </row>
    <row r="64" spans="1:142">
      <c r="A64" s="811" t="s">
        <v>1100</v>
      </c>
      <c r="B64" s="811"/>
      <c r="C64" s="811"/>
      <c r="D64" s="811"/>
      <c r="E64" s="811"/>
      <c r="F64" s="833"/>
      <c r="G64" s="811"/>
      <c r="H64" s="811"/>
      <c r="I64" s="811"/>
      <c r="J64" s="811"/>
      <c r="K64" s="811"/>
    </row>
    <row r="65" spans="1:18">
      <c r="A65" s="310" t="s">
        <v>1098</v>
      </c>
      <c r="B65" s="310" t="s">
        <v>236</v>
      </c>
      <c r="C65" s="814">
        <f t="shared" ref="C65:D65" si="75">C59/C63</f>
        <v>0.30839600332384948</v>
      </c>
      <c r="D65" s="814">
        <f t="shared" si="75"/>
        <v>0.42996906351743236</v>
      </c>
      <c r="E65" s="814">
        <f t="shared" ref="E65:K65" si="76">E59/E63</f>
        <v>0.38283547144621388</v>
      </c>
      <c r="F65" s="835">
        <f t="shared" si="76"/>
        <v>0.42247346562067373</v>
      </c>
      <c r="G65" s="814">
        <f t="shared" si="76"/>
        <v>0.32742128825500899</v>
      </c>
      <c r="H65" s="814">
        <f t="shared" si="76"/>
        <v>0.36541470982072727</v>
      </c>
      <c r="I65" s="814">
        <f t="shared" si="76"/>
        <v>0.32107500063624567</v>
      </c>
      <c r="J65" s="814">
        <f t="shared" si="76"/>
        <v>0.50688380700671609</v>
      </c>
      <c r="K65" s="814">
        <f t="shared" si="76"/>
        <v>0.55172413793103448</v>
      </c>
    </row>
    <row r="66" spans="1:18">
      <c r="A66" s="310" t="s">
        <v>535</v>
      </c>
      <c r="B66" s="310" t="s">
        <v>236</v>
      </c>
      <c r="C66" s="814">
        <f t="shared" ref="C66:D66" si="77">C60/C63</f>
        <v>0.1523513190072909</v>
      </c>
      <c r="D66" s="814">
        <f t="shared" si="77"/>
        <v>0.11938787100823588</v>
      </c>
      <c r="E66" s="814">
        <f t="shared" ref="E66:K66" si="78">E60/E63</f>
        <v>0.2166869864153369</v>
      </c>
      <c r="F66" s="835">
        <f t="shared" si="78"/>
        <v>0.1245385325334564</v>
      </c>
      <c r="G66" s="814">
        <f t="shared" si="78"/>
        <v>0.1611664261075911</v>
      </c>
      <c r="H66" s="814">
        <f t="shared" si="78"/>
        <v>0.21764570524147431</v>
      </c>
      <c r="I66" s="814">
        <f t="shared" si="78"/>
        <v>0.16766345150535722</v>
      </c>
      <c r="J66" s="814">
        <f t="shared" si="78"/>
        <v>0.20986021975555602</v>
      </c>
      <c r="K66" s="814">
        <f t="shared" si="78"/>
        <v>0</v>
      </c>
    </row>
    <row r="67" spans="1:18">
      <c r="A67" s="310" t="s">
        <v>1107</v>
      </c>
      <c r="B67" s="310" t="s">
        <v>236</v>
      </c>
      <c r="C67" s="814">
        <f t="shared" ref="C67:D67" si="79">C61/C63</f>
        <v>0.53925267766885965</v>
      </c>
      <c r="D67" s="814">
        <f t="shared" si="79"/>
        <v>0.45064306547433169</v>
      </c>
      <c r="E67" s="814">
        <f t="shared" ref="E67:K67" si="80">E61/E63</f>
        <v>0.23533944056515951</v>
      </c>
      <c r="F67" s="835">
        <f t="shared" si="80"/>
        <v>0.45298800184586985</v>
      </c>
      <c r="G67" s="814">
        <f t="shared" si="80"/>
        <v>0.17613817060938916</v>
      </c>
      <c r="H67" s="814">
        <f t="shared" si="80"/>
        <v>0.2373119538627311</v>
      </c>
      <c r="I67" s="814">
        <f t="shared" si="80"/>
        <v>0.17102282849362485</v>
      </c>
      <c r="J67" s="814">
        <f t="shared" si="80"/>
        <v>0.22129372909197489</v>
      </c>
      <c r="K67" s="814">
        <f t="shared" si="80"/>
        <v>0.20689655172413793</v>
      </c>
    </row>
    <row r="68" spans="1:18">
      <c r="A68" s="310" t="s">
        <v>1108</v>
      </c>
      <c r="B68" s="310"/>
      <c r="C68" s="814">
        <f t="shared" ref="C68:D68" si="81">C62/C63</f>
        <v>0</v>
      </c>
      <c r="D68" s="814">
        <f t="shared" si="81"/>
        <v>0</v>
      </c>
      <c r="E68" s="814">
        <f t="shared" ref="E68:K68" si="82">E62/E63</f>
        <v>0.16513810157328968</v>
      </c>
      <c r="F68" s="835">
        <f t="shared" si="82"/>
        <v>0</v>
      </c>
      <c r="G68" s="814">
        <f t="shared" si="82"/>
        <v>0.33527411502801091</v>
      </c>
      <c r="H68" s="814">
        <f t="shared" si="82"/>
        <v>0.17962763107506732</v>
      </c>
      <c r="I68" s="814">
        <f t="shared" si="82"/>
        <v>0.3402387193647724</v>
      </c>
      <c r="J68" s="814">
        <f t="shared" si="82"/>
        <v>6.1962244145752972E-2</v>
      </c>
      <c r="K68" s="814">
        <f t="shared" si="82"/>
        <v>0.2413793103448276</v>
      </c>
    </row>
    <row r="69" spans="1:18">
      <c r="A69" s="810" t="s">
        <v>561</v>
      </c>
      <c r="B69" s="810" t="s">
        <v>236</v>
      </c>
      <c r="C69" s="815">
        <f t="shared" ref="C69:K69" si="83">SUM(C65:C68)</f>
        <v>1</v>
      </c>
      <c r="D69" s="815">
        <f t="shared" si="83"/>
        <v>1</v>
      </c>
      <c r="E69" s="815">
        <f t="shared" si="83"/>
        <v>1</v>
      </c>
      <c r="F69" s="815">
        <f t="shared" si="83"/>
        <v>1</v>
      </c>
      <c r="G69" s="815">
        <f t="shared" si="83"/>
        <v>1.0000000000000002</v>
      </c>
      <c r="H69" s="815">
        <f t="shared" si="83"/>
        <v>1</v>
      </c>
      <c r="I69" s="815">
        <f t="shared" si="83"/>
        <v>1.0000000000000002</v>
      </c>
      <c r="J69" s="815">
        <f t="shared" si="83"/>
        <v>1</v>
      </c>
      <c r="K69" s="815">
        <f t="shared" si="83"/>
        <v>1</v>
      </c>
    </row>
    <row r="70" spans="1:18">
      <c r="A70" s="811" t="s">
        <v>1101</v>
      </c>
      <c r="B70" s="811"/>
      <c r="C70" s="811"/>
      <c r="D70" s="811"/>
      <c r="E70" s="811"/>
      <c r="F70" s="833"/>
      <c r="G70" s="811"/>
      <c r="H70" s="811"/>
      <c r="I70" s="811"/>
      <c r="J70" s="811"/>
      <c r="K70" s="811"/>
    </row>
    <row r="71" spans="1:18">
      <c r="A71" s="310" t="s">
        <v>1098</v>
      </c>
      <c r="B71" s="816" t="s">
        <v>1102</v>
      </c>
      <c r="C71" s="817">
        <v>28.633814370634418</v>
      </c>
      <c r="D71" s="817">
        <v>32.343572143801389</v>
      </c>
      <c r="E71" s="817">
        <f t="shared" ref="E71:K72" si="84">(E59*E78*12)/10^7</f>
        <v>22.337503377049185</v>
      </c>
      <c r="F71" s="836">
        <f t="shared" si="84"/>
        <v>28.319992041600003</v>
      </c>
      <c r="G71" s="817">
        <f t="shared" si="84"/>
        <v>20.962689999999998</v>
      </c>
      <c r="H71" s="817">
        <f t="shared" si="84"/>
        <v>18.695532786885245</v>
      </c>
      <c r="I71" s="817">
        <f t="shared" si="84"/>
        <v>19.759810000000002</v>
      </c>
      <c r="J71" s="817">
        <f t="shared" si="84"/>
        <v>3.6419705901639388</v>
      </c>
      <c r="K71" s="817">
        <f t="shared" si="84"/>
        <v>1.2028799999999999</v>
      </c>
    </row>
    <row r="72" spans="1:18">
      <c r="A72" s="310" t="s">
        <v>535</v>
      </c>
      <c r="B72" s="816" t="s">
        <v>1102</v>
      </c>
      <c r="C72" s="817">
        <v>7.4413680125000008</v>
      </c>
      <c r="D72" s="817">
        <v>4.5894256280448635</v>
      </c>
      <c r="E72" s="817">
        <f t="shared" si="84"/>
        <v>6.9179500000000003</v>
      </c>
      <c r="F72" s="836">
        <f t="shared" si="84"/>
        <v>4.1999976960000005</v>
      </c>
      <c r="G72" s="817">
        <f t="shared" si="84"/>
        <v>5.1056999999999997</v>
      </c>
      <c r="H72" s="817">
        <f t="shared" si="84"/>
        <v>6.0929000000000002</v>
      </c>
      <c r="I72" s="817">
        <f t="shared" si="84"/>
        <v>5.1056999999999997</v>
      </c>
      <c r="J72" s="817">
        <f t="shared" si="84"/>
        <v>0.82504999999999939</v>
      </c>
      <c r="K72" s="817">
        <f t="shared" si="84"/>
        <v>0</v>
      </c>
    </row>
    <row r="73" spans="1:18">
      <c r="A73" s="310" t="s">
        <v>1107</v>
      </c>
      <c r="B73" s="816" t="s">
        <v>1102</v>
      </c>
      <c r="C73" s="817">
        <v>34.005120117265342</v>
      </c>
      <c r="D73" s="817">
        <v>28.665845161730452</v>
      </c>
      <c r="E73" s="817">
        <v>19.817754959016391</v>
      </c>
      <c r="F73" s="836">
        <f t="shared" ref="F73:K74" si="85">(F61*F80*12)/10^7</f>
        <v>22.799994985200001</v>
      </c>
      <c r="G73" s="817">
        <f t="shared" si="85"/>
        <v>9.5399999999999991</v>
      </c>
      <c r="H73" s="817">
        <f t="shared" si="85"/>
        <v>10.297344959016394</v>
      </c>
      <c r="I73" s="817">
        <f t="shared" si="85"/>
        <v>8.9039999999999999</v>
      </c>
      <c r="J73" s="817">
        <f t="shared" si="85"/>
        <v>1.3485</v>
      </c>
      <c r="K73" s="817">
        <f t="shared" si="85"/>
        <v>0.38159999999999999</v>
      </c>
    </row>
    <row r="74" spans="1:18">
      <c r="A74" s="310" t="s">
        <v>1108</v>
      </c>
      <c r="B74" s="816"/>
      <c r="C74" s="817"/>
      <c r="D74" s="817"/>
      <c r="E74" s="817"/>
      <c r="F74" s="836">
        <f t="shared" si="85"/>
        <v>0</v>
      </c>
      <c r="G74" s="817">
        <f t="shared" si="85"/>
        <v>15.418125</v>
      </c>
      <c r="H74" s="817">
        <f t="shared" si="85"/>
        <v>7.7943300000000004</v>
      </c>
      <c r="I74" s="817">
        <f t="shared" si="85"/>
        <v>15.040125</v>
      </c>
      <c r="J74" s="817">
        <f t="shared" si="85"/>
        <v>0.37758000000000003</v>
      </c>
      <c r="K74" s="817">
        <f t="shared" si="85"/>
        <v>0.378</v>
      </c>
    </row>
    <row r="75" spans="1:18">
      <c r="A75" s="810" t="s">
        <v>561</v>
      </c>
      <c r="B75" s="818" t="s">
        <v>1102</v>
      </c>
      <c r="C75" s="819">
        <f t="shared" ref="C75:K75" si="86">SUM(C71:C74)</f>
        <v>70.080302500399767</v>
      </c>
      <c r="D75" s="819">
        <f t="shared" si="86"/>
        <v>65.598842933576705</v>
      </c>
      <c r="E75" s="819">
        <f t="shared" si="86"/>
        <v>49.073208336065576</v>
      </c>
      <c r="F75" s="819">
        <f t="shared" si="86"/>
        <v>55.319984722800001</v>
      </c>
      <c r="G75" s="819">
        <f t="shared" si="86"/>
        <v>51.026515000000003</v>
      </c>
      <c r="H75" s="819">
        <f t="shared" si="86"/>
        <v>42.88010774590164</v>
      </c>
      <c r="I75" s="819">
        <f t="shared" si="86"/>
        <v>48.809635</v>
      </c>
      <c r="J75" s="819">
        <f t="shared" si="86"/>
        <v>6.1931005901639384</v>
      </c>
      <c r="K75" s="819">
        <f t="shared" si="86"/>
        <v>1.9624799999999998</v>
      </c>
      <c r="Q75">
        <f>(G82*G63*12)/10^7</f>
        <v>51.026515000000003</v>
      </c>
      <c r="R75" s="798">
        <f>(-E75+G75)/G75</f>
        <v>3.8280228699420819E-2</v>
      </c>
    </row>
    <row r="76" spans="1:18">
      <c r="A76" s="820"/>
      <c r="B76" s="820"/>
      <c r="C76" s="821">
        <v>0</v>
      </c>
      <c r="D76" s="821">
        <v>0.21042829968111221</v>
      </c>
      <c r="E76" s="822">
        <f>D75/12</f>
        <v>5.4665702444647257</v>
      </c>
      <c r="F76" s="822">
        <f>F75/12</f>
        <v>4.6099987268999998</v>
      </c>
      <c r="G76" s="822"/>
      <c r="H76" s="824">
        <f>H75/H55</f>
        <v>7.9836357746977546E-2</v>
      </c>
      <c r="I76" s="824">
        <f>I75/I55</f>
        <v>6.8169881284916203E-2</v>
      </c>
      <c r="J76" s="824">
        <f>J75/J55</f>
        <v>3.1597451990632339E-2</v>
      </c>
      <c r="K76" s="824">
        <f>K75/K55</f>
        <v>5.1644210526315786E-2</v>
      </c>
    </row>
    <row r="77" spans="1:18">
      <c r="A77" s="811" t="s">
        <v>1103</v>
      </c>
      <c r="B77" s="811"/>
      <c r="C77" s="811"/>
      <c r="D77" s="811"/>
      <c r="E77" s="811"/>
      <c r="F77" s="811"/>
      <c r="G77" s="811"/>
      <c r="H77" s="811"/>
      <c r="I77" s="811"/>
      <c r="J77" s="811"/>
      <c r="K77" s="811"/>
    </row>
    <row r="78" spans="1:18">
      <c r="A78" s="310" t="s">
        <v>1098</v>
      </c>
      <c r="B78" s="816" t="s">
        <v>1104</v>
      </c>
      <c r="C78" s="823">
        <v>33619.601233573347</v>
      </c>
      <c r="D78" s="823">
        <v>30935.984833860726</v>
      </c>
      <c r="E78" s="823">
        <v>26500</v>
      </c>
      <c r="F78" s="837">
        <v>32222.82</v>
      </c>
      <c r="G78" s="823">
        <v>31325</v>
      </c>
      <c r="H78" s="823">
        <v>26500</v>
      </c>
      <c r="I78" s="823">
        <v>31325</v>
      </c>
      <c r="J78" s="823">
        <v>26500</v>
      </c>
      <c r="K78" s="823">
        <v>31325</v>
      </c>
    </row>
    <row r="79" spans="1:18">
      <c r="A79" s="310" t="s">
        <v>535</v>
      </c>
      <c r="B79" s="816" t="s">
        <v>1104</v>
      </c>
      <c r="C79" s="823">
        <v>17685.960814022583</v>
      </c>
      <c r="D79" s="823">
        <v>15625.038167838899</v>
      </c>
      <c r="E79" s="823">
        <v>14500</v>
      </c>
      <c r="F79" s="837">
        <v>16211.2</v>
      </c>
      <c r="G79" s="823">
        <v>15500</v>
      </c>
      <c r="H79" s="823">
        <v>14500</v>
      </c>
      <c r="I79" s="823">
        <v>15500</v>
      </c>
      <c r="J79" s="823">
        <v>14500</v>
      </c>
      <c r="K79" s="823">
        <v>15500</v>
      </c>
    </row>
    <row r="80" spans="1:18">
      <c r="A80" s="310" t="s">
        <v>1107</v>
      </c>
      <c r="B80" s="816" t="s">
        <v>1104</v>
      </c>
      <c r="C80" s="823">
        <v>22833.584652366862</v>
      </c>
      <c r="D80" s="823">
        <v>26318.346099755723</v>
      </c>
      <c r="E80" s="823">
        <v>22475</v>
      </c>
      <c r="F80" s="837">
        <v>24194.57</v>
      </c>
      <c r="G80" s="823">
        <f>F86</f>
        <v>26500</v>
      </c>
      <c r="H80" s="823">
        <v>22475</v>
      </c>
      <c r="I80" s="823">
        <f>$F$86</f>
        <v>26500</v>
      </c>
      <c r="J80" s="823">
        <v>22475</v>
      </c>
      <c r="K80" s="823">
        <f>$F$86</f>
        <v>26500</v>
      </c>
    </row>
    <row r="81" spans="1:18">
      <c r="A81" s="310" t="s">
        <v>1108</v>
      </c>
      <c r="B81" s="816"/>
      <c r="C81" s="823"/>
      <c r="D81" s="823"/>
      <c r="E81" s="823">
        <v>22475</v>
      </c>
      <c r="F81" s="837">
        <f>F80</f>
        <v>24194.57</v>
      </c>
      <c r="G81" s="823">
        <f>F87</f>
        <v>22500</v>
      </c>
      <c r="H81" s="823">
        <v>22475</v>
      </c>
      <c r="I81" s="823">
        <f>$F$87</f>
        <v>22500</v>
      </c>
      <c r="J81" s="823">
        <v>22475</v>
      </c>
      <c r="K81" s="823">
        <f>$F$87</f>
        <v>22500</v>
      </c>
    </row>
    <row r="82" spans="1:18">
      <c r="A82" s="810"/>
      <c r="B82" s="818"/>
      <c r="C82" s="813">
        <f t="shared" ref="C82:I82" si="87">(C78*C65)+(C79*C66)+(C80*C67)+(C68*C81)</f>
        <v>25375.701776270587</v>
      </c>
      <c r="D82" s="813">
        <f t="shared" si="87"/>
        <v>27027.136633893639</v>
      </c>
      <c r="E82" s="813">
        <f t="shared" si="87"/>
        <v>22287.834055908697</v>
      </c>
      <c r="F82" s="813">
        <f t="shared" si="87"/>
        <v>26592.055415897554</v>
      </c>
      <c r="G82" s="813">
        <f t="shared" si="87"/>
        <v>24965.880568534878</v>
      </c>
      <c r="H82" s="813">
        <f t="shared" si="87"/>
        <v>22210.069707727675</v>
      </c>
      <c r="I82" s="813">
        <f t="shared" si="87"/>
        <v>24843.934034051868</v>
      </c>
      <c r="J82" s="813">
        <f>J78*J65+J79*J66+J80*J67+J68*J81</f>
        <v>22841.572070651473</v>
      </c>
      <c r="K82" s="813">
        <f>K78*K65+K79*K66+K80*K67+K68*K81</f>
        <v>28196.551724137935</v>
      </c>
      <c r="R82" s="798">
        <f>(-E82+G82)/G82</f>
        <v>0.10726825778384078</v>
      </c>
    </row>
    <row r="83" spans="1:18">
      <c r="G83" s="39">
        <f>(F82-G82)*G63*12</f>
        <v>33236574.617822044</v>
      </c>
    </row>
    <row r="86" spans="1:18">
      <c r="F86">
        <v>26500</v>
      </c>
      <c r="G86" s="155">
        <v>0.35</v>
      </c>
      <c r="H86">
        <f>G86*F86</f>
        <v>9275</v>
      </c>
    </row>
    <row r="87" spans="1:18">
      <c r="F87">
        <v>22500</v>
      </c>
      <c r="G87" s="155">
        <v>0.65</v>
      </c>
      <c r="H87">
        <f>G87*F87</f>
        <v>14625</v>
      </c>
    </row>
    <row r="89" spans="1:18">
      <c r="H89" s="44">
        <v>25.776811625344592</v>
      </c>
      <c r="I89" s="44">
        <v>25.776811625344592</v>
      </c>
    </row>
    <row r="90" spans="1:18">
      <c r="F90" s="41"/>
      <c r="G90" s="41"/>
      <c r="H90" s="41">
        <f>H89+H75</f>
        <v>68.656919371246232</v>
      </c>
      <c r="I90" s="41">
        <f>I89+I75</f>
        <v>74.586446625344593</v>
      </c>
    </row>
    <row r="91" spans="1:18">
      <c r="H91" s="798">
        <f>H90/H55</f>
        <v>0.12782893198891496</v>
      </c>
      <c r="I91" s="798">
        <f>I90/I55</f>
        <v>0.10417101483986675</v>
      </c>
    </row>
  </sheetData>
  <mergeCells count="17">
    <mergeCell ref="CQ1:CV1"/>
    <mergeCell ref="AL1:AQ1"/>
    <mergeCell ref="AR1:AW1"/>
    <mergeCell ref="AX1:BC1"/>
    <mergeCell ref="BD1:BI1"/>
    <mergeCell ref="BJ1:BO1"/>
    <mergeCell ref="BP1:BU1"/>
    <mergeCell ref="Z1:AE1"/>
    <mergeCell ref="CE1:CF1"/>
    <mergeCell ref="B44:G44"/>
    <mergeCell ref="BX1:CC1"/>
    <mergeCell ref="CI1:CN1"/>
    <mergeCell ref="AF1:AK1"/>
    <mergeCell ref="B1:G1"/>
    <mergeCell ref="H1:M1"/>
    <mergeCell ref="N1:S1"/>
    <mergeCell ref="T1:Y1"/>
  </mergeCells>
  <conditionalFormatting sqref="G3:G28 BU3:BU27 BU32:BU34 BU36:BU37">
    <cfRule type="cellIs" dxfId="95" priority="129" operator="notEqual">
      <formula>B3</formula>
    </cfRule>
    <cfRule type="cellIs" dxfId="94" priority="130" operator="equal">
      <formula>B3</formula>
    </cfRule>
  </conditionalFormatting>
  <conditionalFormatting sqref="G32:G37">
    <cfRule type="cellIs" dxfId="93" priority="127" operator="notEqual">
      <formula>B32</formula>
    </cfRule>
    <cfRule type="cellIs" dxfId="92" priority="128" operator="equal">
      <formula>B32</formula>
    </cfRule>
  </conditionalFormatting>
  <conditionalFormatting sqref="M3:M27">
    <cfRule type="cellIs" dxfId="91" priority="125" operator="notEqual">
      <formula>H3</formula>
    </cfRule>
    <cfRule type="cellIs" dxfId="90" priority="126" operator="equal">
      <formula>H3</formula>
    </cfRule>
  </conditionalFormatting>
  <conditionalFormatting sqref="M32:M34 M36:M37">
    <cfRule type="cellIs" dxfId="89" priority="123" operator="notEqual">
      <formula>H32</formula>
    </cfRule>
    <cfRule type="cellIs" dxfId="88" priority="124" operator="equal">
      <formula>H32</formula>
    </cfRule>
  </conditionalFormatting>
  <conditionalFormatting sqref="S3:S27">
    <cfRule type="cellIs" dxfId="87" priority="121" operator="notEqual">
      <formula>N3</formula>
    </cfRule>
    <cfRule type="cellIs" dxfId="86" priority="122" operator="equal">
      <formula>N3</formula>
    </cfRule>
  </conditionalFormatting>
  <conditionalFormatting sqref="S32:S34 S36:S37">
    <cfRule type="cellIs" dxfId="85" priority="119" operator="notEqual">
      <formula>N32</formula>
    </cfRule>
    <cfRule type="cellIs" dxfId="84" priority="120" operator="equal">
      <formula>N32</formula>
    </cfRule>
  </conditionalFormatting>
  <conditionalFormatting sqref="Y3:Y27">
    <cfRule type="cellIs" dxfId="83" priority="117" operator="notEqual">
      <formula>T3</formula>
    </cfRule>
    <cfRule type="cellIs" dxfId="82" priority="118" operator="equal">
      <formula>T3</formula>
    </cfRule>
  </conditionalFormatting>
  <conditionalFormatting sqref="Y32:Y34 Y36:Y37">
    <cfRule type="cellIs" dxfId="81" priority="115" operator="notEqual">
      <formula>T32</formula>
    </cfRule>
    <cfRule type="cellIs" dxfId="80" priority="116" operator="equal">
      <formula>T32</formula>
    </cfRule>
  </conditionalFormatting>
  <conditionalFormatting sqref="AE3:AE27">
    <cfRule type="cellIs" dxfId="79" priority="113" operator="notEqual">
      <formula>Z3</formula>
    </cfRule>
    <cfRule type="cellIs" dxfId="78" priority="114" operator="equal">
      <formula>Z3</formula>
    </cfRule>
  </conditionalFormatting>
  <conditionalFormatting sqref="AE32:AE34 AE36:AE37">
    <cfRule type="cellIs" dxfId="77" priority="111" operator="notEqual">
      <formula>Z32</formula>
    </cfRule>
    <cfRule type="cellIs" dxfId="76" priority="112" operator="equal">
      <formula>Z32</formula>
    </cfRule>
  </conditionalFormatting>
  <conditionalFormatting sqref="AK3:AK27">
    <cfRule type="cellIs" dxfId="75" priority="109" operator="notEqual">
      <formula>AF3</formula>
    </cfRule>
    <cfRule type="cellIs" dxfId="74" priority="110" operator="equal">
      <formula>AF3</formula>
    </cfRule>
  </conditionalFormatting>
  <conditionalFormatting sqref="AK32:AK34 AK36:AK37">
    <cfRule type="cellIs" dxfId="73" priority="107" operator="notEqual">
      <formula>AF32</formula>
    </cfRule>
    <cfRule type="cellIs" dxfId="72" priority="108" operator="equal">
      <formula>AF32</formula>
    </cfRule>
  </conditionalFormatting>
  <conditionalFormatting sqref="AQ3:AQ27">
    <cfRule type="cellIs" dxfId="71" priority="105" operator="notEqual">
      <formula>AL3</formula>
    </cfRule>
    <cfRule type="cellIs" dxfId="70" priority="106" operator="equal">
      <formula>AL3</formula>
    </cfRule>
  </conditionalFormatting>
  <conditionalFormatting sqref="AQ32:AQ34 AQ36:AQ37">
    <cfRule type="cellIs" dxfId="69" priority="103" operator="notEqual">
      <formula>AL32</formula>
    </cfRule>
    <cfRule type="cellIs" dxfId="68" priority="104" operator="equal">
      <formula>AL32</formula>
    </cfRule>
  </conditionalFormatting>
  <conditionalFormatting sqref="AW3:AW27">
    <cfRule type="cellIs" dxfId="67" priority="101" operator="notEqual">
      <formula>AR3</formula>
    </cfRule>
    <cfRule type="cellIs" dxfId="66" priority="102" operator="equal">
      <formula>AR3</formula>
    </cfRule>
  </conditionalFormatting>
  <conditionalFormatting sqref="AW32:AW34 AW36:AW37">
    <cfRule type="cellIs" dxfId="65" priority="99" operator="notEqual">
      <formula>AR32</formula>
    </cfRule>
    <cfRule type="cellIs" dxfId="64" priority="100" operator="equal">
      <formula>AR32</formula>
    </cfRule>
  </conditionalFormatting>
  <conditionalFormatting sqref="BC3:BC27">
    <cfRule type="cellIs" dxfId="63" priority="97" operator="notEqual">
      <formula>AX3</formula>
    </cfRule>
    <cfRule type="cellIs" dxfId="62" priority="98" operator="equal">
      <formula>AX3</formula>
    </cfRule>
  </conditionalFormatting>
  <conditionalFormatting sqref="BC32:BC34 BC36:BC37">
    <cfRule type="cellIs" dxfId="61" priority="95" operator="notEqual">
      <formula>AX32</formula>
    </cfRule>
    <cfRule type="cellIs" dxfId="60" priority="96" operator="equal">
      <formula>AX32</formula>
    </cfRule>
  </conditionalFormatting>
  <conditionalFormatting sqref="BI3:BI27">
    <cfRule type="cellIs" dxfId="59" priority="93" operator="notEqual">
      <formula>BD3</formula>
    </cfRule>
    <cfRule type="cellIs" dxfId="58" priority="94" operator="equal">
      <formula>BD3</formula>
    </cfRule>
  </conditionalFormatting>
  <conditionalFormatting sqref="BI32:BI34 BI36:BI37">
    <cfRule type="cellIs" dxfId="57" priority="91" operator="notEqual">
      <formula>BD32</formula>
    </cfRule>
    <cfRule type="cellIs" dxfId="56" priority="92" operator="equal">
      <formula>BD32</formula>
    </cfRule>
  </conditionalFormatting>
  <conditionalFormatting sqref="BO3:BO27">
    <cfRule type="cellIs" dxfId="55" priority="89" operator="notEqual">
      <formula>BJ3</formula>
    </cfRule>
    <cfRule type="cellIs" dxfId="54" priority="90" operator="equal">
      <formula>BJ3</formula>
    </cfRule>
  </conditionalFormatting>
  <conditionalFormatting sqref="BO32:BO34 BO36:BO37">
    <cfRule type="cellIs" dxfId="53" priority="87" operator="notEqual">
      <formula>BJ32</formula>
    </cfRule>
    <cfRule type="cellIs" dxfId="52" priority="88" operator="equal">
      <formula>BJ32</formula>
    </cfRule>
  </conditionalFormatting>
  <conditionalFormatting sqref="CC3:CC28">
    <cfRule type="cellIs" dxfId="51" priority="81" operator="notEqual">
      <formula>BX3</formula>
    </cfRule>
    <cfRule type="cellIs" dxfId="50" priority="82" operator="equal">
      <formula>BX3</formula>
    </cfRule>
  </conditionalFormatting>
  <conditionalFormatting sqref="CC32:CC34 CC36:CC37">
    <cfRule type="cellIs" dxfId="49" priority="79" operator="notEqual">
      <formula>BX32</formula>
    </cfRule>
    <cfRule type="cellIs" dxfId="48" priority="80" operator="equal">
      <formula>BX32</formula>
    </cfRule>
  </conditionalFormatting>
  <conditionalFormatting sqref="M35">
    <cfRule type="cellIs" dxfId="47" priority="77" operator="notEqual">
      <formula>H35</formula>
    </cfRule>
    <cfRule type="cellIs" dxfId="46" priority="78" operator="equal">
      <formula>H35</formula>
    </cfRule>
  </conditionalFormatting>
  <conditionalFormatting sqref="S35">
    <cfRule type="cellIs" dxfId="45" priority="75" operator="notEqual">
      <formula>N35</formula>
    </cfRule>
    <cfRule type="cellIs" dxfId="44" priority="76" operator="equal">
      <formula>N35</formula>
    </cfRule>
  </conditionalFormatting>
  <conditionalFormatting sqref="Y35">
    <cfRule type="cellIs" dxfId="43" priority="73" operator="notEqual">
      <formula>T35</formula>
    </cfRule>
    <cfRule type="cellIs" dxfId="42" priority="74" operator="equal">
      <formula>T35</formula>
    </cfRule>
  </conditionalFormatting>
  <conditionalFormatting sqref="AE35">
    <cfRule type="cellIs" dxfId="41" priority="71" operator="notEqual">
      <formula>Z35</formula>
    </cfRule>
    <cfRule type="cellIs" dxfId="40" priority="72" operator="equal">
      <formula>Z35</formula>
    </cfRule>
  </conditionalFormatting>
  <conditionalFormatting sqref="AK35">
    <cfRule type="cellIs" dxfId="39" priority="69" operator="notEqual">
      <formula>AF35</formula>
    </cfRule>
    <cfRule type="cellIs" dxfId="38" priority="70" operator="equal">
      <formula>AF35</formula>
    </cfRule>
  </conditionalFormatting>
  <conditionalFormatting sqref="AQ35">
    <cfRule type="cellIs" dxfId="37" priority="67" operator="notEqual">
      <formula>AL35</formula>
    </cfRule>
    <cfRule type="cellIs" dxfId="36" priority="68" operator="equal">
      <formula>AL35</formula>
    </cfRule>
  </conditionalFormatting>
  <conditionalFormatting sqref="AW35">
    <cfRule type="cellIs" dxfId="35" priority="65" operator="notEqual">
      <formula>AR35</formula>
    </cfRule>
    <cfRule type="cellIs" dxfId="34" priority="66" operator="equal">
      <formula>AR35</formula>
    </cfRule>
  </conditionalFormatting>
  <conditionalFormatting sqref="BC35">
    <cfRule type="cellIs" dxfId="33" priority="63" operator="notEqual">
      <formula>AX35</formula>
    </cfRule>
    <cfRule type="cellIs" dxfId="32" priority="64" operator="equal">
      <formula>AX35</formula>
    </cfRule>
  </conditionalFormatting>
  <conditionalFormatting sqref="BI35">
    <cfRule type="cellIs" dxfId="31" priority="61" operator="notEqual">
      <formula>BD35</formula>
    </cfRule>
    <cfRule type="cellIs" dxfId="30" priority="62" operator="equal">
      <formula>BD35</formula>
    </cfRule>
  </conditionalFormatting>
  <conditionalFormatting sqref="BO35">
    <cfRule type="cellIs" dxfId="29" priority="59" operator="notEqual">
      <formula>BJ35</formula>
    </cfRule>
    <cfRule type="cellIs" dxfId="28" priority="60" operator="equal">
      <formula>BJ35</formula>
    </cfRule>
  </conditionalFormatting>
  <conditionalFormatting sqref="BU35">
    <cfRule type="cellIs" dxfId="27" priority="57" operator="notEqual">
      <formula>BP35</formula>
    </cfRule>
    <cfRule type="cellIs" dxfId="26" priority="58" operator="equal">
      <formula>BP35</formula>
    </cfRule>
  </conditionalFormatting>
  <conditionalFormatting sqref="M28">
    <cfRule type="cellIs" dxfId="25" priority="33" operator="notEqual">
      <formula>H28</formula>
    </cfRule>
    <cfRule type="cellIs" dxfId="24" priority="34" operator="equal">
      <formula>H28</formula>
    </cfRule>
  </conditionalFormatting>
  <conditionalFormatting sqref="S28">
    <cfRule type="cellIs" dxfId="23" priority="31" operator="notEqual">
      <formula>N28</formula>
    </cfRule>
    <cfRule type="cellIs" dxfId="22" priority="32" operator="equal">
      <formula>N28</formula>
    </cfRule>
  </conditionalFormatting>
  <conditionalFormatting sqref="Y28">
    <cfRule type="cellIs" dxfId="21" priority="29" operator="notEqual">
      <formula>T28</formula>
    </cfRule>
    <cfRule type="cellIs" dxfId="20" priority="30" operator="equal">
      <formula>T28</formula>
    </cfRule>
  </conditionalFormatting>
  <conditionalFormatting sqref="AE28">
    <cfRule type="cellIs" dxfId="19" priority="27" operator="notEqual">
      <formula>Z28</formula>
    </cfRule>
    <cfRule type="cellIs" dxfId="18" priority="28" operator="equal">
      <formula>Z28</formula>
    </cfRule>
  </conditionalFormatting>
  <conditionalFormatting sqref="AK28">
    <cfRule type="cellIs" dxfId="17" priority="25" operator="notEqual">
      <formula>AF28</formula>
    </cfRule>
    <cfRule type="cellIs" dxfId="16" priority="26" operator="equal">
      <formula>AF28</formula>
    </cfRule>
  </conditionalFormatting>
  <conditionalFormatting sqref="AQ28">
    <cfRule type="cellIs" dxfId="15" priority="23" operator="notEqual">
      <formula>AL28</formula>
    </cfRule>
    <cfRule type="cellIs" dxfId="14" priority="24" operator="equal">
      <formula>AL28</formula>
    </cfRule>
  </conditionalFormatting>
  <conditionalFormatting sqref="AW28">
    <cfRule type="cellIs" dxfId="13" priority="21" operator="notEqual">
      <formula>AR28</formula>
    </cfRule>
    <cfRule type="cellIs" dxfId="12" priority="22" operator="equal">
      <formula>AR28</formula>
    </cfRule>
  </conditionalFormatting>
  <conditionalFormatting sqref="BC28">
    <cfRule type="cellIs" dxfId="11" priority="19" operator="notEqual">
      <formula>AX28</formula>
    </cfRule>
    <cfRule type="cellIs" dxfId="10" priority="20" operator="equal">
      <formula>AX28</formula>
    </cfRule>
  </conditionalFormatting>
  <conditionalFormatting sqref="BI28">
    <cfRule type="cellIs" dxfId="9" priority="17" operator="notEqual">
      <formula>BD28</formula>
    </cfRule>
    <cfRule type="cellIs" dxfId="8" priority="18" operator="equal">
      <formula>BD28</formula>
    </cfRule>
  </conditionalFormatting>
  <conditionalFormatting sqref="BO28">
    <cfRule type="cellIs" dxfId="7" priority="15" operator="notEqual">
      <formula>BJ28</formula>
    </cfRule>
    <cfRule type="cellIs" dxfId="6" priority="16" operator="equal">
      <formula>BJ28</formula>
    </cfRule>
  </conditionalFormatting>
  <conditionalFormatting sqref="BU28">
    <cfRule type="cellIs" dxfId="5" priority="13" operator="notEqual">
      <formula>BP28</formula>
    </cfRule>
    <cfRule type="cellIs" dxfId="4" priority="14" operator="equal">
      <formula>BP28</formula>
    </cfRule>
  </conditionalFormatting>
  <conditionalFormatting sqref="CC35">
    <cfRule type="cellIs" dxfId="3" priority="11" operator="notEqual">
      <formula>BX35</formula>
    </cfRule>
    <cfRule type="cellIs" dxfId="2" priority="12" operator="equal">
      <formula>BX35</formula>
    </cfRule>
  </conditionalFormatting>
  <conditionalFormatting sqref="BV3:BV28 BV32:BV37">
    <cfRule type="cellIs" dxfId="1" priority="131" operator="notEqual">
      <formula>BR3</formula>
    </cfRule>
    <cfRule type="cellIs" dxfId="0" priority="132" operator="equal">
      <formula>BR3</formula>
    </cfRule>
  </conditionalFormatting>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AU32"/>
  <sheetViews>
    <sheetView zoomScale="79" workbookViewId="0">
      <selection activeCell="Z13" sqref="Z13"/>
    </sheetView>
  </sheetViews>
  <sheetFormatPr defaultRowHeight="14.5"/>
  <cols>
    <col min="2" max="2" width="21.7265625" bestFit="1" customWidth="1"/>
    <col min="3" max="3" width="5.453125" bestFit="1" customWidth="1"/>
    <col min="4" max="4" width="8.7265625" customWidth="1"/>
    <col min="5" max="5" width="9.453125" customWidth="1"/>
    <col min="6" max="6" width="8.26953125" bestFit="1" customWidth="1"/>
    <col min="7" max="7" width="9" bestFit="1" customWidth="1"/>
    <col min="8" max="8" width="11.54296875" bestFit="1" customWidth="1"/>
    <col min="9" max="9" width="5.1796875" hidden="1" customWidth="1"/>
    <col min="10" max="10" width="5.81640625" hidden="1" customWidth="1"/>
    <col min="11" max="11" width="5.1796875" hidden="1" customWidth="1"/>
    <col min="12" max="12" width="5.453125" hidden="1" customWidth="1"/>
    <col min="13" max="13" width="5.1796875" hidden="1" customWidth="1"/>
    <col min="14" max="14" width="5.81640625" hidden="1" customWidth="1"/>
    <col min="15" max="15" width="5.1796875" hidden="1" customWidth="1"/>
    <col min="16" max="16" width="5.453125" hidden="1" customWidth="1"/>
    <col min="17" max="17" width="5.1796875" hidden="1" customWidth="1"/>
    <col min="18" max="18" width="6.7265625" bestFit="1" customWidth="1"/>
    <col min="19" max="19" width="5.1796875" bestFit="1" customWidth="1"/>
    <col min="20" max="20" width="6" bestFit="1" customWidth="1"/>
    <col min="21" max="24" width="6" customWidth="1"/>
    <col min="25" max="25" width="4.453125" bestFit="1" customWidth="1"/>
    <col min="26" max="26" width="5.81640625" bestFit="1" customWidth="1"/>
    <col min="27" max="27" width="5.1796875" bestFit="1" customWidth="1"/>
    <col min="28" max="28" width="5.453125" bestFit="1" customWidth="1"/>
    <col min="29" max="30" width="8.1796875" bestFit="1" customWidth="1"/>
    <col min="31" max="31" width="8.7265625" customWidth="1"/>
    <col min="32" max="32" width="9.54296875" customWidth="1"/>
    <col min="33" max="33" width="8.7265625" bestFit="1" customWidth="1"/>
    <col min="34" max="34" width="9.26953125" customWidth="1"/>
    <col min="35" max="35" width="8.7265625" bestFit="1" customWidth="1"/>
    <col min="36" max="36" width="8.81640625" bestFit="1" customWidth="1"/>
    <col min="38" max="38" width="10.81640625" bestFit="1" customWidth="1"/>
    <col min="39" max="39" width="9.1796875" customWidth="1"/>
    <col min="42" max="42" width="12" customWidth="1"/>
    <col min="43" max="43" width="12.26953125" customWidth="1"/>
  </cols>
  <sheetData>
    <row r="2" spans="1:47">
      <c r="A2" s="133"/>
      <c r="B2" s="781"/>
      <c r="C2" s="870"/>
      <c r="D2" s="871"/>
      <c r="E2" s="871"/>
      <c r="F2" s="872"/>
      <c r="G2" s="872"/>
      <c r="H2" s="872"/>
      <c r="I2" s="210"/>
      <c r="J2" s="210"/>
      <c r="K2" s="210"/>
      <c r="L2" s="210"/>
      <c r="M2" s="210"/>
      <c r="N2" s="210"/>
      <c r="O2" s="210"/>
      <c r="P2" s="210"/>
      <c r="Q2" s="210"/>
      <c r="R2" s="210"/>
      <c r="S2" s="210"/>
      <c r="T2" s="210"/>
      <c r="U2" s="210"/>
      <c r="V2" s="210"/>
      <c r="W2" s="210"/>
      <c r="X2" s="210"/>
      <c r="Y2" s="210"/>
      <c r="Z2" s="210"/>
      <c r="AA2" s="210"/>
      <c r="AB2" s="210"/>
      <c r="AC2" s="210"/>
      <c r="AD2" s="210"/>
      <c r="AE2" s="210">
        <v>357</v>
      </c>
      <c r="AF2" s="210">
        <v>357</v>
      </c>
      <c r="AG2" s="210">
        <v>357</v>
      </c>
      <c r="AH2" s="210"/>
      <c r="AI2" s="13"/>
      <c r="AJ2" s="13"/>
    </row>
    <row r="3" spans="1:47" ht="15" customHeight="1">
      <c r="A3" s="1445"/>
      <c r="B3" s="1446" t="s">
        <v>1097</v>
      </c>
      <c r="C3" s="873"/>
      <c r="D3" s="1439" t="s">
        <v>497</v>
      </c>
      <c r="E3" s="1440"/>
      <c r="F3" s="1440"/>
      <c r="G3" s="1440"/>
      <c r="H3" s="1441"/>
      <c r="I3" s="1447" t="s">
        <v>1213</v>
      </c>
      <c r="J3" s="1442"/>
      <c r="K3" s="1442"/>
      <c r="L3" s="1442"/>
      <c r="M3" s="1447" t="s">
        <v>606</v>
      </c>
      <c r="N3" s="1442"/>
      <c r="O3" s="1442"/>
      <c r="P3" s="1442"/>
      <c r="Q3" s="1442" t="s">
        <v>1214</v>
      </c>
      <c r="R3" s="1442"/>
      <c r="S3" s="1442"/>
      <c r="T3" s="1442"/>
      <c r="U3" s="1442" t="s">
        <v>1249</v>
      </c>
      <c r="V3" s="1442"/>
      <c r="W3" s="1442"/>
      <c r="X3" s="1442"/>
      <c r="Y3" s="1442" t="s">
        <v>1229</v>
      </c>
      <c r="Z3" s="1442"/>
      <c r="AA3" s="1442"/>
      <c r="AB3" s="1442"/>
      <c r="AC3" s="1442" t="s">
        <v>1215</v>
      </c>
      <c r="AD3" s="1442"/>
      <c r="AE3" s="1444" t="s">
        <v>1216</v>
      </c>
      <c r="AF3" s="1444"/>
      <c r="AG3" s="1444"/>
      <c r="AH3" s="1444"/>
      <c r="AI3" s="1444"/>
      <c r="AJ3" s="874" t="s">
        <v>1265</v>
      </c>
      <c r="AL3" s="1395" t="s">
        <v>1378</v>
      </c>
      <c r="AM3" s="1395"/>
      <c r="AN3" s="1395"/>
      <c r="AO3" s="1395"/>
      <c r="AP3" s="1395"/>
      <c r="AQ3" s="1395"/>
      <c r="AS3" s="1438" t="s">
        <v>1268</v>
      </c>
      <c r="AT3" s="1438"/>
      <c r="AU3" s="1438"/>
    </row>
    <row r="4" spans="1:47" ht="29">
      <c r="A4" s="1445"/>
      <c r="B4" s="1446"/>
      <c r="C4" s="873" t="s">
        <v>101</v>
      </c>
      <c r="D4" s="874" t="s">
        <v>1213</v>
      </c>
      <c r="E4" s="874" t="s">
        <v>606</v>
      </c>
      <c r="F4" s="875" t="s">
        <v>1214</v>
      </c>
      <c r="G4" s="875" t="s">
        <v>1106</v>
      </c>
      <c r="H4" s="875" t="s">
        <v>1229</v>
      </c>
      <c r="I4" s="875" t="s">
        <v>534</v>
      </c>
      <c r="J4" s="875" t="s">
        <v>1217</v>
      </c>
      <c r="K4" s="875" t="s">
        <v>1008</v>
      </c>
      <c r="L4" s="875" t="s">
        <v>91</v>
      </c>
      <c r="M4" s="875" t="s">
        <v>534</v>
      </c>
      <c r="N4" s="875" t="s">
        <v>1217</v>
      </c>
      <c r="O4" s="875" t="s">
        <v>1008</v>
      </c>
      <c r="P4" s="875" t="s">
        <v>91</v>
      </c>
      <c r="Q4" s="875" t="s">
        <v>534</v>
      </c>
      <c r="R4" s="875" t="s">
        <v>1217</v>
      </c>
      <c r="S4" s="875" t="s">
        <v>1008</v>
      </c>
      <c r="T4" s="875" t="s">
        <v>91</v>
      </c>
      <c r="U4" s="875" t="s">
        <v>534</v>
      </c>
      <c r="V4" s="875" t="s">
        <v>1217</v>
      </c>
      <c r="W4" s="875" t="s">
        <v>1008</v>
      </c>
      <c r="X4" s="875" t="s">
        <v>91</v>
      </c>
      <c r="Y4" s="875" t="s">
        <v>534</v>
      </c>
      <c r="Z4" s="875" t="s">
        <v>1217</v>
      </c>
      <c r="AA4" s="875" t="s">
        <v>1008</v>
      </c>
      <c r="AB4" s="875" t="s">
        <v>91</v>
      </c>
      <c r="AC4" s="876" t="s">
        <v>1218</v>
      </c>
      <c r="AD4" s="877" t="s">
        <v>1219</v>
      </c>
      <c r="AE4" s="874" t="s">
        <v>1213</v>
      </c>
      <c r="AF4" s="874" t="s">
        <v>606</v>
      </c>
      <c r="AG4" s="874" t="s">
        <v>1285</v>
      </c>
      <c r="AH4" s="874" t="s">
        <v>1106</v>
      </c>
      <c r="AI4" s="874" t="s">
        <v>1229</v>
      </c>
      <c r="AJ4" s="874" t="s">
        <v>1264</v>
      </c>
      <c r="AL4" s="1437"/>
      <c r="AM4" s="1427" t="s">
        <v>480</v>
      </c>
      <c r="AN4" s="1427" t="s">
        <v>1106</v>
      </c>
      <c r="AO4" s="1427" t="s">
        <v>1105</v>
      </c>
      <c r="AP4" s="1443" t="s">
        <v>1357</v>
      </c>
      <c r="AQ4" s="1443" t="s">
        <v>1358</v>
      </c>
      <c r="AS4" t="s">
        <v>1230</v>
      </c>
      <c r="AT4" t="s">
        <v>1231</v>
      </c>
      <c r="AU4" t="s">
        <v>1232</v>
      </c>
    </row>
    <row r="5" spans="1:47">
      <c r="A5" s="878" t="s">
        <v>301</v>
      </c>
      <c r="B5" s="389" t="s">
        <v>301</v>
      </c>
      <c r="C5" s="378" t="s">
        <v>498</v>
      </c>
      <c r="D5" s="879">
        <v>14955.136930380002</v>
      </c>
      <c r="E5" s="879">
        <v>17184.051644237737</v>
      </c>
      <c r="F5" s="879">
        <v>14212.206826168112</v>
      </c>
      <c r="G5" s="880">
        <f>3113.83+9280.53</f>
        <v>12394.36</v>
      </c>
      <c r="H5" s="879">
        <f>(BP!Q92+BP!Q14)/1000</f>
        <v>14639.921442243151</v>
      </c>
      <c r="I5" s="881">
        <v>283.58333333333331</v>
      </c>
      <c r="J5" s="881">
        <v>330.08333333333331</v>
      </c>
      <c r="K5" s="881">
        <v>30</v>
      </c>
      <c r="L5" s="881">
        <v>643.66666666666663</v>
      </c>
      <c r="M5" s="881">
        <v>359.60507633288529</v>
      </c>
      <c r="N5" s="881">
        <v>257.65277120935741</v>
      </c>
      <c r="O5" s="881">
        <v>31.416666666666668</v>
      </c>
      <c r="P5" s="881">
        <v>648.67451420890927</v>
      </c>
      <c r="Q5" s="881">
        <v>352.58333333333331</v>
      </c>
      <c r="R5" s="881">
        <v>155</v>
      </c>
      <c r="S5" s="881">
        <v>33.25</v>
      </c>
      <c r="T5" s="881">
        <v>540.83333333333326</v>
      </c>
      <c r="U5" s="881">
        <f>242+10</f>
        <v>252</v>
      </c>
      <c r="V5" s="881">
        <v>250</v>
      </c>
      <c r="W5" s="881">
        <f>S5</f>
        <v>33.25</v>
      </c>
      <c r="X5" s="881">
        <f>SUM(U5:W5)</f>
        <v>535.25</v>
      </c>
      <c r="Y5" s="881">
        <f>SUM('Workmen Category'!$BY$3:$BZ$14)</f>
        <v>170.33333333333334</v>
      </c>
      <c r="Z5" s="881">
        <f>SUM('Workmen Category'!$CA$3:$CB$14)</f>
        <v>349.00000000000006</v>
      </c>
      <c r="AA5" s="881">
        <f>AU30</f>
        <v>35</v>
      </c>
      <c r="AB5" s="881">
        <f>SUM(Y5:AA5)</f>
        <v>554.33333333333337</v>
      </c>
      <c r="AC5" s="881">
        <v>102.83333333333337</v>
      </c>
      <c r="AD5" s="881">
        <v>107.84118087557601</v>
      </c>
      <c r="AE5" s="882">
        <v>65.082040177641247</v>
      </c>
      <c r="AF5" s="882">
        <v>74.204546947471016</v>
      </c>
      <c r="AG5" s="883">
        <v>73.608819392047835</v>
      </c>
      <c r="AH5" s="38">
        <f>(G5/357*1000)/X5</f>
        <v>64.863325993638924</v>
      </c>
      <c r="AI5" s="38">
        <f>(H5/357*1000)/AB5</f>
        <v>73.977480417809005</v>
      </c>
      <c r="AJ5" s="809">
        <f>(AI5-AG5)/AG5</f>
        <v>5.0083811804893302E-3</v>
      </c>
      <c r="AL5" s="1437"/>
      <c r="AM5" s="1427"/>
      <c r="AN5" s="1427"/>
      <c r="AO5" s="1427"/>
      <c r="AP5" s="1443"/>
      <c r="AQ5" s="1443"/>
      <c r="AS5" t="s">
        <v>953</v>
      </c>
      <c r="AT5" t="s">
        <v>391</v>
      </c>
      <c r="AU5">
        <v>1</v>
      </c>
    </row>
    <row r="6" spans="1:47">
      <c r="A6" s="878"/>
      <c r="B6" s="389" t="s">
        <v>1220</v>
      </c>
      <c r="C6" s="378"/>
      <c r="D6" s="879"/>
      <c r="E6" s="879"/>
      <c r="F6" s="884"/>
      <c r="G6" s="884"/>
      <c r="H6" s="884"/>
      <c r="I6" s="881">
        <v>100.85947340010796</v>
      </c>
      <c r="J6" s="881">
        <v>10.03457161067654</v>
      </c>
      <c r="K6" s="881">
        <v>21.824999999999999</v>
      </c>
      <c r="L6" s="881">
        <v>132.7190450107845</v>
      </c>
      <c r="M6" s="881">
        <v>96.745087942139946</v>
      </c>
      <c r="N6" s="881">
        <v>9.792985515605368</v>
      </c>
      <c r="O6" s="881">
        <v>26.003952569169961</v>
      </c>
      <c r="P6" s="881">
        <v>132.54202602691527</v>
      </c>
      <c r="Q6" s="881">
        <v>92.185179968477883</v>
      </c>
      <c r="R6" s="881">
        <v>10.136986301369861</v>
      </c>
      <c r="S6" s="881">
        <v>30.199541284403672</v>
      </c>
      <c r="T6" s="881">
        <v>132.52170755425141</v>
      </c>
      <c r="U6" s="881"/>
      <c r="V6" s="881"/>
      <c r="W6" s="881"/>
      <c r="X6" s="881"/>
      <c r="Y6" s="881"/>
      <c r="Z6" s="881"/>
      <c r="AA6" s="881"/>
      <c r="AB6" s="881"/>
      <c r="AC6" s="881">
        <v>0.19733745653309143</v>
      </c>
      <c r="AD6" s="881">
        <v>2.0318472663859666E-2</v>
      </c>
      <c r="AE6" s="882">
        <v>315.63774330657986</v>
      </c>
      <c r="AF6" s="882">
        <v>363.1648005249919</v>
      </c>
      <c r="AG6" s="883">
        <v>300.40439328202262</v>
      </c>
      <c r="AH6" s="883"/>
      <c r="AI6" s="38"/>
      <c r="AJ6" s="13"/>
      <c r="AL6" s="389" t="s">
        <v>301</v>
      </c>
      <c r="AM6" s="10">
        <f t="shared" ref="AM6:AO6" si="0">AG5</f>
        <v>73.608819392047835</v>
      </c>
      <c r="AN6" s="10">
        <f t="shared" si="0"/>
        <v>64.863325993638924</v>
      </c>
      <c r="AO6" s="10">
        <f t="shared" si="0"/>
        <v>73.977480417809005</v>
      </c>
      <c r="AP6" s="1020">
        <f>AO6/AM6-1</f>
        <v>5.0083811804892964E-3</v>
      </c>
      <c r="AQ6" s="1020">
        <f>AO6/AN6-1</f>
        <v>0.14051321427864938</v>
      </c>
      <c r="AR6" s="156"/>
      <c r="AT6" t="s">
        <v>309</v>
      </c>
      <c r="AU6">
        <v>1</v>
      </c>
    </row>
    <row r="7" spans="1:47">
      <c r="A7" s="878"/>
      <c r="B7" s="389" t="s">
        <v>1221</v>
      </c>
      <c r="C7" s="378"/>
      <c r="D7" s="879"/>
      <c r="E7" s="879"/>
      <c r="F7" s="884"/>
      <c r="G7" s="884"/>
      <c r="H7" s="884"/>
      <c r="I7" s="881">
        <v>24.492292928687103</v>
      </c>
      <c r="J7" s="881">
        <v>94.970052743902968</v>
      </c>
      <c r="K7" s="881">
        <v>35.274725274725277</v>
      </c>
      <c r="L7" s="881">
        <v>154.73707094731535</v>
      </c>
      <c r="M7" s="881">
        <v>27.166546088863328</v>
      </c>
      <c r="N7" s="881">
        <v>107.76835264964785</v>
      </c>
      <c r="O7" s="881">
        <v>33.902253909843601</v>
      </c>
      <c r="P7" s="881">
        <v>168.83715264835479</v>
      </c>
      <c r="Q7" s="881">
        <v>34.240204608505259</v>
      </c>
      <c r="R7" s="881">
        <v>81.622127404745854</v>
      </c>
      <c r="S7" s="881">
        <v>30.772922636103154</v>
      </c>
      <c r="T7" s="881">
        <v>146.63525464935427</v>
      </c>
      <c r="U7" s="881"/>
      <c r="V7" s="881"/>
      <c r="W7" s="881"/>
      <c r="X7" s="881"/>
      <c r="Y7" s="881"/>
      <c r="Z7" s="881"/>
      <c r="AA7" s="881"/>
      <c r="AB7" s="881"/>
      <c r="AC7" s="881">
        <v>8.1018162979610793</v>
      </c>
      <c r="AD7" s="881">
        <v>22.201897999000522</v>
      </c>
      <c r="AE7" s="885"/>
      <c r="AF7" s="885"/>
      <c r="AG7" s="886"/>
      <c r="AH7" s="886"/>
      <c r="AI7" s="38"/>
      <c r="AJ7" s="13"/>
      <c r="AL7" s="389" t="s">
        <v>26</v>
      </c>
      <c r="AM7" s="10">
        <f t="shared" ref="AM7:AO10" si="1">AG9</f>
        <v>223.24074354489923</v>
      </c>
      <c r="AN7" s="10">
        <f t="shared" si="1"/>
        <v>242.77740011667322</v>
      </c>
      <c r="AO7" s="10">
        <f t="shared" si="1"/>
        <v>257.50402956083519</v>
      </c>
      <c r="AP7" s="1020">
        <f>AO7/AM7-1</f>
        <v>0.15348132904352552</v>
      </c>
      <c r="AQ7" s="1020">
        <f t="shared" ref="AQ7:AQ10" si="2">AO7/AN7-1</f>
        <v>6.0658979942468605E-2</v>
      </c>
      <c r="AR7" s="156"/>
      <c r="AT7" t="s">
        <v>295</v>
      </c>
      <c r="AU7">
        <v>11</v>
      </c>
    </row>
    <row r="8" spans="1:47">
      <c r="A8" s="887"/>
      <c r="B8" s="888" t="s">
        <v>1222</v>
      </c>
      <c r="C8" s="889"/>
      <c r="D8" s="890"/>
      <c r="E8" s="890"/>
      <c r="F8" s="891"/>
      <c r="G8" s="891"/>
      <c r="H8" s="891"/>
      <c r="I8" s="892">
        <v>408.93509966212838</v>
      </c>
      <c r="J8" s="892">
        <v>435.08795768791282</v>
      </c>
      <c r="K8" s="892">
        <v>87.099725274725273</v>
      </c>
      <c r="L8" s="892">
        <v>931.1227826247665</v>
      </c>
      <c r="M8" s="892">
        <v>483.51671036388859</v>
      </c>
      <c r="N8" s="892">
        <v>375.21410937461064</v>
      </c>
      <c r="O8" s="892">
        <v>91.322873145680234</v>
      </c>
      <c r="P8" s="892">
        <v>950.05369288417933</v>
      </c>
      <c r="Q8" s="892">
        <v>479.00871791031648</v>
      </c>
      <c r="R8" s="892">
        <v>246.75911370611573</v>
      </c>
      <c r="S8" s="892">
        <v>94.222463920506826</v>
      </c>
      <c r="T8" s="892">
        <v>819.9902955369389</v>
      </c>
      <c r="U8" s="892"/>
      <c r="V8" s="892"/>
      <c r="W8" s="892"/>
      <c r="X8" s="892"/>
      <c r="Y8" s="892"/>
      <c r="Z8" s="892"/>
      <c r="AA8" s="892"/>
      <c r="AB8" s="892"/>
      <c r="AC8" s="892">
        <v>111.1324870878276</v>
      </c>
      <c r="AD8" s="892">
        <v>130.06339734724043</v>
      </c>
      <c r="AE8" s="891">
        <v>44.989920387212926</v>
      </c>
      <c r="AF8" s="891">
        <v>50.665134827396578</v>
      </c>
      <c r="AG8" s="893">
        <v>48.549480855092831</v>
      </c>
      <c r="AH8" s="893"/>
      <c r="AI8" s="893"/>
      <c r="AJ8" s="893"/>
      <c r="AL8" s="389" t="s">
        <v>32</v>
      </c>
      <c r="AM8" s="10">
        <f t="shared" si="1"/>
        <v>163.35864645227758</v>
      </c>
      <c r="AN8" s="10">
        <f t="shared" si="1"/>
        <v>148.16806722689077</v>
      </c>
      <c r="AO8" s="10">
        <f t="shared" si="1"/>
        <v>172.64373977510084</v>
      </c>
      <c r="AP8" s="1020">
        <f>AO8/AM8-1</f>
        <v>5.6838701375600209E-2</v>
      </c>
      <c r="AQ8" s="1020">
        <f t="shared" si="2"/>
        <v>0.16518857947124532</v>
      </c>
      <c r="AR8" s="156"/>
      <c r="AS8" t="s">
        <v>1233</v>
      </c>
      <c r="AU8">
        <v>13</v>
      </c>
    </row>
    <row r="9" spans="1:47">
      <c r="A9" s="1388" t="s">
        <v>1223</v>
      </c>
      <c r="B9" s="389" t="s">
        <v>26</v>
      </c>
      <c r="C9" s="378" t="s">
        <v>1224</v>
      </c>
      <c r="D9" s="879">
        <v>16966.724875592401</v>
      </c>
      <c r="E9" s="879">
        <v>17999.748867070666</v>
      </c>
      <c r="F9" s="884">
        <v>14564.616780170429</v>
      </c>
      <c r="G9" s="882">
        <v>12589.04</v>
      </c>
      <c r="H9" s="884">
        <f>BP!N177/1000</f>
        <v>15995.635308259958</v>
      </c>
      <c r="I9" s="881">
        <v>96.25</v>
      </c>
      <c r="J9" s="881">
        <v>86</v>
      </c>
      <c r="K9" s="881">
        <v>8</v>
      </c>
      <c r="L9" s="881">
        <v>190.25</v>
      </c>
      <c r="M9" s="881">
        <v>110.27914049699181</v>
      </c>
      <c r="N9" s="881">
        <v>53.873969238031236</v>
      </c>
      <c r="O9" s="881">
        <v>8</v>
      </c>
      <c r="P9" s="881">
        <v>172.15310973502307</v>
      </c>
      <c r="Q9" s="881">
        <v>125.66666666666667</v>
      </c>
      <c r="R9" s="881">
        <v>48.833333333333336</v>
      </c>
      <c r="S9" s="881">
        <v>8.25</v>
      </c>
      <c r="T9" s="881">
        <v>182.75</v>
      </c>
      <c r="U9" s="881">
        <f>91+11</f>
        <v>102</v>
      </c>
      <c r="V9" s="881">
        <v>35</v>
      </c>
      <c r="W9" s="881">
        <f t="shared" ref="W9:W12" si="3">S9</f>
        <v>8.25</v>
      </c>
      <c r="X9" s="881">
        <f t="shared" ref="X9:X12" si="4">SUM(U9:W9)</f>
        <v>145.25</v>
      </c>
      <c r="Y9" s="881">
        <f>'Workmen Category'!BY15+'Workmen Category'!BZ15</f>
        <v>126</v>
      </c>
      <c r="Z9" s="881">
        <f>SUM('Workmen Category'!CA15:CB15)</f>
        <v>39</v>
      </c>
      <c r="AA9" s="881">
        <f>AU28</f>
        <v>9</v>
      </c>
      <c r="AB9" s="881">
        <f>SUM(Y9:AA9)</f>
        <v>174</v>
      </c>
      <c r="AC9" s="881">
        <v>7.5</v>
      </c>
      <c r="AD9" s="881">
        <v>-10.596890264976935</v>
      </c>
      <c r="AE9" s="882">
        <v>249.8073061111894</v>
      </c>
      <c r="AF9" s="882">
        <v>292.87571215674598</v>
      </c>
      <c r="AG9" s="883">
        <v>223.24074354489923</v>
      </c>
      <c r="AH9" s="38">
        <f>(G9/357*1000)/X9</f>
        <v>242.77740011667322</v>
      </c>
      <c r="AI9" s="38">
        <f t="shared" ref="AI9:AI12" si="5">(H9/357*1000)/AB9</f>
        <v>257.50402956083519</v>
      </c>
      <c r="AJ9" s="809">
        <f>(AI9-AG9)/AG9</f>
        <v>0.15348132904352546</v>
      </c>
      <c r="AL9" s="389" t="s">
        <v>31</v>
      </c>
      <c r="AM9" s="10">
        <f t="shared" si="1"/>
        <v>95.942476215154485</v>
      </c>
      <c r="AN9" s="10">
        <f t="shared" si="1"/>
        <v>101.76044330775788</v>
      </c>
      <c r="AO9" s="10">
        <f t="shared" si="1"/>
        <v>114.51276275563521</v>
      </c>
      <c r="AP9" s="1020">
        <f>AO9/AM9-1</f>
        <v>0.19355646500968127</v>
      </c>
      <c r="AQ9" s="1020">
        <f t="shared" si="2"/>
        <v>0.12531705870531651</v>
      </c>
      <c r="AR9" s="156"/>
      <c r="AS9" t="s">
        <v>1234</v>
      </c>
      <c r="AT9" t="s">
        <v>1235</v>
      </c>
      <c r="AU9">
        <v>12</v>
      </c>
    </row>
    <row r="10" spans="1:47">
      <c r="A10" s="1388"/>
      <c r="B10" s="389" t="s">
        <v>32</v>
      </c>
      <c r="C10" s="378" t="s">
        <v>1224</v>
      </c>
      <c r="D10" s="879">
        <v>7941.2107296138547</v>
      </c>
      <c r="E10" s="879">
        <v>8956.5711884017019</v>
      </c>
      <c r="F10" s="884">
        <v>5933.961992717369</v>
      </c>
      <c r="G10" s="882">
        <f>1411.41+29.24+3851.72+47.34+15.89+0.12</f>
        <v>5355.72</v>
      </c>
      <c r="H10" s="884">
        <f>(BP!P182+BP!P188+BP!P189+BP!P191)/1000</f>
        <v>7375.5132069320834</v>
      </c>
      <c r="I10" s="881">
        <v>64</v>
      </c>
      <c r="J10" s="881">
        <v>36</v>
      </c>
      <c r="K10" s="881">
        <v>14</v>
      </c>
      <c r="L10" s="881">
        <v>114</v>
      </c>
      <c r="M10" s="881">
        <v>95.959422507040458</v>
      </c>
      <c r="N10" s="881">
        <v>26.503677499359952</v>
      </c>
      <c r="O10" s="881">
        <v>11.416666666666666</v>
      </c>
      <c r="P10" s="881">
        <v>133.87976667306708</v>
      </c>
      <c r="Q10" s="881">
        <v>78</v>
      </c>
      <c r="R10" s="881">
        <v>13.5</v>
      </c>
      <c r="S10" s="881">
        <v>10.25</v>
      </c>
      <c r="T10" s="881">
        <v>101.75</v>
      </c>
      <c r="U10" s="881">
        <v>81</v>
      </c>
      <c r="V10" s="881">
        <v>10</v>
      </c>
      <c r="W10" s="881">
        <f t="shared" si="3"/>
        <v>10.25</v>
      </c>
      <c r="X10" s="881">
        <f t="shared" si="4"/>
        <v>101.25</v>
      </c>
      <c r="Y10" s="881">
        <f>SUM('Workmen Category'!BY18:BZ18)</f>
        <v>91.333333333333343</v>
      </c>
      <c r="Z10" s="881">
        <f>SUM('Workmen Category'!CA18:CB18)</f>
        <v>16.333333333333332</v>
      </c>
      <c r="AA10" s="881">
        <f>AU10</f>
        <v>12</v>
      </c>
      <c r="AB10" s="881">
        <f>SUM(Y10:AA10)</f>
        <v>119.66666666666667</v>
      </c>
      <c r="AC10" s="881">
        <v>12.25</v>
      </c>
      <c r="AD10" s="881">
        <v>32.129766673067081</v>
      </c>
      <c r="AE10" s="882">
        <v>195.12533121071931</v>
      </c>
      <c r="AF10" s="882">
        <v>187.3952675961186</v>
      </c>
      <c r="AG10" s="883">
        <v>163.35864645227758</v>
      </c>
      <c r="AH10" s="38">
        <f>(G10/357*1000)/X10</f>
        <v>148.16806722689077</v>
      </c>
      <c r="AI10" s="38">
        <f t="shared" si="5"/>
        <v>172.64373977510084</v>
      </c>
      <c r="AJ10" s="809">
        <f>(AI10-AG10)/AG10</f>
        <v>5.6838701375600209E-2</v>
      </c>
      <c r="AL10" s="389" t="s">
        <v>367</v>
      </c>
      <c r="AM10" s="10">
        <f t="shared" si="1"/>
        <v>28.889448758794842</v>
      </c>
      <c r="AN10" s="10">
        <f t="shared" si="1"/>
        <v>31.965712210810253</v>
      </c>
      <c r="AO10" s="10">
        <f t="shared" si="1"/>
        <v>37.32014648049087</v>
      </c>
      <c r="AP10" s="1020">
        <f>AO10/AM10-1</f>
        <v>0.29182618858829779</v>
      </c>
      <c r="AQ10" s="1020">
        <f t="shared" si="2"/>
        <v>0.16750555202301554</v>
      </c>
      <c r="AR10" s="156"/>
      <c r="AT10" t="s">
        <v>32</v>
      </c>
      <c r="AU10">
        <v>12</v>
      </c>
    </row>
    <row r="11" spans="1:47">
      <c r="A11" s="1388"/>
      <c r="B11" s="389" t="s">
        <v>31</v>
      </c>
      <c r="C11" s="378" t="s">
        <v>1224</v>
      </c>
      <c r="D11" s="879">
        <v>1566.4878427416868</v>
      </c>
      <c r="E11" s="879">
        <v>1982.9489944400002</v>
      </c>
      <c r="F11" s="884">
        <v>1472.8129523788368</v>
      </c>
      <c r="G11" s="882">
        <f>1102.1+554.71+14.3</f>
        <v>1671.11</v>
      </c>
      <c r="H11" s="884">
        <f>(BP!P248+BP!P256)/1000</f>
        <v>2228.0175685550166</v>
      </c>
      <c r="I11" s="881">
        <v>31</v>
      </c>
      <c r="J11" s="881">
        <v>0</v>
      </c>
      <c r="K11" s="881">
        <v>4</v>
      </c>
      <c r="L11" s="881">
        <v>35</v>
      </c>
      <c r="M11" s="881">
        <v>38.527332597286225</v>
      </c>
      <c r="N11" s="881">
        <v>2.9454801667306705</v>
      </c>
      <c r="O11" s="881">
        <v>4.75</v>
      </c>
      <c r="P11" s="881">
        <v>46.222812764016894</v>
      </c>
      <c r="Q11" s="881">
        <v>38</v>
      </c>
      <c r="R11" s="881">
        <v>0</v>
      </c>
      <c r="S11" s="881">
        <v>5</v>
      </c>
      <c r="T11" s="881">
        <v>43</v>
      </c>
      <c r="U11" s="881">
        <f>46-8</f>
        <v>38</v>
      </c>
      <c r="V11" s="881">
        <v>3</v>
      </c>
      <c r="W11" s="881">
        <f t="shared" si="3"/>
        <v>5</v>
      </c>
      <c r="X11" s="881">
        <f t="shared" si="4"/>
        <v>46</v>
      </c>
      <c r="Y11" s="881">
        <f>SUM('Workmen Category'!BY16:BZ16)</f>
        <v>45.5</v>
      </c>
      <c r="Z11" s="881">
        <f>SUM('Workmen Category'!CA16:CB16)</f>
        <v>3</v>
      </c>
      <c r="AA11" s="881">
        <f>AU22</f>
        <v>6</v>
      </c>
      <c r="AB11" s="881">
        <f>SUM(Y11:AA11)</f>
        <v>54.5</v>
      </c>
      <c r="AC11" s="881">
        <v>-8</v>
      </c>
      <c r="AD11" s="881">
        <v>3.2228127640168935</v>
      </c>
      <c r="AE11" s="882">
        <v>125.3691750893707</v>
      </c>
      <c r="AF11" s="882">
        <v>120.1674810310637</v>
      </c>
      <c r="AG11" s="883">
        <v>95.942476215154485</v>
      </c>
      <c r="AH11" s="38">
        <f>(G11/357*1000)/X11</f>
        <v>101.76044330775788</v>
      </c>
      <c r="AI11" s="38">
        <f t="shared" si="5"/>
        <v>114.51276275563521</v>
      </c>
      <c r="AJ11" s="809">
        <f>(AI11-AG11)/AG11</f>
        <v>0.19355646500968124</v>
      </c>
      <c r="AL11" s="44"/>
      <c r="AT11" t="s">
        <v>1236</v>
      </c>
      <c r="AU11">
        <v>3</v>
      </c>
    </row>
    <row r="12" spans="1:47">
      <c r="A12" s="1388"/>
      <c r="B12" s="389" t="s">
        <v>367</v>
      </c>
      <c r="C12" s="378" t="s">
        <v>1224</v>
      </c>
      <c r="D12" s="879">
        <v>2453.1441246138543</v>
      </c>
      <c r="E12" s="879">
        <v>2562.8725280117019</v>
      </c>
      <c r="F12" s="884">
        <v>2600.7292903373677</v>
      </c>
      <c r="G12" s="882">
        <v>2464.94</v>
      </c>
      <c r="H12" s="884">
        <f>BP!P191/1000</f>
        <v>3620.0495435893054</v>
      </c>
      <c r="I12" s="881">
        <v>64</v>
      </c>
      <c r="J12" s="881">
        <v>281.33333333333331</v>
      </c>
      <c r="K12" s="881">
        <v>4</v>
      </c>
      <c r="L12" s="881">
        <v>349.33333333333331</v>
      </c>
      <c r="M12" s="881">
        <v>55.207035538274447</v>
      </c>
      <c r="N12" s="881">
        <v>164.51014349718378</v>
      </c>
      <c r="O12" s="881">
        <v>4.333333333333333</v>
      </c>
      <c r="P12" s="881">
        <v>224.05051236879157</v>
      </c>
      <c r="Q12" s="881">
        <v>71.416666666666671</v>
      </c>
      <c r="R12" s="881">
        <v>175.75</v>
      </c>
      <c r="S12" s="881">
        <v>5</v>
      </c>
      <c r="T12" s="881">
        <v>252.16666666666669</v>
      </c>
      <c r="U12" s="881">
        <f>62+10</f>
        <v>72</v>
      </c>
      <c r="V12" s="881">
        <f>104+35</f>
        <v>139</v>
      </c>
      <c r="W12" s="881">
        <f t="shared" si="3"/>
        <v>5</v>
      </c>
      <c r="X12" s="881">
        <f t="shared" si="4"/>
        <v>216</v>
      </c>
      <c r="Y12" s="881">
        <f>SUM('Workmen Category'!BY20:BZ20)</f>
        <v>76</v>
      </c>
      <c r="Z12" s="881">
        <f>SUM('Workmen Category'!CA20:CB20)</f>
        <v>189.70833333333334</v>
      </c>
      <c r="AA12" s="881">
        <f>AU12</f>
        <v>6</v>
      </c>
      <c r="AB12" s="881">
        <f>SUM(Y12:AA12)</f>
        <v>271.70833333333337</v>
      </c>
      <c r="AC12" s="881">
        <v>97.166666666666629</v>
      </c>
      <c r="AD12" s="881">
        <v>-28.116154297875113</v>
      </c>
      <c r="AE12" s="882">
        <v>19.670473768473396</v>
      </c>
      <c r="AF12" s="882">
        <v>32.041500679426463</v>
      </c>
      <c r="AG12" s="883">
        <v>28.889448758794842</v>
      </c>
      <c r="AH12" s="38">
        <f>(G12/357*1000)/X12</f>
        <v>31.965712210810253</v>
      </c>
      <c r="AI12" s="38">
        <f t="shared" si="5"/>
        <v>37.32014648049087</v>
      </c>
      <c r="AJ12" s="809">
        <f>(AI12-AG12)/AG12</f>
        <v>0.29182618858829773</v>
      </c>
      <c r="AL12" s="44"/>
      <c r="AT12" t="s">
        <v>1237</v>
      </c>
      <c r="AU12">
        <v>6</v>
      </c>
    </row>
    <row r="13" spans="1:47">
      <c r="A13" s="1388"/>
      <c r="B13" s="389" t="s">
        <v>1220</v>
      </c>
      <c r="C13" s="378"/>
      <c r="D13" s="879"/>
      <c r="E13" s="879"/>
      <c r="F13" s="884"/>
      <c r="G13" s="884"/>
      <c r="H13" s="884"/>
      <c r="I13" s="881">
        <v>92.575541294308152</v>
      </c>
      <c r="J13" s="881">
        <v>39.2613801049418</v>
      </c>
      <c r="K13" s="881">
        <v>43.65</v>
      </c>
      <c r="L13" s="881">
        <v>175.48692139924995</v>
      </c>
      <c r="M13" s="881">
        <v>104.59503763179961</v>
      </c>
      <c r="N13" s="881">
        <v>22.999346407557589</v>
      </c>
      <c r="O13" s="881">
        <v>45.254940711462439</v>
      </c>
      <c r="P13" s="881">
        <v>172.84932475081965</v>
      </c>
      <c r="Q13" s="881">
        <v>101.4839804163487</v>
      </c>
      <c r="R13" s="881">
        <v>22.654794520547942</v>
      </c>
      <c r="S13" s="881">
        <v>43.926605504587158</v>
      </c>
      <c r="T13" s="881">
        <v>168.0653804414838</v>
      </c>
      <c r="U13" s="881"/>
      <c r="V13" s="881"/>
      <c r="W13" s="881"/>
      <c r="X13" s="881"/>
      <c r="Y13" s="881"/>
      <c r="Z13" s="881"/>
      <c r="AA13" s="881"/>
      <c r="AB13" s="881"/>
      <c r="AC13" s="881">
        <v>7.4215409577661546</v>
      </c>
      <c r="AD13" s="881">
        <v>4.7839443093358511</v>
      </c>
      <c r="AE13" s="894">
        <v>461.74153832945871</v>
      </c>
      <c r="AF13" s="894">
        <v>510.50990834109757</v>
      </c>
      <c r="AG13" s="895">
        <v>409.53984961768322</v>
      </c>
      <c r="AH13" s="38"/>
      <c r="AI13" s="13"/>
      <c r="AJ13" s="13"/>
      <c r="AT13" t="s">
        <v>1238</v>
      </c>
      <c r="AU13">
        <v>2</v>
      </c>
    </row>
    <row r="14" spans="1:47">
      <c r="A14" s="1388"/>
      <c r="B14" s="389" t="s">
        <v>1221</v>
      </c>
      <c r="C14" s="378"/>
      <c r="D14" s="879"/>
      <c r="E14" s="879"/>
      <c r="F14" s="884"/>
      <c r="G14" s="884"/>
      <c r="H14" s="884"/>
      <c r="I14" s="881">
        <v>22.045222815330181</v>
      </c>
      <c r="J14" s="881">
        <v>116.04520456462771</v>
      </c>
      <c r="K14" s="881">
        <v>35.274725274725277</v>
      </c>
      <c r="L14" s="881">
        <v>173.36515265468319</v>
      </c>
      <c r="M14" s="881">
        <v>22.661605732371427</v>
      </c>
      <c r="N14" s="881">
        <v>103.66115278931429</v>
      </c>
      <c r="O14" s="881">
        <v>30.75482980680772</v>
      </c>
      <c r="P14" s="881">
        <v>157.07758832849345</v>
      </c>
      <c r="Q14" s="881">
        <v>30.404265827027722</v>
      </c>
      <c r="R14" s="881">
        <v>126.05103675424807</v>
      </c>
      <c r="S14" s="881">
        <v>26.376790830945559</v>
      </c>
      <c r="T14" s="881">
        <v>182.83209341222135</v>
      </c>
      <c r="U14" s="881"/>
      <c r="V14" s="881"/>
      <c r="W14" s="881"/>
      <c r="X14" s="881"/>
      <c r="Y14" s="881"/>
      <c r="Z14" s="881"/>
      <c r="AA14" s="881"/>
      <c r="AB14" s="881"/>
      <c r="AC14" s="881">
        <v>-9.4669407575381683</v>
      </c>
      <c r="AD14" s="881">
        <v>-25.754505083727906</v>
      </c>
      <c r="AE14" s="896"/>
      <c r="AF14" s="896"/>
      <c r="AG14" s="897"/>
      <c r="AH14" s="897"/>
      <c r="AI14" s="13"/>
      <c r="AJ14" s="13"/>
      <c r="AT14" t="s">
        <v>391</v>
      </c>
      <c r="AU14">
        <v>34</v>
      </c>
    </row>
    <row r="15" spans="1:47">
      <c r="A15" s="887"/>
      <c r="B15" s="888" t="s">
        <v>1225</v>
      </c>
      <c r="C15" s="889"/>
      <c r="D15" s="890"/>
      <c r="E15" s="890"/>
      <c r="F15" s="891"/>
      <c r="G15" s="891"/>
      <c r="H15" s="891"/>
      <c r="I15" s="892">
        <v>369.87076410963834</v>
      </c>
      <c r="J15" s="892">
        <v>558.63991800290285</v>
      </c>
      <c r="K15" s="892">
        <v>108.92472527472529</v>
      </c>
      <c r="L15" s="892">
        <v>1037.4354073872664</v>
      </c>
      <c r="M15" s="892">
        <v>427.22957450376396</v>
      </c>
      <c r="N15" s="892">
        <v>374.49376959817755</v>
      </c>
      <c r="O15" s="892">
        <v>104.50977051827016</v>
      </c>
      <c r="P15" s="892">
        <v>906.23311462021172</v>
      </c>
      <c r="Q15" s="892">
        <v>444.97157957670976</v>
      </c>
      <c r="R15" s="892">
        <v>386.78916460812934</v>
      </c>
      <c r="S15" s="892">
        <v>98.80339633553271</v>
      </c>
      <c r="T15" s="892">
        <v>930.56414052037189</v>
      </c>
      <c r="U15" s="892"/>
      <c r="V15" s="892"/>
      <c r="W15" s="892"/>
      <c r="X15" s="892"/>
      <c r="Y15" s="892"/>
      <c r="Z15" s="892"/>
      <c r="AA15" s="892"/>
      <c r="AB15" s="892"/>
      <c r="AC15" s="892">
        <v>106.87126686689453</v>
      </c>
      <c r="AD15" s="892">
        <v>-24.331025900160171</v>
      </c>
      <c r="AE15" s="898">
        <v>78.105682981902277</v>
      </c>
      <c r="AF15" s="898">
        <v>97.371516789410308</v>
      </c>
      <c r="AG15" s="899">
        <v>73.466407977016161</v>
      </c>
      <c r="AH15" s="899"/>
      <c r="AI15" s="899"/>
      <c r="AJ15" s="899"/>
      <c r="AT15" t="s">
        <v>1239</v>
      </c>
      <c r="AU15">
        <v>7</v>
      </c>
    </row>
    <row r="16" spans="1:47">
      <c r="A16" s="887"/>
      <c r="B16" s="888" t="s">
        <v>1226</v>
      </c>
      <c r="C16" s="889"/>
      <c r="D16" s="890"/>
      <c r="E16" s="890"/>
      <c r="F16" s="891"/>
      <c r="G16" s="891"/>
      <c r="H16" s="891"/>
      <c r="I16" s="892">
        <v>778.80586377176678</v>
      </c>
      <c r="J16" s="892">
        <v>993.72787569081561</v>
      </c>
      <c r="K16" s="892">
        <v>196.02445054945056</v>
      </c>
      <c r="L16" s="892">
        <v>1968.5581900120328</v>
      </c>
      <c r="M16" s="892">
        <v>910.74628486765255</v>
      </c>
      <c r="N16" s="892">
        <v>749.70787897278819</v>
      </c>
      <c r="O16" s="892">
        <v>195.83264366395039</v>
      </c>
      <c r="P16" s="892">
        <v>1856.2868075043912</v>
      </c>
      <c r="Q16" s="892">
        <v>923.98029748702629</v>
      </c>
      <c r="R16" s="892">
        <v>633.54827831424507</v>
      </c>
      <c r="S16" s="892">
        <v>193.02586025603955</v>
      </c>
      <c r="T16" s="892">
        <v>1750.5544360573108</v>
      </c>
      <c r="U16" s="892"/>
      <c r="V16" s="892"/>
      <c r="W16" s="892"/>
      <c r="X16" s="892"/>
      <c r="Y16" s="892"/>
      <c r="Z16" s="892"/>
      <c r="AA16" s="892"/>
      <c r="AB16" s="892"/>
      <c r="AC16" s="892">
        <v>218.00375395472201</v>
      </c>
      <c r="AD16" s="892">
        <v>105.73237144708037</v>
      </c>
      <c r="AE16" s="891"/>
      <c r="AF16" s="891"/>
      <c r="AG16" s="893"/>
      <c r="AH16" s="893"/>
      <c r="AI16" s="893"/>
      <c r="AJ16" s="893"/>
      <c r="AT16" t="s">
        <v>1240</v>
      </c>
      <c r="AU16">
        <v>14</v>
      </c>
    </row>
    <row r="17" spans="1:47">
      <c r="A17" s="878" t="s">
        <v>295</v>
      </c>
      <c r="B17" s="389" t="s">
        <v>295</v>
      </c>
      <c r="C17" s="378" t="s">
        <v>1224</v>
      </c>
      <c r="D17" s="879">
        <v>5936.6888054457613</v>
      </c>
      <c r="E17" s="879">
        <v>3233.926163608764</v>
      </c>
      <c r="F17" s="879">
        <v>2965.7186278937047</v>
      </c>
      <c r="G17" s="879"/>
      <c r="H17" s="879">
        <f>609087.541/1000</f>
        <v>609.08754099999999</v>
      </c>
      <c r="I17" s="881">
        <v>155.875</v>
      </c>
      <c r="J17" s="881">
        <v>187.63245151389569</v>
      </c>
      <c r="K17" s="881">
        <v>31</v>
      </c>
      <c r="L17" s="881">
        <v>374.50745151389572</v>
      </c>
      <c r="M17" s="881">
        <v>120.55874243951614</v>
      </c>
      <c r="N17" s="881">
        <v>111.62910483870967</v>
      </c>
      <c r="O17" s="881">
        <v>30.666666666666668</v>
      </c>
      <c r="P17" s="881">
        <v>262.85451394489246</v>
      </c>
      <c r="Q17" s="881">
        <v>94.557377049180332</v>
      </c>
      <c r="R17" s="881">
        <v>64</v>
      </c>
      <c r="S17" s="881">
        <v>23.5</v>
      </c>
      <c r="T17" s="881">
        <v>182.05737704918033</v>
      </c>
      <c r="U17" s="881"/>
      <c r="V17" s="881"/>
      <c r="W17" s="881"/>
      <c r="X17" s="881"/>
      <c r="Y17" s="881">
        <v>20</v>
      </c>
      <c r="Z17" s="881">
        <v>26</v>
      </c>
      <c r="AA17" s="881">
        <v>11</v>
      </c>
      <c r="AB17" s="881">
        <f>SUM(Y17:AA17)</f>
        <v>57</v>
      </c>
      <c r="AC17" s="881">
        <v>192.45007446471539</v>
      </c>
      <c r="AD17" s="881">
        <v>80.797136895712129</v>
      </c>
      <c r="AE17" s="882">
        <v>44.403336542942128</v>
      </c>
      <c r="AF17" s="882">
        <v>34.462473437627921</v>
      </c>
      <c r="AG17" s="883">
        <v>45.630312963891136</v>
      </c>
      <c r="AH17" s="883"/>
      <c r="AI17" s="38">
        <f t="shared" ref="AI17" si="6">(H17/357*1000)/AB17</f>
        <v>29.932062558356677</v>
      </c>
      <c r="AJ17" s="809"/>
      <c r="AT17" t="s">
        <v>1241</v>
      </c>
      <c r="AU17">
        <v>9</v>
      </c>
    </row>
    <row r="18" spans="1:47" ht="29">
      <c r="A18" s="878" t="s">
        <v>1227</v>
      </c>
      <c r="B18" s="389" t="s">
        <v>1227</v>
      </c>
      <c r="C18" s="378" t="s">
        <v>1224</v>
      </c>
      <c r="D18" s="879"/>
      <c r="E18" s="879"/>
      <c r="F18" s="884"/>
      <c r="G18" s="884"/>
      <c r="H18" s="884"/>
      <c r="I18" s="881">
        <v>0</v>
      </c>
      <c r="J18" s="881">
        <v>0</v>
      </c>
      <c r="K18" s="881">
        <v>0</v>
      </c>
      <c r="L18" s="881">
        <v>0</v>
      </c>
      <c r="M18" s="881">
        <v>0</v>
      </c>
      <c r="N18" s="881">
        <v>0</v>
      </c>
      <c r="O18" s="881">
        <v>0</v>
      </c>
      <c r="P18" s="881">
        <v>0</v>
      </c>
      <c r="Q18" s="881">
        <v>6</v>
      </c>
      <c r="R18" s="881">
        <v>0</v>
      </c>
      <c r="S18" s="881">
        <v>2</v>
      </c>
      <c r="T18" s="881">
        <v>8</v>
      </c>
      <c r="U18" s="881"/>
      <c r="V18" s="881"/>
      <c r="W18" s="881"/>
      <c r="X18" s="881"/>
      <c r="Y18" s="881"/>
      <c r="Z18" s="881"/>
      <c r="AA18" s="881"/>
      <c r="AB18" s="881"/>
      <c r="AC18" s="881">
        <v>-8</v>
      </c>
      <c r="AD18" s="881">
        <v>-8</v>
      </c>
      <c r="AE18" s="882">
        <v>0</v>
      </c>
      <c r="AF18" s="882">
        <v>0</v>
      </c>
      <c r="AG18" s="883">
        <v>0</v>
      </c>
      <c r="AH18" s="883"/>
      <c r="AI18" s="13"/>
      <c r="AJ18" s="13"/>
      <c r="AT18" t="s">
        <v>1242</v>
      </c>
      <c r="AU18">
        <v>5</v>
      </c>
    </row>
    <row r="19" spans="1:47">
      <c r="A19" s="878"/>
      <c r="B19" s="389" t="s">
        <v>1220</v>
      </c>
      <c r="C19" s="378"/>
      <c r="D19" s="879"/>
      <c r="E19" s="879"/>
      <c r="F19" s="884"/>
      <c r="G19" s="884"/>
      <c r="H19" s="884"/>
      <c r="I19" s="881">
        <v>112.31498530558387</v>
      </c>
      <c r="J19" s="881">
        <v>5.7040482843816616</v>
      </c>
      <c r="K19" s="881">
        <v>31.524999999999999</v>
      </c>
      <c r="L19" s="881">
        <v>149.54403358996552</v>
      </c>
      <c r="M19" s="881">
        <v>79.539606064885305</v>
      </c>
      <c r="N19" s="881">
        <v>5.1138491124233223</v>
      </c>
      <c r="O19" s="881">
        <v>30.74110671936759</v>
      </c>
      <c r="P19" s="881">
        <v>115.39456189667622</v>
      </c>
      <c r="Q19" s="881">
        <v>65.717506281840073</v>
      </c>
      <c r="R19" s="881">
        <v>4.2082191780821914</v>
      </c>
      <c r="S19" s="881">
        <v>25.623853211009177</v>
      </c>
      <c r="T19" s="881">
        <v>95.549578670931439</v>
      </c>
      <c r="U19" s="881"/>
      <c r="V19" s="881"/>
      <c r="W19" s="881"/>
      <c r="X19" s="881"/>
      <c r="Y19" s="881"/>
      <c r="Z19" s="881"/>
      <c r="AA19" s="881"/>
      <c r="AB19" s="881"/>
      <c r="AC19" s="881">
        <v>53.994454919034084</v>
      </c>
      <c r="AD19" s="881">
        <v>19.844983225744784</v>
      </c>
      <c r="AE19" s="882">
        <v>111.20056085291345</v>
      </c>
      <c r="AF19" s="882">
        <v>78.501244390506884</v>
      </c>
      <c r="AG19" s="883">
        <v>86.94266586720731</v>
      </c>
      <c r="AH19" s="883"/>
      <c r="AI19" s="13"/>
      <c r="AJ19" s="13"/>
      <c r="AT19" t="s">
        <v>388</v>
      </c>
      <c r="AU19">
        <v>5</v>
      </c>
    </row>
    <row r="20" spans="1:47">
      <c r="A20" s="878"/>
      <c r="B20" s="389" t="s">
        <v>1221</v>
      </c>
      <c r="C20" s="378"/>
      <c r="D20" s="879"/>
      <c r="E20" s="879"/>
      <c r="F20" s="884"/>
      <c r="G20" s="884"/>
      <c r="H20" s="884"/>
      <c r="I20" s="881">
        <v>13.462484255982728</v>
      </c>
      <c r="J20" s="881">
        <v>53.9847426914693</v>
      </c>
      <c r="K20" s="881">
        <v>36.450549450549453</v>
      </c>
      <c r="L20" s="881">
        <v>103.89777639800147</v>
      </c>
      <c r="M20" s="881">
        <v>9.1076707434093862</v>
      </c>
      <c r="N20" s="881">
        <v>46.691074502154116</v>
      </c>
      <c r="O20" s="881">
        <v>33.092916283348664</v>
      </c>
      <c r="P20" s="881">
        <v>88.891661528912167</v>
      </c>
      <c r="Q20" s="881">
        <v>9.7653656300407832</v>
      </c>
      <c r="R20" s="881">
        <v>33.88421289018639</v>
      </c>
      <c r="S20" s="881">
        <v>23.600286532951291</v>
      </c>
      <c r="T20" s="881">
        <v>67.249865053178468</v>
      </c>
      <c r="U20" s="881"/>
      <c r="V20" s="881"/>
      <c r="W20" s="881"/>
      <c r="X20" s="881"/>
      <c r="Y20" s="881"/>
      <c r="Z20" s="881"/>
      <c r="AA20" s="881"/>
      <c r="AB20" s="881"/>
      <c r="AC20" s="881">
        <v>36.647911344823001</v>
      </c>
      <c r="AD20" s="881">
        <v>21.641796475733699</v>
      </c>
      <c r="AE20" s="882"/>
      <c r="AF20" s="882"/>
      <c r="AG20" s="883"/>
      <c r="AH20" s="883"/>
      <c r="AI20" s="13"/>
      <c r="AJ20" s="13"/>
      <c r="AT20" t="s">
        <v>1243</v>
      </c>
      <c r="AU20">
        <v>2</v>
      </c>
    </row>
    <row r="21" spans="1:47">
      <c r="A21" s="887"/>
      <c r="B21" s="888" t="s">
        <v>1228</v>
      </c>
      <c r="C21" s="889"/>
      <c r="D21" s="890"/>
      <c r="E21" s="890"/>
      <c r="F21" s="891"/>
      <c r="G21" s="891"/>
      <c r="H21" s="891"/>
      <c r="I21" s="892">
        <v>281.65246956156659</v>
      </c>
      <c r="J21" s="892">
        <v>247.32124248974665</v>
      </c>
      <c r="K21" s="892">
        <v>98.975549450549451</v>
      </c>
      <c r="L21" s="892">
        <v>627.94926150186279</v>
      </c>
      <c r="M21" s="892">
        <v>209.20601924781081</v>
      </c>
      <c r="N21" s="892">
        <v>163.43402845328711</v>
      </c>
      <c r="O21" s="892">
        <v>94.500689669382922</v>
      </c>
      <c r="P21" s="892">
        <v>467.14073737048085</v>
      </c>
      <c r="Q21" s="892">
        <v>176.0402489610612</v>
      </c>
      <c r="R21" s="892">
        <v>102.09243206826858</v>
      </c>
      <c r="S21" s="892">
        <v>74.724139743960464</v>
      </c>
      <c r="T21" s="892">
        <v>352.85682077329022</v>
      </c>
      <c r="U21" s="892"/>
      <c r="V21" s="892"/>
      <c r="W21" s="892"/>
      <c r="X21" s="892"/>
      <c r="Y21" s="892"/>
      <c r="Z21" s="892"/>
      <c r="AA21" s="892"/>
      <c r="AB21" s="892"/>
      <c r="AC21" s="892">
        <v>275.09244072857257</v>
      </c>
      <c r="AD21" s="892">
        <v>114.28391659719063</v>
      </c>
      <c r="AE21" s="891">
        <v>26.482044692016512</v>
      </c>
      <c r="AF21" s="891">
        <v>19.39162222455078</v>
      </c>
      <c r="AG21" s="893">
        <v>23.543076406837194</v>
      </c>
      <c r="AH21" s="893"/>
      <c r="AI21" s="893"/>
      <c r="AJ21" s="893"/>
      <c r="AT21" t="s">
        <v>309</v>
      </c>
      <c r="AU21">
        <v>14</v>
      </c>
    </row>
    <row r="22" spans="1:47">
      <c r="A22" s="887"/>
      <c r="B22" s="888" t="s">
        <v>561</v>
      </c>
      <c r="C22" s="889"/>
      <c r="D22" s="890"/>
      <c r="E22" s="890"/>
      <c r="F22" s="891"/>
      <c r="G22" s="891"/>
      <c r="H22" s="891"/>
      <c r="I22" s="892">
        <v>1060.4583333333335</v>
      </c>
      <c r="J22" s="892">
        <v>1241.0491181805623</v>
      </c>
      <c r="K22" s="892">
        <v>295</v>
      </c>
      <c r="L22" s="892">
        <v>2596.5074515138958</v>
      </c>
      <c r="M22" s="892">
        <v>1119.9523041154634</v>
      </c>
      <c r="N22" s="892">
        <v>913.14190742607525</v>
      </c>
      <c r="O22" s="892">
        <v>290.33333333333331</v>
      </c>
      <c r="P22" s="892">
        <v>2323.4275448748722</v>
      </c>
      <c r="Q22" s="892">
        <v>1100.0205464480875</v>
      </c>
      <c r="R22" s="900">
        <v>735.64071038251359</v>
      </c>
      <c r="S22" s="892">
        <v>267.75</v>
      </c>
      <c r="T22" s="892">
        <v>2103.4112568306009</v>
      </c>
      <c r="U22" s="892"/>
      <c r="V22" s="900"/>
      <c r="W22" s="892"/>
      <c r="X22" s="892"/>
      <c r="Y22" s="892"/>
      <c r="Z22" s="900"/>
      <c r="AA22" s="892"/>
      <c r="AB22" s="892"/>
      <c r="AC22" s="892">
        <v>493.09619468329493</v>
      </c>
      <c r="AD22" s="892">
        <v>220.01628804427128</v>
      </c>
      <c r="AE22" s="891"/>
      <c r="AF22" s="891"/>
      <c r="AG22" s="893"/>
      <c r="AH22" s="893"/>
      <c r="AI22" s="893"/>
      <c r="AJ22" s="893"/>
      <c r="AT22" t="s">
        <v>31</v>
      </c>
      <c r="AU22">
        <v>6</v>
      </c>
    </row>
    <row r="23" spans="1:47">
      <c r="A23" s="901"/>
      <c r="B23" s="901"/>
      <c r="C23" s="901"/>
      <c r="D23" s="901"/>
      <c r="E23" s="901"/>
      <c r="F23" s="901"/>
      <c r="G23" s="901"/>
      <c r="H23" s="901"/>
      <c r="I23" s="901">
        <v>0</v>
      </c>
      <c r="J23" s="901">
        <v>0</v>
      </c>
      <c r="K23" s="901">
        <v>0</v>
      </c>
      <c r="L23" s="901">
        <v>0</v>
      </c>
      <c r="M23" s="901">
        <v>0</v>
      </c>
      <c r="N23" s="901">
        <v>0</v>
      </c>
      <c r="O23" s="901">
        <v>0</v>
      </c>
      <c r="P23" s="901">
        <v>0</v>
      </c>
      <c r="Q23" s="901">
        <v>0</v>
      </c>
      <c r="R23" s="901">
        <v>-0.83333333333325754</v>
      </c>
      <c r="S23" s="901">
        <v>0</v>
      </c>
      <c r="T23" s="901">
        <v>0.83333333333303017</v>
      </c>
      <c r="U23" s="901"/>
      <c r="V23" s="901"/>
      <c r="W23" s="901"/>
      <c r="X23" s="901"/>
      <c r="Y23" s="901"/>
      <c r="Z23" s="901"/>
      <c r="AA23" s="901"/>
      <c r="AB23" s="901"/>
      <c r="AC23" s="901"/>
      <c r="AD23" s="901"/>
      <c r="AE23" s="901"/>
      <c r="AF23" s="901"/>
      <c r="AG23" s="901"/>
      <c r="AH23" s="901"/>
      <c r="AI23" s="13"/>
      <c r="AJ23" s="13"/>
      <c r="AT23" t="s">
        <v>1244</v>
      </c>
      <c r="AU23">
        <v>5</v>
      </c>
    </row>
    <row r="24" spans="1:47">
      <c r="AT24" t="s">
        <v>1245</v>
      </c>
      <c r="AU24">
        <v>20</v>
      </c>
    </row>
    <row r="25" spans="1:47">
      <c r="AT25" t="s">
        <v>1246</v>
      </c>
      <c r="AU25">
        <v>5</v>
      </c>
    </row>
    <row r="26" spans="1:47">
      <c r="AT26" t="s">
        <v>475</v>
      </c>
      <c r="AU26">
        <v>10</v>
      </c>
    </row>
    <row r="27" spans="1:47">
      <c r="AT27" t="s">
        <v>308</v>
      </c>
      <c r="AU27">
        <v>20</v>
      </c>
    </row>
    <row r="28" spans="1:47">
      <c r="AT28" t="s">
        <v>26</v>
      </c>
      <c r="AU28">
        <v>9</v>
      </c>
    </row>
    <row r="29" spans="1:47">
      <c r="AT29" t="s">
        <v>1247</v>
      </c>
      <c r="AU29">
        <v>4</v>
      </c>
    </row>
    <row r="30" spans="1:47">
      <c r="AT30" t="s">
        <v>301</v>
      </c>
      <c r="AU30">
        <v>35</v>
      </c>
    </row>
    <row r="31" spans="1:47">
      <c r="AS31" t="s">
        <v>1248</v>
      </c>
      <c r="AU31">
        <v>239</v>
      </c>
    </row>
    <row r="32" spans="1:47">
      <c r="AS32" t="s">
        <v>265</v>
      </c>
      <c r="AU32">
        <v>252</v>
      </c>
    </row>
  </sheetData>
  <mergeCells count="19">
    <mergeCell ref="A9:A14"/>
    <mergeCell ref="Y3:AB3"/>
    <mergeCell ref="AE3:AI3"/>
    <mergeCell ref="U3:X3"/>
    <mergeCell ref="A3:A4"/>
    <mergeCell ref="B3:B4"/>
    <mergeCell ref="I3:L3"/>
    <mergeCell ref="M3:P3"/>
    <mergeCell ref="Q3:T3"/>
    <mergeCell ref="AO4:AO5"/>
    <mergeCell ref="AL4:AL5"/>
    <mergeCell ref="AS3:AU3"/>
    <mergeCell ref="D3:H3"/>
    <mergeCell ref="AC3:AD3"/>
    <mergeCell ref="AP4:AP5"/>
    <mergeCell ref="AQ4:AQ5"/>
    <mergeCell ref="AM4:AM5"/>
    <mergeCell ref="AN4:AN5"/>
    <mergeCell ref="AL3:AQ3"/>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56"/>
  <sheetViews>
    <sheetView zoomScaleNormal="54" workbookViewId="0">
      <pane xSplit="2" ySplit="2" topLeftCell="F3" activePane="bottomRight" state="frozen"/>
      <selection pane="topRight" activeCell="C1" sqref="C1"/>
      <selection pane="bottomLeft" activeCell="A3" sqref="A3"/>
      <selection pane="bottomRight" sqref="A1:XFD1048576"/>
    </sheetView>
  </sheetViews>
  <sheetFormatPr defaultRowHeight="14.5"/>
  <cols>
    <col min="1" max="1" width="15.453125" hidden="1" customWidth="1"/>
    <col min="2" max="2" width="22.453125" bestFit="1" customWidth="1"/>
    <col min="3" max="3" width="17.81640625" customWidth="1"/>
    <col min="4" max="6" width="9.1796875" customWidth="1"/>
    <col min="17" max="17" width="13.1796875" bestFit="1" customWidth="1"/>
    <col min="18" max="18" width="14.81640625" bestFit="1" customWidth="1"/>
    <col min="19" max="28" width="13.1796875" bestFit="1" customWidth="1"/>
    <col min="29" max="29" width="10.1796875" bestFit="1" customWidth="1"/>
    <col min="45" max="45" width="12.1796875" hidden="1" customWidth="1"/>
    <col min="46" max="56" width="10.453125" hidden="1" customWidth="1"/>
  </cols>
  <sheetData>
    <row r="1" spans="1:57" ht="19" thickBot="1">
      <c r="P1" s="654" t="s">
        <v>523</v>
      </c>
      <c r="Q1" s="654">
        <f>DAY(EOMONTH(Q2,0))</f>
        <v>30</v>
      </c>
      <c r="R1" s="654">
        <f>DAY(EOMONTH(R2,0))</f>
        <v>31</v>
      </c>
      <c r="S1" s="654">
        <f t="shared" ref="S1:U1" si="0">DAY(EOMONTH(S2,0))</f>
        <v>30</v>
      </c>
      <c r="T1" s="654">
        <f t="shared" si="0"/>
        <v>31</v>
      </c>
      <c r="U1" s="654">
        <f t="shared" si="0"/>
        <v>31</v>
      </c>
      <c r="V1" s="654">
        <f>DAY(EOMONTH(V2,0))</f>
        <v>30</v>
      </c>
      <c r="W1" s="654">
        <f t="shared" ref="W1:AB1" si="1">DAY(EOMONTH(W2,0))</f>
        <v>31</v>
      </c>
      <c r="X1" s="654">
        <f t="shared" si="1"/>
        <v>30</v>
      </c>
      <c r="Y1" s="654">
        <f t="shared" si="1"/>
        <v>31</v>
      </c>
      <c r="Z1" s="654">
        <f t="shared" si="1"/>
        <v>31</v>
      </c>
      <c r="AA1" s="654">
        <f t="shared" si="1"/>
        <v>28</v>
      </c>
      <c r="AB1" s="654">
        <f t="shared" si="1"/>
        <v>31</v>
      </c>
      <c r="AS1" s="723" t="s">
        <v>1033</v>
      </c>
      <c r="AT1" s="723"/>
      <c r="AU1" s="723"/>
      <c r="AV1" s="723"/>
      <c r="AW1" s="723"/>
      <c r="AX1" s="723"/>
      <c r="AY1" s="723"/>
      <c r="AZ1" s="723"/>
      <c r="BA1" s="723"/>
      <c r="BB1" s="723"/>
      <c r="BC1" s="723"/>
      <c r="BD1" s="723"/>
    </row>
    <row r="2" spans="1:57" ht="43.5" customHeight="1" thickBot="1">
      <c r="A2" s="331" t="s">
        <v>644</v>
      </c>
      <c r="B2" s="332" t="s">
        <v>0</v>
      </c>
      <c r="C2" s="332" t="s">
        <v>100</v>
      </c>
      <c r="D2" s="770">
        <v>46113</v>
      </c>
      <c r="E2" s="770">
        <v>46143</v>
      </c>
      <c r="F2" s="770">
        <v>46174</v>
      </c>
      <c r="G2" s="770">
        <v>46204</v>
      </c>
      <c r="H2" s="770">
        <v>46235</v>
      </c>
      <c r="I2" s="770">
        <v>46266</v>
      </c>
      <c r="J2" s="770">
        <v>46296</v>
      </c>
      <c r="K2" s="770">
        <v>46327</v>
      </c>
      <c r="L2" s="770">
        <v>46357</v>
      </c>
      <c r="M2" s="770">
        <v>46388</v>
      </c>
      <c r="N2" s="770">
        <v>46419</v>
      </c>
      <c r="O2" s="770">
        <v>46447</v>
      </c>
      <c r="Q2" s="649">
        <v>46113</v>
      </c>
      <c r="R2" s="770">
        <v>46143</v>
      </c>
      <c r="S2" s="770">
        <v>46174</v>
      </c>
      <c r="T2" s="770">
        <v>46204</v>
      </c>
      <c r="U2" s="770">
        <v>46235</v>
      </c>
      <c r="V2" s="770">
        <v>46266</v>
      </c>
      <c r="W2" s="770">
        <v>46296</v>
      </c>
      <c r="X2" s="770">
        <v>46327</v>
      </c>
      <c r="Y2" s="770">
        <v>46357</v>
      </c>
      <c r="Z2" s="770">
        <v>46388</v>
      </c>
      <c r="AA2" s="770">
        <v>46419</v>
      </c>
      <c r="AB2" s="770">
        <v>46447</v>
      </c>
      <c r="AC2" s="801" t="s">
        <v>1117</v>
      </c>
      <c r="AE2" s="770">
        <v>46113</v>
      </c>
      <c r="AF2" s="770">
        <v>46143</v>
      </c>
      <c r="AG2" s="770">
        <v>46174</v>
      </c>
      <c r="AH2" s="770">
        <v>46204</v>
      </c>
      <c r="AI2" s="770">
        <v>46235</v>
      </c>
      <c r="AJ2" s="770">
        <v>46266</v>
      </c>
      <c r="AK2" s="770">
        <v>46296</v>
      </c>
      <c r="AL2" s="770">
        <v>46327</v>
      </c>
      <c r="AM2" s="770">
        <v>46357</v>
      </c>
      <c r="AN2" s="770">
        <v>46388</v>
      </c>
      <c r="AO2" s="770">
        <v>46419</v>
      </c>
      <c r="AP2" s="770">
        <v>46447</v>
      </c>
      <c r="AS2" s="770">
        <v>46113</v>
      </c>
      <c r="AT2" s="770">
        <v>46143</v>
      </c>
      <c r="AU2" s="770">
        <v>46174</v>
      </c>
      <c r="AV2" s="770">
        <v>46204</v>
      </c>
      <c r="AW2" s="770">
        <v>46235</v>
      </c>
      <c r="AX2" s="770">
        <v>46266</v>
      </c>
      <c r="AY2" s="770">
        <v>46296</v>
      </c>
      <c r="AZ2" s="770">
        <v>46327</v>
      </c>
      <c r="BA2" s="770">
        <v>46357</v>
      </c>
      <c r="BB2" s="770">
        <v>46388</v>
      </c>
      <c r="BC2" s="770">
        <v>46419</v>
      </c>
      <c r="BD2" s="770">
        <v>46447</v>
      </c>
    </row>
    <row r="3" spans="1:57">
      <c r="A3" s="339" t="s">
        <v>672</v>
      </c>
      <c r="B3" s="605" t="str">
        <f>'Sectionwise Working'!A18</f>
        <v>1. POY</v>
      </c>
      <c r="C3" s="330">
        <f>AVERAGEIF('Sectionwise Working'!A:A,'Monthly HC &amp; Prodn Working'!B3,'Sectionwise Working'!I:I)</f>
        <v>32121.952127873319</v>
      </c>
      <c r="D3" s="249">
        <f>'Sectionwise Working'!T18</f>
        <v>43</v>
      </c>
      <c r="E3" s="249">
        <f>'Sectionwise Working'!T19</f>
        <v>43</v>
      </c>
      <c r="F3" s="249">
        <f>'Sectionwise Working'!T20</f>
        <v>43</v>
      </c>
      <c r="G3" s="249">
        <f>'Sectionwise Working'!T21</f>
        <v>43</v>
      </c>
      <c r="H3" s="249">
        <f>'Sectionwise Working'!T22</f>
        <v>43</v>
      </c>
      <c r="I3" s="249">
        <f>'Sectionwise Working'!T23</f>
        <v>43</v>
      </c>
      <c r="J3" s="249">
        <f>'Sectionwise Working'!T24</f>
        <v>43</v>
      </c>
      <c r="K3" s="249">
        <f>'Sectionwise Working'!T25</f>
        <v>43</v>
      </c>
      <c r="L3" s="249">
        <f>'Sectionwise Working'!T26</f>
        <v>43</v>
      </c>
      <c r="M3" s="249">
        <f>'Sectionwise Working'!T27</f>
        <v>43</v>
      </c>
      <c r="N3" s="249">
        <f>'Sectionwise Working'!T28</f>
        <v>43</v>
      </c>
      <c r="O3" s="249">
        <f>'Sectionwise Working'!T29</f>
        <v>43</v>
      </c>
      <c r="P3" s="40">
        <f t="shared" ref="P3:P8" si="2">AVERAGE(D3:O3)</f>
        <v>43</v>
      </c>
      <c r="Q3" s="10">
        <f>'Sectionwise Working'!J18</f>
        <v>50613.667538818154</v>
      </c>
      <c r="R3" s="10">
        <f>'Sectionwise Working'!J19</f>
        <v>40984.506715719152</v>
      </c>
      <c r="S3" s="10">
        <f>'Sectionwise Working'!J20</f>
        <v>35678.920404370176</v>
      </c>
      <c r="T3" s="10">
        <f>'Sectionwise Working'!J21</f>
        <v>48507.406003135155</v>
      </c>
      <c r="U3" s="10">
        <f>'Sectionwise Working'!J22</f>
        <v>37814.245483172235</v>
      </c>
      <c r="V3" s="10">
        <f>'Sectionwise Working'!J23</f>
        <v>35651.418688229067</v>
      </c>
      <c r="W3" s="10">
        <f>'Sectionwise Working'!J24</f>
        <v>37403.158993685662</v>
      </c>
      <c r="X3" s="10">
        <f>'Sectionwise Working'!J25</f>
        <v>34395.261301297389</v>
      </c>
      <c r="Y3" s="10">
        <f>'Sectionwise Working'!J26</f>
        <v>33711.280943895981</v>
      </c>
      <c r="Z3" s="10">
        <f>'Sectionwise Working'!J27</f>
        <v>33761.519179139214</v>
      </c>
      <c r="AA3" s="10">
        <f>'Sectionwise Working'!J28</f>
        <v>35709.419840274299</v>
      </c>
      <c r="AB3" s="10">
        <f>'Sectionwise Working'!J29</f>
        <v>29715.511176625227</v>
      </c>
      <c r="AC3" s="39">
        <f>AVERAGE(Q3:AB3)</f>
        <v>37828.859689030149</v>
      </c>
      <c r="AD3" s="39"/>
      <c r="AE3" s="1448">
        <f>(Q3+Q4)/SUM(D3:D14)</f>
        <v>116.93795920124595</v>
      </c>
      <c r="AF3" s="1448">
        <f>(R3+R4)/SUM(E3:E14)</f>
        <v>98.027636230587987</v>
      </c>
      <c r="AG3" s="1448">
        <f>(S3+S4)/SUM(F3:F14)</f>
        <v>84.392653961245472</v>
      </c>
      <c r="AH3" s="1448">
        <f>(T3+T4)/SUM(G3:G14)</f>
        <v>115.35351830944316</v>
      </c>
      <c r="AI3" s="1448">
        <f t="shared" ref="AI3:AP3" si="3">(U3+U4)/SUM(H3:H14)</f>
        <v>90.72219290109939</v>
      </c>
      <c r="AJ3" s="1448">
        <f t="shared" si="3"/>
        <v>96.393911122627543</v>
      </c>
      <c r="AK3" s="1448">
        <f t="shared" si="3"/>
        <v>94.583400816570645</v>
      </c>
      <c r="AL3" s="1448">
        <f t="shared" si="3"/>
        <v>92.342604698966937</v>
      </c>
      <c r="AM3" s="1448">
        <f t="shared" si="3"/>
        <v>100.28199549657101</v>
      </c>
      <c r="AN3" s="1448">
        <f t="shared" si="3"/>
        <v>102.82430819448466</v>
      </c>
      <c r="AO3" s="1448">
        <f t="shared" si="3"/>
        <v>102.36383998192896</v>
      </c>
      <c r="AP3" s="1448">
        <f t="shared" si="3"/>
        <v>92.639841114728938</v>
      </c>
      <c r="AS3" s="19">
        <f>('Production 2nd'!D8*1000)/DAY(EOMONTH(AS2,0))</f>
        <v>26266.167873563019</v>
      </c>
      <c r="AT3" s="19">
        <f>('Production 2nd'!E8*1000)/DAY(EOMONTH(AT2,0))</f>
        <v>26265.866068110332</v>
      </c>
      <c r="AU3" s="19">
        <f>('Production 2nd'!F8*1000)/DAY(EOMONTH(AU2,0))</f>
        <v>29189.281812351186</v>
      </c>
      <c r="AV3" s="19">
        <f>('Production 2nd'!G8*1000)/DAY(EOMONTH(AV2,0))</f>
        <v>26898.841226451295</v>
      </c>
      <c r="AW3" s="19">
        <f>('Production 2nd'!H8*1000)/DAY(EOMONTH(AW2,0))</f>
        <v>25437.716355173106</v>
      </c>
      <c r="AX3" s="19">
        <f>('Production 2nd'!I8*1000)/DAY(EOMONTH(AX2,0))</f>
        <v>27119.587943452705</v>
      </c>
      <c r="AY3" s="19">
        <f>('Production 2nd'!J8*1000)/DAY(EOMONTH(AY2,0))</f>
        <v>25391.092908933257</v>
      </c>
      <c r="AZ3" s="19">
        <f>('Production 2nd'!K8*1000)/DAY(EOMONTH(AZ2,0))</f>
        <v>27566.150807835802</v>
      </c>
      <c r="BA3" s="19">
        <f>('Production 2nd'!L8*1000)/DAY(EOMONTH(BA2,0))</f>
        <v>27368.633042648973</v>
      </c>
      <c r="BB3" s="19">
        <f>('Production 2nd'!M8*1000)/DAY(EOMONTH(BB2,0))</f>
        <v>26309.348684540328</v>
      </c>
      <c r="BC3" s="19">
        <f>('Production 2nd'!N8*1000)/DAY(EOMONTH(BC2,0))</f>
        <v>27473.11486986819</v>
      </c>
      <c r="BD3" s="19">
        <f>('Production 2nd'!O8*1000)/DAY(EOMONTH(BD2,0))</f>
        <v>26982.192975991686</v>
      </c>
      <c r="BE3" s="19"/>
    </row>
    <row r="4" spans="1:57">
      <c r="A4" s="339" t="s">
        <v>672</v>
      </c>
      <c r="B4" s="605" t="str">
        <f>'Sectionwise Working'!A5</f>
        <v>2. BCF</v>
      </c>
      <c r="C4" s="10">
        <f>AVERAGEIF('Sectionwise Working'!A:A,'Monthly HC &amp; Prodn Working'!B4,'Sectionwise Working'!I:I)</f>
        <v>21686.572054917753</v>
      </c>
      <c r="D4" s="648">
        <f>('Sectionwise Working'!T4)</f>
        <v>23</v>
      </c>
      <c r="E4" s="648">
        <f>'Sectionwise Working'!T5</f>
        <v>25</v>
      </c>
      <c r="F4" s="648">
        <f>'Sectionwise Working'!T6</f>
        <v>23</v>
      </c>
      <c r="G4" s="648">
        <f>'Sectionwise Working'!T7</f>
        <v>23</v>
      </c>
      <c r="H4" s="648">
        <f>'Sectionwise Working'!T8</f>
        <v>25</v>
      </c>
      <c r="I4" s="648">
        <f>'Sectionwise Working'!T9</f>
        <v>29</v>
      </c>
      <c r="J4" s="648">
        <f>'Sectionwise Working'!T10</f>
        <v>26</v>
      </c>
      <c r="K4" s="648">
        <f>'Sectionwise Working'!T11</f>
        <v>29</v>
      </c>
      <c r="L4" s="648">
        <f>'Sectionwise Working'!T12</f>
        <v>38</v>
      </c>
      <c r="M4" s="648">
        <f>'Sectionwise Working'!T13</f>
        <v>33</v>
      </c>
      <c r="N4" s="648">
        <f>'Sectionwise Working'!T14</f>
        <v>33</v>
      </c>
      <c r="O4" s="648">
        <f>'Sectionwise Working'!T15</f>
        <v>31</v>
      </c>
      <c r="P4" s="40">
        <f t="shared" si="2"/>
        <v>28.166666666666668</v>
      </c>
      <c r="Q4" s="10">
        <f>'Sectionwise Working'!J4</f>
        <v>6335.1185921886217</v>
      </c>
      <c r="R4" s="10">
        <f>'Sectionwise Working'!J5</f>
        <v>7343.1179459607247</v>
      </c>
      <c r="S4" s="10">
        <f>'Sectionwise Working'!J6</f>
        <v>5757.8726906013535</v>
      </c>
      <c r="T4" s="10">
        <f>'Sectionwise Working'!J7</f>
        <v>6631.5757487786796</v>
      </c>
      <c r="U4" s="10">
        <f>'Sectionwise Working'!J8</f>
        <v>8091.1841247840584</v>
      </c>
      <c r="V4" s="10">
        <f>'Sectionwise Working'!J9</f>
        <v>13123.900339820473</v>
      </c>
      <c r="W4" s="10">
        <f>'Sectionwise Working'!J10</f>
        <v>9321.0410097002386</v>
      </c>
      <c r="X4" s="10">
        <f>'Sectionwise Working'!J11</f>
        <v>12237.75407168092</v>
      </c>
      <c r="Y4" s="10">
        <f>'Sectionwise Working'!J12</f>
        <v>21844.944561204364</v>
      </c>
      <c r="Z4" s="10">
        <f>'Sectionwise Working'!J13</f>
        <v>17033.689068936208</v>
      </c>
      <c r="AA4" s="10">
        <f>'Sectionwise Working'!J14</f>
        <v>17417.413110346832</v>
      </c>
      <c r="AB4" s="10">
        <f>'Sectionwise Working'!J15</f>
        <v>14566.332876215205</v>
      </c>
      <c r="AC4" s="39">
        <f t="shared" ref="AC4:AC6" si="4">AVERAGE(Q4:AB4)</f>
        <v>11641.99534501814</v>
      </c>
      <c r="AD4" s="39"/>
      <c r="AE4" s="1448"/>
      <c r="AF4" s="1448"/>
      <c r="AG4" s="1448"/>
      <c r="AH4" s="1448"/>
      <c r="AI4" s="1448"/>
      <c r="AJ4" s="1448"/>
      <c r="AK4" s="1448"/>
      <c r="AL4" s="1448"/>
      <c r="AM4" s="1448"/>
      <c r="AN4" s="1448"/>
      <c r="AO4" s="1448"/>
      <c r="AP4" s="1448"/>
      <c r="AS4" s="19">
        <f>('Production 2nd'!D3*1000)/DAY(EOMONTH(AS$2,0))</f>
        <v>7236.2171001302495</v>
      </c>
      <c r="AT4" s="19">
        <f>('Production 2nd'!E3*1000)/DAY(EOMONTH(AT$2,0))</f>
        <v>7238.2524745479404</v>
      </c>
      <c r="AU4" s="19">
        <f>('Production 2nd'!F3*1000)/DAY(EOMONTH(AU$2,0))</f>
        <v>8953.886572892332</v>
      </c>
      <c r="AV4" s="19">
        <f>('Production 2nd'!G3*1000)/DAY(EOMONTH(AV$2,0))</f>
        <v>9336.8819087538832</v>
      </c>
      <c r="AW4" s="19">
        <f>('Production 2nd'!H3*1000)/DAY(EOMONTH(AW$2,0))</f>
        <v>9779.6661770422961</v>
      </c>
      <c r="AX4" s="19">
        <f>('Production 2nd'!I3*1000)/DAY(EOMONTH(AX$2,0))</f>
        <v>14815.701467081923</v>
      </c>
      <c r="AY4" s="19">
        <f>('Production 2nd'!J3*1000)/DAY(EOMONTH(AY$2,0))</f>
        <v>11668.507581034957</v>
      </c>
      <c r="AZ4" s="19">
        <f>('Production 2nd'!K3*1000)/DAY(EOMONTH(AZ$2,0))</f>
        <v>13107.32247468196</v>
      </c>
      <c r="BA4" s="19">
        <f>('Production 2nd'!L3*1000)/DAY(EOMONTH(BA$2,0))</f>
        <v>12104.372310855486</v>
      </c>
      <c r="BB4" s="19">
        <f>('Production 2nd'!M3*1000)/DAY(EOMONTH(BB$2,0))</f>
        <v>12559.581126648487</v>
      </c>
      <c r="BC4" s="19">
        <f>('Production 2nd'!N3*1000)/DAY(EOMONTH(BC$2,0))</f>
        <v>15871.752212961565</v>
      </c>
      <c r="BD4" s="19">
        <f>('Production 2nd'!O3*1000)/DAY(EOMONTH(BD$2,0))</f>
        <v>14565.219753006517</v>
      </c>
    </row>
    <row r="5" spans="1:57">
      <c r="A5" s="340" t="s">
        <v>668</v>
      </c>
      <c r="B5" s="45" t="str">
        <f>'Sectionwise Working'!A33</f>
        <v>3. Texturizing</v>
      </c>
      <c r="C5" s="10">
        <f>AVERAGEIF('Sectionwise Working'!A:A,'Monthly HC &amp; Prodn Working'!B5,'Sectionwise Working'!I:I)</f>
        <v>29388.132885879077</v>
      </c>
      <c r="D5" s="249">
        <f>'Sectionwise Working'!T33</f>
        <v>84</v>
      </c>
      <c r="E5" s="249">
        <f>'Sectionwise Working'!T34</f>
        <v>84</v>
      </c>
      <c r="F5" s="249">
        <f>'Sectionwise Working'!T35</f>
        <v>84</v>
      </c>
      <c r="G5" s="249">
        <f>'Sectionwise Working'!T36</f>
        <v>84</v>
      </c>
      <c r="H5" s="249">
        <f>'Sectionwise Working'!T37</f>
        <v>84</v>
      </c>
      <c r="I5" s="249">
        <f>'Sectionwise Working'!T38</f>
        <v>84</v>
      </c>
      <c r="J5" s="249">
        <f>'Sectionwise Working'!T39</f>
        <v>84</v>
      </c>
      <c r="K5" s="249">
        <f>'Sectionwise Working'!T40</f>
        <v>84</v>
      </c>
      <c r="L5" s="249">
        <f>'Sectionwise Working'!T41</f>
        <v>84</v>
      </c>
      <c r="M5" s="249">
        <f>'Sectionwise Working'!T42</f>
        <v>84</v>
      </c>
      <c r="N5" s="249">
        <f>'Sectionwise Working'!T43</f>
        <v>84</v>
      </c>
      <c r="O5" s="249">
        <f>'Sectionwise Working'!T44</f>
        <v>84</v>
      </c>
      <c r="P5" s="40">
        <f t="shared" si="2"/>
        <v>84</v>
      </c>
      <c r="Q5" s="10">
        <f>'Sectionwise Working'!J33</f>
        <v>48085.276984219709</v>
      </c>
      <c r="R5" s="10">
        <f>'Sectionwise Working'!J34</f>
        <v>40196.040004010647</v>
      </c>
      <c r="S5" s="10">
        <f>'Sectionwise Working'!J35</f>
        <v>38656.900576141074</v>
      </c>
      <c r="T5" s="10">
        <f>'Sectionwise Working'!J36</f>
        <v>40295.113555653224</v>
      </c>
      <c r="U5" s="10">
        <f>'Sectionwise Working'!J37</f>
        <v>43144.011319133242</v>
      </c>
      <c r="V5" s="10">
        <f>'Sectionwise Working'!J38</f>
        <v>38015.305778484471</v>
      </c>
      <c r="W5" s="10">
        <f>'Sectionwise Working'!J39</f>
        <v>37561.645598046605</v>
      </c>
      <c r="X5" s="10">
        <f>'Sectionwise Working'!J40</f>
        <v>34406.076681617313</v>
      </c>
      <c r="Y5" s="10">
        <f>'Sectionwise Working'!J41</f>
        <v>33689.358524434516</v>
      </c>
      <c r="Z5" s="10">
        <f>'Sectionwise Working'!J42</f>
        <v>33726.015686628838</v>
      </c>
      <c r="AA5" s="10">
        <f>'Sectionwise Working'!J43</f>
        <v>35663.593584933507</v>
      </c>
      <c r="AB5" s="10">
        <f>'Sectionwise Working'!J44</f>
        <v>29814.290416036336</v>
      </c>
      <c r="AC5" s="39">
        <f t="shared" si="4"/>
        <v>37771.135725778287</v>
      </c>
      <c r="AD5" s="39"/>
      <c r="AE5" s="1448"/>
      <c r="AF5" s="1448"/>
      <c r="AG5" s="1448"/>
      <c r="AH5" s="1448"/>
      <c r="AI5" s="1448"/>
      <c r="AJ5" s="1448"/>
      <c r="AK5" s="1448"/>
      <c r="AL5" s="1448"/>
      <c r="AM5" s="1448"/>
      <c r="AN5" s="1448"/>
      <c r="AO5" s="1448"/>
      <c r="AP5" s="1448"/>
      <c r="AS5" s="19">
        <f>('Production 2nd'!D9*1000)/DAY(EOMONTH(AS$2,0))</f>
        <v>25977.240026953827</v>
      </c>
      <c r="AT5" s="19">
        <f>('Production 2nd'!E9*1000)/DAY(EOMONTH(AT$2,0))</f>
        <v>25976.94154136112</v>
      </c>
      <c r="AU5" s="19">
        <f>('Production 2nd'!F9*1000)/DAY(EOMONTH(AU$2,0))</f>
        <v>28868.199712415328</v>
      </c>
      <c r="AV5" s="19">
        <f>('Production 2nd'!G9*1000)/DAY(EOMONTH(AV$2,0))</f>
        <v>26602.953972960328</v>
      </c>
      <c r="AW5" s="19">
        <f>('Production 2nd'!H9*1000)/DAY(EOMONTH(AW$2,0))</f>
        <v>25157.901475266193</v>
      </c>
      <c r="AX5" s="19">
        <f>('Production 2nd'!I9*1000)/DAY(EOMONTH(AX$2,0))</f>
        <v>26821.272476074726</v>
      </c>
      <c r="AY5" s="19">
        <f>('Production 2nd'!J9*1000)/DAY(EOMONTH(AY$2,0))</f>
        <v>25111.790886934985</v>
      </c>
      <c r="AZ5" s="19">
        <f>('Production 2nd'!K9*1000)/DAY(EOMONTH(AZ$2,0))</f>
        <v>27262.923148949612</v>
      </c>
      <c r="BA5" s="19">
        <f>('Production 2nd'!L9*1000)/DAY(EOMONTH(BA$2,0))</f>
        <v>27067.578079179839</v>
      </c>
      <c r="BB5" s="19">
        <f>('Production 2nd'!M9*1000)/DAY(EOMONTH(BB$2,0))</f>
        <v>26019.945849010383</v>
      </c>
      <c r="BC5" s="19">
        <f>('Production 2nd'!N9*1000)/DAY(EOMONTH(BC$2,0))</f>
        <v>27170.910606299636</v>
      </c>
      <c r="BD5" s="19">
        <f>('Production 2nd'!O9*1000)/DAY(EOMONTH(BD$2,0))</f>
        <v>26685.388853255779</v>
      </c>
    </row>
    <row r="6" spans="1:57">
      <c r="A6" s="340" t="s">
        <v>668</v>
      </c>
      <c r="B6" s="45" t="str">
        <f>'Sectionwise Working'!A49</f>
        <v>4. Parallel Winding</v>
      </c>
      <c r="C6" s="10">
        <f>AVERAGEIF('Sectionwise Working'!A:A,'Monthly HC &amp; Prodn Working'!B6,'Sectionwise Working'!I:I)</f>
        <v>14098.760124344613</v>
      </c>
      <c r="D6" s="648">
        <f>'Sectionwise Working'!T49</f>
        <v>27</v>
      </c>
      <c r="E6" s="648">
        <f>'Sectionwise Working'!T50</f>
        <v>27</v>
      </c>
      <c r="F6" s="648">
        <f>'Sectionwise Working'!T51</f>
        <v>27</v>
      </c>
      <c r="G6" s="648">
        <f>'Sectionwise Working'!T52</f>
        <v>27</v>
      </c>
      <c r="H6" s="648">
        <f>'Sectionwise Working'!T53</f>
        <v>27</v>
      </c>
      <c r="I6" s="648">
        <f>'Sectionwise Working'!T54</f>
        <v>27</v>
      </c>
      <c r="J6" s="648">
        <f>'Sectionwise Working'!T55</f>
        <v>27</v>
      </c>
      <c r="K6" s="648">
        <f>'Sectionwise Working'!T56</f>
        <v>27</v>
      </c>
      <c r="L6" s="648">
        <f>'Sectionwise Working'!T57</f>
        <v>27</v>
      </c>
      <c r="M6" s="648">
        <f>'Sectionwise Working'!T58</f>
        <v>27</v>
      </c>
      <c r="N6" s="648">
        <f>'Sectionwise Working'!T59</f>
        <v>27</v>
      </c>
      <c r="O6" s="648">
        <f>'Sectionwise Working'!T60</f>
        <v>27</v>
      </c>
      <c r="P6" s="40">
        <f t="shared" si="2"/>
        <v>27</v>
      </c>
      <c r="Q6" s="10">
        <f>'Sectionwise Working'!J49</f>
        <v>25757.709134886449</v>
      </c>
      <c r="R6" s="10">
        <f>'Sectionwise Working'!J50</f>
        <v>21764.217987658994</v>
      </c>
      <c r="S6" s="10">
        <f>'Sectionwise Working'!J51</f>
        <v>20261.87931785595</v>
      </c>
      <c r="T6" s="10">
        <f>'Sectionwise Working'!J52</f>
        <v>22493.296226954822</v>
      </c>
      <c r="U6" s="10">
        <f>'Sectionwise Working'!J53</f>
        <v>21203.283110941531</v>
      </c>
      <c r="V6" s="10">
        <f>'Sectionwise Working'!J54</f>
        <v>21151.793011945552</v>
      </c>
      <c r="W6" s="10">
        <f>'Sectionwise Working'!J55</f>
        <v>19854.218246045853</v>
      </c>
      <c r="X6" s="10">
        <f>'Sectionwise Working'!J56</f>
        <v>18321.186977943198</v>
      </c>
      <c r="Y6" s="10">
        <f>'Sectionwise Working'!J57</f>
        <v>21404.060867608543</v>
      </c>
      <c r="Z6" s="10">
        <f>'Sectionwise Working'!J58</f>
        <v>20437.994791453595</v>
      </c>
      <c r="AA6" s="10">
        <f>'Sectionwise Working'!J59</f>
        <v>21553.115709014492</v>
      </c>
      <c r="AB6" s="10">
        <f>'Sectionwise Working'!J60</f>
        <v>19632.217552982656</v>
      </c>
      <c r="AC6" s="39">
        <f t="shared" si="4"/>
        <v>21152.914411274302</v>
      </c>
      <c r="AD6" s="39"/>
      <c r="AE6" s="1448"/>
      <c r="AF6" s="1448"/>
      <c r="AG6" s="1448"/>
      <c r="AH6" s="1448"/>
      <c r="AI6" s="1448"/>
      <c r="AJ6" s="1448"/>
      <c r="AK6" s="1448"/>
      <c r="AL6" s="1448"/>
      <c r="AM6" s="1448"/>
      <c r="AN6" s="1448"/>
      <c r="AO6" s="1448"/>
      <c r="AP6" s="1448"/>
      <c r="AS6" s="19">
        <f>('Production 2nd'!D10*1000)/DAY(EOMONTH(AS$2,0))</f>
        <v>12821.845249354095</v>
      </c>
      <c r="AT6" s="19">
        <f>('Production 2nd'!E10*1000)/DAY(EOMONTH(AT$2,0))</f>
        <v>12527.845325355944</v>
      </c>
      <c r="AU6" s="19">
        <f>('Production 2nd'!F10*1000)/DAY(EOMONTH(AU$2,0))</f>
        <v>14176.953331252418</v>
      </c>
      <c r="AV6" s="19">
        <f>('Production 2nd'!G10*1000)/DAY(EOMONTH(AV$2,0))</f>
        <v>14989.50464002069</v>
      </c>
      <c r="AW6" s="19">
        <f>('Production 2nd'!H10*1000)/DAY(EOMONTH(AW$2,0))</f>
        <v>14241.538206788104</v>
      </c>
      <c r="AX6" s="19">
        <f>('Production 2nd'!I10*1000)/DAY(EOMONTH(AX$2,0))</f>
        <v>15002.614976312678</v>
      </c>
      <c r="AY6" s="19">
        <f>('Production 2nd'!J10*1000)/DAY(EOMONTH(AY$2,0))</f>
        <v>13906.441098380661</v>
      </c>
      <c r="AZ6" s="19">
        <f>('Production 2nd'!K10*1000)/DAY(EOMONTH(AZ$2,0))</f>
        <v>15063.330947957289</v>
      </c>
      <c r="BA6" s="19">
        <f>('Production 2nd'!L10*1000)/DAY(EOMONTH(BA$2,0))</f>
        <v>14974.075806352672</v>
      </c>
      <c r="BB6" s="19">
        <f>('Production 2nd'!M10*1000)/DAY(EOMONTH(BB$2,0))</f>
        <v>13729.128561076212</v>
      </c>
      <c r="BC6" s="19">
        <f>('Production 2nd'!N10*1000)/DAY(EOMONTH(BC$2,0))</f>
        <v>14454.862866210122</v>
      </c>
      <c r="BD6" s="19">
        <f>('Production 2nd'!O10*1000)/DAY(EOMONTH(BD$2,0))</f>
        <v>14132.242537703947</v>
      </c>
    </row>
    <row r="7" spans="1:57">
      <c r="A7" s="340" t="s">
        <v>669</v>
      </c>
      <c r="B7" s="45" t="str">
        <f>'Sectionwise Working'!A394</f>
        <v>Rewinding</v>
      </c>
      <c r="C7" s="13"/>
      <c r="D7" s="648">
        <v>15</v>
      </c>
      <c r="E7" s="777">
        <v>15</v>
      </c>
      <c r="F7" s="777">
        <v>15</v>
      </c>
      <c r="G7" s="777">
        <v>15</v>
      </c>
      <c r="H7" s="777">
        <v>15</v>
      </c>
      <c r="I7" s="777">
        <v>15</v>
      </c>
      <c r="J7" s="777">
        <v>15</v>
      </c>
      <c r="K7" s="777">
        <v>15</v>
      </c>
      <c r="L7" s="777">
        <v>15</v>
      </c>
      <c r="M7" s="777">
        <v>15</v>
      </c>
      <c r="N7" s="777">
        <v>15</v>
      </c>
      <c r="O7" s="777">
        <v>15</v>
      </c>
      <c r="P7" s="40">
        <f t="shared" si="2"/>
        <v>15</v>
      </c>
      <c r="Q7" s="10"/>
      <c r="R7" s="10"/>
      <c r="S7" s="10"/>
      <c r="T7" s="10"/>
      <c r="U7" s="10"/>
      <c r="V7" s="10"/>
      <c r="W7" s="10"/>
      <c r="X7" s="10"/>
      <c r="Y7" s="10"/>
      <c r="Z7" s="10"/>
      <c r="AA7" s="10"/>
      <c r="AB7" s="10"/>
      <c r="AC7" s="39"/>
      <c r="AD7" s="39"/>
      <c r="AE7" s="1448"/>
      <c r="AF7" s="1448"/>
      <c r="AG7" s="1448"/>
      <c r="AH7" s="1448"/>
      <c r="AI7" s="1448"/>
      <c r="AJ7" s="1448"/>
      <c r="AK7" s="1448"/>
      <c r="AL7" s="1448"/>
      <c r="AM7" s="1448"/>
      <c r="AN7" s="1448"/>
      <c r="AO7" s="1448"/>
      <c r="AP7" s="1448"/>
    </row>
    <row r="8" spans="1:57">
      <c r="A8" s="340" t="s">
        <v>642</v>
      </c>
      <c r="B8" s="45" t="str">
        <f>'Sectionwise Working'!B382</f>
        <v>5. Multiply</v>
      </c>
      <c r="C8" s="10">
        <f>AVERAGE('Sectionwise Working'!I352:I363)</f>
        <v>11869.222152485861</v>
      </c>
      <c r="D8" s="648">
        <f>'Sectionwise Working'!T382</f>
        <v>107</v>
      </c>
      <c r="E8" s="648">
        <f>'Sectionwise Working'!T383</f>
        <v>121</v>
      </c>
      <c r="F8" s="648">
        <f>'Sectionwise Working'!T384</f>
        <v>128</v>
      </c>
      <c r="G8" s="648">
        <f>'Sectionwise Working'!T385</f>
        <v>110</v>
      </c>
      <c r="H8" s="648">
        <f>'Sectionwise Working'!T386</f>
        <v>125</v>
      </c>
      <c r="I8" s="648">
        <f>'Sectionwise Working'!T387</f>
        <v>121</v>
      </c>
      <c r="J8" s="648">
        <f>'Sectionwise Working'!T388</f>
        <v>128</v>
      </c>
      <c r="K8" s="648">
        <f>'Sectionwise Working'!T389</f>
        <v>138</v>
      </c>
      <c r="L8" s="648">
        <f>'Sectionwise Working'!T390</f>
        <v>161</v>
      </c>
      <c r="M8" s="648">
        <f>'Sectionwise Working'!T391</f>
        <v>113</v>
      </c>
      <c r="N8" s="648">
        <f>'Sectionwise Working'!T392</f>
        <v>131</v>
      </c>
      <c r="O8" s="648">
        <f>'Sectionwise Working'!T393</f>
        <v>107</v>
      </c>
      <c r="P8" s="40">
        <f t="shared" si="2"/>
        <v>124.16666666666667</v>
      </c>
      <c r="Q8" s="10">
        <f>BP!E124/Q1</f>
        <v>3218.2216061105933</v>
      </c>
      <c r="R8" s="10">
        <f>BP!F124/R1</f>
        <v>4320.049398760455</v>
      </c>
      <c r="S8" s="10">
        <f>BP!G124/S1</f>
        <v>4862.0170990663064</v>
      </c>
      <c r="T8" s="10">
        <f>BP!H124/T1</f>
        <v>3418.4591657322826</v>
      </c>
      <c r="U8" s="10">
        <f>BP!I124/U1</f>
        <v>4856.3500631805828</v>
      </c>
      <c r="V8" s="10">
        <f>BP!J124/V1</f>
        <v>4531.8125959491354</v>
      </c>
      <c r="W8" s="10">
        <f>BP!K124/28</f>
        <v>5257.8924475205076</v>
      </c>
      <c r="X8" s="10">
        <f>BP!L124/X1</f>
        <v>7080.4783695999158</v>
      </c>
      <c r="Y8" s="10">
        <f>BP!M124/30</f>
        <v>7417.3323595380625</v>
      </c>
      <c r="Z8" s="10">
        <f>BP!N124/Z1</f>
        <v>3850.7188914838234</v>
      </c>
      <c r="AA8" s="10">
        <f>BP!O124/AA1</f>
        <v>5583.6617537484699</v>
      </c>
      <c r="AB8" s="10">
        <f>BP!P124/AB1</f>
        <v>3556.445980971132</v>
      </c>
      <c r="AC8" s="39">
        <f>AVERAGE(Q8:AB8)</f>
        <v>4829.4533109717731</v>
      </c>
      <c r="AD8" s="39"/>
      <c r="AE8" s="1448"/>
      <c r="AF8" s="1448"/>
      <c r="AG8" s="1448"/>
      <c r="AH8" s="1448"/>
      <c r="AI8" s="1448"/>
      <c r="AJ8" s="1448"/>
      <c r="AK8" s="1448"/>
      <c r="AL8" s="1448"/>
      <c r="AM8" s="1448"/>
      <c r="AN8" s="1448"/>
      <c r="AO8" s="1448"/>
      <c r="AP8" s="1448"/>
      <c r="AS8" s="19">
        <f>('Production 2nd'!D11*1000)/DAY(EOMONTH(AS$2,0))</f>
        <v>3905.7415267192123</v>
      </c>
      <c r="AT8" s="19">
        <f>('Production 2nd'!E11*1000)/DAY(EOMONTH(AT$2,0))</f>
        <v>3715.060265843485</v>
      </c>
      <c r="AU8" s="19">
        <f>('Production 2nd'!F11*1000)/DAY(EOMONTH(AU$2,0))</f>
        <v>4211.4668743681514</v>
      </c>
      <c r="AV8" s="19">
        <f>('Production 2nd'!G11*1000)/DAY(EOMONTH(AV$2,0))</f>
        <v>3860.9518727867039</v>
      </c>
      <c r="AW8" s="19">
        <f>('Production 2nd'!H11*1000)/DAY(EOMONTH(AW$2,0))</f>
        <v>3633.3318286962608</v>
      </c>
      <c r="AX8" s="19">
        <f>('Production 2nd'!I11*1000)/DAY(EOMONTH(AX$2,0))</f>
        <v>3860.9242729680027</v>
      </c>
      <c r="AY8" s="19">
        <f>('Production 2nd'!J11*1000)/DAY(EOMONTH(AY$2,0))</f>
        <v>4061.6698237820988</v>
      </c>
      <c r="AZ8" s="19">
        <f>('Production 2nd'!K11*1000)/DAY(EOMONTH(AZ$2,0))</f>
        <v>4460.8063147980929</v>
      </c>
      <c r="BA8" s="19">
        <f>('Production 2nd'!L11*1000)/DAY(EOMONTH(BA$2,0))</f>
        <v>4460.7717156926919</v>
      </c>
      <c r="BB8" s="19">
        <f>('Production 2nd'!M11*1000)/DAY(EOMONTH(BB$2,0))</f>
        <v>3536.1082592073371</v>
      </c>
      <c r="BC8" s="19">
        <f>('Production 2nd'!N11*1000)/DAY(EOMONTH(BC$2,0))</f>
        <v>3756.7512535163469</v>
      </c>
      <c r="BD8" s="19">
        <f>('Production 2nd'!O11*1000)/DAY(EOMONTH(BD$2,0))</f>
        <v>3646.4271193379636</v>
      </c>
    </row>
    <row r="9" spans="1:57">
      <c r="A9" s="340"/>
      <c r="B9" s="45" t="s">
        <v>256</v>
      </c>
      <c r="C9" s="10"/>
      <c r="D9" s="650"/>
      <c r="E9" s="650"/>
      <c r="F9" s="650"/>
      <c r="G9" s="650"/>
      <c r="H9" s="650"/>
      <c r="I9" s="650"/>
      <c r="J9" s="650"/>
      <c r="K9" s="650"/>
      <c r="L9" s="650"/>
      <c r="M9" s="650"/>
      <c r="N9" s="650"/>
      <c r="O9" s="650"/>
      <c r="P9" s="40"/>
      <c r="Q9" s="10">
        <f>BP!E145/Q1</f>
        <v>5622.564964599731</v>
      </c>
      <c r="R9" s="10">
        <f>BP!F145/R1</f>
        <v>6890.4034571148713</v>
      </c>
      <c r="S9" s="10">
        <f>BP!G145/S1</f>
        <v>7301.7361695315067</v>
      </c>
      <c r="T9" s="10">
        <f>BP!H145/T1</f>
        <v>6087.6181532175024</v>
      </c>
      <c r="U9" s="10">
        <f>BP!I145/U1</f>
        <v>7138.41850740468</v>
      </c>
      <c r="V9" s="10">
        <f>BP!J145/V1</f>
        <v>6981.954758677788</v>
      </c>
      <c r="W9" s="10">
        <f>BP!K145/28</f>
        <v>8056.8771578203468</v>
      </c>
      <c r="X9" s="10">
        <f>BP!L145/X1</f>
        <v>8173.2848880736401</v>
      </c>
      <c r="Y9" s="10">
        <f>BP!M145/30</f>
        <v>12103.023983036295</v>
      </c>
      <c r="Z9" s="10">
        <f>BP!N145/Z1</f>
        <v>6657.2644062060244</v>
      </c>
      <c r="AA9" s="10">
        <f>BP!O145/AA1</f>
        <v>7963.8524180259901</v>
      </c>
      <c r="AB9" s="10">
        <f>BP!P145/AB1</f>
        <v>5910.8985164476026</v>
      </c>
      <c r="AC9" s="39">
        <f t="shared" ref="AC9:AC12" si="5">AVERAGE(Q9:AB9)</f>
        <v>7407.3247816796656</v>
      </c>
      <c r="AD9" s="39"/>
      <c r="AE9" s="1448"/>
      <c r="AF9" s="1448"/>
      <c r="AG9" s="1448"/>
      <c r="AH9" s="1448"/>
      <c r="AI9" s="1448"/>
      <c r="AJ9" s="1448"/>
      <c r="AK9" s="1448"/>
      <c r="AL9" s="1448"/>
      <c r="AM9" s="1448"/>
      <c r="AN9" s="1448"/>
      <c r="AO9" s="1448"/>
      <c r="AP9" s="1448"/>
      <c r="AS9" s="19">
        <f>('Production 2nd'!D14*1000)/DAY(EOMONTH(AS$2,0))</f>
        <v>5496.8446133449906</v>
      </c>
      <c r="AT9" s="19">
        <f>('Production 2nd'!E14*1000)/DAY(EOMONTH(AT$2,0))</f>
        <v>5279.9086524042541</v>
      </c>
      <c r="AU9" s="19">
        <f>('Production 2nd'!F14*1000)/DAY(EOMONTH(AU$2,0))</f>
        <v>5993.7059732680691</v>
      </c>
      <c r="AV9" s="19">
        <f>('Production 2nd'!G14*1000)/DAY(EOMONTH(AV$2,0))</f>
        <v>5523.599708672009</v>
      </c>
      <c r="AW9" s="19">
        <f>('Production 2nd'!H14*1000)/DAY(EOMONTH(AW$2,0))</f>
        <v>5194.9642506091323</v>
      </c>
      <c r="AX9" s="19">
        <f>('Production 2nd'!I14*1000)/DAY(EOMONTH(AX$2,0))</f>
        <v>5523.5442102056222</v>
      </c>
      <c r="AY9" s="19">
        <f>('Production 2nd'!J14*1000)/DAY(EOMONTH(AY$2,0))</f>
        <v>5663.6754280115538</v>
      </c>
      <c r="AZ9" s="19">
        <f>('Production 2nd'!K14*1000)/DAY(EOMONTH(AZ$2,0))</f>
        <v>6223.1386906341095</v>
      </c>
      <c r="BA9" s="19">
        <f>('Production 2nd'!L14*1000)/DAY(EOMONTH(BA$2,0))</f>
        <v>6223.0699711649895</v>
      </c>
      <c r="BB9" s="19">
        <f>('Production 2nd'!M14*1000)/DAY(EOMONTH(BB$2,0))</f>
        <v>5191.7537117277789</v>
      </c>
      <c r="BC9" s="19">
        <f>('Production 2nd'!N14*1000)/DAY(EOMONTH(BC$2,0))</f>
        <v>5518.0356739866138</v>
      </c>
      <c r="BD9" s="19">
        <f>('Production 2nd'!O14*1000)/DAY(EOMONTH(BD$2,0))</f>
        <v>5354.8480494740952</v>
      </c>
    </row>
    <row r="10" spans="1:57">
      <c r="A10" s="340"/>
      <c r="B10" s="45" t="s">
        <v>321</v>
      </c>
      <c r="C10" s="10"/>
      <c r="D10" s="650"/>
      <c r="E10" s="650"/>
      <c r="F10" s="650"/>
      <c r="G10" s="650"/>
      <c r="H10" s="650"/>
      <c r="I10" s="650"/>
      <c r="J10" s="650"/>
      <c r="K10" s="650"/>
      <c r="L10" s="650"/>
      <c r="M10" s="650"/>
      <c r="N10" s="650"/>
      <c r="O10" s="650"/>
      <c r="P10" s="40"/>
      <c r="Q10" s="10">
        <f>BP!E135/Q1</f>
        <v>2404.3433584891382</v>
      </c>
      <c r="R10" s="10">
        <f>BP!F135/R1</f>
        <v>2570.3540583544168</v>
      </c>
      <c r="S10" s="10">
        <f>BP!G135/S1</f>
        <v>2439.7190704652007</v>
      </c>
      <c r="T10" s="10">
        <f>BP!H135/T1</f>
        <v>2669.1589874852198</v>
      </c>
      <c r="U10" s="10">
        <f>BP!I135/U1</f>
        <v>2282.0684442240977</v>
      </c>
      <c r="V10" s="10">
        <f>BP!J135/V1</f>
        <v>2450.1421627286522</v>
      </c>
      <c r="W10" s="10">
        <f>BP!K135/28</f>
        <v>2798.9847102998397</v>
      </c>
      <c r="X10" s="10">
        <f>BP!L135/X1</f>
        <v>1092.8065184737245</v>
      </c>
      <c r="Y10" s="10">
        <f>BP!M135/30</f>
        <v>4685.6916234982345</v>
      </c>
      <c r="Z10" s="10">
        <f>BP!N135/Z1</f>
        <v>2806.5455147222001</v>
      </c>
      <c r="AA10" s="10">
        <f>BP!O135/AA1</f>
        <v>2380.1906642775202</v>
      </c>
      <c r="AB10" s="10">
        <f>BP!P135/AB1</f>
        <v>2354.4525354764696</v>
      </c>
      <c r="AC10" s="39">
        <f t="shared" si="5"/>
        <v>2577.871470707893</v>
      </c>
      <c r="AD10" s="39"/>
      <c r="AE10" s="1448"/>
      <c r="AF10" s="1448"/>
      <c r="AG10" s="1448"/>
      <c r="AH10" s="1448"/>
      <c r="AI10" s="1448"/>
      <c r="AJ10" s="1448"/>
      <c r="AK10" s="1448"/>
      <c r="AL10" s="1448"/>
      <c r="AM10" s="1448"/>
      <c r="AN10" s="1448"/>
      <c r="AO10" s="1448"/>
      <c r="AP10" s="1448"/>
      <c r="AS10" s="19">
        <f>('Production 2nd'!D12*1000)/DAY(EOMONTH(AS$2,0))</f>
        <v>1747.7719260119202</v>
      </c>
      <c r="AT10" s="19">
        <f>('Production 2nd'!E12*1000)/DAY(EOMONTH(AT$2,0))</f>
        <v>1754.8963684370867</v>
      </c>
      <c r="AU10" s="19">
        <f>('Production 2nd'!F12*1000)/DAY(EOMONTH(AU$2,0))</f>
        <v>1972.944134793486</v>
      </c>
      <c r="AV10" s="19">
        <f>('Production 2nd'!G12*1000)/DAY(EOMONTH(AV$2,0))</f>
        <v>1850.7942330816838</v>
      </c>
      <c r="AW10" s="19">
        <f>('Production 2nd'!H12*1000)/DAY(EOMONTH(AW$2,0))</f>
        <v>1749.4735043934511</v>
      </c>
      <c r="AX10" s="19">
        <f>('Production 2nd'!I12*1000)/DAY(EOMONTH(AX$2,0))</f>
        <v>1850.7662501115415</v>
      </c>
      <c r="AY10" s="19">
        <f>('Production 2nd'!J12*1000)/DAY(EOMONTH(AY$2,0))</f>
        <v>1781.3471833335109</v>
      </c>
      <c r="AZ10" s="19">
        <f>('Production 2nd'!K12*1000)/DAY(EOMONTH(AZ$2,0))</f>
        <v>1942.1585356667433</v>
      </c>
      <c r="BA10" s="19">
        <f>('Production 2nd'!L12*1000)/DAY(EOMONTH(BA$2,0))</f>
        <v>1942.1243121757018</v>
      </c>
      <c r="BB10" s="19">
        <f>('Production 2nd'!M12*1000)/DAY(EOMONTH(BB$2,0))</f>
        <v>1769.993164819959</v>
      </c>
      <c r="BC10" s="19">
        <f>('Production 2nd'!N12*1000)/DAY(EOMONTH(BC$2,0))</f>
        <v>1875.9514219773262</v>
      </c>
      <c r="BD10" s="19">
        <f>('Production 2nd'!O12*1000)/DAY(EOMONTH(BD$2,0))</f>
        <v>1822.928154032106</v>
      </c>
    </row>
    <row r="11" spans="1:57">
      <c r="A11" s="340" t="s">
        <v>668</v>
      </c>
      <c r="B11" s="45" t="str">
        <f>'Sectionwise Working'!A65</f>
        <v>6. Cabling</v>
      </c>
      <c r="C11" s="397">
        <f>AVERAGEIF('Sectionwise Working'!A:A,'Monthly HC &amp; Prodn Working'!B11,'Sectionwise Working'!I:I)</f>
        <v>39644.342969220605</v>
      </c>
      <c r="D11" s="249">
        <f>'Sectionwise Working'!T64</f>
        <v>69</v>
      </c>
      <c r="E11" s="249">
        <f>'Sectionwise Working'!T65</f>
        <v>63</v>
      </c>
      <c r="F11" s="249">
        <f>'Sectionwise Working'!T66</f>
        <v>59</v>
      </c>
      <c r="G11" s="249">
        <f>'Sectionwise Working'!T67</f>
        <v>62</v>
      </c>
      <c r="H11" s="249">
        <f>'Sectionwise Working'!T68</f>
        <v>68</v>
      </c>
      <c r="I11" s="249">
        <f>'Sectionwise Working'!T69</f>
        <v>69</v>
      </c>
      <c r="J11" s="249">
        <f>'Sectionwise Working'!T70</f>
        <v>61</v>
      </c>
      <c r="K11" s="249">
        <f>'Sectionwise Working'!T71</f>
        <v>58</v>
      </c>
      <c r="L11" s="249">
        <f>'Sectionwise Working'!T72</f>
        <v>67</v>
      </c>
      <c r="M11" s="249">
        <f>'Sectionwise Working'!T73</f>
        <v>66</v>
      </c>
      <c r="N11" s="249">
        <f>'Sectionwise Working'!T74</f>
        <v>68</v>
      </c>
      <c r="O11" s="249">
        <f>'Sectionwise Working'!T75</f>
        <v>60</v>
      </c>
      <c r="P11" s="40">
        <f t="shared" ref="P11:P16" si="6">AVERAGE(D11:O11)</f>
        <v>64.166666666666671</v>
      </c>
      <c r="Q11" s="10">
        <f>'Sectionwise Working'!J64</f>
        <v>41292.948564621576</v>
      </c>
      <c r="R11" s="10">
        <f>'Sectionwise Working'!J65</f>
        <v>34846.488560269885</v>
      </c>
      <c r="S11" s="10">
        <f>'Sectionwise Working'!J66</f>
        <v>32022.756126797543</v>
      </c>
      <c r="T11" s="10">
        <f>'Sectionwise Working'!J67</f>
        <v>34633.558317913623</v>
      </c>
      <c r="U11" s="10">
        <f>'Sectionwise Working'!J68</f>
        <v>38506.101631586273</v>
      </c>
      <c r="V11" s="10">
        <f>'Sectionwise Working'!J69</f>
        <v>39007.07849021069</v>
      </c>
      <c r="W11" s="10">
        <f>'Sectionwise Working'!J70</f>
        <v>34028.047628986453</v>
      </c>
      <c r="X11" s="10">
        <f>'Sectionwise Working'!J71</f>
        <v>31353.977283563971</v>
      </c>
      <c r="Y11" s="10">
        <f>'Sectionwise Working'!J72</f>
        <v>37743.215570490967</v>
      </c>
      <c r="Z11" s="10">
        <f>'Sectionwise Working'!J73</f>
        <v>37545.075372272251</v>
      </c>
      <c r="AA11" s="10">
        <f>'Sectionwise Working'!J74</f>
        <v>38907.620069402488</v>
      </c>
      <c r="AB11" s="10">
        <f>'Sectionwise Working'!J75</f>
        <v>33353.913769647988</v>
      </c>
      <c r="AC11" s="39">
        <f t="shared" si="5"/>
        <v>36103.398448813641</v>
      </c>
      <c r="AD11" s="39"/>
      <c r="AE11" s="1448"/>
      <c r="AF11" s="1448"/>
      <c r="AG11" s="1448"/>
      <c r="AH11" s="1448"/>
      <c r="AI11" s="1448"/>
      <c r="AJ11" s="1448"/>
      <c r="AK11" s="1448"/>
      <c r="AL11" s="1448"/>
      <c r="AM11" s="1448"/>
      <c r="AN11" s="1448"/>
      <c r="AO11" s="1448"/>
      <c r="AP11" s="1448"/>
      <c r="AS11" s="19">
        <f>('Production 2nd'!D4*1000)/DAY(EOMONTH(AS$2,0))</f>
        <v>23210.653035597581</v>
      </c>
      <c r="AT11" s="19">
        <f>('Production 2nd'!E4*1000)/DAY(EOMONTH(AT$2,0))</f>
        <v>23560.486135267169</v>
      </c>
      <c r="AU11" s="19">
        <f>('Production 2nd'!F4*1000)/DAY(EOMONTH(AU$2,0))</f>
        <v>27339.466563203514</v>
      </c>
      <c r="AV11" s="19">
        <f>('Production 2nd'!G4*1000)/DAY(EOMONTH(AV$2,0))</f>
        <v>27241.570018174676</v>
      </c>
      <c r="AW11" s="19">
        <f>('Production 2nd'!H4*1000)/DAY(EOMONTH(AW$2,0))</f>
        <v>26624.975395321228</v>
      </c>
      <c r="AX11" s="19">
        <f>('Production 2nd'!I4*1000)/DAY(EOMONTH(AX$2,0))</f>
        <v>32476.058113569507</v>
      </c>
      <c r="AY11" s="19">
        <f>('Production 2nd'!J4*1000)/DAY(EOMONTH(AY$2,0))</f>
        <v>28825.350481151614</v>
      </c>
      <c r="AZ11" s="19">
        <f>('Production 2nd'!K4*1000)/DAY(EOMONTH(AZ$2,0))</f>
        <v>32046.32639076846</v>
      </c>
      <c r="BA11" s="19">
        <f>('Production 2nd'!L4*1000)/DAY(EOMONTH(BA$2,0))</f>
        <v>30403.274507074118</v>
      </c>
      <c r="BB11" s="19">
        <f>('Production 2nd'!M4*1000)/DAY(EOMONTH(BB$2,0))</f>
        <v>30263.289591241555</v>
      </c>
      <c r="BC11" s="19">
        <f>('Production 2nd'!N4*1000)/DAY(EOMONTH(BC$2,0))</f>
        <v>33956.671793278685</v>
      </c>
      <c r="BD11" s="19">
        <f>('Production 2nd'!O4*1000)/DAY(EOMONTH(BD$2,0))</f>
        <v>33066.55024844224</v>
      </c>
    </row>
    <row r="12" spans="1:57">
      <c r="A12" s="340" t="s">
        <v>669</v>
      </c>
      <c r="B12" s="45" t="str">
        <f>'Sectionwise Working'!A80</f>
        <v>7. Heat Set</v>
      </c>
      <c r="C12" s="397">
        <f>AVERAGEIF('Sectionwise Working'!A:A,'Monthly HC &amp; Prodn Working'!B12,'Sectionwise Working'!I:I)</f>
        <v>22591.213136436654</v>
      </c>
      <c r="D12" s="249">
        <f>'Sectionwise Working'!T79</f>
        <v>64</v>
      </c>
      <c r="E12" s="249">
        <f>'Sectionwise Working'!T80</f>
        <v>60</v>
      </c>
      <c r="F12" s="249">
        <f>'Sectionwise Working'!T81</f>
        <v>57</v>
      </c>
      <c r="G12" s="249">
        <f>'Sectionwise Working'!T82</f>
        <v>59</v>
      </c>
      <c r="H12" s="249">
        <f>'Sectionwise Working'!T83</f>
        <v>64</v>
      </c>
      <c r="I12" s="94">
        <f>'Sectionwise Working'!T84</f>
        <v>63</v>
      </c>
      <c r="J12" s="249">
        <f>'Sectionwise Working'!T85</f>
        <v>55</v>
      </c>
      <c r="K12" s="249">
        <f>'Sectionwise Working'!T86</f>
        <v>56</v>
      </c>
      <c r="L12" s="249">
        <f>'Sectionwise Working'!T87</f>
        <v>64</v>
      </c>
      <c r="M12" s="249">
        <f>'Sectionwise Working'!T88</f>
        <v>58</v>
      </c>
      <c r="N12" s="249">
        <f>'Sectionwise Working'!T89</f>
        <v>63</v>
      </c>
      <c r="O12" s="249">
        <f>'Sectionwise Working'!T90</f>
        <v>56</v>
      </c>
      <c r="P12" s="40">
        <f t="shared" si="6"/>
        <v>59.916666666666664</v>
      </c>
      <c r="Q12" s="10">
        <f>'Sectionwise Working'!J79</f>
        <v>36944.505538265548</v>
      </c>
      <c r="R12" s="10">
        <f>'Sectionwise Working'!J80</f>
        <v>33161.583419790557</v>
      </c>
      <c r="S12" s="10">
        <f>'Sectionwise Working'!J81</f>
        <v>31323.721468184875</v>
      </c>
      <c r="T12" s="10">
        <f>'Sectionwise Working'!J82</f>
        <v>32311.931183481469</v>
      </c>
      <c r="U12" s="10">
        <f>'Sectionwise Working'!J83</f>
        <v>36469.040246453776</v>
      </c>
      <c r="V12" s="10">
        <f>'Sectionwise Working'!J84</f>
        <v>35212.370227201376</v>
      </c>
      <c r="W12" s="10">
        <f>'Sectionwise Working'!J85</f>
        <v>30108.678386115094</v>
      </c>
      <c r="X12" s="10">
        <f>'Sectionwise Working'!J86</f>
        <v>30671.38599439021</v>
      </c>
      <c r="Y12" s="10">
        <f>'Sectionwise Working'!J87</f>
        <v>39099.955871035221</v>
      </c>
      <c r="Z12" s="10">
        <f>'Sectionwise Working'!J88</f>
        <v>32022.662426409217</v>
      </c>
      <c r="AA12" s="10">
        <f>'Sectionwise Working'!J89</f>
        <v>35550.068739102797</v>
      </c>
      <c r="AB12" s="10">
        <f>'Sectionwise Working'!J90</f>
        <v>30369.831368822677</v>
      </c>
      <c r="AC12" s="39">
        <f t="shared" si="5"/>
        <v>33603.811239104398</v>
      </c>
      <c r="AD12" s="39"/>
      <c r="AE12" s="1448"/>
      <c r="AF12" s="1448"/>
      <c r="AG12" s="1448"/>
      <c r="AH12" s="1448"/>
      <c r="AI12" s="1448"/>
      <c r="AJ12" s="1448"/>
      <c r="AK12" s="1448"/>
      <c r="AL12" s="1448"/>
      <c r="AM12" s="1448"/>
      <c r="AN12" s="1448"/>
      <c r="AO12" s="1448"/>
      <c r="AP12" s="1448"/>
      <c r="AS12" s="19">
        <f>(('Production 2nd'!D6+'Production 2nd'!D7)*1000)/DAY(EOMONTH('Monthly HC &amp; Prodn Working'!AS2,0))</f>
        <v>26242.101246886676</v>
      </c>
      <c r="AT12" s="19">
        <f>(('Production 2nd'!E6+'Production 2nd'!E7)*1000)/DAY(EOMONTH('Monthly HC &amp; Prodn Working'!AT2,0))</f>
        <v>26479.540771968048</v>
      </c>
      <c r="AU12" s="19">
        <f>(('Production 2nd'!F6+'Production 2nd'!F7)*1000)/DAY(EOMONTH('Monthly HC &amp; Prodn Working'!AU2,0))</f>
        <v>30445.054218832269</v>
      </c>
      <c r="AV12" s="19">
        <f>(('Production 2nd'!G6+'Production 2nd'!G7)*1000)/DAY(EOMONTH('Monthly HC &amp; Prodn Working'!AV2,0))</f>
        <v>30862.070092178648</v>
      </c>
      <c r="AW12" s="19">
        <f>(('Production 2nd'!H6+'Production 2nd'!H7)*1000)/DAY(EOMONTH('Monthly HC &amp; Prodn Working'!AW2,0))</f>
        <v>29851.756160053374</v>
      </c>
      <c r="AX12" s="19">
        <f>(('Production 2nd'!I6+'Production 2nd'!I7)*1000)/DAY(EOMONTH('Monthly HC &amp; Prodn Working'!AX2,0))</f>
        <v>35278.35245368733</v>
      </c>
      <c r="AY12" s="19">
        <f>(('Production 2nd'!J6+'Production 2nd'!J7)*1000)/DAY(EOMONTH('Monthly HC &amp; Prodn Working'!AY2,0))</f>
        <v>30755.65371295068</v>
      </c>
      <c r="AZ12" s="19">
        <f>(('Production 2nd'!K6+'Production 2nd'!K7)*1000)/DAY(EOMONTH('Monthly HC &amp; Prodn Working'!AZ2,0))</f>
        <v>33736.41585461286</v>
      </c>
      <c r="BA12" s="19">
        <f>(('Production 2nd'!L6+'Production 2nd'!L7)*1000)/DAY(EOMONTH('Monthly HC &amp; Prodn Working'!BA2,0))</f>
        <v>32310.688443783369</v>
      </c>
      <c r="BB12" s="19">
        <f>(('Production 2nd'!M6+'Production 2nd'!M7)*1000)/DAY(EOMONTH('Monthly HC &amp; Prodn Working'!BB2,0))</f>
        <v>32315.890560848278</v>
      </c>
      <c r="BC12" s="19">
        <f>(('Production 2nd'!N6+'Production 2nd'!N7)*1000)/DAY(EOMONTH('Monthly HC &amp; Prodn Working'!BC2,0))</f>
        <v>35180.950402633243</v>
      </c>
      <c r="BD12" s="19">
        <f>(('Production 2nd'!O6+'Production 2nd'!O7)*1000)/DAY(EOMONTH('Monthly HC &amp; Prodn Working'!BD2,0))</f>
        <v>34399.622941822316</v>
      </c>
    </row>
    <row r="13" spans="1:57">
      <c r="A13" s="339" t="s">
        <v>672</v>
      </c>
      <c r="B13" s="45" t="str">
        <f>'Sectionwise Working'!A395</f>
        <v>Yarn Common</v>
      </c>
      <c r="C13" s="45"/>
      <c r="D13" s="648">
        <v>24</v>
      </c>
      <c r="E13" s="648">
        <v>24</v>
      </c>
      <c r="F13" s="648">
        <v>24</v>
      </c>
      <c r="G13" s="648">
        <v>24</v>
      </c>
      <c r="H13" s="648">
        <v>24</v>
      </c>
      <c r="I13" s="648">
        <v>24</v>
      </c>
      <c r="J13" s="648">
        <v>24</v>
      </c>
      <c r="K13" s="648">
        <v>24</v>
      </c>
      <c r="L13" s="648">
        <v>24</v>
      </c>
      <c r="M13" s="648">
        <v>24</v>
      </c>
      <c r="N13" s="648">
        <v>24</v>
      </c>
      <c r="O13" s="648">
        <v>24</v>
      </c>
      <c r="P13" s="40">
        <f t="shared" si="6"/>
        <v>24</v>
      </c>
      <c r="Q13" s="10"/>
      <c r="R13" s="10"/>
      <c r="S13" s="10"/>
      <c r="T13" s="10"/>
      <c r="U13" s="10"/>
      <c r="V13" s="10"/>
      <c r="W13" s="10"/>
      <c r="X13" s="10"/>
      <c r="Y13" s="10"/>
      <c r="Z13" s="10"/>
      <c r="AA13" s="10"/>
      <c r="AB13" s="10"/>
      <c r="AC13" s="39"/>
      <c r="AD13" s="39"/>
      <c r="AE13" s="1448"/>
      <c r="AF13" s="1448"/>
      <c r="AG13" s="1448"/>
      <c r="AH13" s="1448"/>
      <c r="AI13" s="1448"/>
      <c r="AJ13" s="1448"/>
      <c r="AK13" s="1448"/>
      <c r="AL13" s="1448"/>
      <c r="AM13" s="1448"/>
      <c r="AN13" s="1448"/>
      <c r="AO13" s="1448"/>
      <c r="AP13" s="1448"/>
    </row>
    <row r="14" spans="1:57">
      <c r="A14" s="339" t="s">
        <v>672</v>
      </c>
      <c r="B14" s="45" t="str">
        <f>'Sectionwise Working'!A396</f>
        <v>Master Batch</v>
      </c>
      <c r="C14" s="45"/>
      <c r="D14" s="648">
        <v>31</v>
      </c>
      <c r="E14" s="861">
        <v>31</v>
      </c>
      <c r="F14" s="861">
        <v>31</v>
      </c>
      <c r="G14" s="861">
        <v>31</v>
      </c>
      <c r="H14" s="861">
        <v>31</v>
      </c>
      <c r="I14" s="861">
        <v>31</v>
      </c>
      <c r="J14" s="861">
        <v>31</v>
      </c>
      <c r="K14" s="861">
        <v>31</v>
      </c>
      <c r="L14" s="861">
        <v>31</v>
      </c>
      <c r="M14" s="861">
        <v>31</v>
      </c>
      <c r="N14" s="861">
        <v>31</v>
      </c>
      <c r="O14" s="861">
        <v>31</v>
      </c>
      <c r="P14" s="40">
        <f t="shared" si="6"/>
        <v>31</v>
      </c>
      <c r="Q14" s="10"/>
      <c r="R14" s="10"/>
      <c r="S14" s="10"/>
      <c r="T14" s="10"/>
      <c r="U14" s="10"/>
      <c r="V14" s="10"/>
      <c r="W14" s="10"/>
      <c r="X14" s="10"/>
      <c r="Y14" s="10"/>
      <c r="Z14" s="10"/>
      <c r="AA14" s="10"/>
      <c r="AB14" s="10"/>
      <c r="AC14" s="39"/>
      <c r="AD14" s="39"/>
      <c r="AE14" s="1448"/>
      <c r="AF14" s="1448"/>
      <c r="AG14" s="1448"/>
      <c r="AH14" s="1448"/>
      <c r="AI14" s="1448"/>
      <c r="AJ14" s="1448"/>
      <c r="AK14" s="1448"/>
      <c r="AL14" s="1448"/>
      <c r="AM14" s="1448"/>
      <c r="AN14" s="1448"/>
      <c r="AO14" s="1448"/>
      <c r="AP14" s="1448"/>
      <c r="AS14" s="19">
        <f>('Production 2nd'!D5*1000)/DAY(EOMONTH(AS$2,0))</f>
        <v>925.75965476880299</v>
      </c>
      <c r="AT14" s="19">
        <f>('Production 2nd'!E5*1000)/DAY(EOMONTH(AT$2,0))</f>
        <v>937.66358926631938</v>
      </c>
      <c r="AU14" s="19">
        <f>('Production 2nd'!F5*1000)/DAY(EOMONTH(AU$2,0))</f>
        <v>1079.3908617703742</v>
      </c>
      <c r="AV14" s="19">
        <f>('Production 2nd'!G5*1000)/DAY(EOMONTH(AV$2,0))</f>
        <v>1067.4717966658357</v>
      </c>
      <c r="AW14" s="19">
        <f>('Production 2nd'!H5*1000)/DAY(EOMONTH(AW$2,0))</f>
        <v>1041.9899487363534</v>
      </c>
      <c r="AX14" s="19">
        <f>('Production 2nd'!I5*1000)/DAY(EOMONTH(AX$2,0))</f>
        <v>1275.4929250327971</v>
      </c>
      <c r="AY14" s="19">
        <f>('Production 2nd'!J5*1000)/DAY(EOMONTH(AY$2,0))</f>
        <v>1090.6956414370302</v>
      </c>
      <c r="AZ14" s="19">
        <f>('Production 2nd'!K5*1000)/DAY(EOMONTH(AZ$2,0))</f>
        <v>1203.9975914599797</v>
      </c>
      <c r="BA14" s="19">
        <f>('Production 2nd'!L5*1000)/DAY(EOMONTH(BA$2,0))</f>
        <v>1163.9142546345897</v>
      </c>
      <c r="BB14" s="19">
        <f>('Production 2nd'!M5*1000)/DAY(EOMONTH(BB$2,0))</f>
        <v>1156.2851938672991</v>
      </c>
      <c r="BC14" s="19">
        <f>('Production 2nd'!N5*1000)/DAY(EOMONTH(BC$2,0))</f>
        <v>1302.7433728089177</v>
      </c>
      <c r="BD14" s="19">
        <f>('Production 2nd'!O5*1000)/DAY(EOMONTH(BD$2,0))</f>
        <v>1247.0144494733502</v>
      </c>
    </row>
    <row r="15" spans="1:57">
      <c r="A15" s="340" t="s">
        <v>673</v>
      </c>
      <c r="B15" s="45" t="str">
        <f>'Sectionwise Working'!B123</f>
        <v>8. Tufting</v>
      </c>
      <c r="C15" s="397">
        <f>AVERAGEIF('Sectionwise Working'!B:B,'Monthly HC &amp; Prodn Working'!B15,'Sectionwise Working'!I:I)</f>
        <v>63821.499910078041</v>
      </c>
      <c r="D15" s="249">
        <f>'Sectionwise Working'!T107</f>
        <v>167.5</v>
      </c>
      <c r="E15" s="249">
        <f>'Sectionwise Working'!T108</f>
        <v>165</v>
      </c>
      <c r="F15" s="249">
        <f>'Sectionwise Working'!T109</f>
        <v>157.5</v>
      </c>
      <c r="G15" s="249">
        <f>'Sectionwise Working'!T110</f>
        <v>162.5</v>
      </c>
      <c r="H15" s="249">
        <f>'Sectionwise Working'!T111</f>
        <v>162.5</v>
      </c>
      <c r="I15" s="249">
        <f>'Sectionwise Working'!T112</f>
        <v>167.5</v>
      </c>
      <c r="J15" s="249">
        <f>'Sectionwise Working'!T113</f>
        <v>162.5</v>
      </c>
      <c r="K15" s="249">
        <f>'Sectionwise Working'!T114</f>
        <v>160</v>
      </c>
      <c r="L15" s="249">
        <f>'Sectionwise Working'!T115</f>
        <v>170</v>
      </c>
      <c r="M15" s="249">
        <f>'Sectionwise Working'!T116</f>
        <v>170</v>
      </c>
      <c r="N15" s="249">
        <f>'Sectionwise Working'!T117</f>
        <v>170</v>
      </c>
      <c r="O15" s="249">
        <f>'Sectionwise Working'!T118</f>
        <v>165</v>
      </c>
      <c r="P15" s="40">
        <f t="shared" si="6"/>
        <v>165</v>
      </c>
      <c r="Q15" s="10">
        <f>'Sectionwise Working'!J107</f>
        <v>52035.401610658977</v>
      </c>
      <c r="R15" s="10">
        <f>'Sectionwise Working'!J108</f>
        <v>45259.705235970294</v>
      </c>
      <c r="S15" s="10">
        <f>'Sectionwise Working'!J109</f>
        <v>41963.46711804418</v>
      </c>
      <c r="T15" s="10">
        <f>'Sectionwise Working'!J110</f>
        <v>45149.462615836208</v>
      </c>
      <c r="U15" s="10">
        <f>'Sectionwise Working'!J111</f>
        <v>55734.102763651492</v>
      </c>
      <c r="V15" s="10">
        <f>'Sectionwise Working'!J112</f>
        <v>48188.250467753955</v>
      </c>
      <c r="W15" s="10">
        <f>'Sectionwise Working'!J113</f>
        <v>45314.78605616017</v>
      </c>
      <c r="X15" s="10">
        <f>'Sectionwise Working'!J114</f>
        <v>39960.989807301987</v>
      </c>
      <c r="Y15" s="10">
        <f>'Sectionwise Working'!J115</f>
        <v>44315.176480305301</v>
      </c>
      <c r="Z15" s="10">
        <f>'Sectionwise Working'!J116</f>
        <v>44457.686927837909</v>
      </c>
      <c r="AA15" s="10">
        <f>'Sectionwise Working'!J117</f>
        <v>48053.759492729456</v>
      </c>
      <c r="AB15" s="10">
        <f>'Sectionwise Working'!J118</f>
        <v>43018.721668305654</v>
      </c>
      <c r="AC15" s="39">
        <f t="shared" ref="AC15:AC20" si="7">AVERAGE(Q15:AB15)</f>
        <v>46120.959187046297</v>
      </c>
      <c r="AD15" s="39"/>
      <c r="AE15" s="249">
        <f>Q15/D15</f>
        <v>310.65911409348644</v>
      </c>
      <c r="AF15" s="249">
        <f>R15/E15</f>
        <v>274.3012438543654</v>
      </c>
      <c r="AG15" s="249">
        <f>S15/F15</f>
        <v>266.43471186059799</v>
      </c>
      <c r="AH15" s="249">
        <f>T15/G15</f>
        <v>277.84284686668434</v>
      </c>
      <c r="AI15" s="249">
        <f t="shared" ref="AI15:AP15" si="8">U15/H15</f>
        <v>342.979093930163</v>
      </c>
      <c r="AJ15" s="249">
        <f t="shared" si="8"/>
        <v>287.69104756868035</v>
      </c>
      <c r="AK15" s="249">
        <f t="shared" si="8"/>
        <v>278.86022188406258</v>
      </c>
      <c r="AL15" s="249">
        <f t="shared" si="8"/>
        <v>249.75618629563741</v>
      </c>
      <c r="AM15" s="249">
        <f t="shared" si="8"/>
        <v>260.67750870767821</v>
      </c>
      <c r="AN15" s="249">
        <f t="shared" si="8"/>
        <v>261.51580545787004</v>
      </c>
      <c r="AO15" s="249">
        <f t="shared" si="8"/>
        <v>282.66917348664384</v>
      </c>
      <c r="AP15" s="249">
        <f t="shared" si="8"/>
        <v>260.71952526245849</v>
      </c>
      <c r="AS15" s="19">
        <f>('Production 2nd'!D20)/DAY(EOMONTH(AS$2,0))</f>
        <v>31667.161936601064</v>
      </c>
      <c r="AT15" s="19">
        <f>('Production 2nd'!E20)/DAY(EOMONTH(AT$2,0))</f>
        <v>33713.359295982809</v>
      </c>
      <c r="AU15" s="19">
        <f>('Production 2nd'!F20)/DAY(EOMONTH(AU$2,0))</f>
        <v>38270.657601091618</v>
      </c>
      <c r="AV15" s="19">
        <f>('Production 2nd'!G20)/DAY(EOMONTH(AV$2,0))</f>
        <v>37031.96265740024</v>
      </c>
      <c r="AW15" s="19">
        <f>('Production 2nd'!H20)/DAY(EOMONTH(AW$2,0))</f>
        <v>36099.188174531759</v>
      </c>
      <c r="AX15" s="19">
        <f>('Production 2nd'!I20)/DAY(EOMONTH(AX$2,0))</f>
        <v>42374.633651317497</v>
      </c>
      <c r="AY15" s="19">
        <f>('Production 2nd'!J20)/DAY(EOMONTH(AY$2,0))</f>
        <v>38103.355494272575</v>
      </c>
      <c r="AZ15" s="19">
        <f>('Production 2nd'!K20)/DAY(EOMONTH(AZ$2,0))</f>
        <v>41214.721838188641</v>
      </c>
      <c r="BA15" s="19">
        <f>('Production 2nd'!L20)/DAY(EOMONTH(BA$2,0))</f>
        <v>40889.117992747626</v>
      </c>
      <c r="BB15" s="19">
        <f>('Production 2nd'!M20)/DAY(EOMONTH(BB$2,0))</f>
        <v>41269.323123038783</v>
      </c>
      <c r="BC15" s="19">
        <f>('Production 2nd'!N20)/DAY(EOMONTH(BC$2,0))</f>
        <v>46142.82571894041</v>
      </c>
      <c r="BD15" s="19">
        <f>('Production 2nd'!O20)/DAY(EOMONTH(BD$2,0))</f>
        <v>43597.518572652792</v>
      </c>
    </row>
    <row r="16" spans="1:57">
      <c r="A16" s="341" t="s">
        <v>672</v>
      </c>
      <c r="B16" s="45" t="str">
        <f>'Sectionwise Working'!B139</f>
        <v>9.1 Printing - Chromojet</v>
      </c>
      <c r="C16" s="10">
        <f>AVERAGEIF('Sectionwise Working'!B:B,'Monthly HC &amp; Prodn Working'!B16,'Sectionwise Working'!I:I)</f>
        <v>3314.4422400000003</v>
      </c>
      <c r="D16" s="648">
        <f>'Sectionwise Working'!AT139</f>
        <v>42</v>
      </c>
      <c r="E16" s="648">
        <f>'Sectionwise Working'!AT140</f>
        <v>42</v>
      </c>
      <c r="F16" s="648">
        <f>'Sectionwise Working'!AT141</f>
        <v>42</v>
      </c>
      <c r="G16" s="648">
        <f>'Sectionwise Working'!AT142</f>
        <v>48</v>
      </c>
      <c r="H16" s="648">
        <f>'Sectionwise Working'!AT143</f>
        <v>54</v>
      </c>
      <c r="I16" s="648">
        <f>'Sectionwise Working'!AT144</f>
        <v>48</v>
      </c>
      <c r="J16" s="648">
        <f>'Sectionwise Working'!AT145</f>
        <v>48</v>
      </c>
      <c r="K16" s="648">
        <f>'Sectionwise Working'!AT146</f>
        <v>48</v>
      </c>
      <c r="L16" s="648">
        <f>'Sectionwise Working'!AT147</f>
        <v>54</v>
      </c>
      <c r="M16" s="648">
        <f>'Sectionwise Working'!AT148</f>
        <v>54</v>
      </c>
      <c r="N16" s="648">
        <f>'Sectionwise Working'!AT149</f>
        <v>54</v>
      </c>
      <c r="O16" s="648">
        <f>'Sectionwise Working'!AT150</f>
        <v>48</v>
      </c>
      <c r="P16" s="40">
        <f t="shared" si="6"/>
        <v>48.5</v>
      </c>
      <c r="Q16" s="10">
        <f>'Sectionwise Working'!J139</f>
        <v>3741.7637127995558</v>
      </c>
      <c r="R16" s="10">
        <f>'Sectionwise Working'!J140</f>
        <v>5344.9177693834981</v>
      </c>
      <c r="S16" s="10">
        <f>'Sectionwise Working'!J141</f>
        <v>3803.4603111559059</v>
      </c>
      <c r="T16" s="10">
        <f>'Sectionwise Working'!J142</f>
        <v>4207.6172253198538</v>
      </c>
      <c r="U16" s="10">
        <f>'Sectionwise Working'!J143</f>
        <v>3706.956053581232</v>
      </c>
      <c r="V16" s="10">
        <f>'Sectionwise Working'!J144</f>
        <v>4102.8094415862224</v>
      </c>
      <c r="W16" s="10">
        <f>'Sectionwise Working'!J145</f>
        <v>3534.5520076242337</v>
      </c>
      <c r="X16" s="10">
        <f>'Sectionwise Working'!J146</f>
        <v>4363.4885856845258</v>
      </c>
      <c r="Y16" s="10">
        <f>'Sectionwise Working'!J147</f>
        <v>5239.3986324082889</v>
      </c>
      <c r="Z16" s="10">
        <f>'Sectionwise Working'!J148</f>
        <v>5357.3058326215059</v>
      </c>
      <c r="AA16" s="10">
        <f>'Sectionwise Working'!J149</f>
        <v>6099.9454000023816</v>
      </c>
      <c r="AB16" s="10">
        <f>'Sectionwise Working'!J150</f>
        <v>6795.0093290344075</v>
      </c>
      <c r="AC16" s="39">
        <f t="shared" si="7"/>
        <v>4691.4353584334676</v>
      </c>
      <c r="AD16" s="39"/>
      <c r="AE16" s="1448">
        <f>(Q16+Q17)/D16</f>
        <v>108.75341741586243</v>
      </c>
      <c r="AF16" s="1448">
        <f>(R16+R17)/E16</f>
        <v>140.55675839161938</v>
      </c>
      <c r="AG16" s="1448">
        <f>(S16+S17)/F16</f>
        <v>104.81102644815648</v>
      </c>
      <c r="AH16" s="1448">
        <f>(T16+T17)/G16</f>
        <v>108.66023160276576</v>
      </c>
      <c r="AI16" s="1448">
        <f t="shared" ref="AI16:AP16" si="9">(U16+U17)/H16</f>
        <v>103.59458396118171</v>
      </c>
      <c r="AJ16" s="1448">
        <f t="shared" si="9"/>
        <v>106.03943281082407</v>
      </c>
      <c r="AK16" s="1448">
        <f t="shared" si="9"/>
        <v>103.7473872556124</v>
      </c>
      <c r="AL16" s="1448">
        <f t="shared" si="9"/>
        <v>119.7317066462054</v>
      </c>
      <c r="AM16" s="1448">
        <f t="shared" si="9"/>
        <v>135.60998363480104</v>
      </c>
      <c r="AN16" s="1448">
        <f t="shared" si="9"/>
        <v>158.49837850971724</v>
      </c>
      <c r="AO16" s="1448">
        <f t="shared" si="9"/>
        <v>147.05685925930337</v>
      </c>
      <c r="AP16" s="1448">
        <f t="shared" si="9"/>
        <v>165.75523467746413</v>
      </c>
      <c r="AS16" s="19">
        <f>('Production 2nd'!D37)/DAY(EOMONTH(AS$2,0))</f>
        <v>1793.0669501379957</v>
      </c>
      <c r="AT16" s="19">
        <f>('Production 2nd'!E37)/DAY(EOMONTH(AT$2,0))</f>
        <v>1787.8822379729613</v>
      </c>
      <c r="AU16" s="19">
        <f>('Production 2nd'!F37)/DAY(EOMONTH(AU$2,0))</f>
        <v>1995.9836628704745</v>
      </c>
      <c r="AV16" s="19">
        <f>('Production 2nd'!G37)/DAY(EOMONTH(AV$2,0))</f>
        <v>1775.2004479990271</v>
      </c>
      <c r="AW16" s="19">
        <f>('Production 2nd'!H37)/DAY(EOMONTH(AW$2,0))</f>
        <v>1735.0209334747499</v>
      </c>
      <c r="AX16" s="19">
        <f>('Production 2nd'!I37)/DAY(EOMONTH(AX$2,0))</f>
        <v>1782.3435098304969</v>
      </c>
      <c r="AY16" s="19">
        <f>('Production 2nd'!J37)/DAY(EOMONTH(AY$2,0))</f>
        <v>4105.9380881757279</v>
      </c>
      <c r="AZ16" s="19">
        <f>('Production 2nd'!K37)/DAY(EOMONTH(AZ$2,0))</f>
        <v>4226.8024048274701</v>
      </c>
      <c r="BA16" s="19">
        <f>('Production 2nd'!L37)/DAY(EOMONTH(BA$2,0))</f>
        <v>4158.3076276695638</v>
      </c>
      <c r="BB16" s="19">
        <f>('Production 2nd'!M37)/DAY(EOMONTH(BB$2,0))</f>
        <v>3719.8040168936595</v>
      </c>
      <c r="BC16" s="19">
        <f>('Production 2nd'!N37)/DAY(EOMONTH(BC$2,0))</f>
        <v>3777.7595787223431</v>
      </c>
      <c r="BD16" s="19">
        <f>('Production 2nd'!O37)/DAY(EOMONTH(BD$2,0))</f>
        <v>3856.0494097951209</v>
      </c>
    </row>
    <row r="17" spans="1:56">
      <c r="A17" s="341" t="s">
        <v>672</v>
      </c>
      <c r="B17" s="45" t="str">
        <f>'Sectionwise Working'!B152</f>
        <v>9.2 Printing - Digital</v>
      </c>
      <c r="C17" s="10">
        <f>AVERAGEIF('Sectionwise Working'!B:B,'Monthly HC &amp; Prodn Working'!B17,'Sectionwise Working'!I:I)</f>
        <v>2480.0255999999999</v>
      </c>
      <c r="D17" s="648"/>
      <c r="E17" s="648"/>
      <c r="F17" s="648"/>
      <c r="G17" s="648"/>
      <c r="H17" s="648"/>
      <c r="I17" s="648"/>
      <c r="J17" s="648"/>
      <c r="K17" s="648"/>
      <c r="L17" s="648"/>
      <c r="M17" s="648"/>
      <c r="N17" s="648"/>
      <c r="O17" s="648"/>
      <c r="P17" s="40"/>
      <c r="Q17" s="10">
        <f>'Sectionwise Working'!J152</f>
        <v>825.87981866666667</v>
      </c>
      <c r="R17" s="10">
        <f>'Sectionwise Working'!J153</f>
        <v>558.46608306451617</v>
      </c>
      <c r="S17" s="10">
        <f>'Sectionwise Working'!J154</f>
        <v>598.60279966666667</v>
      </c>
      <c r="T17" s="10">
        <f>'Sectionwise Working'!J155</f>
        <v>1008.0738916129031</v>
      </c>
      <c r="U17" s="10">
        <f>'Sectionwise Working'!J156</f>
        <v>1887.1514803225807</v>
      </c>
      <c r="V17" s="10">
        <f>'Sectionwise Working'!J157</f>
        <v>987.08333333333337</v>
      </c>
      <c r="W17" s="10">
        <f>'Sectionwise Working'!J158</f>
        <v>1445.3225806451612</v>
      </c>
      <c r="X17" s="10">
        <f>'Sectionwise Working'!J159</f>
        <v>1383.6333333333334</v>
      </c>
      <c r="Y17" s="10">
        <f>'Sectionwise Working'!J160</f>
        <v>2083.5404838709678</v>
      </c>
      <c r="Z17" s="10">
        <f>'Sectionwise Working'!J161</f>
        <v>3201.6066069032258</v>
      </c>
      <c r="AA17" s="10">
        <f>'Sectionwise Working'!J162</f>
        <v>1841.125</v>
      </c>
      <c r="AB17" s="10">
        <f>'Sectionwise Working'!J163</f>
        <v>1161.241935483871</v>
      </c>
      <c r="AC17" s="39">
        <f t="shared" si="7"/>
        <v>1415.1439455752688</v>
      </c>
      <c r="AD17" s="39"/>
      <c r="AE17" s="1448"/>
      <c r="AF17" s="1448"/>
      <c r="AG17" s="1448"/>
      <c r="AH17" s="1448"/>
      <c r="AI17" s="1448"/>
      <c r="AJ17" s="1448"/>
      <c r="AK17" s="1448"/>
      <c r="AL17" s="1448"/>
      <c r="AM17" s="1448"/>
      <c r="AN17" s="1448"/>
      <c r="AO17" s="1448"/>
      <c r="AP17" s="1448"/>
      <c r="AS17" s="19">
        <f>('Production 2nd'!D36)/DAY(EOMONTH(AS$2,0))</f>
        <v>716.7259932081339</v>
      </c>
      <c r="AT17" s="19">
        <f>('Production 2nd'!E36)/DAY(EOMONTH(AT$2,0))</f>
        <v>639.55859469347513</v>
      </c>
      <c r="AU17" s="19">
        <f>('Production 2nd'!F36)/DAY(EOMONTH(AU$2,0))</f>
        <v>1092.1265285301611</v>
      </c>
      <c r="AV17" s="19">
        <f>('Production 2nd'!G36)/DAY(EOMONTH(AV$2,0))</f>
        <v>738.64513753330937</v>
      </c>
      <c r="AW17" s="19">
        <f>('Production 2nd'!H36)/DAY(EOMONTH(AW$2,0))</f>
        <v>990.86542839834169</v>
      </c>
      <c r="AX17" s="19">
        <f>('Production 2nd'!I36)/DAY(EOMONTH(AX$2,0))</f>
        <v>1052.4005611629889</v>
      </c>
      <c r="AY17" s="19">
        <f>('Production 2nd'!J36)/DAY(EOMONTH(AY$2,0))</f>
        <v>1035.3042415507521</v>
      </c>
      <c r="AZ17" s="19">
        <f>('Production 2nd'!K36)/DAY(EOMONTH(AZ$2,0))</f>
        <v>1006.5191004186952</v>
      </c>
      <c r="BA17" s="19">
        <f>('Production 2nd'!L36)/DAY(EOMONTH(BA$2,0))</f>
        <v>1215.4615921686325</v>
      </c>
      <c r="BB17" s="19">
        <f>('Production 2nd'!M36)/DAY(EOMONTH(BB$2,0))</f>
        <v>1310.9185048842705</v>
      </c>
      <c r="BC17" s="19">
        <f>('Production 2nd'!N36)/DAY(EOMONTH(BC$2,0))</f>
        <v>1021.2348103596416</v>
      </c>
      <c r="BD17" s="19">
        <f>('Production 2nd'!O36)/DAY(EOMONTH(BD$2,0))</f>
        <v>962.6516932186023</v>
      </c>
    </row>
    <row r="18" spans="1:56">
      <c r="A18" s="340" t="s">
        <v>670</v>
      </c>
      <c r="B18" s="45" t="str">
        <f>'Sectionwise Working'!B168</f>
        <v>10.1 Carpet Tiles</v>
      </c>
      <c r="C18" s="10">
        <f>AVERAGEIF('Sectionwise Working'!B:B,'Monthly HC &amp; Prodn Working'!B18,'Sectionwise Working'!I:I)</f>
        <v>14758.224657534245</v>
      </c>
      <c r="D18" s="648">
        <f>'Sectionwise Working'!AT182</f>
        <v>98</v>
      </c>
      <c r="E18" s="648">
        <f>'Sectionwise Working'!AT183</f>
        <v>98</v>
      </c>
      <c r="F18" s="648">
        <f>'Sectionwise Working'!AT184</f>
        <v>98</v>
      </c>
      <c r="G18" s="648">
        <f>'Sectionwise Working'!AT185</f>
        <v>98</v>
      </c>
      <c r="H18" s="648">
        <f>'Sectionwise Working'!AT186</f>
        <v>98</v>
      </c>
      <c r="I18" s="648">
        <f>'Sectionwise Working'!AT187</f>
        <v>119</v>
      </c>
      <c r="J18" s="648">
        <f>'Sectionwise Working'!AT188</f>
        <v>119</v>
      </c>
      <c r="K18" s="648">
        <f>'Sectionwise Working'!AT189</f>
        <v>98</v>
      </c>
      <c r="L18" s="648">
        <f>'Sectionwise Working'!AT190</f>
        <v>119</v>
      </c>
      <c r="M18" s="648">
        <f>'Sectionwise Working'!AT191</f>
        <v>119</v>
      </c>
      <c r="N18" s="648">
        <f>'Sectionwise Working'!AT192</f>
        <v>119</v>
      </c>
      <c r="O18" s="648">
        <f>'Sectionwise Working'!AT193</f>
        <v>119</v>
      </c>
      <c r="P18" s="40">
        <f>AVERAGE(D18:O18)</f>
        <v>108.5</v>
      </c>
      <c r="Q18" s="10">
        <f>'Sectionwise Working'!J168</f>
        <v>3210.8762807017538</v>
      </c>
      <c r="R18" s="10">
        <f>'Sectionwise Working'!J169</f>
        <v>2681.0287775891352</v>
      </c>
      <c r="S18" s="10">
        <f>'Sectionwise Working'!J170</f>
        <v>2879.8178245614022</v>
      </c>
      <c r="T18" s="10">
        <f>'Sectionwise Working'!J171</f>
        <v>2513.5465534804766</v>
      </c>
      <c r="U18" s="10">
        <f>'Sectionwise Working'!J172</f>
        <v>4220.4073344651979</v>
      </c>
      <c r="V18" s="10">
        <f>'Sectionwise Working'!J173</f>
        <v>5516.9802105263179</v>
      </c>
      <c r="W18" s="10">
        <f>'Sectionwise Working'!J174</f>
        <v>6204.7226146010198</v>
      </c>
      <c r="X18" s="10">
        <f>'Sectionwise Working'!J175</f>
        <v>5051.5701578947383</v>
      </c>
      <c r="Y18" s="10">
        <f>'Sectionwise Working'!J176</f>
        <v>6250.0450594227495</v>
      </c>
      <c r="Z18" s="10">
        <f>'Sectionwise Working'!J177</f>
        <v>7630.3789066213822</v>
      </c>
      <c r="AA18" s="10">
        <f>'Sectionwise Working'!J178</f>
        <v>7716.4051796157091</v>
      </c>
      <c r="AB18" s="10">
        <f>'Sectionwise Working'!J179</f>
        <v>6152.6783625731023</v>
      </c>
      <c r="AC18" s="39">
        <f t="shared" si="7"/>
        <v>5002.371438504415</v>
      </c>
      <c r="AD18" s="39"/>
      <c r="AE18" s="1448">
        <f>(Q18+Q19)/D18</f>
        <v>266.13750324603535</v>
      </c>
      <c r="AF18" s="1448">
        <f>(R18+R19)/E18</f>
        <v>213.61056842511846</v>
      </c>
      <c r="AG18" s="1448">
        <f>(S18+S19)/F18</f>
        <v>194.47623835098278</v>
      </c>
      <c r="AH18" s="1448">
        <f>(T18+T19)/G18</f>
        <v>220.61371917214362</v>
      </c>
      <c r="AI18" s="1448">
        <f t="shared" ref="AI18:AP18" si="10">(U18+U19)/H18</f>
        <v>329.39893579286428</v>
      </c>
      <c r="AJ18" s="1448">
        <f t="shared" si="10"/>
        <v>215.32503454002475</v>
      </c>
      <c r="AK18" s="1448">
        <f t="shared" si="10"/>
        <v>189.98091654729888</v>
      </c>
      <c r="AL18" s="1448">
        <f t="shared" si="10"/>
        <v>224.41389778178851</v>
      </c>
      <c r="AM18" s="1448">
        <f t="shared" si="10"/>
        <v>186.5713977582185</v>
      </c>
      <c r="AN18" s="1448">
        <f t="shared" si="10"/>
        <v>197.27543740295241</v>
      </c>
      <c r="AO18" s="1448">
        <f t="shared" si="10"/>
        <v>218.20833730360962</v>
      </c>
      <c r="AP18" s="1448">
        <f t="shared" si="10"/>
        <v>201.49488314543601</v>
      </c>
      <c r="AS18" s="19">
        <f>('Production 2nd'!D28)/DAY(EOMONTH(AS$2,0))</f>
        <v>3398.5</v>
      </c>
      <c r="AT18" s="19">
        <f>('Production 2nd'!E28)/DAY(EOMONTH(AT$2,0))</f>
        <v>3780.6774193548385</v>
      </c>
      <c r="AU18" s="19">
        <f>('Production 2nd'!F28)/DAY(EOMONTH(AU$2,0))</f>
        <v>4129.58</v>
      </c>
      <c r="AV18" s="19">
        <f>('Production 2nd'!G28)/DAY(EOMONTH(AV$2,0))</f>
        <v>3414.1935483870971</v>
      </c>
      <c r="AW18" s="19">
        <f>('Production 2nd'!H28)/DAY(EOMONTH(AW$2,0))</f>
        <v>3772.8193548387103</v>
      </c>
      <c r="AX18" s="19">
        <f>('Production 2nd'!I28)/DAY(EOMONTH(AX$2,0))</f>
        <v>5716.2</v>
      </c>
      <c r="AY18" s="19">
        <f>('Production 2nd'!J28)/DAY(EOMONTH(AY$2,0))</f>
        <v>4672.2177419354839</v>
      </c>
      <c r="AZ18" s="19">
        <f>('Production 2nd'!K28)/DAY(EOMONTH(AZ$2,0))</f>
        <v>4788.2093933333335</v>
      </c>
      <c r="BA18" s="19">
        <f>('Production 2nd'!L28)/DAY(EOMONTH(BA$2,0))</f>
        <v>5256.322580645161</v>
      </c>
      <c r="BB18" s="19">
        <f>('Production 2nd'!M28)/DAY(EOMONTH(BB$2,0))</f>
        <v>5028.7096774193551</v>
      </c>
      <c r="BC18" s="19">
        <f>('Production 2nd'!N28)/DAY(EOMONTH(BC$2,0))</f>
        <v>7381.75</v>
      </c>
      <c r="BD18" s="19">
        <f>('Production 2nd'!O28)/DAY(EOMONTH(BD$2,0))</f>
        <v>5594.3548387096771</v>
      </c>
    </row>
    <row r="19" spans="1:56">
      <c r="A19" s="340" t="s">
        <v>670</v>
      </c>
      <c r="B19" s="45" t="str">
        <f>'Sectionwise Working'!B183</f>
        <v>10.2 W2W</v>
      </c>
      <c r="C19" s="10">
        <f>AVERAGEIF('Sectionwise Working'!B:B,'Monthly HC &amp; Prodn Working'!B19,'Sectionwise Working'!I:I)</f>
        <v>19608.370339724457</v>
      </c>
      <c r="D19" s="648"/>
      <c r="E19" s="648"/>
      <c r="F19" s="648"/>
      <c r="G19" s="648"/>
      <c r="H19" s="648"/>
      <c r="I19" s="648"/>
      <c r="J19" s="648"/>
      <c r="K19" s="648"/>
      <c r="L19" s="648"/>
      <c r="M19" s="648"/>
      <c r="N19" s="648"/>
      <c r="O19" s="648"/>
      <c r="P19" s="40"/>
      <c r="Q19" s="10">
        <f>'Sectionwise Working'!J182</f>
        <v>22870.599037409709</v>
      </c>
      <c r="R19" s="10">
        <f>'Sectionwise Working'!J183</f>
        <v>18252.806928072474</v>
      </c>
      <c r="S19" s="10">
        <f>'Sectionwise Working'!J184</f>
        <v>16178.853533834912</v>
      </c>
      <c r="T19" s="10">
        <f>'Sectionwise Working'!J185</f>
        <v>19106.5979253896</v>
      </c>
      <c r="U19" s="10">
        <f>'Sectionwise Working'!J186</f>
        <v>28060.688373235498</v>
      </c>
      <c r="V19" s="10">
        <f>'Sectionwise Working'!J187</f>
        <v>20106.698899736624</v>
      </c>
      <c r="W19" s="10">
        <f>'Sectionwise Working'!J188</f>
        <v>16403.006454527545</v>
      </c>
      <c r="X19" s="10">
        <f>'Sectionwise Working'!J189</f>
        <v>16940.991824720535</v>
      </c>
      <c r="Y19" s="10">
        <f>'Sectionwise Working'!J190</f>
        <v>15951.951273805251</v>
      </c>
      <c r="Z19" s="10">
        <f>'Sectionwise Working'!J191</f>
        <v>15845.398144329953</v>
      </c>
      <c r="AA19" s="10">
        <f>'Sectionwise Working'!J192</f>
        <v>18250.386959513835</v>
      </c>
      <c r="AB19" s="10">
        <f>'Sectionwise Working'!J193</f>
        <v>17825.21273173378</v>
      </c>
      <c r="AC19" s="39">
        <f t="shared" si="7"/>
        <v>18816.099340525809</v>
      </c>
      <c r="AD19" s="39"/>
      <c r="AE19" s="1448"/>
      <c r="AF19" s="1448"/>
      <c r="AG19" s="1448"/>
      <c r="AH19" s="1448"/>
      <c r="AI19" s="1448"/>
      <c r="AJ19" s="1448"/>
      <c r="AK19" s="1448"/>
      <c r="AL19" s="1448"/>
      <c r="AM19" s="1448"/>
      <c r="AN19" s="1448"/>
      <c r="AO19" s="1448"/>
      <c r="AP19" s="1448"/>
      <c r="AS19" s="19">
        <f>('Production 2nd'!D25+'Production 2nd'!D31+60000)/DAY(EOMONTH('Monthly HC &amp; Prodn Working'!AS2,0))</f>
        <v>9480.7368739246194</v>
      </c>
      <c r="AT19" s="19">
        <f>('Production 2nd'!E25+'Production 2nd'!E31+60000)/DAY(EOMONTH('Monthly HC &amp; Prodn Working'!AT2,0))</f>
        <v>10588.514959343969</v>
      </c>
      <c r="AU19" s="19">
        <f>('Production 2nd'!F25+'Production 2nd'!F31+60000)/DAY(EOMONTH('Monthly HC &amp; Prodn Working'!AU2,0))</f>
        <v>12120.073538924617</v>
      </c>
      <c r="AV19" s="19">
        <f>('Production 2nd'!G25+'Production 2nd'!G31+60000)/DAY(EOMONTH('Monthly HC &amp; Prodn Working'!AV2,0))</f>
        <v>12421.876033931412</v>
      </c>
      <c r="AW19" s="19">
        <f>('Production 2nd'!H25+'Production 2nd'!H31+60000)/DAY(EOMONTH('Monthly HC &amp; Prodn Working'!AW2,0))</f>
        <v>12537.706275866896</v>
      </c>
      <c r="AX19" s="19">
        <f>('Production 2nd'!I25+'Production 2nd'!I31+60000)/DAY(EOMONTH('Monthly HC &amp; Prodn Working'!AX2,0))</f>
        <v>15101.812343673348</v>
      </c>
      <c r="AY19" s="19">
        <f>('Production 2nd'!J25+'Production 2nd'!J31+60000)/DAY(EOMONTH('Monthly HC &amp; Prodn Working'!AY2,0))</f>
        <v>13925.753853592334</v>
      </c>
      <c r="AZ19" s="19">
        <f>('Production 2nd'!K25+'Production 2nd'!K31+60000)/DAY(EOMONTH('Monthly HC &amp; Prodn Working'!AZ2,0))</f>
        <v>14866.589906613839</v>
      </c>
      <c r="BA19" s="19">
        <f>('Production 2nd'!L25+'Production 2nd'!L31+60000)/DAY(EOMONTH('Monthly HC &amp; Prodn Working'!BA2,0))</f>
        <v>14062.973611656851</v>
      </c>
      <c r="BB19" s="19">
        <f>('Production 2nd'!M25+'Production 2nd'!M31+60000)/DAY(EOMONTH('Monthly HC &amp; Prodn Working'!BB2,0))</f>
        <v>15977.784605649225</v>
      </c>
      <c r="BC19" s="19">
        <f>('Production 2nd'!N25+'Production 2nd'!N31+60000)/DAY(EOMONTH('Monthly HC &amp; Prodn Working'!BC2,0))</f>
        <v>16893.643358103142</v>
      </c>
      <c r="BD19" s="19">
        <f>('Production 2nd'!O25+'Production 2nd'!O31+60000)/DAY(EOMONTH('Monthly HC &amp; Prodn Working'!BD2,0))</f>
        <v>17076.882266939549</v>
      </c>
    </row>
    <row r="20" spans="1:56">
      <c r="A20" s="340" t="s">
        <v>671</v>
      </c>
      <c r="B20" s="45" t="str">
        <f>'Sectionwise Working'!A197</f>
        <v>CSP</v>
      </c>
      <c r="C20" s="397">
        <f>350000/30</f>
        <v>11666.666666666666</v>
      </c>
      <c r="D20" s="249">
        <f>'Sectionwise Working'!T197</f>
        <v>312</v>
      </c>
      <c r="E20" s="249">
        <f>'Sectionwise Working'!T198</f>
        <v>298</v>
      </c>
      <c r="F20" s="249">
        <f>'Sectionwise Working'!T199</f>
        <v>288</v>
      </c>
      <c r="G20" s="249">
        <f>'Sectionwise Working'!T200</f>
        <v>305</v>
      </c>
      <c r="H20" s="249">
        <f>'Sectionwise Working'!T201</f>
        <v>315</v>
      </c>
      <c r="I20" s="249">
        <f>'Sectionwise Working'!T202</f>
        <v>298</v>
      </c>
      <c r="J20" s="249">
        <f>'Sectionwise Working'!T203</f>
        <v>296</v>
      </c>
      <c r="K20" s="249">
        <f>'Sectionwise Working'!T204</f>
        <v>264.5</v>
      </c>
      <c r="L20" s="249">
        <f>'Sectionwise Working'!T205</f>
        <v>205.5</v>
      </c>
      <c r="M20" s="249">
        <f>'Sectionwise Working'!T206</f>
        <v>191</v>
      </c>
      <c r="N20" s="249">
        <f>'Sectionwise Working'!T207</f>
        <v>219</v>
      </c>
      <c r="O20" s="249">
        <f>'Sectionwise Working'!T208</f>
        <v>196.5</v>
      </c>
      <c r="P20" s="40">
        <f t="shared" ref="P20:P33" si="11">AVERAGE(D20:O20)</f>
        <v>265.70833333333331</v>
      </c>
      <c r="Q20" s="10">
        <f>'Sectionwise Working'!J197</f>
        <v>15347.054674855948</v>
      </c>
      <c r="R20" s="10">
        <f>'Sectionwise Working'!J198</f>
        <v>10285.954409279861</v>
      </c>
      <c r="S20" s="10">
        <f>'Sectionwise Working'!J199</f>
        <v>9206.1022335126581</v>
      </c>
      <c r="T20" s="10">
        <f>'Sectionwise Working'!J200</f>
        <v>12100.98826829652</v>
      </c>
      <c r="U20" s="10">
        <f>'Sectionwise Working'!J201</f>
        <v>20542.260631347624</v>
      </c>
      <c r="V20" s="10">
        <f>'Sectionwise Working'!J202</f>
        <v>11342.677296315534</v>
      </c>
      <c r="W20" s="10">
        <f>'Sectionwise Working'!J203</f>
        <v>9358.4119616767875</v>
      </c>
      <c r="X20" s="10">
        <f>'Sectionwise Working'!J204</f>
        <v>7936.7272047885381</v>
      </c>
      <c r="Y20" s="10">
        <f>'Sectionwise Working'!J205</f>
        <v>5255.2384161585906</v>
      </c>
      <c r="Z20" s="10">
        <f>'Sectionwise Working'!J206</f>
        <v>4662.4716711605115</v>
      </c>
      <c r="AA20" s="10">
        <f>'Sectionwise Working'!J207</f>
        <v>6406.672782879742</v>
      </c>
      <c r="AB20" s="10">
        <f>'Sectionwise Working'!J208</f>
        <v>6365.1863641604978</v>
      </c>
      <c r="AC20" s="39">
        <f t="shared" si="7"/>
        <v>9900.8121595360681</v>
      </c>
      <c r="AD20" s="39"/>
      <c r="AE20" s="249">
        <f>Q20/D20</f>
        <v>49.189277804025473</v>
      </c>
      <c r="AF20" s="249">
        <f>R20/E20</f>
        <v>34.516625534496178</v>
      </c>
      <c r="AG20" s="249">
        <f>S20/F20</f>
        <v>31.965632755252287</v>
      </c>
      <c r="AH20" s="249">
        <f>T20/G20</f>
        <v>39.675371371464003</v>
      </c>
      <c r="AI20" s="249">
        <f t="shared" ref="AI20:AP20" si="12">U20/H20</f>
        <v>65.213525813801979</v>
      </c>
      <c r="AJ20" s="249">
        <f t="shared" si="12"/>
        <v>38.06267549099173</v>
      </c>
      <c r="AK20" s="249">
        <f t="shared" si="12"/>
        <v>31.616256627286443</v>
      </c>
      <c r="AL20" s="249">
        <f t="shared" si="12"/>
        <v>30.00653007481489</v>
      </c>
      <c r="AM20" s="249">
        <f t="shared" si="12"/>
        <v>25.572936331671972</v>
      </c>
      <c r="AN20" s="249">
        <f t="shared" si="12"/>
        <v>24.410846445866554</v>
      </c>
      <c r="AO20" s="249">
        <f t="shared" si="12"/>
        <v>29.254213620455442</v>
      </c>
      <c r="AP20" s="249">
        <f t="shared" si="12"/>
        <v>32.392805924480903</v>
      </c>
      <c r="AS20" s="19">
        <f>('Production 2nd'!D31)/DAY(EOMONTH(AS$2,0))</f>
        <v>6222.4868739246185</v>
      </c>
      <c r="AT20" s="19">
        <f>('Production 2nd'!E31)/DAY(EOMONTH(AT$2,0))</f>
        <v>5881.674636763325</v>
      </c>
      <c r="AU20" s="19">
        <f>('Production 2nd'!F31)/DAY(EOMONTH(AU$2,0))</f>
        <v>6722.5080739246159</v>
      </c>
      <c r="AV20" s="19">
        <f>('Production 2nd'!G31)/DAY(EOMONTH(AV$2,0))</f>
        <v>6987.2502274797998</v>
      </c>
      <c r="AW20" s="19">
        <f>('Production 2nd'!H31)/DAY(EOMONTH(AW$2,0))</f>
        <v>6759.7135339314136</v>
      </c>
      <c r="AX20" s="19">
        <f>('Production 2nd'!I31)/DAY(EOMONTH(AX$2,0))</f>
        <v>6792.5548436733479</v>
      </c>
      <c r="AY20" s="19">
        <f>('Production 2nd'!J31)/DAY(EOMONTH(AY$2,0))</f>
        <v>7286.2349826245927</v>
      </c>
      <c r="AZ20" s="19">
        <f>('Production 2nd'!K31)/DAY(EOMONTH(AZ$2,0))</f>
        <v>7117.8387399471731</v>
      </c>
      <c r="BA20" s="19">
        <f>('Production 2nd'!L31)/DAY(EOMONTH(BA$2,0))</f>
        <v>7014.5305471407219</v>
      </c>
      <c r="BB20" s="19">
        <f>('Production 2nd'!M31)/DAY(EOMONTH(BB$2,0))</f>
        <v>9225.0473959718038</v>
      </c>
      <c r="BC20" s="19">
        <f>('Production 2nd'!N31)/DAY(EOMONTH(BC$2,0))</f>
        <v>9038.5623777459987</v>
      </c>
      <c r="BD20" s="19">
        <f>('Production 2nd'!O31)/DAY(EOMONTH(BD$2,0))</f>
        <v>9280.2757024234197</v>
      </c>
    </row>
    <row r="21" spans="1:56">
      <c r="A21" s="340"/>
      <c r="B21" s="45" t="s">
        <v>159</v>
      </c>
      <c r="C21" s="397"/>
      <c r="D21" s="648">
        <v>12</v>
      </c>
      <c r="E21" s="648">
        <v>12</v>
      </c>
      <c r="F21" s="648">
        <v>12</v>
      </c>
      <c r="G21" s="648">
        <v>12</v>
      </c>
      <c r="H21" s="648">
        <v>12</v>
      </c>
      <c r="I21" s="648">
        <v>12</v>
      </c>
      <c r="J21" s="648">
        <v>12</v>
      </c>
      <c r="K21" s="648">
        <v>12</v>
      </c>
      <c r="L21" s="648">
        <v>12</v>
      </c>
      <c r="M21" s="648">
        <v>12</v>
      </c>
      <c r="N21" s="648">
        <v>12</v>
      </c>
      <c r="O21" s="648">
        <v>12</v>
      </c>
      <c r="P21" s="40">
        <f t="shared" si="11"/>
        <v>12</v>
      </c>
      <c r="Q21" s="13"/>
      <c r="R21" s="13"/>
      <c r="S21" s="13"/>
      <c r="T21" s="13"/>
      <c r="U21" s="13"/>
      <c r="V21" s="13"/>
      <c r="W21" s="13"/>
      <c r="X21" s="13"/>
      <c r="Y21" s="13"/>
      <c r="Z21" s="13"/>
      <c r="AA21" s="13"/>
      <c r="AB21" s="13"/>
      <c r="AE21" s="13"/>
      <c r="AF21" s="13"/>
      <c r="AG21" s="13"/>
      <c r="AH21" s="13"/>
      <c r="AI21" s="13"/>
      <c r="AJ21" s="13"/>
      <c r="AK21" s="13"/>
      <c r="AL21" s="13"/>
      <c r="AM21" s="13"/>
      <c r="AN21" s="13"/>
      <c r="AO21" s="13"/>
      <c r="AP21" s="13"/>
    </row>
    <row r="22" spans="1:56">
      <c r="A22" s="339" t="s">
        <v>672</v>
      </c>
      <c r="B22" s="45" t="str">
        <f>'Sectionwise Working'!A213</f>
        <v>TQM</v>
      </c>
      <c r="C22" s="45" t="s">
        <v>940</v>
      </c>
      <c r="D22" s="648">
        <f>96-3</f>
        <v>93</v>
      </c>
      <c r="E22" s="861">
        <f t="shared" ref="E22:O22" si="13">96-3</f>
        <v>93</v>
      </c>
      <c r="F22" s="861">
        <f t="shared" si="13"/>
        <v>93</v>
      </c>
      <c r="G22" s="861">
        <f t="shared" si="13"/>
        <v>93</v>
      </c>
      <c r="H22" s="861">
        <f t="shared" si="13"/>
        <v>93</v>
      </c>
      <c r="I22" s="861">
        <f t="shared" si="13"/>
        <v>93</v>
      </c>
      <c r="J22" s="861">
        <f t="shared" si="13"/>
        <v>93</v>
      </c>
      <c r="K22" s="861">
        <f t="shared" si="13"/>
        <v>93</v>
      </c>
      <c r="L22" s="861">
        <f t="shared" si="13"/>
        <v>93</v>
      </c>
      <c r="M22" s="861">
        <f t="shared" si="13"/>
        <v>93</v>
      </c>
      <c r="N22" s="861">
        <f t="shared" si="13"/>
        <v>93</v>
      </c>
      <c r="O22" s="861">
        <f t="shared" si="13"/>
        <v>93</v>
      </c>
      <c r="P22" s="40">
        <f t="shared" si="11"/>
        <v>93</v>
      </c>
      <c r="Q22" s="13"/>
      <c r="R22" s="13"/>
      <c r="S22" s="13"/>
      <c r="T22" s="13"/>
      <c r="U22" s="13"/>
      <c r="V22" s="13"/>
      <c r="W22" s="13"/>
      <c r="X22" s="13"/>
      <c r="Y22" s="13"/>
      <c r="Z22" s="13"/>
      <c r="AA22" s="13"/>
      <c r="AB22" s="13"/>
      <c r="AE22" s="13"/>
      <c r="AF22" s="13"/>
      <c r="AG22" s="13"/>
      <c r="AH22" s="13"/>
      <c r="AI22" s="13"/>
      <c r="AJ22" s="13"/>
      <c r="AK22" s="13"/>
      <c r="AL22" s="13"/>
      <c r="AM22" s="13"/>
      <c r="AN22" s="13"/>
      <c r="AO22" s="13"/>
      <c r="AP22" s="13"/>
    </row>
    <row r="23" spans="1:56">
      <c r="A23" s="339"/>
      <c r="B23" s="45" t="s">
        <v>308</v>
      </c>
      <c r="C23" s="45" t="s">
        <v>941</v>
      </c>
      <c r="D23" s="757">
        <v>4</v>
      </c>
      <c r="E23" s="757">
        <v>4</v>
      </c>
      <c r="F23" s="757">
        <v>4</v>
      </c>
      <c r="G23" s="757">
        <v>4</v>
      </c>
      <c r="H23" s="757">
        <v>4</v>
      </c>
      <c r="I23" s="757">
        <v>4</v>
      </c>
      <c r="J23" s="757">
        <v>4</v>
      </c>
      <c r="K23" s="757">
        <v>4</v>
      </c>
      <c r="L23" s="757">
        <v>4</v>
      </c>
      <c r="M23" s="757">
        <v>4</v>
      </c>
      <c r="N23" s="757">
        <v>4</v>
      </c>
      <c r="O23" s="757">
        <v>4</v>
      </c>
      <c r="P23" s="40">
        <f t="shared" si="11"/>
        <v>4</v>
      </c>
      <c r="Q23" s="13"/>
      <c r="R23" s="13"/>
      <c r="S23" s="13"/>
      <c r="T23" s="13"/>
      <c r="U23" s="13"/>
      <c r="V23" s="13"/>
      <c r="W23" s="13"/>
      <c r="X23" s="13"/>
      <c r="Y23" s="13"/>
      <c r="Z23" s="13"/>
      <c r="AA23" s="13"/>
      <c r="AB23" s="13"/>
      <c r="AE23" s="13"/>
      <c r="AF23" s="13"/>
      <c r="AG23" s="13"/>
      <c r="AH23" s="13"/>
      <c r="AI23" s="13"/>
      <c r="AJ23" s="13"/>
      <c r="AK23" s="13"/>
      <c r="AL23" s="13"/>
      <c r="AM23" s="13"/>
      <c r="AN23" s="13"/>
      <c r="AO23" s="13"/>
      <c r="AP23" s="13"/>
    </row>
    <row r="24" spans="1:56">
      <c r="A24" s="342" t="s">
        <v>675</v>
      </c>
      <c r="B24" s="13" t="str">
        <f>'Sectionwise Working'!A228</f>
        <v>Engg.</v>
      </c>
      <c r="C24" s="45" t="s">
        <v>940</v>
      </c>
      <c r="D24" s="648">
        <v>50</v>
      </c>
      <c r="E24" s="648">
        <v>50</v>
      </c>
      <c r="F24" s="648">
        <v>50</v>
      </c>
      <c r="G24" s="648">
        <v>50</v>
      </c>
      <c r="H24" s="648">
        <v>50</v>
      </c>
      <c r="I24" s="648">
        <v>50</v>
      </c>
      <c r="J24" s="648">
        <v>50</v>
      </c>
      <c r="K24" s="648">
        <v>50</v>
      </c>
      <c r="L24" s="648">
        <v>50</v>
      </c>
      <c r="M24" s="648">
        <v>50</v>
      </c>
      <c r="N24" s="648">
        <v>50</v>
      </c>
      <c r="O24" s="648">
        <v>50</v>
      </c>
      <c r="P24" s="40">
        <f t="shared" si="11"/>
        <v>50</v>
      </c>
      <c r="Q24" s="13"/>
      <c r="R24" s="13"/>
      <c r="S24" s="13"/>
      <c r="T24" s="13"/>
      <c r="U24" s="13"/>
      <c r="V24" s="13"/>
      <c r="W24" s="13"/>
      <c r="X24" s="13"/>
      <c r="Y24" s="13"/>
      <c r="Z24" s="13"/>
      <c r="AA24" s="13"/>
      <c r="AB24" s="13"/>
      <c r="AE24" s="13"/>
      <c r="AF24" s="13"/>
      <c r="AG24" s="13"/>
      <c r="AH24" s="13"/>
      <c r="AI24" s="13"/>
      <c r="AJ24" s="13"/>
      <c r="AK24" s="13"/>
      <c r="AL24" s="13"/>
      <c r="AM24" s="13"/>
      <c r="AN24" s="13"/>
      <c r="AO24" s="13"/>
      <c r="AP24" s="13"/>
    </row>
    <row r="25" spans="1:56">
      <c r="A25" s="342"/>
      <c r="B25" s="13" t="str">
        <f>'Sectionwise Working'!A229</f>
        <v>Engg.</v>
      </c>
      <c r="C25" s="45" t="s">
        <v>941</v>
      </c>
      <c r="D25" s="757">
        <v>4</v>
      </c>
      <c r="E25" s="757">
        <v>4</v>
      </c>
      <c r="F25" s="757">
        <v>4</v>
      </c>
      <c r="G25" s="757">
        <v>4</v>
      </c>
      <c r="H25" s="757">
        <v>4</v>
      </c>
      <c r="I25" s="757">
        <v>4</v>
      </c>
      <c r="J25" s="757">
        <v>4</v>
      </c>
      <c r="K25" s="757">
        <v>4</v>
      </c>
      <c r="L25" s="757">
        <v>4</v>
      </c>
      <c r="M25" s="757">
        <v>4</v>
      </c>
      <c r="N25" s="757">
        <v>4</v>
      </c>
      <c r="O25" s="757">
        <v>4</v>
      </c>
      <c r="P25" s="40">
        <f t="shared" si="11"/>
        <v>4</v>
      </c>
      <c r="Q25" s="13"/>
      <c r="R25" s="13"/>
      <c r="S25" s="13"/>
      <c r="T25" s="13"/>
      <c r="U25" s="13"/>
      <c r="V25" s="13"/>
      <c r="W25" s="13"/>
      <c r="X25" s="13"/>
      <c r="Y25" s="13"/>
      <c r="Z25" s="13"/>
      <c r="AA25" s="13"/>
      <c r="AB25" s="13"/>
      <c r="AE25" s="13"/>
      <c r="AF25" s="13"/>
      <c r="AG25" s="13"/>
      <c r="AH25" s="13"/>
      <c r="AI25" s="13"/>
      <c r="AJ25" s="13"/>
      <c r="AK25" s="13"/>
      <c r="AL25" s="13"/>
      <c r="AM25" s="13"/>
      <c r="AN25" s="13"/>
      <c r="AO25" s="13"/>
      <c r="AP25" s="13"/>
    </row>
    <row r="26" spans="1:56">
      <c r="A26" s="342"/>
      <c r="B26" s="13" t="str">
        <f>'Sectionwise Working'!A230</f>
        <v>Engg.</v>
      </c>
      <c r="C26" s="45" t="s">
        <v>942</v>
      </c>
      <c r="D26" s="648">
        <v>63</v>
      </c>
      <c r="E26" s="648">
        <v>63</v>
      </c>
      <c r="F26" s="648">
        <v>63</v>
      </c>
      <c r="G26" s="648">
        <v>63</v>
      </c>
      <c r="H26" s="648">
        <v>63</v>
      </c>
      <c r="I26" s="648">
        <v>63</v>
      </c>
      <c r="J26" s="648">
        <v>63</v>
      </c>
      <c r="K26" s="648">
        <v>63</v>
      </c>
      <c r="L26" s="648">
        <v>63</v>
      </c>
      <c r="M26" s="648">
        <v>63</v>
      </c>
      <c r="N26" s="648">
        <v>63</v>
      </c>
      <c r="O26" s="648">
        <v>63</v>
      </c>
      <c r="P26" s="40">
        <f t="shared" si="11"/>
        <v>63</v>
      </c>
      <c r="Q26" s="13"/>
      <c r="R26" s="13"/>
      <c r="S26" s="13"/>
      <c r="T26" s="13"/>
      <c r="U26" s="13"/>
      <c r="V26" s="13"/>
      <c r="W26" s="13"/>
      <c r="X26" s="13"/>
      <c r="Y26" s="13"/>
      <c r="Z26" s="13"/>
      <c r="AA26" s="13"/>
      <c r="AB26" s="13"/>
      <c r="AE26" s="13"/>
      <c r="AF26" s="13"/>
      <c r="AG26" s="13"/>
      <c r="AH26" s="13"/>
      <c r="AI26" s="13"/>
      <c r="AJ26" s="13"/>
      <c r="AK26" s="13"/>
      <c r="AL26" s="13"/>
      <c r="AM26" s="13"/>
      <c r="AN26" s="13"/>
      <c r="AO26" s="13"/>
      <c r="AP26" s="13"/>
    </row>
    <row r="27" spans="1:56">
      <c r="A27" s="339" t="s">
        <v>672</v>
      </c>
      <c r="B27" s="45" t="str">
        <f>'Sectionwise Working'!A243</f>
        <v>R&amp;D (PD)</v>
      </c>
      <c r="C27" s="45" t="s">
        <v>940</v>
      </c>
      <c r="D27" s="648">
        <v>38</v>
      </c>
      <c r="E27" s="777">
        <v>38</v>
      </c>
      <c r="F27" s="777">
        <v>38</v>
      </c>
      <c r="G27" s="777">
        <v>38</v>
      </c>
      <c r="H27" s="777">
        <v>38</v>
      </c>
      <c r="I27" s="777">
        <v>38</v>
      </c>
      <c r="J27" s="777">
        <v>38</v>
      </c>
      <c r="K27" s="777">
        <v>38</v>
      </c>
      <c r="L27" s="777">
        <v>38</v>
      </c>
      <c r="M27" s="777">
        <v>38</v>
      </c>
      <c r="N27" s="777">
        <v>38</v>
      </c>
      <c r="O27" s="777">
        <v>38</v>
      </c>
      <c r="P27" s="40">
        <f t="shared" si="11"/>
        <v>38</v>
      </c>
      <c r="Q27" s="13"/>
      <c r="R27" s="13"/>
      <c r="S27" s="13"/>
      <c r="T27" s="13"/>
      <c r="U27" s="13"/>
      <c r="V27" s="13"/>
      <c r="W27" s="13"/>
      <c r="X27" s="13"/>
      <c r="Y27" s="13"/>
      <c r="Z27" s="13"/>
      <c r="AA27" s="13"/>
      <c r="AB27" s="13"/>
      <c r="AE27" s="13"/>
      <c r="AF27" s="13"/>
      <c r="AG27" s="13"/>
      <c r="AH27" s="13"/>
      <c r="AI27" s="13"/>
      <c r="AJ27" s="13"/>
      <c r="AK27" s="13"/>
      <c r="AL27" s="13"/>
      <c r="AM27" s="13"/>
      <c r="AN27" s="13"/>
      <c r="AO27" s="13"/>
      <c r="AP27" s="13"/>
    </row>
    <row r="28" spans="1:56">
      <c r="A28" s="339"/>
      <c r="B28" s="45" t="str">
        <f>'Sectionwise Working'!A244</f>
        <v>R&amp;D (PD)</v>
      </c>
      <c r="C28" s="45" t="s">
        <v>941</v>
      </c>
      <c r="D28" s="648"/>
      <c r="E28" s="648"/>
      <c r="F28" s="648"/>
      <c r="G28" s="648"/>
      <c r="H28" s="726"/>
      <c r="I28" s="727"/>
      <c r="J28" s="727"/>
      <c r="K28" s="727"/>
      <c r="L28" s="727"/>
      <c r="M28" s="727">
        <v>0</v>
      </c>
      <c r="N28" s="727"/>
      <c r="O28" s="727"/>
      <c r="P28" s="40">
        <f t="shared" si="11"/>
        <v>0</v>
      </c>
      <c r="Q28" s="13"/>
      <c r="R28" s="13"/>
      <c r="S28" s="13"/>
      <c r="T28" s="13"/>
      <c r="U28" s="13"/>
      <c r="V28" s="13"/>
      <c r="W28" s="13"/>
      <c r="X28" s="13"/>
      <c r="Y28" s="13"/>
      <c r="Z28" s="13"/>
      <c r="AA28" s="13"/>
      <c r="AB28" s="13"/>
      <c r="AE28" s="13"/>
      <c r="AF28" s="13"/>
      <c r="AG28" s="13"/>
      <c r="AH28" s="13"/>
      <c r="AI28" s="13"/>
      <c r="AJ28" s="13"/>
      <c r="AK28" s="13"/>
      <c r="AL28" s="13"/>
      <c r="AM28" s="13"/>
      <c r="AN28" s="13"/>
      <c r="AO28" s="13"/>
      <c r="AP28" s="13"/>
    </row>
    <row r="29" spans="1:56">
      <c r="A29" s="339" t="s">
        <v>672</v>
      </c>
      <c r="B29" s="45" t="str">
        <f>'Sectionwise Working'!A258</f>
        <v>SCM (Stores &amp; WH)</v>
      </c>
      <c r="C29" s="45" t="s">
        <v>940</v>
      </c>
      <c r="D29" s="648">
        <v>70</v>
      </c>
      <c r="E29" s="861">
        <v>70</v>
      </c>
      <c r="F29" s="861">
        <v>70</v>
      </c>
      <c r="G29" s="861">
        <v>70</v>
      </c>
      <c r="H29" s="861">
        <v>70</v>
      </c>
      <c r="I29" s="861">
        <v>70</v>
      </c>
      <c r="J29" s="861">
        <v>70</v>
      </c>
      <c r="K29" s="861">
        <v>70</v>
      </c>
      <c r="L29" s="861">
        <v>70</v>
      </c>
      <c r="M29" s="861">
        <v>70</v>
      </c>
      <c r="N29" s="861">
        <v>70</v>
      </c>
      <c r="O29" s="861">
        <v>70</v>
      </c>
      <c r="P29" s="40">
        <f t="shared" si="11"/>
        <v>70</v>
      </c>
      <c r="Q29" s="13"/>
      <c r="R29" s="13"/>
      <c r="S29" s="13"/>
      <c r="T29" s="13"/>
      <c r="U29" s="13"/>
      <c r="V29" s="13"/>
      <c r="W29" s="13"/>
      <c r="X29" s="13"/>
      <c r="Y29" s="13"/>
      <c r="Z29" s="13"/>
      <c r="AA29" s="13"/>
      <c r="AB29" s="13"/>
      <c r="AE29" s="13"/>
      <c r="AF29" s="13"/>
      <c r="AG29" s="13"/>
      <c r="AH29" s="13"/>
      <c r="AI29" s="13"/>
      <c r="AJ29" s="13"/>
      <c r="AK29" s="13"/>
      <c r="AL29" s="13"/>
      <c r="AM29" s="13"/>
      <c r="AN29" s="13"/>
      <c r="AO29" s="13"/>
      <c r="AP29" s="13"/>
    </row>
    <row r="30" spans="1:56">
      <c r="A30" s="339"/>
      <c r="B30" s="45" t="str">
        <f>'Sectionwise Working'!A259</f>
        <v>SCM (Stores &amp; WH)</v>
      </c>
      <c r="C30" s="45" t="s">
        <v>941</v>
      </c>
      <c r="D30" s="757">
        <v>4</v>
      </c>
      <c r="E30" s="757">
        <v>4</v>
      </c>
      <c r="F30" s="757">
        <v>4</v>
      </c>
      <c r="G30" s="757">
        <v>4</v>
      </c>
      <c r="H30" s="757">
        <v>4</v>
      </c>
      <c r="I30" s="757">
        <v>4</v>
      </c>
      <c r="J30" s="757">
        <v>4</v>
      </c>
      <c r="K30" s="757">
        <v>4</v>
      </c>
      <c r="L30" s="757">
        <v>4</v>
      </c>
      <c r="M30" s="757">
        <v>4</v>
      </c>
      <c r="N30" s="757">
        <v>4</v>
      </c>
      <c r="O30" s="757">
        <v>4</v>
      </c>
      <c r="P30" s="40">
        <f t="shared" si="11"/>
        <v>4</v>
      </c>
      <c r="Q30" s="13"/>
      <c r="R30" s="13"/>
      <c r="S30" s="13"/>
      <c r="T30" s="13"/>
      <c r="U30" s="13"/>
      <c r="V30" s="13"/>
      <c r="W30" s="13"/>
      <c r="X30" s="13"/>
      <c r="Y30" s="13"/>
      <c r="Z30" s="13"/>
      <c r="AA30" s="13"/>
      <c r="AB30" s="13"/>
      <c r="AE30" s="13"/>
      <c r="AF30" s="13"/>
      <c r="AG30" s="13"/>
      <c r="AH30" s="13"/>
      <c r="AI30" s="13"/>
      <c r="AJ30" s="13"/>
      <c r="AK30" s="13"/>
      <c r="AL30" s="13"/>
      <c r="AM30" s="13"/>
      <c r="AN30" s="13"/>
      <c r="AO30" s="13"/>
      <c r="AP30" s="13"/>
    </row>
    <row r="31" spans="1:56">
      <c r="A31" s="339"/>
      <c r="B31" s="45" t="str">
        <f>'Sectionwise Working'!A260</f>
        <v>SCM (Stores &amp; WH)</v>
      </c>
      <c r="C31" s="13" t="s">
        <v>943</v>
      </c>
      <c r="D31" s="648">
        <v>30</v>
      </c>
      <c r="E31" s="648">
        <v>30</v>
      </c>
      <c r="F31" s="648">
        <v>30</v>
      </c>
      <c r="G31" s="648">
        <v>30</v>
      </c>
      <c r="H31" s="725">
        <v>30</v>
      </c>
      <c r="I31" s="725">
        <v>30</v>
      </c>
      <c r="J31" s="725">
        <v>30</v>
      </c>
      <c r="K31" s="725">
        <v>30</v>
      </c>
      <c r="L31" s="725">
        <v>30</v>
      </c>
      <c r="M31" s="725">
        <v>30</v>
      </c>
      <c r="N31" s="725">
        <v>30</v>
      </c>
      <c r="O31" s="725">
        <v>30</v>
      </c>
      <c r="P31" s="40">
        <f t="shared" si="11"/>
        <v>30</v>
      </c>
      <c r="Q31" s="13"/>
      <c r="R31" s="13"/>
      <c r="S31" s="13"/>
      <c r="T31" s="13"/>
      <c r="U31" s="13"/>
      <c r="V31" s="13"/>
      <c r="W31" s="13"/>
      <c r="X31" s="13"/>
      <c r="Y31" s="13"/>
      <c r="Z31" s="13"/>
      <c r="AA31" s="13"/>
      <c r="AB31" s="13"/>
      <c r="AE31" s="13"/>
      <c r="AF31" s="13"/>
      <c r="AG31" s="13"/>
      <c r="AH31" s="13"/>
      <c r="AI31" s="13"/>
      <c r="AJ31" s="13"/>
      <c r="AK31" s="13"/>
      <c r="AL31" s="13"/>
      <c r="AM31" s="13"/>
      <c r="AN31" s="13"/>
      <c r="AO31" s="13"/>
      <c r="AP31" s="13"/>
    </row>
    <row r="32" spans="1:56">
      <c r="A32" s="340" t="s">
        <v>674</v>
      </c>
      <c r="B32" s="13" t="str">
        <f>'Sectionwise Working'!A274</f>
        <v>Common</v>
      </c>
      <c r="C32" s="13"/>
      <c r="D32" s="648">
        <v>183</v>
      </c>
      <c r="E32" s="777">
        <v>183</v>
      </c>
      <c r="F32" s="777">
        <v>183</v>
      </c>
      <c r="G32" s="777">
        <v>183</v>
      </c>
      <c r="H32" s="777">
        <v>183</v>
      </c>
      <c r="I32" s="777">
        <v>183</v>
      </c>
      <c r="J32" s="777">
        <v>183</v>
      </c>
      <c r="K32" s="777">
        <v>183</v>
      </c>
      <c r="L32" s="777">
        <v>183</v>
      </c>
      <c r="M32" s="777">
        <v>183</v>
      </c>
      <c r="N32" s="777">
        <v>183</v>
      </c>
      <c r="O32" s="777">
        <v>183</v>
      </c>
      <c r="P32" s="40">
        <f t="shared" si="11"/>
        <v>183</v>
      </c>
      <c r="Q32" s="13"/>
      <c r="R32" s="13"/>
      <c r="S32" s="13"/>
      <c r="T32" s="13"/>
      <c r="U32" s="13"/>
      <c r="V32" s="13"/>
      <c r="W32" s="13"/>
      <c r="X32" s="13"/>
      <c r="Y32" s="13"/>
      <c r="Z32" s="13"/>
      <c r="AA32" s="13"/>
      <c r="AB32" s="13"/>
      <c r="AE32" s="13"/>
      <c r="AF32" s="13"/>
      <c r="AG32" s="13"/>
      <c r="AH32" s="13"/>
      <c r="AI32" s="13"/>
      <c r="AJ32" s="13"/>
      <c r="AK32" s="13"/>
      <c r="AL32" s="13"/>
      <c r="AM32" s="13"/>
      <c r="AN32" s="13"/>
      <c r="AO32" s="13"/>
      <c r="AP32" s="13"/>
    </row>
    <row r="33" spans="1:56">
      <c r="A33" s="339" t="s">
        <v>672</v>
      </c>
      <c r="B33" s="310" t="str">
        <f>'Sectionwise Working'!B397</f>
        <v>SPC</v>
      </c>
      <c r="C33" s="310"/>
      <c r="D33" s="757">
        <v>46</v>
      </c>
      <c r="E33" s="757">
        <v>46</v>
      </c>
      <c r="F33" s="757">
        <v>46</v>
      </c>
      <c r="G33" s="757">
        <v>46</v>
      </c>
      <c r="H33" s="757">
        <v>46</v>
      </c>
      <c r="I33" s="757">
        <v>46</v>
      </c>
      <c r="J33" s="757">
        <v>46</v>
      </c>
      <c r="K33" s="757">
        <v>46</v>
      </c>
      <c r="L33" s="757">
        <v>46</v>
      </c>
      <c r="M33" s="757">
        <v>46</v>
      </c>
      <c r="N33" s="757">
        <v>46</v>
      </c>
      <c r="O33" s="757">
        <v>46</v>
      </c>
      <c r="P33" s="40">
        <f t="shared" si="11"/>
        <v>46</v>
      </c>
      <c r="Q33" s="19">
        <v>29307.048499999994</v>
      </c>
      <c r="R33" s="19">
        <v>27055.371500000001</v>
      </c>
      <c r="S33" s="19">
        <v>28660.127500000002</v>
      </c>
      <c r="T33" s="19">
        <v>37349.860999999997</v>
      </c>
      <c r="U33" s="19">
        <v>44727.179999999986</v>
      </c>
      <c r="V33" s="19">
        <v>57325.257499999985</v>
      </c>
      <c r="W33" s="19">
        <v>72117.17849999998</v>
      </c>
      <c r="X33" s="19">
        <v>74386.185999999987</v>
      </c>
      <c r="Y33" s="19">
        <v>54424.173200000005</v>
      </c>
      <c r="Z33" s="19">
        <v>65285.157299999999</v>
      </c>
      <c r="AA33" s="19">
        <v>60950</v>
      </c>
      <c r="AB33" s="19">
        <v>57500</v>
      </c>
      <c r="AC33" s="39">
        <f>AVERAGE(Q33:AB33)</f>
        <v>50757.295083333331</v>
      </c>
      <c r="AD33" s="39"/>
      <c r="AE33" s="308">
        <f>Q33/D33</f>
        <v>637.10974999999985</v>
      </c>
      <c r="AF33" s="308">
        <f>R33/E33</f>
        <v>588.16025000000002</v>
      </c>
      <c r="AG33" s="308">
        <f>S33/F33</f>
        <v>623.0462500000001</v>
      </c>
      <c r="AH33" s="308">
        <f>T33/G33</f>
        <v>811.95349999999996</v>
      </c>
      <c r="AI33" s="308">
        <f t="shared" ref="AI33:AP33" si="14">U33/H33</f>
        <v>972.3299999999997</v>
      </c>
      <c r="AJ33" s="308">
        <f t="shared" si="14"/>
        <v>1246.2012499999996</v>
      </c>
      <c r="AK33" s="308">
        <f t="shared" si="14"/>
        <v>1567.7647499999996</v>
      </c>
      <c r="AL33" s="308">
        <f t="shared" si="14"/>
        <v>1617.0909999999997</v>
      </c>
      <c r="AM33" s="308">
        <f t="shared" si="14"/>
        <v>1183.1342000000002</v>
      </c>
      <c r="AN33" s="308">
        <f t="shared" si="14"/>
        <v>1419.2425499999999</v>
      </c>
      <c r="AO33" s="308">
        <f t="shared" si="14"/>
        <v>1325</v>
      </c>
      <c r="AP33" s="308">
        <f t="shared" si="14"/>
        <v>1250</v>
      </c>
      <c r="AS33" s="19">
        <f>('Production 2nd'!D64*1000)/DAY(EOMONTH(AS$2,0))</f>
        <v>4814.400146352622</v>
      </c>
      <c r="AT33" s="19">
        <f>('Production 2nd'!E64*1000)/DAY(EOMONTH(AT$2,0))</f>
        <v>9885.0126609465424</v>
      </c>
      <c r="AU33" s="19">
        <f>('Production 2nd'!F64*1000)/DAY(EOMONTH(AU$2,0))</f>
        <v>5806.807362587484</v>
      </c>
      <c r="AV33" s="19">
        <f>('Production 2nd'!G64*1000)/DAY(EOMONTH(AV$2,0))</f>
        <v>7655.8481996344144</v>
      </c>
      <c r="AW33" s="19">
        <f>('Production 2nd'!H64*1000)/DAY(EOMONTH(AW$2,0))</f>
        <v>7726.4446449600382</v>
      </c>
      <c r="AX33" s="19">
        <f>('Production 2nd'!I64*1000)/DAY(EOMONTH(AX$2,0))</f>
        <v>8160.6185806463827</v>
      </c>
      <c r="AY33" s="19">
        <f>('Production 2nd'!J64*1000)/DAY(EOMONTH(AY$2,0))</f>
        <v>7665.2889863509208</v>
      </c>
      <c r="AZ33" s="19">
        <f>('Production 2nd'!K64*1000)/DAY(EOMONTH(AZ$2,0))</f>
        <v>9665.7844268852241</v>
      </c>
      <c r="BA33" s="19">
        <f>('Production 2nd'!L64*1000)/DAY(EOMONTH(BA$2,0))</f>
        <v>8421.6976844155979</v>
      </c>
      <c r="BB33" s="19">
        <f>('Production 2nd'!M64*1000)/DAY(EOMONTH(BB$2,0))</f>
        <v>8912.6849910601795</v>
      </c>
      <c r="BC33" s="19">
        <f>('Production 2nd'!N64*1000)/DAY(EOMONTH(BC$2,0))</f>
        <v>10295.817238479654</v>
      </c>
      <c r="BD33" s="19">
        <f>('Production 2nd'!O64*1000)/DAY(EOMONTH(BD$2,0))</f>
        <v>8571.9721785072452</v>
      </c>
    </row>
    <row r="34" spans="1:56" ht="15" thickBot="1">
      <c r="A34" s="343"/>
      <c r="B34" s="344"/>
      <c r="C34" s="344"/>
      <c r="D34" s="648"/>
      <c r="E34" s="648"/>
      <c r="F34" s="648"/>
      <c r="G34" s="648"/>
      <c r="H34" s="648"/>
      <c r="I34" s="648"/>
      <c r="J34" s="648"/>
      <c r="K34" s="648"/>
      <c r="L34" s="648"/>
      <c r="M34" s="648"/>
      <c r="N34" s="648"/>
      <c r="O34" s="648"/>
    </row>
    <row r="35" spans="1:56">
      <c r="D35" s="94">
        <f>SUM(D3:D34)</f>
        <v>1703.5</v>
      </c>
      <c r="E35" s="94">
        <f t="shared" ref="E35:O35" si="15">SUM(E3:E34)</f>
        <v>1693</v>
      </c>
      <c r="F35" s="94">
        <f t="shared" si="15"/>
        <v>1673.5</v>
      </c>
      <c r="G35" s="94">
        <f t="shared" si="15"/>
        <v>1688.5</v>
      </c>
      <c r="H35" s="94">
        <f t="shared" si="15"/>
        <v>1732.5</v>
      </c>
      <c r="I35" s="94">
        <f>SUM(I3:I34)</f>
        <v>1735.5</v>
      </c>
      <c r="J35" s="94">
        <f t="shared" si="15"/>
        <v>1716.5</v>
      </c>
      <c r="K35" s="94">
        <f t="shared" si="15"/>
        <v>1672.5</v>
      </c>
      <c r="L35" s="94">
        <f t="shared" si="15"/>
        <v>1699.5</v>
      </c>
      <c r="M35" s="94">
        <f t="shared" si="15"/>
        <v>1625</v>
      </c>
      <c r="N35" s="94">
        <f t="shared" si="15"/>
        <v>1678</v>
      </c>
      <c r="O35" s="94">
        <f t="shared" si="15"/>
        <v>1603.5</v>
      </c>
      <c r="P35" s="40">
        <f>AVERAGE(I35:O35)</f>
        <v>1675.7857142857142</v>
      </c>
    </row>
    <row r="36" spans="1:56">
      <c r="H36" s="858"/>
    </row>
    <row r="38" spans="1:56">
      <c r="I38" s="40"/>
    </row>
    <row r="40" spans="1:56">
      <c r="H40" s="44"/>
    </row>
    <row r="41" spans="1:56">
      <c r="G41" s="1438" t="s">
        <v>1030</v>
      </c>
      <c r="H41" s="1438"/>
      <c r="I41" s="40">
        <f t="shared" ref="I41:O41" si="16">SUM(I3:I21,I22,I24,I27,I29)</f>
        <v>1401.5</v>
      </c>
      <c r="J41" s="40">
        <f t="shared" si="16"/>
        <v>1382.5</v>
      </c>
      <c r="K41" s="40">
        <f t="shared" si="16"/>
        <v>1338.5</v>
      </c>
      <c r="L41" s="40">
        <f t="shared" si="16"/>
        <v>1365.5</v>
      </c>
      <c r="M41" s="40">
        <f t="shared" si="16"/>
        <v>1291</v>
      </c>
      <c r="N41" s="40">
        <f t="shared" si="16"/>
        <v>1344</v>
      </c>
      <c r="O41" s="40">
        <f t="shared" si="16"/>
        <v>1269.5</v>
      </c>
      <c r="P41" s="40">
        <f>AVERAGE(H41:O41)</f>
        <v>1341.7857142857142</v>
      </c>
      <c r="Q41" s="40">
        <v>1332.375</v>
      </c>
      <c r="R41" s="728">
        <f>1-P41/Q41</f>
        <v>-7.0631123262701045E-3</v>
      </c>
    </row>
    <row r="42" spans="1:56">
      <c r="G42" s="1438" t="s">
        <v>941</v>
      </c>
      <c r="H42" s="1438"/>
      <c r="I42" s="40">
        <f t="shared" ref="I42:O42" si="17">SUM(I23,I25,I28,I30,I33)</f>
        <v>58</v>
      </c>
      <c r="J42" s="40">
        <f t="shared" si="17"/>
        <v>58</v>
      </c>
      <c r="K42" s="40">
        <f t="shared" si="17"/>
        <v>58</v>
      </c>
      <c r="L42" s="40">
        <f t="shared" si="17"/>
        <v>58</v>
      </c>
      <c r="M42" s="40">
        <f t="shared" si="17"/>
        <v>58</v>
      </c>
      <c r="N42" s="40">
        <f t="shared" si="17"/>
        <v>58</v>
      </c>
      <c r="O42" s="40">
        <f t="shared" si="17"/>
        <v>58</v>
      </c>
      <c r="P42" s="40">
        <f>AVERAGE(H42:O42)</f>
        <v>58</v>
      </c>
      <c r="Q42" s="40">
        <v>245</v>
      </c>
      <c r="R42" s="728">
        <f>1-P42/Q42</f>
        <v>0.76326530612244903</v>
      </c>
    </row>
    <row r="43" spans="1:56">
      <c r="G43" s="1438" t="s">
        <v>1031</v>
      </c>
      <c r="H43" s="1438"/>
      <c r="I43" s="40">
        <f t="shared" ref="I43:O43" si="18">SUM(I32,I31,I26)</f>
        <v>276</v>
      </c>
      <c r="J43" s="40">
        <f t="shared" si="18"/>
        <v>276</v>
      </c>
      <c r="K43" s="40">
        <f t="shared" si="18"/>
        <v>276</v>
      </c>
      <c r="L43" s="40">
        <f t="shared" si="18"/>
        <v>276</v>
      </c>
      <c r="M43" s="40">
        <f t="shared" si="18"/>
        <v>276</v>
      </c>
      <c r="N43" s="40">
        <f t="shared" si="18"/>
        <v>276</v>
      </c>
      <c r="O43" s="40">
        <f t="shared" si="18"/>
        <v>276</v>
      </c>
      <c r="P43" s="40">
        <f>AVERAGE(H43:O43)</f>
        <v>276</v>
      </c>
      <c r="Q43" s="40">
        <v>292</v>
      </c>
      <c r="R43" s="728">
        <f>1-P43/Q43</f>
        <v>5.4794520547945202E-2</v>
      </c>
    </row>
    <row r="44" spans="1:56">
      <c r="H44" s="40"/>
      <c r="I44" s="40">
        <f t="shared" ref="I44:O44" si="19">SUM(I41:I43)</f>
        <v>1735.5</v>
      </c>
      <c r="J44" s="40">
        <f t="shared" si="19"/>
        <v>1716.5</v>
      </c>
      <c r="K44" s="40">
        <f t="shared" si="19"/>
        <v>1672.5</v>
      </c>
      <c r="L44" s="40">
        <f t="shared" si="19"/>
        <v>1699.5</v>
      </c>
      <c r="M44" s="40">
        <f t="shared" si="19"/>
        <v>1625</v>
      </c>
      <c r="N44" s="40">
        <f t="shared" si="19"/>
        <v>1678</v>
      </c>
      <c r="O44" s="40">
        <f t="shared" si="19"/>
        <v>1603.5</v>
      </c>
      <c r="P44" s="40">
        <f>SUM(P41:P43)</f>
        <v>1675.7857142857142</v>
      </c>
      <c r="Q44" s="40">
        <f>SUM(Q41:Q43)</f>
        <v>1869.375</v>
      </c>
      <c r="R44" s="728">
        <f>1-P44/Q44</f>
        <v>0.1035582939294073</v>
      </c>
    </row>
    <row r="46" spans="1:56">
      <c r="J46" s="40">
        <f>J41+J43</f>
        <v>1658.5</v>
      </c>
      <c r="K46" s="40">
        <f>K41+K43</f>
        <v>1614.5</v>
      </c>
      <c r="L46" s="40">
        <f>L41+L43</f>
        <v>1641.5</v>
      </c>
      <c r="M46" s="40">
        <f>AVERAGE(J46:L46)</f>
        <v>1638.1666666666667</v>
      </c>
      <c r="R46" s="40">
        <f>Q44-P44</f>
        <v>193.58928571428578</v>
      </c>
    </row>
    <row r="47" spans="1:56">
      <c r="R47" s="211">
        <f>R46*26500</f>
        <v>5130116.0714285728</v>
      </c>
    </row>
    <row r="48" spans="1:56">
      <c r="R48" s="41">
        <f>R47*7</f>
        <v>35910812.500000007</v>
      </c>
    </row>
    <row r="52" spans="9:10">
      <c r="I52" t="s">
        <v>1083</v>
      </c>
      <c r="J52">
        <v>44</v>
      </c>
    </row>
    <row r="53" spans="9:10">
      <c r="I53" t="s">
        <v>308</v>
      </c>
      <c r="J53">
        <v>4</v>
      </c>
    </row>
    <row r="54" spans="9:10">
      <c r="I54" t="s">
        <v>522</v>
      </c>
      <c r="J54">
        <v>4</v>
      </c>
    </row>
    <row r="55" spans="9:10">
      <c r="I55" t="s">
        <v>297</v>
      </c>
      <c r="J55">
        <v>4</v>
      </c>
    </row>
    <row r="56" spans="9:10">
      <c r="I56" t="s">
        <v>1084</v>
      </c>
      <c r="J56">
        <v>2</v>
      </c>
    </row>
  </sheetData>
  <mergeCells count="39">
    <mergeCell ref="AE3:AE14"/>
    <mergeCell ref="AE16:AE17"/>
    <mergeCell ref="AE18:AE19"/>
    <mergeCell ref="AF3:AF14"/>
    <mergeCell ref="AF16:AF17"/>
    <mergeCell ref="AF18:AF19"/>
    <mergeCell ref="AG3:AG14"/>
    <mergeCell ref="AH3:AH14"/>
    <mergeCell ref="AI3:AI14"/>
    <mergeCell ref="AJ3:AJ14"/>
    <mergeCell ref="AK3:AK14"/>
    <mergeCell ref="AL3:AL14"/>
    <mergeCell ref="AM3:AM14"/>
    <mergeCell ref="AN3:AN14"/>
    <mergeCell ref="AO3:AO14"/>
    <mergeCell ref="AP3:AP14"/>
    <mergeCell ref="AG16:AG17"/>
    <mergeCell ref="AH16:AH17"/>
    <mergeCell ref="AI16:AI17"/>
    <mergeCell ref="AJ16:AJ17"/>
    <mergeCell ref="AK16:AK17"/>
    <mergeCell ref="AL16:AL17"/>
    <mergeCell ref="AM16:AM17"/>
    <mergeCell ref="AN16:AN17"/>
    <mergeCell ref="AO16:AO17"/>
    <mergeCell ref="AP16:AP17"/>
    <mergeCell ref="AN18:AN19"/>
    <mergeCell ref="AO18:AO19"/>
    <mergeCell ref="AP18:AP19"/>
    <mergeCell ref="AG18:AG19"/>
    <mergeCell ref="AH18:AH19"/>
    <mergeCell ref="AI18:AI19"/>
    <mergeCell ref="AJ18:AJ19"/>
    <mergeCell ref="AK18:AK19"/>
    <mergeCell ref="G41:H41"/>
    <mergeCell ref="G42:H42"/>
    <mergeCell ref="G43:H43"/>
    <mergeCell ref="AL18:AL19"/>
    <mergeCell ref="AM18:AM19"/>
  </mergeCells>
  <pageMargins left="0.7" right="0.7" top="0.75" bottom="0.75" header="0.3" footer="0.3"/>
  <pageSetup scale="5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1"/>
  <sheetViews>
    <sheetView showGridLines="0" zoomScale="80" zoomScaleNormal="80" workbookViewId="0">
      <pane xSplit="3" ySplit="2" topLeftCell="D7" activePane="bottomRight" state="frozen"/>
      <selection activeCell="E52" sqref="E52"/>
      <selection pane="topRight" activeCell="E52" sqref="E52"/>
      <selection pane="bottomLeft" activeCell="E52" sqref="E52"/>
      <selection pane="bottomRight" activeCell="K28" sqref="K28"/>
    </sheetView>
  </sheetViews>
  <sheetFormatPr defaultColWidth="9.1796875" defaultRowHeight="14.5"/>
  <cols>
    <col min="1" max="2" width="9.1796875" style="655"/>
    <col min="3" max="3" width="40.54296875" style="655" bestFit="1" customWidth="1"/>
    <col min="4" max="19" width="11.26953125" style="655" bestFit="1" customWidth="1"/>
    <col min="20" max="21" width="12.81640625" style="655" bestFit="1" customWidth="1"/>
    <col min="22" max="22" width="12.81640625" style="658" bestFit="1" customWidth="1"/>
    <col min="23" max="23" width="10" style="655" bestFit="1" customWidth="1"/>
    <col min="24" max="24" width="12.81640625" style="655" bestFit="1" customWidth="1"/>
    <col min="25" max="26" width="11.26953125" style="655" bestFit="1" customWidth="1"/>
    <col min="27" max="27" width="9.54296875" style="655" bestFit="1" customWidth="1"/>
    <col min="28" max="28" width="12.81640625" style="655" bestFit="1" customWidth="1"/>
    <col min="29" max="30" width="9.54296875" style="655" bestFit="1" customWidth="1"/>
    <col min="31" max="42" width="10.81640625" style="659" bestFit="1" customWidth="1"/>
    <col min="43" max="51" width="10.54296875" style="655" bestFit="1" customWidth="1"/>
    <col min="52" max="52" width="12.1796875" style="655" bestFit="1" customWidth="1"/>
    <col min="53" max="53" width="9.1796875" style="655"/>
    <col min="54" max="54" width="17.26953125" style="655" bestFit="1" customWidth="1"/>
    <col min="55" max="66" width="9.54296875" style="655" bestFit="1" customWidth="1"/>
    <col min="67" max="67" width="10.54296875" style="655" bestFit="1" customWidth="1"/>
    <col min="68" max="68" width="9.1796875" style="655"/>
    <col min="69" max="69" width="16.7265625" style="655" bestFit="1" customWidth="1"/>
    <col min="70" max="70" width="8" style="655" bestFit="1" customWidth="1"/>
    <col min="71" max="81" width="9.54296875" style="655" bestFit="1" customWidth="1"/>
    <col min="82" max="82" width="10.54296875" style="655" bestFit="1" customWidth="1"/>
    <col min="83" max="16384" width="9.1796875" style="655"/>
  </cols>
  <sheetData>
    <row r="1" spans="3:42" ht="15" thickBot="1">
      <c r="J1" s="656">
        <f>J3/31</f>
        <v>11.668507581034955</v>
      </c>
      <c r="K1" s="657">
        <f>J8/31</f>
        <v>25.391092908933256</v>
      </c>
    </row>
    <row r="2" spans="3:42">
      <c r="C2" s="660" t="s">
        <v>301</v>
      </c>
      <c r="D2" s="661">
        <v>45748</v>
      </c>
      <c r="E2" s="661">
        <f>D2+31</f>
        <v>45779</v>
      </c>
      <c r="F2" s="661">
        <f t="shared" ref="F2:O2" si="0">E2+31</f>
        <v>45810</v>
      </c>
      <c r="G2" s="661">
        <f>F2+31</f>
        <v>45841</v>
      </c>
      <c r="H2" s="661">
        <f t="shared" si="0"/>
        <v>45872</v>
      </c>
      <c r="I2" s="661">
        <f t="shared" si="0"/>
        <v>45903</v>
      </c>
      <c r="J2" s="661">
        <f t="shared" si="0"/>
        <v>45934</v>
      </c>
      <c r="K2" s="661">
        <f t="shared" si="0"/>
        <v>45965</v>
      </c>
      <c r="L2" s="661">
        <f t="shared" si="0"/>
        <v>45996</v>
      </c>
      <c r="M2" s="661">
        <f t="shared" si="0"/>
        <v>46027</v>
      </c>
      <c r="N2" s="661">
        <f t="shared" si="0"/>
        <v>46058</v>
      </c>
      <c r="O2" s="661">
        <f t="shared" si="0"/>
        <v>46089</v>
      </c>
      <c r="P2" s="662" t="s">
        <v>962</v>
      </c>
      <c r="Q2" s="662" t="s">
        <v>963</v>
      </c>
      <c r="R2" s="662" t="s">
        <v>964</v>
      </c>
      <c r="S2" s="662" t="s">
        <v>965</v>
      </c>
      <c r="T2" s="662" t="s">
        <v>966</v>
      </c>
      <c r="U2" s="662" t="s">
        <v>967</v>
      </c>
      <c r="V2" s="663" t="s">
        <v>91</v>
      </c>
      <c r="X2" s="664" t="s">
        <v>968</v>
      </c>
      <c r="Y2" s="661" t="s">
        <v>969</v>
      </c>
      <c r="Z2" s="665" t="s">
        <v>970</v>
      </c>
      <c r="AB2" s="663" t="s">
        <v>91</v>
      </c>
    </row>
    <row r="3" spans="3:42">
      <c r="C3" s="666" t="s">
        <v>18</v>
      </c>
      <c r="D3" s="667">
        <v>217.0865130039075</v>
      </c>
      <c r="E3" s="667">
        <v>224.38582671098615</v>
      </c>
      <c r="F3" s="667">
        <v>268.61659718676992</v>
      </c>
      <c r="G3" s="667">
        <v>289.44333917137038</v>
      </c>
      <c r="H3" s="667">
        <v>303.16965148831116</v>
      </c>
      <c r="I3" s="667">
        <v>444.47104401245764</v>
      </c>
      <c r="J3" s="667">
        <v>361.72373501208364</v>
      </c>
      <c r="K3" s="667">
        <v>393.2196742404588</v>
      </c>
      <c r="L3" s="667">
        <v>375.23554163652005</v>
      </c>
      <c r="M3" s="667">
        <v>389.3470149261031</v>
      </c>
      <c r="N3" s="667">
        <v>444.40906196292377</v>
      </c>
      <c r="O3" s="667">
        <v>451.52181234320199</v>
      </c>
      <c r="P3" s="668">
        <f t="shared" ref="P3:P14" si="1">SUM(D3:F3)</f>
        <v>710.0889369016636</v>
      </c>
      <c r="Q3" s="668">
        <f>SUM(G3:I3)</f>
        <v>1037.0840346721393</v>
      </c>
      <c r="R3" s="668">
        <f>SUM(J3:L3)</f>
        <v>1130.1789508890624</v>
      </c>
      <c r="S3" s="668">
        <f>SUM(M3:O3)</f>
        <v>1285.277889232229</v>
      </c>
      <c r="T3" s="668">
        <f t="shared" ref="T3:T14" si="2">SUM(D3:I3)</f>
        <v>1747.1729715738029</v>
      </c>
      <c r="U3" s="668">
        <f>SUM(J3:O3)</f>
        <v>2415.4568401212914</v>
      </c>
      <c r="V3" s="669">
        <f t="shared" ref="V3:V12" si="3">SUM(D3:O3)</f>
        <v>4162.6298116950938</v>
      </c>
      <c r="W3" s="670"/>
      <c r="X3" s="671">
        <v>4576.4619200000006</v>
      </c>
      <c r="Y3" s="667"/>
      <c r="Z3" s="672">
        <f>SUM(X3:Y3)</f>
        <v>4576.4619200000006</v>
      </c>
      <c r="AB3" s="669">
        <v>6190.3707664986714</v>
      </c>
      <c r="AE3" s="659">
        <f>D3*1000/30</f>
        <v>7236.2171001302495</v>
      </c>
      <c r="AF3" s="659">
        <f>E3*1000/30</f>
        <v>7479.5275570328713</v>
      </c>
      <c r="AG3" s="659">
        <f>F3*1000/30</f>
        <v>8953.886572892332</v>
      </c>
      <c r="AH3" s="659">
        <f t="shared" ref="AH3:AP3" si="4">G3*1000/30</f>
        <v>9648.1113057123457</v>
      </c>
      <c r="AI3" s="659">
        <f t="shared" si="4"/>
        <v>10105.655049610372</v>
      </c>
      <c r="AJ3" s="659">
        <f t="shared" si="4"/>
        <v>14815.701467081923</v>
      </c>
      <c r="AK3" s="659">
        <f t="shared" si="4"/>
        <v>12057.457833736122</v>
      </c>
      <c r="AL3" s="659">
        <f t="shared" si="4"/>
        <v>13107.32247468196</v>
      </c>
      <c r="AM3" s="659">
        <f t="shared" si="4"/>
        <v>12507.851387884002</v>
      </c>
      <c r="AN3" s="659">
        <f t="shared" si="4"/>
        <v>12978.233830870104</v>
      </c>
      <c r="AO3" s="659">
        <f t="shared" si="4"/>
        <v>14813.635398764127</v>
      </c>
      <c r="AP3" s="659">
        <f t="shared" si="4"/>
        <v>15050.727078106733</v>
      </c>
    </row>
    <row r="4" spans="3:42">
      <c r="C4" s="666" t="s">
        <v>23</v>
      </c>
      <c r="D4" s="667">
        <v>696.31959106792738</v>
      </c>
      <c r="E4" s="667">
        <v>730.37507019328223</v>
      </c>
      <c r="F4" s="667">
        <v>820.18399689610544</v>
      </c>
      <c r="G4" s="667">
        <v>844.48867056341487</v>
      </c>
      <c r="H4" s="667">
        <v>825.37423725495796</v>
      </c>
      <c r="I4" s="667">
        <v>974.28174340708517</v>
      </c>
      <c r="J4" s="667">
        <v>893.58586491570009</v>
      </c>
      <c r="K4" s="667">
        <v>961.3897917230538</v>
      </c>
      <c r="L4" s="667">
        <v>942.50150971929759</v>
      </c>
      <c r="M4" s="667">
        <v>938.16197732848821</v>
      </c>
      <c r="N4" s="667">
        <v>950.78681021180319</v>
      </c>
      <c r="O4" s="667">
        <v>1025.0630577017093</v>
      </c>
      <c r="P4" s="668">
        <f t="shared" si="1"/>
        <v>2246.8786581573149</v>
      </c>
      <c r="Q4" s="668">
        <f t="shared" ref="Q4:Q14" si="5">SUM(G4:I4)</f>
        <v>2644.1446512254579</v>
      </c>
      <c r="R4" s="668">
        <f t="shared" ref="R4:R14" si="6">SUM(J4:L4)</f>
        <v>2797.4771663580514</v>
      </c>
      <c r="S4" s="668">
        <f t="shared" ref="S4:S14" si="7">SUM(M4:O4)</f>
        <v>2914.0118452420011</v>
      </c>
      <c r="T4" s="668">
        <f t="shared" si="2"/>
        <v>4891.0233093827728</v>
      </c>
      <c r="U4" s="668">
        <f t="shared" ref="U4:U14" si="8">SUM(J4:O4)</f>
        <v>5711.4890116000515</v>
      </c>
      <c r="V4" s="669">
        <f t="shared" si="3"/>
        <v>10602.512320982823</v>
      </c>
      <c r="W4" s="670"/>
      <c r="X4" s="671"/>
      <c r="Y4" s="667"/>
      <c r="Z4" s="672">
        <f t="shared" ref="Z4:Z15" si="9">SUM(X4:Y4)</f>
        <v>0</v>
      </c>
      <c r="AB4" s="669">
        <v>12608.616937840719</v>
      </c>
    </row>
    <row r="5" spans="3:42">
      <c r="C5" s="666" t="s">
        <v>350</v>
      </c>
      <c r="D5" s="667">
        <v>27.77278964306409</v>
      </c>
      <c r="E5" s="667">
        <v>29.067571267255904</v>
      </c>
      <c r="F5" s="667">
        <v>32.381725853111227</v>
      </c>
      <c r="G5" s="667">
        <v>33.091625696640904</v>
      </c>
      <c r="H5" s="667">
        <v>32.301688410826955</v>
      </c>
      <c r="I5" s="667">
        <v>38.264787750983906</v>
      </c>
      <c r="J5" s="667">
        <v>33.811564884547934</v>
      </c>
      <c r="K5" s="667">
        <v>36.119927743799394</v>
      </c>
      <c r="L5" s="667">
        <v>36.081341893672281</v>
      </c>
      <c r="M5" s="667">
        <v>35.844841009886274</v>
      </c>
      <c r="N5" s="667">
        <v>36.47681443864969</v>
      </c>
      <c r="O5" s="667">
        <v>38.657447933673858</v>
      </c>
      <c r="P5" s="668">
        <f t="shared" si="1"/>
        <v>89.222086763431221</v>
      </c>
      <c r="Q5" s="668">
        <f t="shared" si="5"/>
        <v>103.65810185845177</v>
      </c>
      <c r="R5" s="668">
        <f t="shared" si="6"/>
        <v>106.0128345220196</v>
      </c>
      <c r="S5" s="668">
        <f t="shared" si="7"/>
        <v>110.97910338220981</v>
      </c>
      <c r="T5" s="668">
        <f t="shared" si="2"/>
        <v>192.88018862188298</v>
      </c>
      <c r="U5" s="668">
        <f t="shared" si="8"/>
        <v>216.99193790422942</v>
      </c>
      <c r="V5" s="669">
        <f t="shared" si="3"/>
        <v>409.87212652611242</v>
      </c>
      <c r="W5" s="670"/>
      <c r="X5" s="671"/>
      <c r="Y5" s="667"/>
      <c r="Z5" s="672"/>
      <c r="AB5" s="669"/>
    </row>
    <row r="6" spans="3:42">
      <c r="C6" s="666" t="s">
        <v>241</v>
      </c>
      <c r="D6" s="667">
        <v>59.494690794964441</v>
      </c>
      <c r="E6" s="667">
        <v>64.880017200729696</v>
      </c>
      <c r="F6" s="667">
        <v>77.092632552713212</v>
      </c>
      <c r="G6" s="667">
        <v>88.521178902030542</v>
      </c>
      <c r="H6" s="667">
        <v>90.537352157970659</v>
      </c>
      <c r="I6" s="667">
        <v>137.43108427441902</v>
      </c>
      <c r="J6" s="667">
        <v>99.909518115498486</v>
      </c>
      <c r="K6" s="667">
        <v>95.481451377985877</v>
      </c>
      <c r="L6" s="667">
        <v>86.173285480365934</v>
      </c>
      <c r="M6" s="667">
        <v>98.600341187936067</v>
      </c>
      <c r="N6" s="667">
        <v>128.03386025203395</v>
      </c>
      <c r="O6" s="667">
        <v>105.31227876622469</v>
      </c>
      <c r="P6" s="668">
        <f t="shared" si="1"/>
        <v>201.46734054840735</v>
      </c>
      <c r="Q6" s="668">
        <f t="shared" si="5"/>
        <v>316.48961533442025</v>
      </c>
      <c r="R6" s="668">
        <f t="shared" si="6"/>
        <v>281.56425497385032</v>
      </c>
      <c r="S6" s="668">
        <f t="shared" si="7"/>
        <v>331.94648020619468</v>
      </c>
      <c r="T6" s="668">
        <f t="shared" si="2"/>
        <v>517.95695588282751</v>
      </c>
      <c r="U6" s="668">
        <f t="shared" si="8"/>
        <v>613.510735180045</v>
      </c>
      <c r="V6" s="669">
        <f t="shared" si="3"/>
        <v>1131.4676910628725</v>
      </c>
      <c r="W6" s="670"/>
      <c r="X6" s="671"/>
      <c r="Y6" s="667"/>
      <c r="Z6" s="672">
        <f t="shared" si="9"/>
        <v>0</v>
      </c>
      <c r="AB6" s="669">
        <v>1807.9178496039196</v>
      </c>
    </row>
    <row r="7" spans="3:42">
      <c r="C7" s="666" t="s">
        <v>25</v>
      </c>
      <c r="D7" s="667">
        <v>727.76834661163593</v>
      </c>
      <c r="E7" s="667">
        <v>755.98574673027974</v>
      </c>
      <c r="F7" s="667">
        <v>836.25899401225479</v>
      </c>
      <c r="G7" s="667">
        <v>868.20299395550751</v>
      </c>
      <c r="H7" s="667">
        <v>834.86708880368394</v>
      </c>
      <c r="I7" s="667">
        <v>920.91948933620097</v>
      </c>
      <c r="J7" s="667">
        <v>853.51574698597267</v>
      </c>
      <c r="K7" s="667">
        <v>916.61102426039986</v>
      </c>
      <c r="L7" s="667">
        <v>915.45805627691857</v>
      </c>
      <c r="M7" s="667">
        <v>903.19226619836058</v>
      </c>
      <c r="N7" s="667">
        <v>857.03275102169675</v>
      </c>
      <c r="O7" s="667">
        <v>961.07603243026699</v>
      </c>
      <c r="P7" s="668">
        <f t="shared" si="1"/>
        <v>2320.0130873541702</v>
      </c>
      <c r="Q7" s="668">
        <f t="shared" si="5"/>
        <v>2623.9895720953923</v>
      </c>
      <c r="R7" s="668">
        <f t="shared" si="6"/>
        <v>2685.5848275232911</v>
      </c>
      <c r="S7" s="668">
        <f t="shared" si="7"/>
        <v>2721.3010496503243</v>
      </c>
      <c r="T7" s="668">
        <f t="shared" si="2"/>
        <v>4944.002659449563</v>
      </c>
      <c r="U7" s="668">
        <f t="shared" si="8"/>
        <v>5406.8858771736159</v>
      </c>
      <c r="V7" s="669">
        <f t="shared" si="3"/>
        <v>10350.888536623179</v>
      </c>
      <c r="W7" s="670"/>
      <c r="X7" s="671"/>
      <c r="Y7" s="667"/>
      <c r="Z7" s="672">
        <f t="shared" si="9"/>
        <v>0</v>
      </c>
      <c r="AB7" s="669">
        <v>13727.843279711489</v>
      </c>
    </row>
    <row r="8" spans="3:42">
      <c r="C8" s="666" t="s">
        <v>16</v>
      </c>
      <c r="D8" s="667">
        <v>787.98503620689064</v>
      </c>
      <c r="E8" s="667">
        <v>814.24184811142027</v>
      </c>
      <c r="F8" s="667">
        <v>875.67845437053552</v>
      </c>
      <c r="G8" s="667">
        <v>833.86407801999007</v>
      </c>
      <c r="H8" s="667">
        <v>788.5692070103662</v>
      </c>
      <c r="I8" s="667">
        <v>813.58763830358112</v>
      </c>
      <c r="J8" s="667">
        <v>787.12388017693092</v>
      </c>
      <c r="K8" s="667">
        <v>826.9845242350741</v>
      </c>
      <c r="L8" s="667">
        <v>848.42762432211816</v>
      </c>
      <c r="M8" s="667">
        <v>815.58980922075011</v>
      </c>
      <c r="N8" s="667">
        <v>769.24721635630931</v>
      </c>
      <c r="O8" s="667">
        <v>836.44798225574232</v>
      </c>
      <c r="P8" s="668">
        <f t="shared" si="1"/>
        <v>2477.9053386888463</v>
      </c>
      <c r="Q8" s="668">
        <f t="shared" si="5"/>
        <v>2436.0209233339374</v>
      </c>
      <c r="R8" s="668">
        <f t="shared" si="6"/>
        <v>2462.5360287341232</v>
      </c>
      <c r="S8" s="668">
        <f t="shared" si="7"/>
        <v>2421.285007832802</v>
      </c>
      <c r="T8" s="668">
        <f t="shared" si="2"/>
        <v>4913.9262620227837</v>
      </c>
      <c r="U8" s="668">
        <f t="shared" si="8"/>
        <v>4883.8210365669256</v>
      </c>
      <c r="V8" s="669">
        <f t="shared" si="3"/>
        <v>9797.7472985897075</v>
      </c>
      <c r="W8" s="670"/>
      <c r="X8" s="671">
        <v>10013.044109999997</v>
      </c>
      <c r="Y8" s="667"/>
      <c r="Z8" s="672">
        <f t="shared" si="9"/>
        <v>10013.044109999997</v>
      </c>
      <c r="AB8" s="669">
        <v>11943.984271124487</v>
      </c>
      <c r="AE8" s="659">
        <f>D8*1000/30</f>
        <v>26266.167873563019</v>
      </c>
      <c r="AF8" s="659">
        <f>E8*1000/30</f>
        <v>27141.394937047342</v>
      </c>
      <c r="AG8" s="659">
        <f>F8*1000/30</f>
        <v>29189.281812351186</v>
      </c>
      <c r="AH8" s="659">
        <f t="shared" ref="AH8:AP8" si="10">G8*1000/30</f>
        <v>27795.469267333003</v>
      </c>
      <c r="AI8" s="659">
        <f t="shared" si="10"/>
        <v>26285.640233678874</v>
      </c>
      <c r="AJ8" s="659">
        <f t="shared" si="10"/>
        <v>27119.587943452705</v>
      </c>
      <c r="AK8" s="659">
        <f t="shared" si="10"/>
        <v>26237.462672564365</v>
      </c>
      <c r="AL8" s="659">
        <f t="shared" si="10"/>
        <v>27566.150807835802</v>
      </c>
      <c r="AM8" s="659">
        <f t="shared" si="10"/>
        <v>28280.920810737272</v>
      </c>
      <c r="AN8" s="659">
        <f t="shared" si="10"/>
        <v>27186.326974025003</v>
      </c>
      <c r="AO8" s="659">
        <f t="shared" si="10"/>
        <v>25641.573878543644</v>
      </c>
      <c r="AP8" s="659">
        <f t="shared" si="10"/>
        <v>27881.599408524744</v>
      </c>
    </row>
    <row r="9" spans="3:42">
      <c r="C9" s="666" t="s">
        <v>251</v>
      </c>
      <c r="D9" s="667">
        <v>779.31720080861487</v>
      </c>
      <c r="E9" s="667">
        <v>805.28518778219473</v>
      </c>
      <c r="F9" s="667">
        <v>866.04599137245975</v>
      </c>
      <c r="G9" s="667">
        <v>824.69157316177007</v>
      </c>
      <c r="H9" s="667">
        <v>779.89494573325203</v>
      </c>
      <c r="I9" s="667">
        <v>804.63817428224172</v>
      </c>
      <c r="J9" s="667">
        <v>778.46551749498451</v>
      </c>
      <c r="K9" s="667">
        <v>817.88769446848835</v>
      </c>
      <c r="L9" s="667">
        <v>839.094920454575</v>
      </c>
      <c r="M9" s="667">
        <v>806.61832131932192</v>
      </c>
      <c r="N9" s="667">
        <v>760.78549697638982</v>
      </c>
      <c r="O9" s="667">
        <v>827.24705445092911</v>
      </c>
      <c r="P9" s="668">
        <f t="shared" si="1"/>
        <v>2450.6483799632692</v>
      </c>
      <c r="Q9" s="668">
        <f t="shared" si="5"/>
        <v>2409.2246931772638</v>
      </c>
      <c r="R9" s="668">
        <f t="shared" si="6"/>
        <v>2435.4481324180479</v>
      </c>
      <c r="S9" s="668">
        <f t="shared" si="7"/>
        <v>2394.6508727466407</v>
      </c>
      <c r="T9" s="668">
        <f t="shared" si="2"/>
        <v>4859.8730731405331</v>
      </c>
      <c r="U9" s="668">
        <f t="shared" si="8"/>
        <v>4830.0990051646886</v>
      </c>
      <c r="V9" s="669">
        <f t="shared" si="3"/>
        <v>9689.9720783052217</v>
      </c>
      <c r="W9" s="670"/>
      <c r="X9" s="671"/>
      <c r="Y9" s="667"/>
      <c r="Z9" s="672">
        <f t="shared" si="9"/>
        <v>0</v>
      </c>
      <c r="AB9" s="669">
        <v>11573.720758719628</v>
      </c>
    </row>
    <row r="10" spans="3:42">
      <c r="C10" s="666" t="s">
        <v>147</v>
      </c>
      <c r="D10" s="667">
        <v>384.65535748062291</v>
      </c>
      <c r="E10" s="667">
        <v>388.36320508603427</v>
      </c>
      <c r="F10" s="667">
        <v>425.30859993757252</v>
      </c>
      <c r="G10" s="667">
        <v>464.67464384064141</v>
      </c>
      <c r="H10" s="667">
        <v>441.4876844104312</v>
      </c>
      <c r="I10" s="667">
        <v>450.07844928938033</v>
      </c>
      <c r="J10" s="667">
        <v>431.09967404980051</v>
      </c>
      <c r="K10" s="667">
        <v>451.89992843871869</v>
      </c>
      <c r="L10" s="667">
        <v>464.19634999693284</v>
      </c>
      <c r="M10" s="667">
        <v>425.60298539336259</v>
      </c>
      <c r="N10" s="667">
        <v>404.73616025388338</v>
      </c>
      <c r="O10" s="667">
        <v>438.09951866882238</v>
      </c>
      <c r="P10" s="668">
        <f t="shared" si="1"/>
        <v>1198.3271625042298</v>
      </c>
      <c r="Q10" s="668">
        <f t="shared" si="5"/>
        <v>1356.2407775404529</v>
      </c>
      <c r="R10" s="668">
        <f t="shared" si="6"/>
        <v>1347.1959524854522</v>
      </c>
      <c r="S10" s="668">
        <f t="shared" si="7"/>
        <v>1268.4386643160683</v>
      </c>
      <c r="T10" s="668">
        <f t="shared" si="2"/>
        <v>2554.5679400446829</v>
      </c>
      <c r="U10" s="668">
        <f t="shared" si="8"/>
        <v>2615.6346168015207</v>
      </c>
      <c r="V10" s="669">
        <f t="shared" si="3"/>
        <v>5170.2025568462032</v>
      </c>
      <c r="W10" s="670"/>
      <c r="X10" s="671"/>
      <c r="Y10" s="667"/>
      <c r="Z10" s="672">
        <f t="shared" si="9"/>
        <v>0</v>
      </c>
      <c r="AB10" s="669">
        <v>4793.2685450828249</v>
      </c>
    </row>
    <row r="11" spans="3:42">
      <c r="C11" s="666" t="s">
        <v>252</v>
      </c>
      <c r="D11" s="667">
        <v>117.17224580157637</v>
      </c>
      <c r="E11" s="667">
        <v>115.16686824114804</v>
      </c>
      <c r="F11" s="667">
        <v>126.34400623104455</v>
      </c>
      <c r="G11" s="667">
        <v>119.68950805638781</v>
      </c>
      <c r="H11" s="667">
        <v>112.63328668958408</v>
      </c>
      <c r="I11" s="667">
        <v>115.82772818904007</v>
      </c>
      <c r="J11" s="667">
        <v>125.91176453724506</v>
      </c>
      <c r="K11" s="667">
        <v>133.8241894439428</v>
      </c>
      <c r="L11" s="667">
        <v>138.28392318647346</v>
      </c>
      <c r="M11" s="667">
        <v>109.61935603542746</v>
      </c>
      <c r="N11" s="667">
        <v>105.18903509845771</v>
      </c>
      <c r="O11" s="667">
        <v>113.03924069947686</v>
      </c>
      <c r="P11" s="668">
        <f t="shared" si="1"/>
        <v>358.68312027376896</v>
      </c>
      <c r="Q11" s="668">
        <f t="shared" si="5"/>
        <v>348.15052293501196</v>
      </c>
      <c r="R11" s="668">
        <f t="shared" si="6"/>
        <v>398.01987716766132</v>
      </c>
      <c r="S11" s="668">
        <f t="shared" si="7"/>
        <v>327.84763183336202</v>
      </c>
      <c r="T11" s="668">
        <f t="shared" si="2"/>
        <v>706.83364320878093</v>
      </c>
      <c r="U11" s="668">
        <f t="shared" si="8"/>
        <v>725.86750900102334</v>
      </c>
      <c r="V11" s="669">
        <f t="shared" si="3"/>
        <v>1432.7011522098041</v>
      </c>
      <c r="W11" s="670"/>
      <c r="X11" s="671"/>
      <c r="Y11" s="667"/>
      <c r="Z11" s="672">
        <f t="shared" si="9"/>
        <v>0</v>
      </c>
      <c r="AB11" s="669">
        <v>3539.668199797221</v>
      </c>
    </row>
    <row r="12" spans="3:42">
      <c r="C12" s="666" t="s">
        <v>254</v>
      </c>
      <c r="D12" s="667">
        <v>52.433157780357604</v>
      </c>
      <c r="E12" s="667">
        <v>54.401787421549685</v>
      </c>
      <c r="F12" s="667">
        <v>59.188324043804585</v>
      </c>
      <c r="G12" s="667">
        <v>57.374621225532202</v>
      </c>
      <c r="H12" s="667">
        <v>54.233678636196984</v>
      </c>
      <c r="I12" s="667">
        <v>55.522987503346243</v>
      </c>
      <c r="J12" s="667">
        <v>55.221762683338838</v>
      </c>
      <c r="K12" s="667">
        <v>58.264756070002299</v>
      </c>
      <c r="L12" s="667">
        <v>60.205853677446754</v>
      </c>
      <c r="M12" s="667">
        <v>54.869788109418735</v>
      </c>
      <c r="N12" s="667">
        <v>52.526639815365129</v>
      </c>
      <c r="O12" s="667">
        <v>56.510772774995289</v>
      </c>
      <c r="P12" s="668">
        <f t="shared" si="1"/>
        <v>166.02326924571187</v>
      </c>
      <c r="Q12" s="668">
        <f t="shared" si="5"/>
        <v>167.13128736507542</v>
      </c>
      <c r="R12" s="668">
        <f t="shared" si="6"/>
        <v>173.69237243078788</v>
      </c>
      <c r="S12" s="668">
        <f t="shared" si="7"/>
        <v>163.90720069977914</v>
      </c>
      <c r="T12" s="668">
        <f t="shared" si="2"/>
        <v>333.15455661078732</v>
      </c>
      <c r="U12" s="668">
        <f t="shared" si="8"/>
        <v>337.59957313056702</v>
      </c>
      <c r="V12" s="669">
        <f t="shared" si="3"/>
        <v>670.7541297413544</v>
      </c>
      <c r="W12" s="670"/>
      <c r="X12" s="671"/>
      <c r="Y12" s="667"/>
      <c r="Z12" s="672">
        <f t="shared" si="9"/>
        <v>0</v>
      </c>
      <c r="AB12" s="669">
        <v>822.03114151960642</v>
      </c>
    </row>
    <row r="13" spans="3:42">
      <c r="C13" s="666" t="s">
        <v>255</v>
      </c>
      <c r="D13" s="667">
        <f>D11+D12</f>
        <v>169.60540358193396</v>
      </c>
      <c r="E13" s="667">
        <f t="shared" ref="E13:V13" si="11">E11+E12</f>
        <v>169.56865566269772</v>
      </c>
      <c r="F13" s="667">
        <f t="shared" si="11"/>
        <v>185.53233027484913</v>
      </c>
      <c r="G13" s="667">
        <f t="shared" si="11"/>
        <v>177.06412928192</v>
      </c>
      <c r="H13" s="667">
        <f t="shared" si="11"/>
        <v>166.86696532578105</v>
      </c>
      <c r="I13" s="667">
        <f t="shared" si="11"/>
        <v>171.3507156923863</v>
      </c>
      <c r="J13" s="667">
        <f t="shared" si="11"/>
        <v>181.13352722058391</v>
      </c>
      <c r="K13" s="667">
        <f t="shared" si="11"/>
        <v>192.08894551394511</v>
      </c>
      <c r="L13" s="667">
        <f t="shared" si="11"/>
        <v>198.48977686392021</v>
      </c>
      <c r="M13" s="667">
        <f t="shared" si="11"/>
        <v>164.48914414484619</v>
      </c>
      <c r="N13" s="667">
        <f t="shared" si="11"/>
        <v>157.71567491382285</v>
      </c>
      <c r="O13" s="667">
        <f t="shared" si="11"/>
        <v>169.55001347447217</v>
      </c>
      <c r="P13" s="668">
        <f t="shared" si="1"/>
        <v>524.70638951948081</v>
      </c>
      <c r="Q13" s="668">
        <f t="shared" si="5"/>
        <v>515.28181030008739</v>
      </c>
      <c r="R13" s="668">
        <f t="shared" si="6"/>
        <v>571.71224959844926</v>
      </c>
      <c r="S13" s="668">
        <f t="shared" si="7"/>
        <v>491.75483253314121</v>
      </c>
      <c r="T13" s="668">
        <f t="shared" si="2"/>
        <v>1039.9881998195683</v>
      </c>
      <c r="U13" s="668">
        <f t="shared" si="8"/>
        <v>1063.4670821315904</v>
      </c>
      <c r="V13" s="673">
        <f t="shared" si="11"/>
        <v>2103.4552819511587</v>
      </c>
      <c r="W13" s="670"/>
      <c r="X13" s="671"/>
      <c r="Y13" s="667"/>
      <c r="Z13" s="672">
        <f t="shared" si="9"/>
        <v>0</v>
      </c>
      <c r="AB13" s="673">
        <v>4361.6993413168275</v>
      </c>
    </row>
    <row r="14" spans="3:42">
      <c r="C14" s="666" t="s">
        <v>256</v>
      </c>
      <c r="D14" s="667">
        <v>164.90533840034971</v>
      </c>
      <c r="E14" s="667">
        <v>163.67716822453187</v>
      </c>
      <c r="F14" s="667">
        <v>179.81117919804208</v>
      </c>
      <c r="G14" s="667">
        <v>171.23159096883228</v>
      </c>
      <c r="H14" s="667">
        <v>161.0438917688831</v>
      </c>
      <c r="I14" s="667">
        <v>165.70632630616865</v>
      </c>
      <c r="J14" s="667">
        <v>175.57393826835818</v>
      </c>
      <c r="K14" s="667">
        <v>186.6941607190233</v>
      </c>
      <c r="L14" s="667">
        <v>192.91516910611469</v>
      </c>
      <c r="M14" s="667">
        <v>160.94436506356115</v>
      </c>
      <c r="N14" s="667">
        <v>154.50499887162519</v>
      </c>
      <c r="O14" s="667">
        <v>166.00028953369696</v>
      </c>
      <c r="P14" s="668">
        <f t="shared" si="1"/>
        <v>508.39368582292366</v>
      </c>
      <c r="Q14" s="668">
        <f t="shared" si="5"/>
        <v>497.98180904388403</v>
      </c>
      <c r="R14" s="668">
        <f t="shared" si="6"/>
        <v>555.18326809349617</v>
      </c>
      <c r="S14" s="668">
        <f t="shared" si="7"/>
        <v>481.4496534688833</v>
      </c>
      <c r="T14" s="668">
        <f t="shared" si="2"/>
        <v>1006.3754948668077</v>
      </c>
      <c r="U14" s="668">
        <f t="shared" si="8"/>
        <v>1036.6329215623794</v>
      </c>
      <c r="V14" s="669">
        <f>SUM(D14:O14)</f>
        <v>2043.0084164291875</v>
      </c>
      <c r="W14" s="656"/>
      <c r="X14" s="671"/>
      <c r="Y14" s="667"/>
      <c r="Z14" s="672">
        <f t="shared" si="9"/>
        <v>0</v>
      </c>
      <c r="AB14" s="669">
        <v>4337.4074955141486</v>
      </c>
    </row>
    <row r="15" spans="3:42" ht="15" thickBot="1">
      <c r="C15" s="674" t="s">
        <v>91</v>
      </c>
      <c r="D15" s="675">
        <f>D3+D8</f>
        <v>1005.0715492107981</v>
      </c>
      <c r="E15" s="675">
        <f t="shared" ref="E15:U15" si="12">E3+E8</f>
        <v>1038.6276748224063</v>
      </c>
      <c r="F15" s="675">
        <f t="shared" si="12"/>
        <v>1144.2950515573054</v>
      </c>
      <c r="G15" s="675">
        <f t="shared" si="12"/>
        <v>1123.3074171913604</v>
      </c>
      <c r="H15" s="675">
        <f t="shared" si="12"/>
        <v>1091.7388584986775</v>
      </c>
      <c r="I15" s="675">
        <f t="shared" si="12"/>
        <v>1258.0586823160388</v>
      </c>
      <c r="J15" s="675">
        <f t="shared" si="12"/>
        <v>1148.8476151890145</v>
      </c>
      <c r="K15" s="675">
        <f t="shared" si="12"/>
        <v>1220.2041984755328</v>
      </c>
      <c r="L15" s="675">
        <f t="shared" si="12"/>
        <v>1223.6631659586383</v>
      </c>
      <c r="M15" s="675">
        <f t="shared" si="12"/>
        <v>1204.9368241468533</v>
      </c>
      <c r="N15" s="675">
        <f t="shared" si="12"/>
        <v>1213.656278319233</v>
      </c>
      <c r="O15" s="675">
        <f t="shared" si="12"/>
        <v>1287.9697945989442</v>
      </c>
      <c r="P15" s="676">
        <f t="shared" si="12"/>
        <v>3187.9942755905099</v>
      </c>
      <c r="Q15" s="676">
        <f t="shared" si="12"/>
        <v>3473.1049580060767</v>
      </c>
      <c r="R15" s="676">
        <f t="shared" si="12"/>
        <v>3592.7149796231856</v>
      </c>
      <c r="S15" s="676">
        <f t="shared" si="12"/>
        <v>3706.5628970650309</v>
      </c>
      <c r="T15" s="676">
        <f t="shared" si="12"/>
        <v>6661.0992335965866</v>
      </c>
      <c r="U15" s="676">
        <f t="shared" si="12"/>
        <v>7299.2778766882166</v>
      </c>
      <c r="V15" s="677">
        <f>SUM(D15:O15)</f>
        <v>13960.377110284802</v>
      </c>
      <c r="X15" s="678">
        <f>X3+X8</f>
        <v>14589.506029999997</v>
      </c>
      <c r="Y15" s="675">
        <v>2594.5456142377402</v>
      </c>
      <c r="Z15" s="679">
        <f t="shared" si="9"/>
        <v>17184.051644237737</v>
      </c>
      <c r="AB15" s="677">
        <v>18134.355037623154</v>
      </c>
      <c r="AE15" s="659">
        <f>SUM(AE8,AE3)</f>
        <v>33502.384973693268</v>
      </c>
      <c r="AF15" s="659">
        <f t="shared" ref="AF15:AP15" si="13">SUM(AF8,AF3)</f>
        <v>34620.922494080216</v>
      </c>
      <c r="AG15" s="659">
        <f t="shared" si="13"/>
        <v>38143.168385243516</v>
      </c>
      <c r="AH15" s="659">
        <f t="shared" si="13"/>
        <v>37443.58057304535</v>
      </c>
      <c r="AI15" s="659">
        <f t="shared" si="13"/>
        <v>36391.295283289248</v>
      </c>
      <c r="AJ15" s="659">
        <f t="shared" si="13"/>
        <v>41935.289410534628</v>
      </c>
      <c r="AK15" s="659">
        <f t="shared" si="13"/>
        <v>38294.920506300485</v>
      </c>
      <c r="AL15" s="659">
        <f t="shared" si="13"/>
        <v>40673.473282517763</v>
      </c>
      <c r="AM15" s="659">
        <f t="shared" si="13"/>
        <v>40788.772198621271</v>
      </c>
      <c r="AN15" s="659">
        <f t="shared" si="13"/>
        <v>40164.560804895111</v>
      </c>
      <c r="AO15" s="659">
        <f t="shared" si="13"/>
        <v>40455.209277307775</v>
      </c>
      <c r="AP15" s="659">
        <f t="shared" si="13"/>
        <v>42932.326486631478</v>
      </c>
    </row>
    <row r="16" spans="3:42" ht="15" thickBot="1">
      <c r="D16" s="680"/>
      <c r="E16" s="680"/>
      <c r="F16" s="680"/>
      <c r="G16" s="680"/>
      <c r="H16" s="680"/>
      <c r="I16" s="680"/>
      <c r="J16" s="680"/>
      <c r="K16" s="680"/>
      <c r="L16" s="680"/>
      <c r="M16" s="680"/>
      <c r="N16" s="680"/>
      <c r="O16" s="680"/>
      <c r="P16" s="680"/>
      <c r="Q16" s="680"/>
      <c r="R16" s="680"/>
      <c r="S16" s="680"/>
      <c r="T16" s="680"/>
      <c r="U16" s="680"/>
      <c r="V16" s="681"/>
      <c r="X16" s="680"/>
      <c r="Y16" s="680"/>
      <c r="Z16" s="680"/>
      <c r="AB16" s="681"/>
    </row>
    <row r="17" spans="3:42">
      <c r="C17" s="660" t="s">
        <v>26</v>
      </c>
      <c r="D17" s="661">
        <f>D2</f>
        <v>45748</v>
      </c>
      <c r="E17" s="661">
        <f t="shared" ref="E17:O17" si="14">E2</f>
        <v>45779</v>
      </c>
      <c r="F17" s="661">
        <f t="shared" si="14"/>
        <v>45810</v>
      </c>
      <c r="G17" s="661">
        <f t="shared" si="14"/>
        <v>45841</v>
      </c>
      <c r="H17" s="661">
        <f t="shared" si="14"/>
        <v>45872</v>
      </c>
      <c r="I17" s="661">
        <f t="shared" si="14"/>
        <v>45903</v>
      </c>
      <c r="J17" s="661">
        <f t="shared" si="14"/>
        <v>45934</v>
      </c>
      <c r="K17" s="661">
        <f t="shared" si="14"/>
        <v>45965</v>
      </c>
      <c r="L17" s="661">
        <f t="shared" si="14"/>
        <v>45996</v>
      </c>
      <c r="M17" s="661">
        <f t="shared" si="14"/>
        <v>46027</v>
      </c>
      <c r="N17" s="661">
        <f t="shared" si="14"/>
        <v>46058</v>
      </c>
      <c r="O17" s="661">
        <f t="shared" si="14"/>
        <v>46089</v>
      </c>
      <c r="P17" s="662" t="s">
        <v>962</v>
      </c>
      <c r="Q17" s="662" t="s">
        <v>963</v>
      </c>
      <c r="R17" s="662" t="s">
        <v>964</v>
      </c>
      <c r="S17" s="662" t="s">
        <v>965</v>
      </c>
      <c r="T17" s="662" t="s">
        <v>966</v>
      </c>
      <c r="U17" s="662" t="s">
        <v>967</v>
      </c>
      <c r="V17" s="663" t="s">
        <v>91</v>
      </c>
      <c r="X17" s="664" t="str">
        <f>X$2</f>
        <v>Act</v>
      </c>
      <c r="Y17" s="661" t="str">
        <f>Y$2</f>
        <v>Exp</v>
      </c>
      <c r="Z17" s="665" t="str">
        <f>Z$2</f>
        <v>Exp 24-25</v>
      </c>
      <c r="AB17" s="663" t="s">
        <v>91</v>
      </c>
    </row>
    <row r="18" spans="3:42">
      <c r="C18" s="666" t="s">
        <v>971</v>
      </c>
      <c r="D18" s="667">
        <v>950014.85809803195</v>
      </c>
      <c r="E18" s="667">
        <v>1045114.138175467</v>
      </c>
      <c r="F18" s="667">
        <v>1148119.7280327484</v>
      </c>
      <c r="G18" s="667">
        <v>1147990.8423794075</v>
      </c>
      <c r="H18" s="667">
        <v>1119074.8334104845</v>
      </c>
      <c r="I18" s="667">
        <v>1271239.009539525</v>
      </c>
      <c r="J18" s="667">
        <v>1181204.0203224497</v>
      </c>
      <c r="K18" s="667">
        <v>1236441.6551456593</v>
      </c>
      <c r="L18" s="667">
        <v>1267562.6577751765</v>
      </c>
      <c r="M18" s="667">
        <v>1279349.0168142023</v>
      </c>
      <c r="N18" s="667">
        <v>1291999.1201303315</v>
      </c>
      <c r="O18" s="667">
        <v>1351523.0757522366</v>
      </c>
      <c r="P18" s="668">
        <f>SUM(D18:F18)</f>
        <v>3143248.7243062472</v>
      </c>
      <c r="Q18" s="668">
        <f>SUM(G18:I18)</f>
        <v>3538304.6853294168</v>
      </c>
      <c r="R18" s="668">
        <f>SUM(J18:L18)</f>
        <v>3685208.3332432853</v>
      </c>
      <c r="S18" s="668">
        <f>SUM(M18:O18)</f>
        <v>3922871.2126967702</v>
      </c>
      <c r="T18" s="668">
        <f>SUM(D18:I18)</f>
        <v>6681553.409635664</v>
      </c>
      <c r="U18" s="668">
        <f>SUM(J18:O18)</f>
        <v>7608079.5459400555</v>
      </c>
      <c r="V18" s="669">
        <f>SUM(D18:O18)</f>
        <v>14289632.955575719</v>
      </c>
      <c r="X18" s="671">
        <v>15537.893360000005</v>
      </c>
      <c r="Y18" s="667">
        <v>0</v>
      </c>
      <c r="Z18" s="672">
        <f>SUM(X18:Y18)</f>
        <v>15537.893360000005</v>
      </c>
      <c r="AB18" s="669">
        <v>19022535.73750608</v>
      </c>
      <c r="AE18" s="659">
        <f>D18/30</f>
        <v>31667.161936601064</v>
      </c>
      <c r="AF18" s="659">
        <f>E18/30</f>
        <v>34837.137939182234</v>
      </c>
      <c r="AG18" s="659">
        <f>F18/30</f>
        <v>38270.657601091618</v>
      </c>
      <c r="AH18" s="659">
        <f t="shared" ref="AH18:AP18" si="15">G18/30</f>
        <v>38266.361412646918</v>
      </c>
      <c r="AI18" s="659">
        <f t="shared" si="15"/>
        <v>37302.49444701615</v>
      </c>
      <c r="AJ18" s="659">
        <f t="shared" si="15"/>
        <v>42374.633651317497</v>
      </c>
      <c r="AK18" s="659">
        <f t="shared" si="15"/>
        <v>39373.467344081655</v>
      </c>
      <c r="AL18" s="659">
        <f t="shared" si="15"/>
        <v>41214.721838188641</v>
      </c>
      <c r="AM18" s="659">
        <f t="shared" si="15"/>
        <v>42252.088592505883</v>
      </c>
      <c r="AN18" s="659">
        <f t="shared" si="15"/>
        <v>42644.967227140078</v>
      </c>
      <c r="AO18" s="659">
        <f t="shared" si="15"/>
        <v>43066.637337677719</v>
      </c>
      <c r="AP18" s="659">
        <f t="shared" si="15"/>
        <v>45050.769191741223</v>
      </c>
    </row>
    <row r="19" spans="3:42">
      <c r="C19" s="666"/>
      <c r="D19" s="667"/>
      <c r="E19" s="667"/>
      <c r="F19" s="667"/>
      <c r="G19" s="667"/>
      <c r="H19" s="667"/>
      <c r="I19" s="667"/>
      <c r="J19" s="667"/>
      <c r="K19" s="667"/>
      <c r="L19" s="667"/>
      <c r="M19" s="667"/>
      <c r="N19" s="667"/>
      <c r="O19" s="667"/>
      <c r="P19" s="668"/>
      <c r="Q19" s="668"/>
      <c r="R19" s="668"/>
      <c r="S19" s="668"/>
      <c r="T19" s="668"/>
      <c r="U19" s="668"/>
      <c r="V19" s="669"/>
      <c r="X19" s="671"/>
      <c r="Y19" s="667"/>
      <c r="Z19" s="672">
        <f>SUM(X19:Y19)</f>
        <v>0</v>
      </c>
      <c r="AB19" s="669"/>
    </row>
    <row r="20" spans="3:42" ht="15" thickBot="1">
      <c r="C20" s="674" t="s">
        <v>91</v>
      </c>
      <c r="D20" s="675">
        <f>D18</f>
        <v>950014.85809803195</v>
      </c>
      <c r="E20" s="675">
        <f t="shared" ref="E20:V20" si="16">E18</f>
        <v>1045114.138175467</v>
      </c>
      <c r="F20" s="675">
        <f t="shared" si="16"/>
        <v>1148119.7280327484</v>
      </c>
      <c r="G20" s="675">
        <f t="shared" si="16"/>
        <v>1147990.8423794075</v>
      </c>
      <c r="H20" s="675">
        <f t="shared" si="16"/>
        <v>1119074.8334104845</v>
      </c>
      <c r="I20" s="675">
        <f t="shared" si="16"/>
        <v>1271239.009539525</v>
      </c>
      <c r="J20" s="675">
        <f t="shared" si="16"/>
        <v>1181204.0203224497</v>
      </c>
      <c r="K20" s="675">
        <f t="shared" si="16"/>
        <v>1236441.6551456593</v>
      </c>
      <c r="L20" s="675">
        <f t="shared" si="16"/>
        <v>1267562.6577751765</v>
      </c>
      <c r="M20" s="675">
        <f t="shared" si="16"/>
        <v>1279349.0168142023</v>
      </c>
      <c r="N20" s="675">
        <f t="shared" si="16"/>
        <v>1291999.1201303315</v>
      </c>
      <c r="O20" s="675">
        <f t="shared" si="16"/>
        <v>1351523.0757522366</v>
      </c>
      <c r="P20" s="676">
        <f t="shared" si="16"/>
        <v>3143248.7243062472</v>
      </c>
      <c r="Q20" s="676">
        <f t="shared" si="16"/>
        <v>3538304.6853294168</v>
      </c>
      <c r="R20" s="676">
        <f t="shared" si="16"/>
        <v>3685208.3332432853</v>
      </c>
      <c r="S20" s="676">
        <f t="shared" si="16"/>
        <v>3922871.2126967702</v>
      </c>
      <c r="T20" s="676">
        <f t="shared" si="16"/>
        <v>6681553.409635664</v>
      </c>
      <c r="U20" s="676">
        <f t="shared" si="16"/>
        <v>7608079.5459400555</v>
      </c>
      <c r="V20" s="677">
        <f t="shared" si="16"/>
        <v>14289632.955575719</v>
      </c>
      <c r="X20" s="678">
        <f>X18</f>
        <v>15537.893360000005</v>
      </c>
      <c r="Y20" s="675">
        <v>2461.8555070706598</v>
      </c>
      <c r="Z20" s="679">
        <f>SUM(X20:Y20)</f>
        <v>17999.748867070666</v>
      </c>
      <c r="AB20" s="677">
        <v>19022535.73750608</v>
      </c>
      <c r="AE20" s="659">
        <f>D20/30</f>
        <v>31667.161936601064</v>
      </c>
      <c r="AF20" s="659">
        <f>E20/30</f>
        <v>34837.137939182234</v>
      </c>
      <c r="AG20" s="659">
        <f>F20/30</f>
        <v>38270.657601091618</v>
      </c>
      <c r="AH20" s="659">
        <f t="shared" ref="AH20:AP20" si="17">G20/30</f>
        <v>38266.361412646918</v>
      </c>
      <c r="AI20" s="659">
        <f t="shared" si="17"/>
        <v>37302.49444701615</v>
      </c>
      <c r="AJ20" s="659">
        <f t="shared" si="17"/>
        <v>42374.633651317497</v>
      </c>
      <c r="AK20" s="659">
        <f t="shared" si="17"/>
        <v>39373.467344081655</v>
      </c>
      <c r="AL20" s="659">
        <f t="shared" si="17"/>
        <v>41214.721838188641</v>
      </c>
      <c r="AM20" s="659">
        <f t="shared" si="17"/>
        <v>42252.088592505883</v>
      </c>
      <c r="AN20" s="659">
        <f t="shared" si="17"/>
        <v>42644.967227140078</v>
      </c>
      <c r="AO20" s="659">
        <f t="shared" si="17"/>
        <v>43066.637337677719</v>
      </c>
      <c r="AP20" s="659">
        <f t="shared" si="17"/>
        <v>45050.769191741223</v>
      </c>
    </row>
    <row r="21" spans="3:42" ht="15" thickBot="1">
      <c r="AB21" s="658"/>
      <c r="AE21" s="659">
        <f>'[64]Production 1st'!AE20</f>
        <v>34492.984362156072</v>
      </c>
      <c r="AF21" s="659">
        <f>'[64]Production 1st'!AF20</f>
        <v>34994.753490287876</v>
      </c>
      <c r="AG21" s="659">
        <f>'[64]Production 1st'!AG20</f>
        <v>37942.404971734955</v>
      </c>
      <c r="AH21" s="659">
        <f>'[64]Production 1st'!AH20</f>
        <v>41397.794692258241</v>
      </c>
      <c r="AI21" s="659">
        <f>'[64]Production 1st'!AI20</f>
        <v>39545.263361027719</v>
      </c>
      <c r="AJ21" s="659">
        <f>'[64]Production 1st'!AJ20</f>
        <v>39889.341759255301</v>
      </c>
      <c r="AK21" s="659">
        <f>'[64]Production 1st'!AK20</f>
        <v>40706.46966523349</v>
      </c>
      <c r="AL21" s="659">
        <f>'[64]Production 1st'!AL20</f>
        <v>41511.302585878715</v>
      </c>
      <c r="AM21" s="659">
        <f>'[64]Production 1st'!AM20</f>
        <v>42660.760932235818</v>
      </c>
      <c r="AN21" s="659">
        <f>'[64]Production 1st'!AN20</f>
        <v>44735.086673167876</v>
      </c>
      <c r="AO21" s="659">
        <f>'[64]Production 1st'!AO20</f>
        <v>42003.157162351781</v>
      </c>
      <c r="AP21" s="659">
        <f>'[64]Production 1st'!AP20</f>
        <v>45607.906350093217</v>
      </c>
    </row>
    <row r="22" spans="3:42">
      <c r="C22" s="660" t="s">
        <v>32</v>
      </c>
      <c r="D22" s="661">
        <f>D17</f>
        <v>45748</v>
      </c>
      <c r="E22" s="661">
        <f t="shared" ref="E22:O22" si="18">E17</f>
        <v>45779</v>
      </c>
      <c r="F22" s="661">
        <f t="shared" si="18"/>
        <v>45810</v>
      </c>
      <c r="G22" s="661">
        <f t="shared" si="18"/>
        <v>45841</v>
      </c>
      <c r="H22" s="661">
        <f t="shared" si="18"/>
        <v>45872</v>
      </c>
      <c r="I22" s="661">
        <f t="shared" si="18"/>
        <v>45903</v>
      </c>
      <c r="J22" s="661">
        <f t="shared" si="18"/>
        <v>45934</v>
      </c>
      <c r="K22" s="661">
        <f t="shared" si="18"/>
        <v>45965</v>
      </c>
      <c r="L22" s="661">
        <f t="shared" si="18"/>
        <v>45996</v>
      </c>
      <c r="M22" s="661">
        <f t="shared" si="18"/>
        <v>46027</v>
      </c>
      <c r="N22" s="661">
        <f t="shared" si="18"/>
        <v>46058</v>
      </c>
      <c r="O22" s="661">
        <f t="shared" si="18"/>
        <v>46089</v>
      </c>
      <c r="P22" s="662" t="s">
        <v>962</v>
      </c>
      <c r="Q22" s="662" t="s">
        <v>963</v>
      </c>
      <c r="R22" s="662" t="s">
        <v>964</v>
      </c>
      <c r="S22" s="662" t="s">
        <v>965</v>
      </c>
      <c r="T22" s="662" t="s">
        <v>966</v>
      </c>
      <c r="U22" s="662" t="s">
        <v>967</v>
      </c>
      <c r="V22" s="663" t="s">
        <v>91</v>
      </c>
      <c r="X22" s="664" t="str">
        <f>X$2</f>
        <v>Act</v>
      </c>
      <c r="Y22" s="661" t="str">
        <f>Y$2</f>
        <v>Exp</v>
      </c>
      <c r="Z22" s="665" t="str">
        <f>Z$2</f>
        <v>Exp 24-25</v>
      </c>
      <c r="AB22" s="663" t="s">
        <v>91</v>
      </c>
    </row>
    <row r="23" spans="3:42">
      <c r="C23" s="682" t="s">
        <v>972</v>
      </c>
      <c r="D23" s="667">
        <v>19110</v>
      </c>
      <c r="E23" s="667">
        <v>67274.55</v>
      </c>
      <c r="F23" s="667">
        <v>83289.463950000005</v>
      </c>
      <c r="G23" s="667">
        <v>86948.4</v>
      </c>
      <c r="H23" s="667">
        <v>97592.774999999994</v>
      </c>
      <c r="I23" s="667">
        <v>167752.72500000001</v>
      </c>
      <c r="J23" s="667">
        <v>121430.08499999999</v>
      </c>
      <c r="K23" s="667">
        <v>148067.535</v>
      </c>
      <c r="L23" s="667">
        <v>134106.73499999999</v>
      </c>
      <c r="M23" s="667">
        <v>126654.8535</v>
      </c>
      <c r="N23" s="667">
        <v>137262.26744999998</v>
      </c>
      <c r="O23" s="667">
        <v>159014.80349999998</v>
      </c>
      <c r="P23" s="668">
        <f>SUM(D23:F23)</f>
        <v>169674.01394999999</v>
      </c>
      <c r="Q23" s="668">
        <f>SUM(G23:I23)</f>
        <v>352293.9</v>
      </c>
      <c r="R23" s="668">
        <f>SUM(J23:L23)</f>
        <v>403604.35499999998</v>
      </c>
      <c r="S23" s="668">
        <f>SUM(M23:O23)</f>
        <v>422931.92444999999</v>
      </c>
      <c r="T23" s="668">
        <f>SUM(D23:I23)</f>
        <v>521967.91394999996</v>
      </c>
      <c r="U23" s="668">
        <f>SUM(J23:O23)</f>
        <v>826536.2794499998</v>
      </c>
      <c r="V23" s="683">
        <f t="shared" ref="V23:V31" si="19">SUM(D23:O23)</f>
        <v>1348504.1933999998</v>
      </c>
      <c r="X23" s="671"/>
      <c r="Y23" s="667"/>
      <c r="Z23" s="672"/>
      <c r="AB23" s="683">
        <v>2376605.7487200005</v>
      </c>
      <c r="AE23" s="659">
        <f t="shared" ref="AE23:AE33" si="20">D23/30</f>
        <v>637</v>
      </c>
      <c r="AF23" s="659">
        <f t="shared" ref="AF23:AF33" si="21">E23/30</f>
        <v>2242.4850000000001</v>
      </c>
      <c r="AG23" s="659">
        <f t="shared" ref="AG23:AG33" si="22">F23/30</f>
        <v>2776.3154650000001</v>
      </c>
      <c r="AH23" s="659">
        <f t="shared" ref="AH23:AP33" si="23">G23/30</f>
        <v>2898.2799999999997</v>
      </c>
      <c r="AI23" s="659">
        <f t="shared" si="23"/>
        <v>3253.0924999999997</v>
      </c>
      <c r="AJ23" s="659">
        <f t="shared" si="23"/>
        <v>5591.7575000000006</v>
      </c>
      <c r="AK23" s="659">
        <f t="shared" si="23"/>
        <v>4047.6694999999995</v>
      </c>
      <c r="AL23" s="659">
        <f t="shared" si="23"/>
        <v>4935.5844999999999</v>
      </c>
      <c r="AM23" s="659">
        <f t="shared" si="23"/>
        <v>4470.2244999999994</v>
      </c>
      <c r="AN23" s="659">
        <f t="shared" si="23"/>
        <v>4221.82845</v>
      </c>
      <c r="AO23" s="659">
        <f t="shared" si="23"/>
        <v>4575.4089149999991</v>
      </c>
      <c r="AP23" s="659">
        <f t="shared" si="23"/>
        <v>5300.493449999999</v>
      </c>
    </row>
    <row r="24" spans="3:42">
      <c r="C24" s="682" t="s">
        <v>973</v>
      </c>
      <c r="D24" s="667">
        <v>18637.5</v>
      </c>
      <c r="E24" s="667">
        <v>18637.5</v>
      </c>
      <c r="F24" s="667">
        <v>18637.5</v>
      </c>
      <c r="G24" s="667">
        <v>21525</v>
      </c>
      <c r="H24" s="667">
        <v>21525</v>
      </c>
      <c r="I24" s="667">
        <v>21525</v>
      </c>
      <c r="J24" s="667">
        <v>24395</v>
      </c>
      <c r="K24" s="667">
        <v>24395</v>
      </c>
      <c r="L24" s="667">
        <v>24395</v>
      </c>
      <c r="M24" s="667">
        <v>22680</v>
      </c>
      <c r="N24" s="667">
        <v>22680</v>
      </c>
      <c r="O24" s="667">
        <v>22680</v>
      </c>
      <c r="P24" s="668">
        <f>SUM(D24:F24)</f>
        <v>55912.5</v>
      </c>
      <c r="Q24" s="668">
        <f>SUM(G24:I24)</f>
        <v>64575</v>
      </c>
      <c r="R24" s="668">
        <f>SUM(J24:L24)</f>
        <v>73185</v>
      </c>
      <c r="S24" s="668">
        <f>SUM(M24:O24)</f>
        <v>68040</v>
      </c>
      <c r="T24" s="668">
        <f>SUM(D24:I24)</f>
        <v>120487.5</v>
      </c>
      <c r="U24" s="668">
        <f>SUM(J24:O24)</f>
        <v>141225</v>
      </c>
      <c r="V24" s="683">
        <f t="shared" si="19"/>
        <v>261712.5</v>
      </c>
      <c r="X24" s="671"/>
      <c r="Y24" s="667"/>
      <c r="Z24" s="672"/>
      <c r="AB24" s="683">
        <v>331340.05800000008</v>
      </c>
      <c r="AE24" s="659">
        <f t="shared" si="20"/>
        <v>621.25</v>
      </c>
      <c r="AF24" s="659">
        <f t="shared" si="21"/>
        <v>621.25</v>
      </c>
      <c r="AG24" s="659">
        <f t="shared" si="22"/>
        <v>621.25</v>
      </c>
      <c r="AH24" s="659">
        <f t="shared" si="23"/>
        <v>717.5</v>
      </c>
      <c r="AI24" s="659">
        <f t="shared" si="23"/>
        <v>717.5</v>
      </c>
      <c r="AJ24" s="659">
        <f t="shared" si="23"/>
        <v>717.5</v>
      </c>
      <c r="AK24" s="659">
        <f t="shared" si="23"/>
        <v>813.16666666666663</v>
      </c>
      <c r="AL24" s="659">
        <f t="shared" si="23"/>
        <v>813.16666666666663</v>
      </c>
      <c r="AM24" s="659">
        <f t="shared" si="23"/>
        <v>813.16666666666663</v>
      </c>
      <c r="AN24" s="659">
        <f t="shared" si="23"/>
        <v>756</v>
      </c>
      <c r="AO24" s="659">
        <f t="shared" si="23"/>
        <v>756</v>
      </c>
      <c r="AP24" s="659">
        <f t="shared" si="23"/>
        <v>756</v>
      </c>
    </row>
    <row r="25" spans="3:42">
      <c r="C25" s="684" t="s">
        <v>974</v>
      </c>
      <c r="D25" s="685">
        <f t="shared" ref="D25:U25" si="24">SUM(D23:D24)</f>
        <v>37747.5</v>
      </c>
      <c r="E25" s="685">
        <f t="shared" si="24"/>
        <v>85912.05</v>
      </c>
      <c r="F25" s="685">
        <f t="shared" si="24"/>
        <v>101926.96395</v>
      </c>
      <c r="G25" s="685">
        <f t="shared" si="24"/>
        <v>108473.4</v>
      </c>
      <c r="H25" s="685">
        <f t="shared" si="24"/>
        <v>119117.77499999999</v>
      </c>
      <c r="I25" s="685">
        <f t="shared" si="24"/>
        <v>189277.72500000001</v>
      </c>
      <c r="J25" s="685">
        <f t="shared" si="24"/>
        <v>145825.08499999999</v>
      </c>
      <c r="K25" s="685">
        <f t="shared" si="24"/>
        <v>172462.535</v>
      </c>
      <c r="L25" s="685">
        <f t="shared" si="24"/>
        <v>158501.73499999999</v>
      </c>
      <c r="M25" s="685">
        <f t="shared" si="24"/>
        <v>149334.8535</v>
      </c>
      <c r="N25" s="685">
        <f t="shared" si="24"/>
        <v>159942.26744999998</v>
      </c>
      <c r="O25" s="685">
        <f t="shared" si="24"/>
        <v>181694.80349999998</v>
      </c>
      <c r="P25" s="685">
        <f t="shared" si="24"/>
        <v>225586.51394999999</v>
      </c>
      <c r="Q25" s="685">
        <f t="shared" si="24"/>
        <v>416868.9</v>
      </c>
      <c r="R25" s="685">
        <f t="shared" si="24"/>
        <v>476789.35499999998</v>
      </c>
      <c r="S25" s="685">
        <f t="shared" si="24"/>
        <v>490971.92444999999</v>
      </c>
      <c r="T25" s="685">
        <f t="shared" si="24"/>
        <v>642455.41394999996</v>
      </c>
      <c r="U25" s="685">
        <f t="shared" si="24"/>
        <v>967761.2794499998</v>
      </c>
      <c r="V25" s="673">
        <f t="shared" si="19"/>
        <v>1610216.6933999998</v>
      </c>
      <c r="X25" s="686">
        <v>4442.2841959999996</v>
      </c>
      <c r="Y25" s="685">
        <f>SUM(Y23:Y24)</f>
        <v>0</v>
      </c>
      <c r="Z25" s="673">
        <f t="shared" ref="Z25:Z33" si="25">SUM(X25:Y25)</f>
        <v>4442.2841959999996</v>
      </c>
      <c r="AB25" s="673">
        <v>2707945.8067199998</v>
      </c>
      <c r="AE25" s="659">
        <f t="shared" si="20"/>
        <v>1258.25</v>
      </c>
      <c r="AF25" s="659">
        <f t="shared" si="21"/>
        <v>2863.7350000000001</v>
      </c>
      <c r="AG25" s="659">
        <f t="shared" si="22"/>
        <v>3397.5654650000001</v>
      </c>
      <c r="AH25" s="659">
        <f t="shared" si="23"/>
        <v>3615.7799999999997</v>
      </c>
      <c r="AI25" s="659">
        <f t="shared" si="23"/>
        <v>3970.5924999999997</v>
      </c>
      <c r="AJ25" s="659">
        <f t="shared" si="23"/>
        <v>6309.2575000000006</v>
      </c>
      <c r="AK25" s="659">
        <f t="shared" si="23"/>
        <v>4860.836166666666</v>
      </c>
      <c r="AL25" s="659">
        <f t="shared" si="23"/>
        <v>5748.7511666666669</v>
      </c>
      <c r="AM25" s="659">
        <f t="shared" si="23"/>
        <v>5283.3911666666663</v>
      </c>
      <c r="AN25" s="659">
        <f t="shared" si="23"/>
        <v>4977.82845</v>
      </c>
      <c r="AO25" s="659">
        <f t="shared" si="23"/>
        <v>5331.4089149999991</v>
      </c>
      <c r="AP25" s="659">
        <f t="shared" si="23"/>
        <v>6056.493449999999</v>
      </c>
    </row>
    <row r="26" spans="3:42">
      <c r="C26" s="682" t="s">
        <v>975</v>
      </c>
      <c r="D26" s="687">
        <v>31605</v>
      </c>
      <c r="E26" s="687">
        <v>46851</v>
      </c>
      <c r="F26" s="687">
        <v>53537.4</v>
      </c>
      <c r="G26" s="687">
        <v>31815</v>
      </c>
      <c r="H26" s="687">
        <v>42932.4</v>
      </c>
      <c r="I26" s="687">
        <v>97461</v>
      </c>
      <c r="J26" s="687">
        <v>53313.75</v>
      </c>
      <c r="K26" s="687">
        <v>52121.281799999997</v>
      </c>
      <c r="L26" s="687">
        <v>71421</v>
      </c>
      <c r="M26" s="687">
        <v>54390</v>
      </c>
      <c r="N26" s="687">
        <v>105189</v>
      </c>
      <c r="O26" s="687">
        <v>71925</v>
      </c>
      <c r="P26" s="688">
        <f>SUM(D26:F26)</f>
        <v>131993.4</v>
      </c>
      <c r="Q26" s="688">
        <f>SUM(G26:I26)</f>
        <v>172208.4</v>
      </c>
      <c r="R26" s="688">
        <f>SUM(J26:L26)</f>
        <v>176856.0318</v>
      </c>
      <c r="S26" s="688">
        <f>SUM(M26:O26)</f>
        <v>231504</v>
      </c>
      <c r="T26" s="668">
        <f>SUM(D26:I26)</f>
        <v>304201.8</v>
      </c>
      <c r="U26" s="668">
        <f>SUM(J26:O26)</f>
        <v>408360.0318</v>
      </c>
      <c r="V26" s="683">
        <f t="shared" si="19"/>
        <v>712561.83180000004</v>
      </c>
      <c r="X26" s="682">
        <v>0</v>
      </c>
      <c r="Y26" s="687">
        <v>0</v>
      </c>
      <c r="Z26" s="689">
        <f t="shared" si="25"/>
        <v>0</v>
      </c>
      <c r="AB26" s="683">
        <v>1063064.6544000001</v>
      </c>
      <c r="AE26" s="659">
        <f t="shared" si="20"/>
        <v>1053.5</v>
      </c>
      <c r="AF26" s="659">
        <f t="shared" si="21"/>
        <v>1561.7</v>
      </c>
      <c r="AG26" s="659">
        <f t="shared" si="22"/>
        <v>1784.5800000000002</v>
      </c>
      <c r="AH26" s="659">
        <f t="shared" si="23"/>
        <v>1060.5</v>
      </c>
      <c r="AI26" s="659">
        <f t="shared" si="23"/>
        <v>1431.0800000000002</v>
      </c>
      <c r="AJ26" s="659">
        <f t="shared" si="23"/>
        <v>3248.7</v>
      </c>
      <c r="AK26" s="659">
        <f t="shared" si="23"/>
        <v>1777.125</v>
      </c>
      <c r="AL26" s="659">
        <f t="shared" si="23"/>
        <v>1737.3760599999998</v>
      </c>
      <c r="AM26" s="659">
        <f t="shared" si="23"/>
        <v>2380.6999999999998</v>
      </c>
      <c r="AN26" s="659">
        <f t="shared" si="23"/>
        <v>1813</v>
      </c>
      <c r="AO26" s="659">
        <f t="shared" si="23"/>
        <v>3506.3</v>
      </c>
      <c r="AP26" s="659">
        <f t="shared" si="23"/>
        <v>2397.5</v>
      </c>
    </row>
    <row r="27" spans="3:42">
      <c r="C27" s="682" t="s">
        <v>976</v>
      </c>
      <c r="D27" s="687">
        <v>70350</v>
      </c>
      <c r="E27" s="687">
        <v>70350</v>
      </c>
      <c r="F27" s="687">
        <v>70350</v>
      </c>
      <c r="G27" s="687">
        <v>74025.000000000015</v>
      </c>
      <c r="H27" s="687">
        <v>74025.000000000015</v>
      </c>
      <c r="I27" s="687">
        <v>74025.000000000015</v>
      </c>
      <c r="J27" s="687">
        <v>91525</v>
      </c>
      <c r="K27" s="687">
        <v>91525</v>
      </c>
      <c r="L27" s="687">
        <v>91525</v>
      </c>
      <c r="M27" s="687">
        <v>101500.00000000001</v>
      </c>
      <c r="N27" s="687">
        <v>101500.00000000001</v>
      </c>
      <c r="O27" s="687">
        <v>101500.00000000001</v>
      </c>
      <c r="P27" s="688">
        <f>SUM(D27:F27)</f>
        <v>211050</v>
      </c>
      <c r="Q27" s="688">
        <f>SUM(G27:I27)</f>
        <v>222075.00000000006</v>
      </c>
      <c r="R27" s="688">
        <f>SUM(J27:L27)</f>
        <v>274575</v>
      </c>
      <c r="S27" s="688">
        <f>SUM(M27:O27)</f>
        <v>304500.00000000006</v>
      </c>
      <c r="T27" s="668">
        <f>SUM(D27:I27)</f>
        <v>433125</v>
      </c>
      <c r="U27" s="668">
        <f>SUM(J27:O27)</f>
        <v>579075</v>
      </c>
      <c r="V27" s="683">
        <f t="shared" si="19"/>
        <v>1012200</v>
      </c>
      <c r="X27" s="682">
        <v>0</v>
      </c>
      <c r="Y27" s="687">
        <v>0</v>
      </c>
      <c r="Z27" s="689">
        <f t="shared" si="25"/>
        <v>0</v>
      </c>
      <c r="AB27" s="683">
        <v>882470.39999999991</v>
      </c>
      <c r="AE27" s="659">
        <f t="shared" si="20"/>
        <v>2345</v>
      </c>
      <c r="AF27" s="659">
        <f t="shared" si="21"/>
        <v>2345</v>
      </c>
      <c r="AG27" s="659">
        <f t="shared" si="22"/>
        <v>2345</v>
      </c>
      <c r="AH27" s="659">
        <f t="shared" si="23"/>
        <v>2467.5000000000005</v>
      </c>
      <c r="AI27" s="659">
        <f t="shared" si="23"/>
        <v>2467.5000000000005</v>
      </c>
      <c r="AJ27" s="659">
        <f t="shared" si="23"/>
        <v>2467.5000000000005</v>
      </c>
      <c r="AK27" s="659">
        <f t="shared" si="23"/>
        <v>3050.8333333333335</v>
      </c>
      <c r="AL27" s="659">
        <f t="shared" si="23"/>
        <v>3050.8333333333335</v>
      </c>
      <c r="AM27" s="659">
        <f t="shared" si="23"/>
        <v>3050.8333333333335</v>
      </c>
      <c r="AN27" s="659">
        <f t="shared" si="23"/>
        <v>3383.3333333333339</v>
      </c>
      <c r="AO27" s="659">
        <f t="shared" si="23"/>
        <v>3383.3333333333339</v>
      </c>
      <c r="AP27" s="659">
        <f t="shared" si="23"/>
        <v>3383.3333333333339</v>
      </c>
    </row>
    <row r="28" spans="3:42">
      <c r="C28" s="684" t="s">
        <v>977</v>
      </c>
      <c r="D28" s="690">
        <f>SUM(D26:D27)</f>
        <v>101955</v>
      </c>
      <c r="E28" s="690">
        <f t="shared" ref="E28:U28" si="26">SUM(E26:E27)</f>
        <v>117201</v>
      </c>
      <c r="F28" s="690">
        <f t="shared" si="26"/>
        <v>123887.4</v>
      </c>
      <c r="G28" s="690">
        <f t="shared" si="26"/>
        <v>105840.00000000001</v>
      </c>
      <c r="H28" s="690">
        <f t="shared" si="26"/>
        <v>116957.40000000002</v>
      </c>
      <c r="I28" s="690">
        <f t="shared" si="26"/>
        <v>171486</v>
      </c>
      <c r="J28" s="690">
        <f t="shared" si="26"/>
        <v>144838.75</v>
      </c>
      <c r="K28" s="690">
        <f t="shared" si="26"/>
        <v>143646.2818</v>
      </c>
      <c r="L28" s="690">
        <f t="shared" si="26"/>
        <v>162946</v>
      </c>
      <c r="M28" s="690">
        <f t="shared" si="26"/>
        <v>155890</v>
      </c>
      <c r="N28" s="690">
        <f t="shared" si="26"/>
        <v>206689</v>
      </c>
      <c r="O28" s="690">
        <f t="shared" si="26"/>
        <v>173425</v>
      </c>
      <c r="P28" s="690">
        <f t="shared" si="26"/>
        <v>343043.4</v>
      </c>
      <c r="Q28" s="690">
        <f t="shared" si="26"/>
        <v>394283.4</v>
      </c>
      <c r="R28" s="690">
        <f t="shared" si="26"/>
        <v>451431.0318</v>
      </c>
      <c r="S28" s="690">
        <f t="shared" si="26"/>
        <v>536004</v>
      </c>
      <c r="T28" s="690">
        <f t="shared" si="26"/>
        <v>737326.8</v>
      </c>
      <c r="U28" s="690">
        <f t="shared" si="26"/>
        <v>987435.0318</v>
      </c>
      <c r="V28" s="683">
        <f t="shared" si="19"/>
        <v>1724761.8318</v>
      </c>
      <c r="X28" s="684">
        <v>1266.3810209999999</v>
      </c>
      <c r="Y28" s="690">
        <f>SUM(Y26:Y27)</f>
        <v>0</v>
      </c>
      <c r="Z28" s="683">
        <f t="shared" si="25"/>
        <v>1266.3810209999999</v>
      </c>
      <c r="AB28" s="683">
        <v>1945535.0544000005</v>
      </c>
      <c r="AE28" s="659">
        <f t="shared" si="20"/>
        <v>3398.5</v>
      </c>
      <c r="AF28" s="659">
        <f t="shared" si="21"/>
        <v>3906.7</v>
      </c>
      <c r="AG28" s="659">
        <f t="shared" si="22"/>
        <v>4129.58</v>
      </c>
      <c r="AH28" s="659">
        <f t="shared" si="23"/>
        <v>3528.0000000000005</v>
      </c>
      <c r="AI28" s="659">
        <f t="shared" si="23"/>
        <v>3898.5800000000008</v>
      </c>
      <c r="AJ28" s="659">
        <f t="shared" si="23"/>
        <v>5716.2</v>
      </c>
      <c r="AK28" s="659">
        <f t="shared" si="23"/>
        <v>4827.958333333333</v>
      </c>
      <c r="AL28" s="659">
        <f t="shared" si="23"/>
        <v>4788.2093933333335</v>
      </c>
      <c r="AM28" s="659">
        <f t="shared" si="23"/>
        <v>5431.5333333333338</v>
      </c>
      <c r="AN28" s="659">
        <f t="shared" si="23"/>
        <v>5196.333333333333</v>
      </c>
      <c r="AO28" s="659">
        <f t="shared" si="23"/>
        <v>6889.6333333333332</v>
      </c>
      <c r="AP28" s="659">
        <f t="shared" si="23"/>
        <v>5780.833333333333</v>
      </c>
    </row>
    <row r="29" spans="3:42">
      <c r="C29" s="682" t="s">
        <v>978</v>
      </c>
      <c r="D29" s="687">
        <v>147654.75065773856</v>
      </c>
      <c r="E29" s="687">
        <v>159475.49567966309</v>
      </c>
      <c r="F29" s="687">
        <v>155290.35065773848</v>
      </c>
      <c r="G29" s="687">
        <v>184892.90149187381</v>
      </c>
      <c r="H29" s="687">
        <v>186694.70149187383</v>
      </c>
      <c r="I29" s="687">
        <v>180920.22725020043</v>
      </c>
      <c r="J29" s="687">
        <v>194161.42890136238</v>
      </c>
      <c r="K29" s="687">
        <v>189003.7053884152</v>
      </c>
      <c r="L29" s="687">
        <v>194594.02890136238</v>
      </c>
      <c r="M29" s="687">
        <v>254264.61371512595</v>
      </c>
      <c r="N29" s="687">
        <v>230223.32851688797</v>
      </c>
      <c r="O29" s="687">
        <v>252752.613715126</v>
      </c>
      <c r="P29" s="688">
        <v>2329928.1463673702</v>
      </c>
      <c r="Q29" s="688">
        <f>SUM(G29:I29)</f>
        <v>552507.83023394807</v>
      </c>
      <c r="R29" s="688">
        <f>SUM(J29:L29)</f>
        <v>577759.16319113993</v>
      </c>
      <c r="S29" s="688">
        <f>SUM(M29:O29)</f>
        <v>737240.55594713986</v>
      </c>
      <c r="T29" s="668">
        <f>SUM(D29:I29)</f>
        <v>1014928.4272290883</v>
      </c>
      <c r="U29" s="668">
        <f>SUM(J29:O29)</f>
        <v>1314999.7191382798</v>
      </c>
      <c r="V29" s="683">
        <f t="shared" si="19"/>
        <v>2329928.1463673683</v>
      </c>
      <c r="X29" s="682">
        <v>0</v>
      </c>
      <c r="Y29" s="687">
        <v>0</v>
      </c>
      <c r="Z29" s="689">
        <f t="shared" si="25"/>
        <v>0</v>
      </c>
      <c r="AB29" s="683">
        <v>2934089.9816117492</v>
      </c>
      <c r="AE29" s="659">
        <f t="shared" si="20"/>
        <v>4921.8250219246193</v>
      </c>
      <c r="AF29" s="659">
        <f t="shared" si="21"/>
        <v>5315.8498559887694</v>
      </c>
      <c r="AG29" s="659">
        <f t="shared" si="22"/>
        <v>5176.345021924616</v>
      </c>
      <c r="AH29" s="659">
        <f t="shared" si="23"/>
        <v>6163.0967163957939</v>
      </c>
      <c r="AI29" s="659">
        <f t="shared" si="23"/>
        <v>6223.1567163957943</v>
      </c>
      <c r="AJ29" s="659">
        <f t="shared" si="23"/>
        <v>6030.6742416733478</v>
      </c>
      <c r="AK29" s="659">
        <f t="shared" si="23"/>
        <v>6472.0476300454129</v>
      </c>
      <c r="AL29" s="659">
        <f t="shared" si="23"/>
        <v>6300.1235129471734</v>
      </c>
      <c r="AM29" s="659">
        <f t="shared" si="23"/>
        <v>6486.467630045413</v>
      </c>
      <c r="AN29" s="659">
        <f t="shared" si="23"/>
        <v>8475.4871238375308</v>
      </c>
      <c r="AO29" s="659">
        <f t="shared" si="23"/>
        <v>7674.110950562932</v>
      </c>
      <c r="AP29" s="659">
        <f t="shared" si="23"/>
        <v>8425.087123837533</v>
      </c>
    </row>
    <row r="30" spans="3:42">
      <c r="C30" s="682" t="s">
        <v>979</v>
      </c>
      <c r="D30" s="687">
        <v>39019.855559999996</v>
      </c>
      <c r="E30" s="687">
        <v>22856.418059999996</v>
      </c>
      <c r="F30" s="687">
        <v>46384.891559999996</v>
      </c>
      <c r="G30" s="687">
        <v>31711.855559999996</v>
      </c>
      <c r="H30" s="687">
        <v>22856.418059999996</v>
      </c>
      <c r="I30" s="687">
        <v>22856.418059999996</v>
      </c>
      <c r="J30" s="687">
        <v>31711.855559999996</v>
      </c>
      <c r="K30" s="687">
        <v>24531.456809999996</v>
      </c>
      <c r="L30" s="687">
        <v>22856.418059999996</v>
      </c>
      <c r="M30" s="687">
        <v>31711.855559999996</v>
      </c>
      <c r="N30" s="687">
        <v>22856.418059999996</v>
      </c>
      <c r="O30" s="687">
        <v>34935.933059999996</v>
      </c>
      <c r="P30" s="688">
        <v>354289.79397</v>
      </c>
      <c r="Q30" s="688">
        <f>SUM(G30:I30)</f>
        <v>77424.691679999989</v>
      </c>
      <c r="R30" s="688">
        <f>SUM(J30:L30)</f>
        <v>79099.730429999996</v>
      </c>
      <c r="S30" s="688">
        <f>SUM(M30:O30)</f>
        <v>89504.206679999988</v>
      </c>
      <c r="T30" s="668">
        <f>SUM(D30:I30)</f>
        <v>185685.85685999997</v>
      </c>
      <c r="U30" s="668">
        <f>SUM(J30:O30)</f>
        <v>168603.93711</v>
      </c>
      <c r="V30" s="683">
        <f t="shared" si="19"/>
        <v>354289.79396999994</v>
      </c>
      <c r="X30" s="682">
        <v>0</v>
      </c>
      <c r="Y30" s="687">
        <v>0</v>
      </c>
      <c r="Z30" s="689">
        <f t="shared" si="25"/>
        <v>0</v>
      </c>
      <c r="AB30" s="683">
        <v>89495.2212</v>
      </c>
      <c r="AE30" s="659">
        <f t="shared" si="20"/>
        <v>1300.661852</v>
      </c>
      <c r="AF30" s="659">
        <f t="shared" si="21"/>
        <v>761.88060199999984</v>
      </c>
      <c r="AG30" s="659">
        <f t="shared" si="22"/>
        <v>1546.1630519999999</v>
      </c>
      <c r="AH30" s="659">
        <f t="shared" si="23"/>
        <v>1057.0618519999998</v>
      </c>
      <c r="AI30" s="659">
        <f t="shared" si="23"/>
        <v>761.88060199999984</v>
      </c>
      <c r="AJ30" s="659">
        <f t="shared" si="23"/>
        <v>761.88060199999984</v>
      </c>
      <c r="AK30" s="659">
        <f t="shared" si="23"/>
        <v>1057.0618519999998</v>
      </c>
      <c r="AL30" s="659">
        <f t="shared" si="23"/>
        <v>817.71522699999991</v>
      </c>
      <c r="AM30" s="659">
        <f t="shared" si="23"/>
        <v>761.88060199999984</v>
      </c>
      <c r="AN30" s="659">
        <f t="shared" si="23"/>
        <v>1057.0618519999998</v>
      </c>
      <c r="AO30" s="659">
        <f t="shared" si="23"/>
        <v>761.88060199999984</v>
      </c>
      <c r="AP30" s="659">
        <f t="shared" si="23"/>
        <v>1164.5311019999999</v>
      </c>
    </row>
    <row r="31" spans="3:42">
      <c r="C31" s="684" t="s">
        <v>980</v>
      </c>
      <c r="D31" s="690">
        <f>SUM(D29:D30)</f>
        <v>186674.60621773856</v>
      </c>
      <c r="E31" s="690">
        <f t="shared" ref="E31:U31" si="27">SUM(E29:E30)</f>
        <v>182331.91373966308</v>
      </c>
      <c r="F31" s="690">
        <f t="shared" si="27"/>
        <v>201675.24221773847</v>
      </c>
      <c r="G31" s="690">
        <f t="shared" si="27"/>
        <v>216604.75705187381</v>
      </c>
      <c r="H31" s="690">
        <f t="shared" si="27"/>
        <v>209551.11955187382</v>
      </c>
      <c r="I31" s="690">
        <f t="shared" si="27"/>
        <v>203776.64531020043</v>
      </c>
      <c r="J31" s="690">
        <f t="shared" si="27"/>
        <v>225873.28446136237</v>
      </c>
      <c r="K31" s="690">
        <f t="shared" si="27"/>
        <v>213535.1621984152</v>
      </c>
      <c r="L31" s="690">
        <f t="shared" si="27"/>
        <v>217450.44696136238</v>
      </c>
      <c r="M31" s="690">
        <f t="shared" si="27"/>
        <v>285976.46927512594</v>
      </c>
      <c r="N31" s="690">
        <f t="shared" si="27"/>
        <v>253079.74657688796</v>
      </c>
      <c r="O31" s="690">
        <f t="shared" si="27"/>
        <v>287688.54677512601</v>
      </c>
      <c r="P31" s="690">
        <f t="shared" si="27"/>
        <v>2684217.9403373701</v>
      </c>
      <c r="Q31" s="690">
        <f t="shared" si="27"/>
        <v>629932.521913948</v>
      </c>
      <c r="R31" s="690">
        <f t="shared" si="27"/>
        <v>656858.89362113993</v>
      </c>
      <c r="S31" s="690">
        <f t="shared" si="27"/>
        <v>826744.7626271398</v>
      </c>
      <c r="T31" s="690">
        <f t="shared" si="27"/>
        <v>1200614.2840890882</v>
      </c>
      <c r="U31" s="690">
        <f t="shared" si="27"/>
        <v>1483603.6562482798</v>
      </c>
      <c r="V31" s="683">
        <f t="shared" si="19"/>
        <v>2684217.9403373683</v>
      </c>
      <c r="X31" s="684">
        <v>2243.851465000002</v>
      </c>
      <c r="Y31" s="690">
        <v>319.02106301169999</v>
      </c>
      <c r="Z31" s="683">
        <f t="shared" si="25"/>
        <v>2562.8725280117019</v>
      </c>
      <c r="AB31" s="683">
        <v>3023585.2028117487</v>
      </c>
      <c r="AE31" s="659">
        <f t="shared" si="20"/>
        <v>6222.4868739246185</v>
      </c>
      <c r="AF31" s="659">
        <f t="shared" si="21"/>
        <v>6077.7304579887696</v>
      </c>
      <c r="AG31" s="659">
        <f t="shared" si="22"/>
        <v>6722.5080739246159</v>
      </c>
      <c r="AH31" s="659">
        <f t="shared" si="23"/>
        <v>7220.1585683957937</v>
      </c>
      <c r="AI31" s="659">
        <f t="shared" si="23"/>
        <v>6985.0373183957945</v>
      </c>
      <c r="AJ31" s="659">
        <f t="shared" si="23"/>
        <v>6792.5548436733479</v>
      </c>
      <c r="AK31" s="659">
        <f t="shared" si="23"/>
        <v>7529.1094820454127</v>
      </c>
      <c r="AL31" s="659">
        <f t="shared" si="23"/>
        <v>7117.8387399471731</v>
      </c>
      <c r="AM31" s="659">
        <f t="shared" si="23"/>
        <v>7248.3482320454123</v>
      </c>
      <c r="AN31" s="659">
        <f t="shared" si="23"/>
        <v>9532.5489758375315</v>
      </c>
      <c r="AO31" s="659">
        <f t="shared" si="23"/>
        <v>8435.9915525629312</v>
      </c>
      <c r="AP31" s="659">
        <f t="shared" si="23"/>
        <v>9589.6182258375338</v>
      </c>
    </row>
    <row r="32" spans="3:42">
      <c r="C32" s="666"/>
      <c r="D32" s="691"/>
      <c r="E32" s="691"/>
      <c r="F32" s="691"/>
      <c r="G32" s="691"/>
      <c r="H32" s="691"/>
      <c r="I32" s="691"/>
      <c r="J32" s="691"/>
      <c r="K32" s="691"/>
      <c r="L32" s="691"/>
      <c r="M32" s="691"/>
      <c r="N32" s="691"/>
      <c r="O32" s="691"/>
      <c r="P32" s="692"/>
      <c r="Q32" s="692"/>
      <c r="R32" s="692"/>
      <c r="S32" s="692"/>
      <c r="T32" s="692"/>
      <c r="U32" s="692"/>
      <c r="V32" s="693"/>
      <c r="X32" s="666"/>
      <c r="Y32" s="691"/>
      <c r="Z32" s="694"/>
      <c r="AB32" s="693"/>
      <c r="AE32" s="659">
        <f t="shared" si="20"/>
        <v>0</v>
      </c>
      <c r="AF32" s="659">
        <f t="shared" si="21"/>
        <v>0</v>
      </c>
      <c r="AG32" s="659">
        <f t="shared" si="22"/>
        <v>0</v>
      </c>
      <c r="AH32" s="659">
        <f t="shared" si="23"/>
        <v>0</v>
      </c>
      <c r="AI32" s="659">
        <f t="shared" si="23"/>
        <v>0</v>
      </c>
      <c r="AJ32" s="659">
        <f t="shared" si="23"/>
        <v>0</v>
      </c>
      <c r="AK32" s="659">
        <f t="shared" si="23"/>
        <v>0</v>
      </c>
      <c r="AL32" s="659">
        <f t="shared" si="23"/>
        <v>0</v>
      </c>
      <c r="AM32" s="659">
        <f t="shared" si="23"/>
        <v>0</v>
      </c>
      <c r="AN32" s="659">
        <f t="shared" si="23"/>
        <v>0</v>
      </c>
      <c r="AO32" s="659">
        <f t="shared" si="23"/>
        <v>0</v>
      </c>
      <c r="AP32" s="659">
        <f t="shared" si="23"/>
        <v>0</v>
      </c>
    </row>
    <row r="33" spans="3:42" ht="15" thickBot="1">
      <c r="C33" s="674" t="s">
        <v>91</v>
      </c>
      <c r="D33" s="695">
        <f>D25+D28+D31</f>
        <v>326377.10621773859</v>
      </c>
      <c r="E33" s="695">
        <f t="shared" ref="E33:U33" si="28">E25+E28+E31</f>
        <v>385444.96373966307</v>
      </c>
      <c r="F33" s="695">
        <f t="shared" si="28"/>
        <v>427489.60616773844</v>
      </c>
      <c r="G33" s="695">
        <f t="shared" si="28"/>
        <v>430918.15705187386</v>
      </c>
      <c r="H33" s="695">
        <f t="shared" si="28"/>
        <v>445626.29455187381</v>
      </c>
      <c r="I33" s="695">
        <f t="shared" si="28"/>
        <v>564540.37031020038</v>
      </c>
      <c r="J33" s="695">
        <f t="shared" si="28"/>
        <v>516537.11946136237</v>
      </c>
      <c r="K33" s="695">
        <f t="shared" si="28"/>
        <v>529643.97899841517</v>
      </c>
      <c r="L33" s="695">
        <f t="shared" si="28"/>
        <v>538898.18196136237</v>
      </c>
      <c r="M33" s="695">
        <f t="shared" si="28"/>
        <v>591201.32277512597</v>
      </c>
      <c r="N33" s="695">
        <f t="shared" si="28"/>
        <v>619711.01402688795</v>
      </c>
      <c r="O33" s="695">
        <f t="shared" si="28"/>
        <v>642808.35027512605</v>
      </c>
      <c r="P33" s="696">
        <f t="shared" si="28"/>
        <v>3252847.8542873701</v>
      </c>
      <c r="Q33" s="696">
        <f t="shared" si="28"/>
        <v>1441084.821913948</v>
      </c>
      <c r="R33" s="696">
        <f t="shared" si="28"/>
        <v>1585079.2804211399</v>
      </c>
      <c r="S33" s="696">
        <f t="shared" si="28"/>
        <v>1853720.68707714</v>
      </c>
      <c r="T33" s="696">
        <f t="shared" si="28"/>
        <v>2580396.4980390882</v>
      </c>
      <c r="U33" s="696">
        <f t="shared" si="28"/>
        <v>3438799.9674982796</v>
      </c>
      <c r="V33" s="677">
        <f>SUM(D33:O33)</f>
        <v>6019196.4655373683</v>
      </c>
      <c r="X33" s="697">
        <f>X25+X28+X31</f>
        <v>7952.5166820000013</v>
      </c>
      <c r="Y33" s="695">
        <v>1004.0545064017001</v>
      </c>
      <c r="Z33" s="677">
        <f t="shared" si="25"/>
        <v>8956.5711884017019</v>
      </c>
      <c r="AB33" s="677">
        <v>7677066.0639317501</v>
      </c>
      <c r="AE33" s="659">
        <f t="shared" si="20"/>
        <v>10879.236873924619</v>
      </c>
      <c r="AF33" s="659">
        <f t="shared" si="21"/>
        <v>12848.165457988769</v>
      </c>
      <c r="AG33" s="659">
        <f t="shared" si="22"/>
        <v>14249.653538924615</v>
      </c>
      <c r="AH33" s="659">
        <f t="shared" si="23"/>
        <v>14363.938568395795</v>
      </c>
      <c r="AI33" s="659">
        <f t="shared" si="23"/>
        <v>14854.209818395793</v>
      </c>
      <c r="AJ33" s="659">
        <f t="shared" si="23"/>
        <v>18818.012343673345</v>
      </c>
      <c r="AK33" s="659">
        <f t="shared" si="23"/>
        <v>17217.903982045413</v>
      </c>
      <c r="AL33" s="659">
        <f t="shared" si="23"/>
        <v>17654.799299947172</v>
      </c>
      <c r="AM33" s="659">
        <f t="shared" si="23"/>
        <v>17963.272732045411</v>
      </c>
      <c r="AN33" s="659">
        <f t="shared" si="23"/>
        <v>19706.710759170866</v>
      </c>
      <c r="AO33" s="659">
        <f t="shared" si="23"/>
        <v>20657.033800896264</v>
      </c>
      <c r="AP33" s="659">
        <f t="shared" si="23"/>
        <v>21426.945009170868</v>
      </c>
    </row>
    <row r="34" spans="3:42" ht="15" thickBot="1">
      <c r="AB34" s="658"/>
    </row>
    <row r="35" spans="3:42">
      <c r="C35" s="660" t="s">
        <v>31</v>
      </c>
      <c r="D35" s="661">
        <v>45383</v>
      </c>
      <c r="E35" s="661">
        <v>45413</v>
      </c>
      <c r="F35" s="661">
        <v>45444</v>
      </c>
      <c r="G35" s="661">
        <v>45474</v>
      </c>
      <c r="H35" s="661">
        <v>45505</v>
      </c>
      <c r="I35" s="661">
        <v>45536</v>
      </c>
      <c r="J35" s="661">
        <v>45566</v>
      </c>
      <c r="K35" s="661">
        <v>45597</v>
      </c>
      <c r="L35" s="661">
        <v>45627</v>
      </c>
      <c r="M35" s="661">
        <v>45658</v>
      </c>
      <c r="N35" s="661">
        <v>45689</v>
      </c>
      <c r="O35" s="661">
        <v>45717</v>
      </c>
      <c r="P35" s="662" t="s">
        <v>962</v>
      </c>
      <c r="Q35" s="662" t="s">
        <v>963</v>
      </c>
      <c r="R35" s="662" t="s">
        <v>964</v>
      </c>
      <c r="S35" s="662" t="s">
        <v>965</v>
      </c>
      <c r="T35" s="662" t="s">
        <v>966</v>
      </c>
      <c r="U35" s="662" t="s">
        <v>967</v>
      </c>
      <c r="V35" s="663" t="s">
        <v>91</v>
      </c>
      <c r="X35" s="664" t="str">
        <f>X$2</f>
        <v>Act</v>
      </c>
      <c r="Y35" s="661" t="str">
        <f>Y$2</f>
        <v>Exp</v>
      </c>
      <c r="Z35" s="665" t="str">
        <f>Z$2</f>
        <v>Exp 24-25</v>
      </c>
      <c r="AB35" s="663" t="s">
        <v>91</v>
      </c>
    </row>
    <row r="36" spans="3:42">
      <c r="C36" s="682" t="s">
        <v>981</v>
      </c>
      <c r="D36" s="667">
        <v>21501.779796244016</v>
      </c>
      <c r="E36" s="667">
        <v>19826.316435497731</v>
      </c>
      <c r="F36" s="667">
        <v>32763.795855904835</v>
      </c>
      <c r="G36" s="667">
        <v>22897.999263532591</v>
      </c>
      <c r="H36" s="667">
        <v>30716.828280348593</v>
      </c>
      <c r="I36" s="667">
        <v>31572.01683488967</v>
      </c>
      <c r="J36" s="667">
        <v>32094.431488073315</v>
      </c>
      <c r="K36" s="667">
        <v>30195.573012560857</v>
      </c>
      <c r="L36" s="667">
        <v>37679.309357227605</v>
      </c>
      <c r="M36" s="667">
        <v>40638.473651412387</v>
      </c>
      <c r="N36" s="667">
        <v>28594.574690069967</v>
      </c>
      <c r="O36" s="667">
        <v>29842.202489776671</v>
      </c>
      <c r="P36" s="668">
        <f>SUM(D36:F36)</f>
        <v>74091.892087646585</v>
      </c>
      <c r="Q36" s="668">
        <f>SUM(G36:I36)</f>
        <v>85186.844378770853</v>
      </c>
      <c r="R36" s="668">
        <f>SUM(J36:L36)</f>
        <v>99969.313857861765</v>
      </c>
      <c r="S36" s="668">
        <f>SUM(M36:O36)</f>
        <v>99075.250831259022</v>
      </c>
      <c r="T36" s="668">
        <f>SUM(D36:I36)</f>
        <v>159278.73646641744</v>
      </c>
      <c r="U36" s="668">
        <f>SUM(J36:O36)</f>
        <v>199044.5646891208</v>
      </c>
      <c r="V36" s="683">
        <f>SUM(D36:O36)</f>
        <v>358323.30115553824</v>
      </c>
      <c r="X36" s="671"/>
      <c r="Y36" s="667"/>
      <c r="Z36" s="672"/>
      <c r="AB36" s="683">
        <v>419911.41423892014</v>
      </c>
    </row>
    <row r="37" spans="3:42">
      <c r="C37" s="682" t="s">
        <v>982</v>
      </c>
      <c r="D37" s="667">
        <v>53792.008504139871</v>
      </c>
      <c r="E37" s="667">
        <v>55424.349377161801</v>
      </c>
      <c r="F37" s="667">
        <v>59879.509886114232</v>
      </c>
      <c r="G37" s="667">
        <v>55031.21388796984</v>
      </c>
      <c r="H37" s="667">
        <v>53785.648937717247</v>
      </c>
      <c r="I37" s="667">
        <v>53470.305294914906</v>
      </c>
      <c r="J37" s="667">
        <v>127284.08073344757</v>
      </c>
      <c r="K37" s="667">
        <v>126804.07214482411</v>
      </c>
      <c r="L37" s="667">
        <v>128907.53645775648</v>
      </c>
      <c r="M37" s="667">
        <v>115313.92452370345</v>
      </c>
      <c r="N37" s="667">
        <v>105777.26820422561</v>
      </c>
      <c r="O37" s="667">
        <v>119537.53170364875</v>
      </c>
      <c r="P37" s="668">
        <f>SUM(D37:F37)</f>
        <v>169095.86776741588</v>
      </c>
      <c r="Q37" s="668">
        <f>SUM(G37:I37)</f>
        <v>162287.168120602</v>
      </c>
      <c r="R37" s="668">
        <f>SUM(J37:L37)</f>
        <v>382995.68933602818</v>
      </c>
      <c r="S37" s="668">
        <f>SUM(M37:O37)</f>
        <v>340628.72443157778</v>
      </c>
      <c r="T37" s="668">
        <f>SUM(D37:I37)</f>
        <v>331383.03588801791</v>
      </c>
      <c r="U37" s="668">
        <f>SUM(J37:O37)</f>
        <v>723624.41376760602</v>
      </c>
      <c r="V37" s="683">
        <f>SUM(D37:O37)</f>
        <v>1055007.4496556239</v>
      </c>
      <c r="X37" s="671"/>
      <c r="Y37" s="667"/>
      <c r="Z37" s="672"/>
      <c r="AB37" s="683">
        <v>1891171.8919008102</v>
      </c>
    </row>
    <row r="38" spans="3:42" ht="15" thickBot="1">
      <c r="C38" s="698" t="s">
        <v>91</v>
      </c>
      <c r="D38" s="675">
        <f t="shared" ref="D38:U38" si="29">SUM(D36:D37)</f>
        <v>75293.788300383894</v>
      </c>
      <c r="E38" s="675">
        <f t="shared" si="29"/>
        <v>75250.665812659528</v>
      </c>
      <c r="F38" s="675">
        <f t="shared" si="29"/>
        <v>92643.30574201906</v>
      </c>
      <c r="G38" s="675">
        <f t="shared" si="29"/>
        <v>77929.213151502423</v>
      </c>
      <c r="H38" s="675">
        <f t="shared" si="29"/>
        <v>84502.477218065847</v>
      </c>
      <c r="I38" s="675">
        <f t="shared" si="29"/>
        <v>85042.322129804583</v>
      </c>
      <c r="J38" s="675">
        <f t="shared" si="29"/>
        <v>159378.51222152088</v>
      </c>
      <c r="K38" s="675">
        <f t="shared" si="29"/>
        <v>156999.64515738498</v>
      </c>
      <c r="L38" s="675">
        <f t="shared" si="29"/>
        <v>166586.84581498409</v>
      </c>
      <c r="M38" s="675">
        <f t="shared" si="29"/>
        <v>155952.39817511584</v>
      </c>
      <c r="N38" s="675">
        <f t="shared" si="29"/>
        <v>134371.84289429558</v>
      </c>
      <c r="O38" s="675">
        <f t="shared" si="29"/>
        <v>149379.73419342542</v>
      </c>
      <c r="P38" s="675">
        <f t="shared" si="29"/>
        <v>243187.75985506247</v>
      </c>
      <c r="Q38" s="675">
        <f t="shared" si="29"/>
        <v>247474.01249937285</v>
      </c>
      <c r="R38" s="675">
        <f t="shared" si="29"/>
        <v>482965.00319388998</v>
      </c>
      <c r="S38" s="675">
        <f t="shared" si="29"/>
        <v>439703.97526283679</v>
      </c>
      <c r="T38" s="675">
        <f t="shared" si="29"/>
        <v>490661.77235443535</v>
      </c>
      <c r="U38" s="675">
        <f t="shared" si="29"/>
        <v>922668.97845672676</v>
      </c>
      <c r="V38" s="699">
        <f>SUM(D38:O38)</f>
        <v>1413330.7508111622</v>
      </c>
      <c r="X38" s="678">
        <v>1633.6448390000003</v>
      </c>
      <c r="Y38" s="675">
        <v>349.30415544000005</v>
      </c>
      <c r="Z38" s="679">
        <f>SUM(X38:Y38)</f>
        <v>1982.9489944400002</v>
      </c>
      <c r="AB38" s="699">
        <v>2311083.3061397304</v>
      </c>
    </row>
    <row r="39" spans="3:42">
      <c r="W39" s="656"/>
      <c r="AB39" s="658"/>
    </row>
    <row r="40" spans="3:42" ht="15" thickBot="1">
      <c r="AB40" s="658"/>
    </row>
    <row r="41" spans="3:42">
      <c r="C41" s="660" t="s">
        <v>295</v>
      </c>
      <c r="D41" s="661">
        <v>45383</v>
      </c>
      <c r="E41" s="661">
        <v>45413</v>
      </c>
      <c r="F41" s="661">
        <v>45444</v>
      </c>
      <c r="G41" s="661">
        <v>45474</v>
      </c>
      <c r="H41" s="661">
        <v>45505</v>
      </c>
      <c r="I41" s="661">
        <v>45536</v>
      </c>
      <c r="J41" s="661">
        <v>45566</v>
      </c>
      <c r="K41" s="661">
        <v>45597</v>
      </c>
      <c r="L41" s="661">
        <v>45627</v>
      </c>
      <c r="M41" s="661">
        <v>45658</v>
      </c>
      <c r="N41" s="661">
        <v>45689</v>
      </c>
      <c r="O41" s="661">
        <v>45717</v>
      </c>
      <c r="P41" s="662" t="s">
        <v>962</v>
      </c>
      <c r="Q41" s="662" t="s">
        <v>963</v>
      </c>
      <c r="R41" s="662" t="s">
        <v>964</v>
      </c>
      <c r="S41" s="662" t="s">
        <v>965</v>
      </c>
      <c r="T41" s="662" t="s">
        <v>966</v>
      </c>
      <c r="U41" s="662" t="s">
        <v>967</v>
      </c>
      <c r="V41" s="663" t="s">
        <v>91</v>
      </c>
      <c r="X41" s="664" t="str">
        <f>X$2</f>
        <v>Act</v>
      </c>
      <c r="Y41" s="661" t="str">
        <f>Y$2</f>
        <v>Exp</v>
      </c>
      <c r="Z41" s="665" t="str">
        <f>Z$2</f>
        <v>Exp 24-25</v>
      </c>
      <c r="AB41" s="663" t="s">
        <v>91</v>
      </c>
    </row>
    <row r="42" spans="3:42">
      <c r="C42" s="666" t="s">
        <v>983</v>
      </c>
      <c r="D42" s="667">
        <v>981.02393474979169</v>
      </c>
      <c r="E42" s="667">
        <v>2425.4240044019957</v>
      </c>
      <c r="F42" s="667">
        <v>1210.0077927769285</v>
      </c>
      <c r="G42" s="667">
        <v>1813.9874657177988</v>
      </c>
      <c r="H42" s="667">
        <v>1907.5837092456225</v>
      </c>
      <c r="I42" s="667">
        <v>1917.4494627995011</v>
      </c>
      <c r="J42" s="667">
        <v>1858.3685732312319</v>
      </c>
      <c r="K42" s="667">
        <v>2319.7914532091272</v>
      </c>
      <c r="L42" s="667">
        <v>2047.6153384880192</v>
      </c>
      <c r="M42" s="667">
        <v>2187.1828906142073</v>
      </c>
      <c r="N42" s="667">
        <v>2312.4405182421078</v>
      </c>
      <c r="O42" s="667">
        <v>2099.4164198396074</v>
      </c>
      <c r="P42" s="668">
        <f>SUM(D42:F42)</f>
        <v>4616.455731928716</v>
      </c>
      <c r="Q42" s="668">
        <f>SUM(G42:I42)</f>
        <v>5639.020637762922</v>
      </c>
      <c r="R42" s="668">
        <f>SUM(J42:L42)</f>
        <v>6225.7753649283777</v>
      </c>
      <c r="S42" s="668">
        <f>SUM(M42:O42)</f>
        <v>6599.0398286959226</v>
      </c>
      <c r="T42" s="668">
        <f>SUM(D42:I42)</f>
        <v>10255.476369691638</v>
      </c>
      <c r="U42" s="668">
        <f>SUM(J42:O42)</f>
        <v>12824.815193624298</v>
      </c>
      <c r="V42" s="669">
        <f>SUM(D42:O42)</f>
        <v>23080.291563315935</v>
      </c>
      <c r="X42" s="671">
        <v>22137.422719999999</v>
      </c>
      <c r="Y42" s="667">
        <f>X46*Y64</f>
        <v>4582.2712265605123</v>
      </c>
      <c r="Z42" s="672">
        <f>SUM(X42:Y42)</f>
        <v>26719.69394656051</v>
      </c>
      <c r="AB42" s="669">
        <v>32928.633054855825</v>
      </c>
    </row>
    <row r="43" spans="3:42">
      <c r="C43" s="666"/>
      <c r="D43" s="667"/>
      <c r="E43" s="667"/>
      <c r="F43" s="667"/>
      <c r="G43" s="667"/>
      <c r="H43" s="667"/>
      <c r="I43" s="667"/>
      <c r="J43" s="667"/>
      <c r="K43" s="667"/>
      <c r="L43" s="667"/>
      <c r="M43" s="667"/>
      <c r="N43" s="667"/>
      <c r="O43" s="667"/>
      <c r="P43" s="668"/>
      <c r="Q43" s="668"/>
      <c r="R43" s="668"/>
      <c r="S43" s="668"/>
      <c r="T43" s="668"/>
      <c r="U43" s="668"/>
      <c r="V43" s="669"/>
      <c r="X43" s="671"/>
      <c r="Y43" s="667"/>
      <c r="Z43" s="672">
        <f>SUM(X43:Y43)</f>
        <v>0</v>
      </c>
      <c r="AB43" s="669"/>
    </row>
    <row r="44" spans="3:42" ht="15" thickBot="1">
      <c r="C44" s="674" t="s">
        <v>91</v>
      </c>
      <c r="D44" s="675">
        <f>D42</f>
        <v>981.02393474979169</v>
      </c>
      <c r="E44" s="675">
        <f t="shared" ref="E44:V44" si="30">E42</f>
        <v>2425.4240044019957</v>
      </c>
      <c r="F44" s="675">
        <f t="shared" si="30"/>
        <v>1210.0077927769285</v>
      </c>
      <c r="G44" s="675">
        <f t="shared" si="30"/>
        <v>1813.9874657177988</v>
      </c>
      <c r="H44" s="675">
        <f t="shared" si="30"/>
        <v>1907.5837092456225</v>
      </c>
      <c r="I44" s="675">
        <f t="shared" si="30"/>
        <v>1917.4494627995011</v>
      </c>
      <c r="J44" s="675">
        <f t="shared" si="30"/>
        <v>1858.3685732312319</v>
      </c>
      <c r="K44" s="675">
        <f t="shared" si="30"/>
        <v>2319.7914532091272</v>
      </c>
      <c r="L44" s="675">
        <f t="shared" si="30"/>
        <v>2047.6153384880192</v>
      </c>
      <c r="M44" s="675">
        <f t="shared" si="30"/>
        <v>2187.1828906142073</v>
      </c>
      <c r="N44" s="675">
        <f t="shared" si="30"/>
        <v>2312.4405182421078</v>
      </c>
      <c r="O44" s="675">
        <f t="shared" si="30"/>
        <v>2099.4164198396074</v>
      </c>
      <c r="P44" s="675">
        <f t="shared" si="30"/>
        <v>4616.455731928716</v>
      </c>
      <c r="Q44" s="675">
        <f t="shared" si="30"/>
        <v>5639.020637762922</v>
      </c>
      <c r="R44" s="675">
        <f t="shared" si="30"/>
        <v>6225.7753649283777</v>
      </c>
      <c r="S44" s="675">
        <f t="shared" si="30"/>
        <v>6599.0398286959226</v>
      </c>
      <c r="T44" s="675">
        <f t="shared" si="30"/>
        <v>10255.476369691638</v>
      </c>
      <c r="U44" s="675">
        <f t="shared" si="30"/>
        <v>12824.815193624298</v>
      </c>
      <c r="V44" s="677">
        <f t="shared" si="30"/>
        <v>23080.291563315935</v>
      </c>
      <c r="W44" s="656">
        <f>V44/365*100</f>
        <v>6323.3675515934065</v>
      </c>
      <c r="X44" s="678">
        <f>X42</f>
        <v>22137.422719999999</v>
      </c>
      <c r="Y44" s="675">
        <f>Y42</f>
        <v>4582.2712265605123</v>
      </c>
      <c r="Z44" s="679">
        <f>SUM(X44:Y44)</f>
        <v>26719.69394656051</v>
      </c>
      <c r="AB44" s="677">
        <v>32928.633054855825</v>
      </c>
    </row>
    <row r="45" spans="3:42">
      <c r="AB45" s="658"/>
    </row>
    <row r="46" spans="3:42">
      <c r="D46" s="700">
        <f t="shared" ref="D46:V46" si="31">D42/D64</f>
        <v>6.7922891390253675</v>
      </c>
      <c r="E46" s="700">
        <f t="shared" si="31"/>
        <v>7.9149604250962842</v>
      </c>
      <c r="F46" s="700">
        <f t="shared" si="31"/>
        <v>6.945915470251081</v>
      </c>
      <c r="G46" s="700">
        <f t="shared" si="31"/>
        <v>7.6432712842149124</v>
      </c>
      <c r="H46" s="700">
        <f t="shared" si="31"/>
        <v>7.9642010252285038</v>
      </c>
      <c r="I46" s="700">
        <f t="shared" si="31"/>
        <v>7.8321246682079524</v>
      </c>
      <c r="J46" s="700">
        <f t="shared" si="31"/>
        <v>7.8206279550300213</v>
      </c>
      <c r="K46" s="700">
        <f t="shared" si="31"/>
        <v>8.0000110036134764</v>
      </c>
      <c r="L46" s="700">
        <f t="shared" si="31"/>
        <v>7.8430870079071751</v>
      </c>
      <c r="M46" s="700">
        <f t="shared" si="31"/>
        <v>7.9161652032777754</v>
      </c>
      <c r="N46" s="700">
        <f t="shared" si="31"/>
        <v>8.0214284551524244</v>
      </c>
      <c r="O46" s="700">
        <f t="shared" si="31"/>
        <v>7.9005284789900285</v>
      </c>
      <c r="P46" s="700">
        <f t="shared" si="31"/>
        <v>7.385482880330291</v>
      </c>
      <c r="Q46" s="700">
        <f t="shared" si="31"/>
        <v>7.8138532641191052</v>
      </c>
      <c r="R46" s="700">
        <f t="shared" si="31"/>
        <v>7.8940170423642639</v>
      </c>
      <c r="S46" s="700">
        <f t="shared" si="31"/>
        <v>7.9477082603840516</v>
      </c>
      <c r="T46" s="700">
        <f t="shared" si="31"/>
        <v>7.6150309824622697</v>
      </c>
      <c r="U46" s="700">
        <f t="shared" si="31"/>
        <v>7.9215530713102478</v>
      </c>
      <c r="V46" s="700">
        <f t="shared" si="31"/>
        <v>7.7823605200564439</v>
      </c>
      <c r="X46" s="700">
        <f>X42/X64</f>
        <v>8.2623079794573258</v>
      </c>
      <c r="Y46" s="700">
        <f>Y42/Y64</f>
        <v>8.2623079794573258</v>
      </c>
      <c r="Z46" s="700">
        <f>Z42/Z64</f>
        <v>8.2623079794573258</v>
      </c>
      <c r="AB46" s="700">
        <v>8.9317749454019246</v>
      </c>
    </row>
    <row r="47" spans="3:42">
      <c r="AB47" s="658"/>
    </row>
    <row r="48" spans="3:42" ht="15" thickBot="1">
      <c r="AB48" s="658"/>
    </row>
    <row r="49" spans="1:28">
      <c r="A49" s="655">
        <v>1000</v>
      </c>
      <c r="C49" s="701" t="s">
        <v>984</v>
      </c>
      <c r="D49" s="702">
        <v>45383</v>
      </c>
      <c r="E49" s="661">
        <v>45413</v>
      </c>
      <c r="F49" s="661">
        <v>45444</v>
      </c>
      <c r="G49" s="661">
        <v>45474</v>
      </c>
      <c r="H49" s="661">
        <v>45505</v>
      </c>
      <c r="I49" s="661">
        <v>45536</v>
      </c>
      <c r="J49" s="661">
        <v>45566</v>
      </c>
      <c r="K49" s="661">
        <v>45597</v>
      </c>
      <c r="L49" s="661">
        <v>45627</v>
      </c>
      <c r="M49" s="661">
        <v>45658</v>
      </c>
      <c r="N49" s="661">
        <v>45689</v>
      </c>
      <c r="O49" s="703">
        <v>45717</v>
      </c>
      <c r="P49" s="704" t="s">
        <v>962</v>
      </c>
      <c r="Q49" s="662" t="s">
        <v>963</v>
      </c>
      <c r="R49" s="662" t="s">
        <v>964</v>
      </c>
      <c r="S49" s="662" t="s">
        <v>965</v>
      </c>
      <c r="T49" s="662" t="s">
        <v>966</v>
      </c>
      <c r="U49" s="662" t="s">
        <v>967</v>
      </c>
      <c r="V49" s="663" t="s">
        <v>91</v>
      </c>
      <c r="X49" s="664" t="str">
        <f>X$2</f>
        <v>Act</v>
      </c>
      <c r="Y49" s="703" t="str">
        <f>Y$2</f>
        <v>Exp</v>
      </c>
      <c r="Z49" s="705" t="str">
        <f>Z$2</f>
        <v>Exp 24-25</v>
      </c>
      <c r="AB49" s="663" t="s">
        <v>91</v>
      </c>
    </row>
    <row r="50" spans="1:28">
      <c r="B50" s="655" t="s">
        <v>985</v>
      </c>
      <c r="C50" s="706" t="s">
        <v>986</v>
      </c>
      <c r="D50" s="707">
        <v>1321.0063812688109</v>
      </c>
      <c r="E50" s="687">
        <v>2809.3142532507759</v>
      </c>
      <c r="F50" s="687">
        <v>1595.7969390825019</v>
      </c>
      <c r="G50" s="687">
        <v>2176.5636943756226</v>
      </c>
      <c r="H50" s="687">
        <v>2195.5834873552644</v>
      </c>
      <c r="I50" s="687">
        <v>2245.4790180388559</v>
      </c>
      <c r="J50" s="687">
        <v>2177.1608036314678</v>
      </c>
      <c r="K50" s="687">
        <v>2660.0052481526609</v>
      </c>
      <c r="L50" s="687">
        <v>2395.2889190429773</v>
      </c>
      <c r="M50" s="687">
        <v>2536.6157026564292</v>
      </c>
      <c r="N50" s="687">
        <v>2645.1954628619396</v>
      </c>
      <c r="O50" s="708">
        <v>2437.8776974378411</v>
      </c>
      <c r="P50" s="709">
        <f t="shared" ref="P50:P62" si="32">SUM(D50:F50)</f>
        <v>5726.1175736020887</v>
      </c>
      <c r="Q50" s="668">
        <f>SUM(G50:I50)</f>
        <v>6617.626199769742</v>
      </c>
      <c r="R50" s="668">
        <f>SUM(J50:L50)</f>
        <v>7232.4549708271061</v>
      </c>
      <c r="S50" s="668">
        <f>SUM(M50:O50)</f>
        <v>7619.6888629562109</v>
      </c>
      <c r="T50" s="668">
        <f t="shared" ref="T50:T62" si="33">SUM(D50:I50)</f>
        <v>12343.743773371831</v>
      </c>
      <c r="U50" s="668">
        <f>SUM(J50:O50)</f>
        <v>14852.143833783317</v>
      </c>
      <c r="V50" s="669">
        <f t="shared" ref="V50:V63" si="34">SUM(D50:O50)</f>
        <v>27195.887607155146</v>
      </c>
      <c r="X50" s="682"/>
      <c r="Y50" s="708"/>
      <c r="Z50" s="710">
        <f t="shared" ref="Z50:Z64" si="35">SUM(X50:Y50)</f>
        <v>0</v>
      </c>
      <c r="AB50" s="669">
        <v>33949.901449578785</v>
      </c>
    </row>
    <row r="51" spans="1:28">
      <c r="B51" s="655" t="s">
        <v>987</v>
      </c>
      <c r="C51" s="706" t="s">
        <v>988</v>
      </c>
      <c r="D51" s="707">
        <v>165.12579765860136</v>
      </c>
      <c r="E51" s="687">
        <v>351.16428165634699</v>
      </c>
      <c r="F51" s="687">
        <v>199.47461738531274</v>
      </c>
      <c r="G51" s="687">
        <v>272.07046179695283</v>
      </c>
      <c r="H51" s="687">
        <v>274.44793591940805</v>
      </c>
      <c r="I51" s="687">
        <v>280.68487725485699</v>
      </c>
      <c r="J51" s="687">
        <v>272.14510045393348</v>
      </c>
      <c r="K51" s="687">
        <v>332.50065601908261</v>
      </c>
      <c r="L51" s="687">
        <v>299.41111488037217</v>
      </c>
      <c r="M51" s="687">
        <v>317.07696283205365</v>
      </c>
      <c r="N51" s="687">
        <v>330.64943285774245</v>
      </c>
      <c r="O51" s="708">
        <v>304.73471217973014</v>
      </c>
      <c r="P51" s="709">
        <f t="shared" si="32"/>
        <v>715.76469670026108</v>
      </c>
      <c r="Q51" s="668">
        <f t="shared" ref="Q51:Q62" si="36">SUM(G51:I51)</f>
        <v>827.20327497121775</v>
      </c>
      <c r="R51" s="668">
        <f t="shared" ref="R51:R62" si="37">SUM(J51:L51)</f>
        <v>904.05687135338826</v>
      </c>
      <c r="S51" s="668">
        <f t="shared" ref="S51:S62" si="38">SUM(M51:O51)</f>
        <v>952.46110786952636</v>
      </c>
      <c r="T51" s="668">
        <f t="shared" si="33"/>
        <v>1542.9679716714788</v>
      </c>
      <c r="U51" s="668">
        <f t="shared" ref="U51:U62" si="39">SUM(J51:O51)</f>
        <v>1856.5179792229146</v>
      </c>
      <c r="V51" s="669">
        <f t="shared" si="34"/>
        <v>3399.4859508943932</v>
      </c>
      <c r="X51" s="682"/>
      <c r="Y51" s="708"/>
      <c r="Z51" s="710">
        <f t="shared" si="35"/>
        <v>0</v>
      </c>
      <c r="AB51" s="669">
        <v>4243.7376811973481</v>
      </c>
    </row>
    <row r="52" spans="1:28">
      <c r="B52" s="655" t="s">
        <v>989</v>
      </c>
      <c r="C52" s="706" t="s">
        <v>990</v>
      </c>
      <c r="D52" s="707">
        <v>164.94028126903524</v>
      </c>
      <c r="E52" s="687">
        <v>350.81311737469071</v>
      </c>
      <c r="F52" s="687">
        <v>199.27514276792738</v>
      </c>
      <c r="G52" s="687">
        <v>271.79839133515583</v>
      </c>
      <c r="H52" s="687">
        <v>274.17348798348871</v>
      </c>
      <c r="I52" s="687">
        <v>280.38380178569469</v>
      </c>
      <c r="J52" s="687">
        <v>271.87295535347948</v>
      </c>
      <c r="K52" s="687">
        <v>332.16815536306342</v>
      </c>
      <c r="L52" s="687">
        <v>299.11170376549182</v>
      </c>
      <c r="M52" s="687">
        <v>316.75988586922165</v>
      </c>
      <c r="N52" s="687">
        <v>330.31878342488477</v>
      </c>
      <c r="O52" s="708">
        <v>304.42997746755043</v>
      </c>
      <c r="P52" s="709">
        <f t="shared" si="32"/>
        <v>715.02854141165335</v>
      </c>
      <c r="Q52" s="668">
        <f t="shared" si="36"/>
        <v>826.35568110433928</v>
      </c>
      <c r="R52" s="668">
        <f t="shared" si="37"/>
        <v>903.15281448203473</v>
      </c>
      <c r="S52" s="668">
        <f t="shared" si="38"/>
        <v>951.50864676165691</v>
      </c>
      <c r="T52" s="668">
        <f t="shared" si="33"/>
        <v>1541.3842225159926</v>
      </c>
      <c r="U52" s="668">
        <f t="shared" si="39"/>
        <v>1854.6614612436915</v>
      </c>
      <c r="V52" s="669">
        <f t="shared" si="34"/>
        <v>3396.0456837596844</v>
      </c>
      <c r="X52" s="682"/>
      <c r="Y52" s="708"/>
      <c r="Z52" s="710">
        <f t="shared" si="35"/>
        <v>0</v>
      </c>
      <c r="AB52" s="669">
        <v>4084.6767680730936</v>
      </c>
    </row>
    <row r="53" spans="1:28">
      <c r="B53" s="655" t="s">
        <v>991</v>
      </c>
      <c r="C53" s="706" t="s">
        <v>992</v>
      </c>
      <c r="D53" s="707">
        <v>0</v>
      </c>
      <c r="E53" s="687">
        <v>0</v>
      </c>
      <c r="F53" s="687">
        <v>0</v>
      </c>
      <c r="G53" s="687">
        <v>0</v>
      </c>
      <c r="H53" s="687">
        <v>0</v>
      </c>
      <c r="I53" s="687">
        <v>0</v>
      </c>
      <c r="J53" s="687">
        <v>0</v>
      </c>
      <c r="K53" s="687">
        <v>0</v>
      </c>
      <c r="L53" s="687">
        <v>0</v>
      </c>
      <c r="M53" s="687">
        <v>0</v>
      </c>
      <c r="N53" s="687">
        <v>0</v>
      </c>
      <c r="O53" s="708">
        <v>0</v>
      </c>
      <c r="P53" s="709">
        <f t="shared" si="32"/>
        <v>0</v>
      </c>
      <c r="Q53" s="668">
        <f t="shared" si="36"/>
        <v>0</v>
      </c>
      <c r="R53" s="668">
        <f t="shared" si="37"/>
        <v>0</v>
      </c>
      <c r="S53" s="668">
        <f t="shared" si="38"/>
        <v>0</v>
      </c>
      <c r="T53" s="668">
        <f t="shared" si="33"/>
        <v>0</v>
      </c>
      <c r="U53" s="668">
        <f t="shared" si="39"/>
        <v>0</v>
      </c>
      <c r="V53" s="669">
        <f t="shared" si="34"/>
        <v>0</v>
      </c>
      <c r="X53" s="682"/>
      <c r="Y53" s="708"/>
      <c r="Z53" s="710">
        <f t="shared" si="35"/>
        <v>0</v>
      </c>
      <c r="AB53" s="669">
        <v>154.78233275637001</v>
      </c>
    </row>
    <row r="54" spans="1:28">
      <c r="B54" s="655" t="s">
        <v>993</v>
      </c>
      <c r="C54" s="706" t="s">
        <v>994</v>
      </c>
      <c r="D54" s="707">
        <v>118.47993541590836</v>
      </c>
      <c r="E54" s="687">
        <v>274.14643319606421</v>
      </c>
      <c r="F54" s="687">
        <v>147.94345436719129</v>
      </c>
      <c r="G54" s="687">
        <v>187.99891681884174</v>
      </c>
      <c r="H54" s="687">
        <v>202.49947750073679</v>
      </c>
      <c r="I54" s="687">
        <v>199.00882587967467</v>
      </c>
      <c r="J54" s="687">
        <v>185.07254486078276</v>
      </c>
      <c r="K54" s="687">
        <v>233.05469185173007</v>
      </c>
      <c r="L54" s="687">
        <v>224.52655854356598</v>
      </c>
      <c r="M54" s="687">
        <v>232.34271301740304</v>
      </c>
      <c r="N54" s="687">
        <v>233.62163456661568</v>
      </c>
      <c r="O54" s="708">
        <v>215.74133699635715</v>
      </c>
      <c r="P54" s="709">
        <f t="shared" si="32"/>
        <v>540.56982297916386</v>
      </c>
      <c r="Q54" s="668">
        <f t="shared" si="36"/>
        <v>589.5072201992532</v>
      </c>
      <c r="R54" s="668">
        <f t="shared" si="37"/>
        <v>642.65379525607887</v>
      </c>
      <c r="S54" s="668">
        <f t="shared" si="38"/>
        <v>681.70568458037587</v>
      </c>
      <c r="T54" s="668">
        <f t="shared" si="33"/>
        <v>1130.0770431784172</v>
      </c>
      <c r="U54" s="668">
        <f t="shared" si="39"/>
        <v>1324.3594798364547</v>
      </c>
      <c r="V54" s="669">
        <f t="shared" si="34"/>
        <v>2454.4365230148715</v>
      </c>
      <c r="X54" s="682"/>
      <c r="Y54" s="708"/>
      <c r="Z54" s="710">
        <f t="shared" si="35"/>
        <v>0</v>
      </c>
      <c r="AB54" s="669">
        <v>3257.193093575172</v>
      </c>
    </row>
    <row r="55" spans="1:28">
      <c r="B55" s="655" t="s">
        <v>993</v>
      </c>
      <c r="C55" s="706" t="s">
        <v>995</v>
      </c>
      <c r="D55" s="707">
        <v>30.601601659502798</v>
      </c>
      <c r="E55" s="687">
        <v>42.232309154593359</v>
      </c>
      <c r="F55" s="687">
        <v>32.009933616539186</v>
      </c>
      <c r="G55" s="687">
        <v>57.345648693253203</v>
      </c>
      <c r="H55" s="687">
        <v>44.9113327587445</v>
      </c>
      <c r="I55" s="687">
        <v>54.137773886506515</v>
      </c>
      <c r="J55" s="687">
        <v>60.416814333207995</v>
      </c>
      <c r="K55" s="687">
        <v>66.686471298069549</v>
      </c>
      <c r="L55" s="687">
        <v>45.297884645128249</v>
      </c>
      <c r="M55" s="687">
        <v>53.403834092051987</v>
      </c>
      <c r="N55" s="687">
        <v>64.370783502869685</v>
      </c>
      <c r="O55" s="708">
        <v>58.999471668279185</v>
      </c>
      <c r="P55" s="709">
        <f t="shared" si="32"/>
        <v>104.84384443063534</v>
      </c>
      <c r="Q55" s="668">
        <f t="shared" si="36"/>
        <v>156.39475533850421</v>
      </c>
      <c r="R55" s="668">
        <f t="shared" si="37"/>
        <v>172.40117027640579</v>
      </c>
      <c r="S55" s="668">
        <f t="shared" si="38"/>
        <v>176.77408926320084</v>
      </c>
      <c r="T55" s="668">
        <f t="shared" si="33"/>
        <v>261.23859976913957</v>
      </c>
      <c r="U55" s="668">
        <f t="shared" si="39"/>
        <v>349.17525953960666</v>
      </c>
      <c r="V55" s="669">
        <f t="shared" si="34"/>
        <v>610.41385930874617</v>
      </c>
      <c r="X55" s="682"/>
      <c r="Y55" s="708"/>
      <c r="Z55" s="710">
        <f t="shared" si="35"/>
        <v>0</v>
      </c>
      <c r="AB55" s="669">
        <v>566.51470444548852</v>
      </c>
    </row>
    <row r="56" spans="1:28">
      <c r="B56" s="655">
        <v>0</v>
      </c>
      <c r="C56" s="706" t="s">
        <v>996</v>
      </c>
      <c r="D56" s="707">
        <v>63.561965751495528</v>
      </c>
      <c r="E56" s="687">
        <v>56.941922778281238</v>
      </c>
      <c r="F56" s="687">
        <v>56.941922778281238</v>
      </c>
      <c r="G56" s="687">
        <v>63.561965751495528</v>
      </c>
      <c r="H56" s="687">
        <v>56.941922778281238</v>
      </c>
      <c r="I56" s="687">
        <v>56.941922778281238</v>
      </c>
      <c r="J56" s="687">
        <v>63.561965751495528</v>
      </c>
      <c r="K56" s="687">
        <v>56.941922778281238</v>
      </c>
      <c r="L56" s="687">
        <v>56.941922778281238</v>
      </c>
      <c r="M56" s="687">
        <v>56.941922778281238</v>
      </c>
      <c r="N56" s="687">
        <v>63.561965751495528</v>
      </c>
      <c r="O56" s="708">
        <v>56.941922778281238</v>
      </c>
      <c r="P56" s="709">
        <f t="shared" si="32"/>
        <v>177.44581130805801</v>
      </c>
      <c r="Q56" s="668">
        <f t="shared" si="36"/>
        <v>177.44581130805801</v>
      </c>
      <c r="R56" s="668">
        <f t="shared" si="37"/>
        <v>177.44581130805801</v>
      </c>
      <c r="S56" s="668">
        <f t="shared" si="38"/>
        <v>177.44581130805801</v>
      </c>
      <c r="T56" s="668">
        <f t="shared" si="33"/>
        <v>354.89162261611602</v>
      </c>
      <c r="U56" s="668">
        <f t="shared" si="39"/>
        <v>354.89162261611602</v>
      </c>
      <c r="V56" s="669">
        <f t="shared" si="34"/>
        <v>709.78324523223193</v>
      </c>
      <c r="X56" s="682"/>
      <c r="Y56" s="708"/>
      <c r="Z56" s="710">
        <f t="shared" si="35"/>
        <v>0</v>
      </c>
      <c r="AB56" s="669">
        <v>0</v>
      </c>
    </row>
    <row r="57" spans="1:28">
      <c r="B57" s="655" t="s">
        <v>997</v>
      </c>
      <c r="C57" s="706" t="s">
        <v>998</v>
      </c>
      <c r="D57" s="707">
        <v>148.53130799776622</v>
      </c>
      <c r="E57" s="687">
        <v>314.99202724663638</v>
      </c>
      <c r="F57" s="687">
        <v>179.24879965154386</v>
      </c>
      <c r="G57" s="687">
        <v>244.33892131816663</v>
      </c>
      <c r="H57" s="687">
        <v>246.39483484181602</v>
      </c>
      <c r="I57" s="687">
        <v>252.10194540098237</v>
      </c>
      <c r="J57" s="687">
        <v>244.48299103165292</v>
      </c>
      <c r="K57" s="687">
        <v>298.46353596768267</v>
      </c>
      <c r="L57" s="687">
        <v>268.69639960638278</v>
      </c>
      <c r="M57" s="687">
        <v>284.5388930075398</v>
      </c>
      <c r="N57" s="687">
        <v>296.7235346127701</v>
      </c>
      <c r="O57" s="708">
        <v>273.58818325494519</v>
      </c>
      <c r="P57" s="709">
        <f t="shared" si="32"/>
        <v>642.77213489594646</v>
      </c>
      <c r="Q57" s="668">
        <f t="shared" si="36"/>
        <v>742.83570156096505</v>
      </c>
      <c r="R57" s="668">
        <f t="shared" si="37"/>
        <v>811.64292660571834</v>
      </c>
      <c r="S57" s="668">
        <f t="shared" si="38"/>
        <v>854.85061087525503</v>
      </c>
      <c r="T57" s="668">
        <f t="shared" si="33"/>
        <v>1385.6078364569116</v>
      </c>
      <c r="U57" s="668">
        <f t="shared" si="39"/>
        <v>1666.4935374809734</v>
      </c>
      <c r="V57" s="669">
        <f t="shared" si="34"/>
        <v>3052.101373937885</v>
      </c>
      <c r="X57" s="682"/>
      <c r="Y57" s="708"/>
      <c r="Z57" s="710">
        <f t="shared" si="35"/>
        <v>0</v>
      </c>
      <c r="AB57" s="669">
        <v>3804.5892590305575</v>
      </c>
    </row>
    <row r="58" spans="1:28">
      <c r="B58" s="655" t="s">
        <v>999</v>
      </c>
      <c r="C58" s="706" t="s">
        <v>1000</v>
      </c>
      <c r="D58" s="707">
        <v>45.235260872433159</v>
      </c>
      <c r="E58" s="687">
        <v>63.967092424850023</v>
      </c>
      <c r="F58" s="687">
        <v>54.106391854282236</v>
      </c>
      <c r="G58" s="687">
        <v>90.973588957043788</v>
      </c>
      <c r="H58" s="687">
        <v>68.831635850233837</v>
      </c>
      <c r="I58" s="687">
        <v>100.30642073691526</v>
      </c>
      <c r="J58" s="687">
        <v>77.517550044532712</v>
      </c>
      <c r="K58" s="687">
        <v>89.646628531600811</v>
      </c>
      <c r="L58" s="687">
        <v>77.349355107273468</v>
      </c>
      <c r="M58" s="687">
        <v>100.51925577915559</v>
      </c>
      <c r="N58" s="687">
        <v>82.940691660614945</v>
      </c>
      <c r="O58" s="708">
        <v>92.881751199673857</v>
      </c>
      <c r="P58" s="709">
        <f t="shared" si="32"/>
        <v>163.3087451515654</v>
      </c>
      <c r="Q58" s="668">
        <f t="shared" si="36"/>
        <v>260.11164554419287</v>
      </c>
      <c r="R58" s="668">
        <f t="shared" si="37"/>
        <v>244.51353368340699</v>
      </c>
      <c r="S58" s="668">
        <f t="shared" si="38"/>
        <v>276.34169863944442</v>
      </c>
      <c r="T58" s="668">
        <f t="shared" si="33"/>
        <v>423.42039069575827</v>
      </c>
      <c r="U58" s="668">
        <f t="shared" si="39"/>
        <v>520.85523232285141</v>
      </c>
      <c r="V58" s="669">
        <f t="shared" si="34"/>
        <v>944.27562301860962</v>
      </c>
      <c r="X58" s="682"/>
      <c r="Y58" s="708"/>
      <c r="Z58" s="710">
        <f t="shared" si="35"/>
        <v>0</v>
      </c>
      <c r="AB58" s="669">
        <v>1030.6026136569089</v>
      </c>
    </row>
    <row r="59" spans="1:28">
      <c r="B59" s="655" t="s">
        <v>1001</v>
      </c>
      <c r="C59" s="706" t="s">
        <v>1002</v>
      </c>
      <c r="D59" s="707">
        <v>144.43200439057867</v>
      </c>
      <c r="E59" s="687">
        <v>306.43539248934286</v>
      </c>
      <c r="F59" s="687">
        <v>174.20422087762452</v>
      </c>
      <c r="G59" s="687">
        <v>237.33129418866685</v>
      </c>
      <c r="H59" s="687">
        <v>239.51978399376117</v>
      </c>
      <c r="I59" s="687">
        <v>244.81855741939148</v>
      </c>
      <c r="J59" s="687">
        <v>237.62395857687852</v>
      </c>
      <c r="K59" s="687">
        <v>289.9735328065567</v>
      </c>
      <c r="L59" s="687">
        <v>261.07262821688352</v>
      </c>
      <c r="M59" s="687">
        <v>276.29323472286558</v>
      </c>
      <c r="N59" s="687">
        <v>288.28288267743034</v>
      </c>
      <c r="O59" s="708">
        <v>265.73113753372462</v>
      </c>
      <c r="P59" s="709">
        <f t="shared" si="32"/>
        <v>625.07161775754605</v>
      </c>
      <c r="Q59" s="668">
        <f t="shared" si="36"/>
        <v>721.66963560181944</v>
      </c>
      <c r="R59" s="668">
        <f t="shared" si="37"/>
        <v>788.67011960031869</v>
      </c>
      <c r="S59" s="668">
        <f t="shared" si="38"/>
        <v>830.30725493402065</v>
      </c>
      <c r="T59" s="668">
        <f t="shared" si="33"/>
        <v>1346.7412533593656</v>
      </c>
      <c r="U59" s="668">
        <f t="shared" si="39"/>
        <v>1618.9773745343393</v>
      </c>
      <c r="V59" s="669">
        <f t="shared" si="34"/>
        <v>2965.7186278937047</v>
      </c>
      <c r="X59" s="682"/>
      <c r="Y59" s="708"/>
      <c r="Z59" s="710">
        <f t="shared" si="35"/>
        <v>0</v>
      </c>
      <c r="AB59" s="669">
        <v>3686.6841424175691</v>
      </c>
    </row>
    <row r="60" spans="1:28">
      <c r="B60" s="655" t="s">
        <v>1003</v>
      </c>
      <c r="C60" s="706" t="s">
        <v>1004</v>
      </c>
      <c r="D60" s="707">
        <v>4.0579999999999998</v>
      </c>
      <c r="E60" s="687">
        <v>4.0579999999999998</v>
      </c>
      <c r="F60" s="687">
        <v>4.0579999999999998</v>
      </c>
      <c r="G60" s="687">
        <v>12.231999999999999</v>
      </c>
      <c r="H60" s="687">
        <v>12.231999999999999</v>
      </c>
      <c r="I60" s="687">
        <v>12.231999999999999</v>
      </c>
      <c r="J60" s="687">
        <v>15.162000000000001</v>
      </c>
      <c r="K60" s="687">
        <v>15.162000000000001</v>
      </c>
      <c r="L60" s="687">
        <v>15.162000000000001</v>
      </c>
      <c r="M60" s="687">
        <v>9.8179999999999996</v>
      </c>
      <c r="N60" s="687">
        <v>9.8179999999999996</v>
      </c>
      <c r="O60" s="708">
        <v>9.8179999999999996</v>
      </c>
      <c r="P60" s="709">
        <f t="shared" si="32"/>
        <v>12.173999999999999</v>
      </c>
      <c r="Q60" s="668">
        <f t="shared" si="36"/>
        <v>36.695999999999998</v>
      </c>
      <c r="R60" s="668">
        <f t="shared" si="37"/>
        <v>45.486000000000004</v>
      </c>
      <c r="S60" s="668">
        <f t="shared" si="38"/>
        <v>29.454000000000001</v>
      </c>
      <c r="T60" s="668">
        <f t="shared" si="33"/>
        <v>48.87</v>
      </c>
      <c r="U60" s="668">
        <f t="shared" si="39"/>
        <v>74.94</v>
      </c>
      <c r="V60" s="669">
        <f t="shared" si="34"/>
        <v>123.81</v>
      </c>
      <c r="X60" s="682"/>
      <c r="Y60" s="708"/>
      <c r="Z60" s="710">
        <f t="shared" si="35"/>
        <v>0</v>
      </c>
      <c r="AB60" s="669">
        <v>123.81</v>
      </c>
    </row>
    <row r="61" spans="1:28">
      <c r="B61" s="655">
        <v>0</v>
      </c>
      <c r="C61" s="706" t="s">
        <v>1005</v>
      </c>
      <c r="D61" s="707">
        <v>0</v>
      </c>
      <c r="E61" s="687">
        <v>0</v>
      </c>
      <c r="F61" s="687">
        <v>0</v>
      </c>
      <c r="G61" s="687">
        <v>0</v>
      </c>
      <c r="H61" s="687">
        <v>0</v>
      </c>
      <c r="I61" s="687">
        <v>0</v>
      </c>
      <c r="J61" s="687">
        <v>0</v>
      </c>
      <c r="K61" s="687">
        <v>0</v>
      </c>
      <c r="L61" s="687">
        <v>0</v>
      </c>
      <c r="M61" s="687">
        <v>0</v>
      </c>
      <c r="N61" s="687">
        <v>0</v>
      </c>
      <c r="O61" s="708">
        <v>0</v>
      </c>
      <c r="P61" s="709">
        <f t="shared" si="32"/>
        <v>0</v>
      </c>
      <c r="Q61" s="668">
        <f t="shared" si="36"/>
        <v>0</v>
      </c>
      <c r="R61" s="668">
        <f t="shared" si="37"/>
        <v>0</v>
      </c>
      <c r="S61" s="668">
        <f t="shared" si="38"/>
        <v>0</v>
      </c>
      <c r="T61" s="668">
        <f t="shared" si="33"/>
        <v>0</v>
      </c>
      <c r="U61" s="668">
        <f t="shared" si="39"/>
        <v>0</v>
      </c>
      <c r="V61" s="669">
        <f t="shared" si="34"/>
        <v>0</v>
      </c>
      <c r="X61" s="682"/>
      <c r="Y61" s="708"/>
      <c r="Z61" s="710">
        <f t="shared" si="35"/>
        <v>0</v>
      </c>
      <c r="AB61" s="669">
        <v>0</v>
      </c>
    </row>
    <row r="62" spans="1:28">
      <c r="B62" s="655">
        <v>0</v>
      </c>
      <c r="C62" s="706" t="s">
        <v>1006</v>
      </c>
      <c r="D62" s="707">
        <v>118.47993541590836</v>
      </c>
      <c r="E62" s="687">
        <v>274.14643319606421</v>
      </c>
      <c r="F62" s="687">
        <v>147.94345436719129</v>
      </c>
      <c r="G62" s="687">
        <v>187.99891681884174</v>
      </c>
      <c r="H62" s="687">
        <v>202.49947750073679</v>
      </c>
      <c r="I62" s="687">
        <v>199.00882587967467</v>
      </c>
      <c r="J62" s="687">
        <v>185.07254486078276</v>
      </c>
      <c r="K62" s="687">
        <v>233.05469185173007</v>
      </c>
      <c r="L62" s="687">
        <v>224.52655854356598</v>
      </c>
      <c r="M62" s="687">
        <v>232.34271301740304</v>
      </c>
      <c r="N62" s="687">
        <v>233.62163456661568</v>
      </c>
      <c r="O62" s="708">
        <v>215.74133699635715</v>
      </c>
      <c r="P62" s="709">
        <f t="shared" si="32"/>
        <v>540.56982297916386</v>
      </c>
      <c r="Q62" s="668">
        <f t="shared" si="36"/>
        <v>589.5072201992532</v>
      </c>
      <c r="R62" s="668">
        <f t="shared" si="37"/>
        <v>642.65379525607887</v>
      </c>
      <c r="S62" s="668">
        <f t="shared" si="38"/>
        <v>681.70568458037587</v>
      </c>
      <c r="T62" s="668">
        <f t="shared" si="33"/>
        <v>1130.0770431784172</v>
      </c>
      <c r="U62" s="668">
        <f t="shared" si="39"/>
        <v>1324.3594798364547</v>
      </c>
      <c r="V62" s="669">
        <f t="shared" si="34"/>
        <v>2454.4365230148715</v>
      </c>
      <c r="X62" s="682"/>
      <c r="Y62" s="708"/>
      <c r="Z62" s="710">
        <f t="shared" si="35"/>
        <v>0</v>
      </c>
      <c r="AB62" s="669">
        <v>3257.193093575172</v>
      </c>
    </row>
    <row r="63" spans="1:28">
      <c r="C63" s="706"/>
      <c r="D63" s="711"/>
      <c r="E63" s="667"/>
      <c r="F63" s="667"/>
      <c r="G63" s="667"/>
      <c r="H63" s="667"/>
      <c r="I63" s="667"/>
      <c r="J63" s="667"/>
      <c r="K63" s="667"/>
      <c r="L63" s="667"/>
      <c r="M63" s="667"/>
      <c r="N63" s="667"/>
      <c r="O63" s="712"/>
      <c r="P63" s="709"/>
      <c r="Q63" s="668"/>
      <c r="R63" s="668"/>
      <c r="S63" s="668"/>
      <c r="T63" s="668"/>
      <c r="U63" s="668"/>
      <c r="V63" s="669">
        <f t="shared" si="34"/>
        <v>0</v>
      </c>
      <c r="X63" s="671"/>
      <c r="Y63" s="712"/>
      <c r="Z63" s="710">
        <f t="shared" si="35"/>
        <v>0</v>
      </c>
      <c r="AB63" s="669">
        <v>0</v>
      </c>
    </row>
    <row r="64" spans="1:28" ht="15" thickBot="1">
      <c r="C64" s="713" t="s">
        <v>91</v>
      </c>
      <c r="D64" s="714">
        <f>D59</f>
        <v>144.43200439057867</v>
      </c>
      <c r="E64" s="675">
        <f t="shared" ref="E64:V64" si="40">E59</f>
        <v>306.43539248934286</v>
      </c>
      <c r="F64" s="675">
        <f t="shared" si="40"/>
        <v>174.20422087762452</v>
      </c>
      <c r="G64" s="675">
        <f t="shared" si="40"/>
        <v>237.33129418866685</v>
      </c>
      <c r="H64" s="675">
        <f t="shared" si="40"/>
        <v>239.51978399376117</v>
      </c>
      <c r="I64" s="675">
        <f t="shared" si="40"/>
        <v>244.81855741939148</v>
      </c>
      <c r="J64" s="675">
        <f t="shared" si="40"/>
        <v>237.62395857687852</v>
      </c>
      <c r="K64" s="675">
        <f t="shared" si="40"/>
        <v>289.9735328065567</v>
      </c>
      <c r="L64" s="675">
        <f t="shared" si="40"/>
        <v>261.07262821688352</v>
      </c>
      <c r="M64" s="675">
        <f t="shared" si="40"/>
        <v>276.29323472286558</v>
      </c>
      <c r="N64" s="675">
        <f t="shared" si="40"/>
        <v>288.28288267743034</v>
      </c>
      <c r="O64" s="715">
        <f t="shared" si="40"/>
        <v>265.73113753372462</v>
      </c>
      <c r="P64" s="716">
        <f t="shared" si="40"/>
        <v>625.07161775754605</v>
      </c>
      <c r="Q64" s="675">
        <f t="shared" si="40"/>
        <v>721.66963560181944</v>
      </c>
      <c r="R64" s="675">
        <f t="shared" si="40"/>
        <v>788.67011960031869</v>
      </c>
      <c r="S64" s="675">
        <f t="shared" si="40"/>
        <v>830.30725493402065</v>
      </c>
      <c r="T64" s="675">
        <f t="shared" si="40"/>
        <v>1346.7412533593656</v>
      </c>
      <c r="U64" s="675">
        <f t="shared" si="40"/>
        <v>1618.9773745343393</v>
      </c>
      <c r="V64" s="677">
        <f t="shared" si="40"/>
        <v>2965.7186278937047</v>
      </c>
      <c r="W64" s="656"/>
      <c r="X64" s="678">
        <v>2679.3267419999997</v>
      </c>
      <c r="Y64" s="715">
        <v>554.59942160876449</v>
      </c>
      <c r="Z64" s="717">
        <f t="shared" si="35"/>
        <v>3233.926163608764</v>
      </c>
      <c r="AB64" s="677">
        <v>3686.6841424175691</v>
      </c>
    </row>
    <row r="67" spans="3:22" ht="15" thickBot="1"/>
    <row r="68" spans="3:22">
      <c r="C68" s="660" t="s">
        <v>1007</v>
      </c>
      <c r="D68" s="661">
        <v>45383</v>
      </c>
      <c r="E68" s="661">
        <v>45413</v>
      </c>
      <c r="F68" s="661">
        <v>45444</v>
      </c>
      <c r="G68" s="661">
        <v>45474</v>
      </c>
      <c r="H68" s="661">
        <v>45505</v>
      </c>
      <c r="I68" s="661">
        <v>45536</v>
      </c>
      <c r="J68" s="661">
        <v>45566</v>
      </c>
      <c r="K68" s="661">
        <v>45597</v>
      </c>
      <c r="L68" s="661">
        <v>45627</v>
      </c>
      <c r="M68" s="661">
        <v>45658</v>
      </c>
      <c r="N68" s="661">
        <v>45689</v>
      </c>
      <c r="O68" s="661">
        <v>45717</v>
      </c>
      <c r="P68" s="662" t="s">
        <v>962</v>
      </c>
      <c r="Q68" s="662" t="s">
        <v>963</v>
      </c>
      <c r="R68" s="662" t="s">
        <v>964</v>
      </c>
      <c r="S68" s="662" t="s">
        <v>965</v>
      </c>
      <c r="T68" s="662" t="s">
        <v>966</v>
      </c>
      <c r="U68" s="662" t="s">
        <v>967</v>
      </c>
      <c r="V68" s="663" t="s">
        <v>91</v>
      </c>
    </row>
    <row r="69" spans="3:22">
      <c r="C69" s="682" t="s">
        <v>1008</v>
      </c>
      <c r="D69" s="667">
        <v>288</v>
      </c>
      <c r="E69" s="667">
        <v>288</v>
      </c>
      <c r="F69" s="667">
        <v>288</v>
      </c>
      <c r="G69" s="667">
        <v>261</v>
      </c>
      <c r="H69" s="667">
        <v>261</v>
      </c>
      <c r="I69" s="667">
        <v>261</v>
      </c>
      <c r="J69" s="667">
        <v>261</v>
      </c>
      <c r="K69" s="667">
        <v>261</v>
      </c>
      <c r="L69" s="667">
        <v>261</v>
      </c>
      <c r="M69" s="667">
        <v>261</v>
      </c>
      <c r="N69" s="667">
        <v>261</v>
      </c>
      <c r="O69" s="667">
        <v>261</v>
      </c>
      <c r="P69" s="668">
        <f>AVERAGE(D69:F69)</f>
        <v>288</v>
      </c>
      <c r="Q69" s="668">
        <f>AVERAGE(G69:I69)</f>
        <v>261</v>
      </c>
      <c r="R69" s="668">
        <f>AVERAGE(J69:L69)</f>
        <v>261</v>
      </c>
      <c r="S69" s="668">
        <f>AVERAGE(M69:O69)</f>
        <v>261</v>
      </c>
      <c r="T69" s="668">
        <f>AVERAGE(D69:I69)</f>
        <v>274.5</v>
      </c>
      <c r="U69" s="668">
        <f>AVERAGE(J69:O69)</f>
        <v>261</v>
      </c>
      <c r="V69" s="683">
        <f>AVERAGE(D69:O69)</f>
        <v>267.75</v>
      </c>
    </row>
    <row r="70" spans="3:22">
      <c r="C70" s="682" t="s">
        <v>1009</v>
      </c>
      <c r="D70" s="667">
        <f>'[65]Ass &amp; Cont'!E32</f>
        <v>699.93721311475417</v>
      </c>
      <c r="E70" s="667">
        <f>'[65]Ass &amp; Cont'!F32</f>
        <v>699.93721311475417</v>
      </c>
      <c r="F70" s="667">
        <f>'[65]Ass &amp; Cont'!G32</f>
        <v>702.93721311475417</v>
      </c>
      <c r="G70" s="667">
        <f>'[65]Ass &amp; Cont'!H32</f>
        <v>702.93721311475417</v>
      </c>
      <c r="H70" s="667">
        <f>'[65]Ass &amp; Cont'!I32</f>
        <v>702.93721311475417</v>
      </c>
      <c r="I70" s="667">
        <f>'[65]Ass &amp; Cont'!J32</f>
        <v>702.93721311475417</v>
      </c>
      <c r="J70" s="667">
        <f>'[65]Ass &amp; Cont'!K32</f>
        <v>702.93721311475417</v>
      </c>
      <c r="K70" s="667">
        <f>'[65]Ass &amp; Cont'!L32</f>
        <v>702.93721311475417</v>
      </c>
      <c r="L70" s="667">
        <f>'[65]Ass &amp; Cont'!M32</f>
        <v>702.93721311475417</v>
      </c>
      <c r="M70" s="667">
        <f>'[65]Ass &amp; Cont'!N32</f>
        <v>702.93721311475417</v>
      </c>
      <c r="N70" s="667">
        <f>'[65]Ass &amp; Cont'!O32</f>
        <v>702.93721311475417</v>
      </c>
      <c r="O70" s="667">
        <f>'[65]Ass &amp; Cont'!P32</f>
        <v>702.93721311475417</v>
      </c>
      <c r="P70" s="668">
        <f>AVERAGE(D70:F70)</f>
        <v>700.93721311475417</v>
      </c>
      <c r="Q70" s="668">
        <f>AVERAGE(G70:I70)</f>
        <v>702.93721311475417</v>
      </c>
      <c r="R70" s="668">
        <f>AVERAGE(J70:L70)</f>
        <v>702.93721311475417</v>
      </c>
      <c r="S70" s="668">
        <f>AVERAGE(M70:O70)</f>
        <v>702.93721311475417</v>
      </c>
      <c r="T70" s="668">
        <f>AVERAGE(D70:I70)</f>
        <v>701.93721311475417</v>
      </c>
      <c r="U70" s="668">
        <f>AVERAGE(J70:O70)</f>
        <v>702.93721311475417</v>
      </c>
      <c r="V70" s="683">
        <f>AVERAGE(D70:O70)</f>
        <v>702.43721311475394</v>
      </c>
    </row>
    <row r="71" spans="3:22">
      <c r="C71" s="682" t="s">
        <v>535</v>
      </c>
      <c r="D71" s="667">
        <f>'[65]Ass &amp; Cont'!S32</f>
        <v>360</v>
      </c>
      <c r="E71" s="667">
        <f>'[65]Ass &amp; Cont'!T32</f>
        <v>355</v>
      </c>
      <c r="F71" s="667">
        <f>'[65]Ass &amp; Cont'!U32</f>
        <v>367</v>
      </c>
      <c r="G71" s="667">
        <f>'[65]Ass &amp; Cont'!V32</f>
        <v>385</v>
      </c>
      <c r="H71" s="667">
        <f>'[65]Ass &amp; Cont'!W32</f>
        <v>388</v>
      </c>
      <c r="I71" s="667">
        <f>'[65]Ass &amp; Cont'!X32</f>
        <v>386</v>
      </c>
      <c r="J71" s="667">
        <f>'[65]Ass &amp; Cont'!Y32</f>
        <v>411</v>
      </c>
      <c r="K71" s="667">
        <f>'[65]Ass &amp; Cont'!Z32</f>
        <v>405</v>
      </c>
      <c r="L71" s="667">
        <f>'[65]Ass &amp; Cont'!AA32</f>
        <v>416</v>
      </c>
      <c r="M71" s="667">
        <f>'[65]Ass &amp; Cont'!AB32</f>
        <v>433</v>
      </c>
      <c r="N71" s="667">
        <f>'[65]Ass &amp; Cont'!AC32</f>
        <v>432</v>
      </c>
      <c r="O71" s="667">
        <f>'[65]Ass &amp; Cont'!AD32</f>
        <v>433</v>
      </c>
      <c r="P71" s="668">
        <f>AVERAGE(D71:F71)</f>
        <v>360.66666666666669</v>
      </c>
      <c r="Q71" s="668">
        <f>AVERAGE(G71:I71)</f>
        <v>386.33333333333331</v>
      </c>
      <c r="R71" s="668">
        <f>AVERAGE(J71:L71)</f>
        <v>410.66666666666669</v>
      </c>
      <c r="S71" s="668">
        <f>AVERAGE(M71:O71)</f>
        <v>432.66666666666669</v>
      </c>
      <c r="T71" s="668">
        <f>AVERAGE(D71:I71)</f>
        <v>373.5</v>
      </c>
      <c r="U71" s="668">
        <f>AVERAGE(J71:O71)</f>
        <v>421.66666666666669</v>
      </c>
      <c r="V71" s="683">
        <f>AVERAGE(D71:O71)</f>
        <v>397.58333333333331</v>
      </c>
    </row>
    <row r="72" spans="3:22">
      <c r="C72" s="682" t="s">
        <v>417</v>
      </c>
      <c r="D72" s="667">
        <f>'[65]Ass &amp; Cont'!BX32</f>
        <v>717.55737704918033</v>
      </c>
      <c r="E72" s="667">
        <f>'[65]Ass &amp; Cont'!BY32</f>
        <v>692.55737704918033</v>
      </c>
      <c r="F72" s="667">
        <f>'[65]Ass &amp; Cont'!BZ32</f>
        <v>711.55737704918033</v>
      </c>
      <c r="G72" s="667">
        <f>'[65]Ass &amp; Cont'!CA32</f>
        <v>749.55737704918033</v>
      </c>
      <c r="H72" s="667">
        <f>'[65]Ass &amp; Cont'!CB32</f>
        <v>703.55737704918033</v>
      </c>
      <c r="I72" s="667">
        <f>'[65]Ass &amp; Cont'!CC32</f>
        <v>705.55737704918033</v>
      </c>
      <c r="J72" s="667">
        <f>'[65]Ass &amp; Cont'!CD32</f>
        <v>758.55737704918033</v>
      </c>
      <c r="K72" s="667">
        <f>'[65]Ass &amp; Cont'!CE32</f>
        <v>718.55737704918033</v>
      </c>
      <c r="L72" s="667">
        <f>'[65]Ass &amp; Cont'!CF32</f>
        <v>763.55737704918033</v>
      </c>
      <c r="M72" s="667">
        <f>'[65]Ass &amp; Cont'!CG32</f>
        <v>754.55737704918033</v>
      </c>
      <c r="N72" s="667">
        <f>'[65]Ass &amp; Cont'!CH32</f>
        <v>724.55737704918033</v>
      </c>
      <c r="O72" s="667">
        <f>'[65]Ass &amp; Cont'!CI32</f>
        <v>817.55737704918033</v>
      </c>
      <c r="P72" s="668">
        <f>AVERAGE(D72:F72)</f>
        <v>707.22404371584707</v>
      </c>
      <c r="Q72" s="668">
        <f>AVERAGE(G72:I72)</f>
        <v>719.55737704918045</v>
      </c>
      <c r="R72" s="668">
        <f>AVERAGE(J72:L72)</f>
        <v>746.8907103825137</v>
      </c>
      <c r="S72" s="668">
        <f>AVERAGE(M72:O72)</f>
        <v>765.55737704918045</v>
      </c>
      <c r="T72" s="668">
        <f>AVERAGE(D72:I72)</f>
        <v>713.39071038251359</v>
      </c>
      <c r="U72" s="668">
        <f>AVERAGE(J72:O72)</f>
        <v>756.22404371584696</v>
      </c>
      <c r="V72" s="683">
        <f>AVERAGE(D72:O72)</f>
        <v>734.80737704918022</v>
      </c>
    </row>
    <row r="73" spans="3:22" ht="15" thickBot="1">
      <c r="C73" s="698" t="s">
        <v>91</v>
      </c>
      <c r="D73" s="675">
        <f t="shared" ref="D73:O73" si="41">SUM(D69:D72)</f>
        <v>2065.4945901639348</v>
      </c>
      <c r="E73" s="675">
        <f t="shared" si="41"/>
        <v>2035.4945901639346</v>
      </c>
      <c r="F73" s="675">
        <f t="shared" si="41"/>
        <v>2069.4945901639348</v>
      </c>
      <c r="G73" s="675">
        <f t="shared" si="41"/>
        <v>2098.4945901639348</v>
      </c>
      <c r="H73" s="675">
        <f t="shared" si="41"/>
        <v>2055.4945901639348</v>
      </c>
      <c r="I73" s="675">
        <f t="shared" si="41"/>
        <v>2055.4945901639348</v>
      </c>
      <c r="J73" s="675">
        <f t="shared" si="41"/>
        <v>2133.4945901639348</v>
      </c>
      <c r="K73" s="675">
        <f t="shared" si="41"/>
        <v>2087.4945901639348</v>
      </c>
      <c r="L73" s="675">
        <f t="shared" si="41"/>
        <v>2143.4945901639348</v>
      </c>
      <c r="M73" s="675">
        <f t="shared" si="41"/>
        <v>2151.4945901639348</v>
      </c>
      <c r="N73" s="675">
        <f t="shared" si="41"/>
        <v>2120.4945901639348</v>
      </c>
      <c r="O73" s="675">
        <f t="shared" si="41"/>
        <v>2214.4945901639348</v>
      </c>
      <c r="P73" s="675">
        <f>SUM(P69:P72)</f>
        <v>2056.8279234972679</v>
      </c>
      <c r="Q73" s="675">
        <f t="shared" ref="Q73:V73" si="42">SUM(Q69:Q72)</f>
        <v>2069.8279234972679</v>
      </c>
      <c r="R73" s="675">
        <f t="shared" si="42"/>
        <v>2121.4945901639344</v>
      </c>
      <c r="S73" s="675">
        <f t="shared" si="42"/>
        <v>2162.1612568306014</v>
      </c>
      <c r="T73" s="675">
        <f t="shared" si="42"/>
        <v>2063.3279234972679</v>
      </c>
      <c r="U73" s="675">
        <f t="shared" si="42"/>
        <v>2141.8279234972679</v>
      </c>
      <c r="V73" s="699">
        <f t="shared" si="42"/>
        <v>2102.5779234972674</v>
      </c>
    </row>
    <row r="75" spans="3:22" ht="15" thickBot="1"/>
    <row r="76" spans="3:22">
      <c r="C76" s="660" t="s">
        <v>1010</v>
      </c>
      <c r="D76" s="661">
        <v>45383</v>
      </c>
      <c r="E76" s="661">
        <v>45413</v>
      </c>
      <c r="F76" s="661">
        <v>45444</v>
      </c>
      <c r="G76" s="661">
        <v>45474</v>
      </c>
      <c r="H76" s="661">
        <v>45505</v>
      </c>
      <c r="I76" s="661">
        <v>45536</v>
      </c>
      <c r="J76" s="661">
        <v>45566</v>
      </c>
      <c r="K76" s="661">
        <v>45597</v>
      </c>
      <c r="L76" s="661">
        <v>45627</v>
      </c>
      <c r="M76" s="661">
        <v>45658</v>
      </c>
      <c r="N76" s="661">
        <v>45689</v>
      </c>
      <c r="O76" s="661">
        <v>45717</v>
      </c>
      <c r="P76" s="662" t="s">
        <v>962</v>
      </c>
      <c r="Q76" s="662" t="s">
        <v>963</v>
      </c>
      <c r="R76" s="662" t="s">
        <v>964</v>
      </c>
      <c r="S76" s="662" t="s">
        <v>965</v>
      </c>
      <c r="T76" s="662" t="s">
        <v>966</v>
      </c>
      <c r="U76" s="662" t="s">
        <v>967</v>
      </c>
      <c r="V76" s="663" t="s">
        <v>91</v>
      </c>
    </row>
    <row r="77" spans="3:22">
      <c r="C77" s="682" t="s">
        <v>1008</v>
      </c>
      <c r="D77" s="718">
        <v>2.9529158500000001</v>
      </c>
      <c r="E77" s="718">
        <v>2.9529158500000001</v>
      </c>
      <c r="F77" s="718">
        <v>2.9529158500000001</v>
      </c>
      <c r="G77" s="718">
        <v>2.8909266000000002</v>
      </c>
      <c r="H77" s="718">
        <v>2.8909266000000002</v>
      </c>
      <c r="I77" s="718">
        <v>2.8909266000000002</v>
      </c>
      <c r="J77" s="718">
        <v>2.8909266000000002</v>
      </c>
      <c r="K77" s="718">
        <v>2.8909266000000002</v>
      </c>
      <c r="L77" s="718">
        <v>2.8909266000000002</v>
      </c>
      <c r="M77" s="718">
        <v>2.8909266000000002</v>
      </c>
      <c r="N77" s="718">
        <v>2.8909266000000002</v>
      </c>
      <c r="O77" s="718">
        <v>2.8909266000000002</v>
      </c>
      <c r="P77" s="719">
        <f>SUM(D77:F77)</f>
        <v>8.8587475500000004</v>
      </c>
      <c r="Q77" s="719">
        <f>SUM(G77:I77)</f>
        <v>8.6727798000000007</v>
      </c>
      <c r="R77" s="719">
        <f>SUM(J77:L77)</f>
        <v>8.6727798000000007</v>
      </c>
      <c r="S77" s="719">
        <f>SUM(M77:O77)</f>
        <v>8.6727798000000007</v>
      </c>
      <c r="T77" s="719">
        <f>SUM(D77:I77)</f>
        <v>17.531527350000001</v>
      </c>
      <c r="U77" s="719">
        <f>SUM(J77:O77)</f>
        <v>17.345559600000001</v>
      </c>
      <c r="V77" s="720">
        <f>SUM(D77:O77)</f>
        <v>34.877086950000006</v>
      </c>
    </row>
    <row r="78" spans="3:22">
      <c r="C78" s="682" t="s">
        <v>1009</v>
      </c>
      <c r="D78" s="718">
        <f>'[65]Ass &amp; Cont'!E64</f>
        <v>1.8548336147540985</v>
      </c>
      <c r="E78" s="718">
        <f>'[65]Ass &amp; Cont'!F64</f>
        <v>1.8548336147540985</v>
      </c>
      <c r="F78" s="718">
        <f>'[65]Ass &amp; Cont'!G64</f>
        <v>1.8627836147540981</v>
      </c>
      <c r="G78" s="718">
        <f>'[65]Ass &amp; Cont'!H64</f>
        <v>1.8627836147540981</v>
      </c>
      <c r="H78" s="718">
        <f>'[65]Ass &amp; Cont'!I64</f>
        <v>1.8627836147540981</v>
      </c>
      <c r="I78" s="718">
        <f>'[65]Ass &amp; Cont'!J64</f>
        <v>1.8627836147540981</v>
      </c>
      <c r="J78" s="718">
        <f>'[65]Ass &amp; Cont'!K64</f>
        <v>1.8627836147540981</v>
      </c>
      <c r="K78" s="718">
        <f>'[65]Ass &amp; Cont'!L64</f>
        <v>1.8627836147540981</v>
      </c>
      <c r="L78" s="718">
        <f>'[65]Ass &amp; Cont'!M64</f>
        <v>1.8627836147540981</v>
      </c>
      <c r="M78" s="718">
        <f>'[65]Ass &amp; Cont'!N64</f>
        <v>1.8627836147540981</v>
      </c>
      <c r="N78" s="718">
        <f>'[65]Ass &amp; Cont'!O64</f>
        <v>1.8627836147540981</v>
      </c>
      <c r="O78" s="718">
        <f>'[65]Ass &amp; Cont'!P64</f>
        <v>1.8627836147540981</v>
      </c>
      <c r="P78" s="719">
        <f>SUM(D78:F78)</f>
        <v>5.5724508442622955</v>
      </c>
      <c r="Q78" s="719">
        <f>SUM(G78:I78)</f>
        <v>5.588350844262294</v>
      </c>
      <c r="R78" s="719">
        <f>SUM(J78:L78)</f>
        <v>5.588350844262294</v>
      </c>
      <c r="S78" s="719">
        <f>SUM(M78:O78)</f>
        <v>5.588350844262294</v>
      </c>
      <c r="T78" s="719">
        <f>SUM(D78:I78)</f>
        <v>11.160801688524591</v>
      </c>
      <c r="U78" s="719">
        <f>SUM(J78:O78)</f>
        <v>11.17670168852459</v>
      </c>
      <c r="V78" s="720">
        <f>SUM(D78:O78)</f>
        <v>22.337503377049178</v>
      </c>
    </row>
    <row r="79" spans="3:22">
      <c r="C79" s="682" t="s">
        <v>535</v>
      </c>
      <c r="D79" s="718">
        <f>'[65]Ass &amp; Cont'!S64</f>
        <v>0.52200000000000013</v>
      </c>
      <c r="E79" s="718">
        <f>'[65]Ass &amp; Cont'!T64</f>
        <v>0.51475000000000004</v>
      </c>
      <c r="F79" s="718">
        <f>'[65]Ass &amp; Cont'!U64</f>
        <v>0.53215000000000023</v>
      </c>
      <c r="G79" s="718">
        <f>'[65]Ass &amp; Cont'!V64</f>
        <v>0.55825000000000014</v>
      </c>
      <c r="H79" s="718">
        <f>'[65]Ass &amp; Cont'!W64</f>
        <v>0.56260000000000021</v>
      </c>
      <c r="I79" s="718">
        <f>'[65]Ass &amp; Cont'!X64</f>
        <v>0.5597000000000002</v>
      </c>
      <c r="J79" s="718">
        <f>'[65]Ass &amp; Cont'!Y64</f>
        <v>0.59595000000000009</v>
      </c>
      <c r="K79" s="718">
        <f>'[65]Ass &amp; Cont'!Z64</f>
        <v>0.58725000000000005</v>
      </c>
      <c r="L79" s="718">
        <f>'[65]Ass &amp; Cont'!AA64</f>
        <v>0.60319999999999985</v>
      </c>
      <c r="M79" s="718">
        <f>'[65]Ass &amp; Cont'!AB64</f>
        <v>0.6278499999999998</v>
      </c>
      <c r="N79" s="718">
        <f>'[65]Ass &amp; Cont'!AC64</f>
        <v>0.62639999999999985</v>
      </c>
      <c r="O79" s="718">
        <f>'[65]Ass &amp; Cont'!AD64</f>
        <v>0.6278499999999998</v>
      </c>
      <c r="P79" s="719">
        <f>SUM(D79:F79)</f>
        <v>1.5689000000000002</v>
      </c>
      <c r="Q79" s="719">
        <f>SUM(G79:I79)</f>
        <v>1.6805500000000007</v>
      </c>
      <c r="R79" s="719">
        <f>SUM(J79:L79)</f>
        <v>1.7864</v>
      </c>
      <c r="S79" s="719">
        <f>SUM(M79:O79)</f>
        <v>1.8820999999999994</v>
      </c>
      <c r="T79" s="719">
        <f>SUM(D79:I79)</f>
        <v>3.2494500000000008</v>
      </c>
      <c r="U79" s="719">
        <f>SUM(J79:O79)</f>
        <v>3.6684999999999999</v>
      </c>
      <c r="V79" s="720">
        <f>SUM(D79:O79)</f>
        <v>6.9179500000000003</v>
      </c>
    </row>
    <row r="80" spans="3:22">
      <c r="C80" s="682" t="s">
        <v>417</v>
      </c>
      <c r="D80" s="718">
        <f>'[65]Ass &amp; Cont'!BX64</f>
        <v>1.6127102049180326</v>
      </c>
      <c r="E80" s="718">
        <f>'[65]Ass &amp; Cont'!BY64</f>
        <v>1.5565227049180328</v>
      </c>
      <c r="F80" s="718">
        <f>'[65]Ass &amp; Cont'!BZ64</f>
        <v>1.5992252049180324</v>
      </c>
      <c r="G80" s="718">
        <f>'[65]Ass &amp; Cont'!CA64</f>
        <v>1.6846302049180326</v>
      </c>
      <c r="H80" s="718">
        <f>'[65]Ass &amp; Cont'!CB64</f>
        <v>1.5812452049180328</v>
      </c>
      <c r="I80" s="718">
        <f>'[65]Ass &amp; Cont'!CC64</f>
        <v>1.5857402049180327</v>
      </c>
      <c r="J80" s="718">
        <f>'[65]Ass &amp; Cont'!CD64</f>
        <v>1.7048577049180327</v>
      </c>
      <c r="K80" s="718">
        <f>'[65]Ass &amp; Cont'!CE64</f>
        <v>1.6149577049180328</v>
      </c>
      <c r="L80" s="718">
        <f>'[65]Ass &amp; Cont'!CF64</f>
        <v>1.7160952049180327</v>
      </c>
      <c r="M80" s="718">
        <f>'[65]Ass &amp; Cont'!CG64</f>
        <v>1.6958677049180326</v>
      </c>
      <c r="N80" s="718">
        <f>'[65]Ass &amp; Cont'!CH64</f>
        <v>1.6284427049180326</v>
      </c>
      <c r="O80" s="718">
        <f>'[65]Ass &amp; Cont'!CI64</f>
        <v>1.8374602049180326</v>
      </c>
      <c r="P80" s="719">
        <f>SUM(D80:F80)</f>
        <v>4.7684581147540976</v>
      </c>
      <c r="Q80" s="719">
        <f>SUM(G80:I80)</f>
        <v>4.8516156147540981</v>
      </c>
      <c r="R80" s="719">
        <f>SUM(J80:L80)</f>
        <v>5.0359106147540986</v>
      </c>
      <c r="S80" s="719">
        <f>SUM(M80:O80)</f>
        <v>5.161770614754098</v>
      </c>
      <c r="T80" s="719">
        <f>SUM(D80:I80)</f>
        <v>9.6200737295081957</v>
      </c>
      <c r="U80" s="719">
        <f>SUM(J80:O80)</f>
        <v>10.197681229508197</v>
      </c>
      <c r="V80" s="720">
        <f>SUM(D80:O80)</f>
        <v>19.817754959016387</v>
      </c>
    </row>
    <row r="81" spans="3:22" ht="15" thickBot="1">
      <c r="C81" s="698" t="s">
        <v>91</v>
      </c>
      <c r="D81" s="721">
        <f t="shared" ref="D81:O81" si="43">SUM(D77:D80)</f>
        <v>6.9424596696721315</v>
      </c>
      <c r="E81" s="721">
        <f t="shared" si="43"/>
        <v>6.8790221696721314</v>
      </c>
      <c r="F81" s="721">
        <f t="shared" si="43"/>
        <v>6.9470746696721317</v>
      </c>
      <c r="G81" s="721">
        <f t="shared" si="43"/>
        <v>6.9965904196721311</v>
      </c>
      <c r="H81" s="721">
        <f t="shared" si="43"/>
        <v>6.8975554196721314</v>
      </c>
      <c r="I81" s="721">
        <f t="shared" si="43"/>
        <v>6.8991504196721323</v>
      </c>
      <c r="J81" s="721">
        <f t="shared" si="43"/>
        <v>7.0545179196721319</v>
      </c>
      <c r="K81" s="721">
        <f t="shared" si="43"/>
        <v>6.9559179196721317</v>
      </c>
      <c r="L81" s="721">
        <f t="shared" si="43"/>
        <v>7.0730054196721319</v>
      </c>
      <c r="M81" s="721">
        <f t="shared" si="43"/>
        <v>7.0774279196721306</v>
      </c>
      <c r="N81" s="721">
        <f t="shared" si="43"/>
        <v>7.0085529196721321</v>
      </c>
      <c r="O81" s="721">
        <f t="shared" si="43"/>
        <v>7.2190204196721313</v>
      </c>
      <c r="P81" s="721">
        <f>SUM(P77:P80)</f>
        <v>20.768556509016392</v>
      </c>
      <c r="Q81" s="721">
        <f t="shared" ref="Q81:V81" si="44">SUM(Q77:Q80)</f>
        <v>20.793296259016394</v>
      </c>
      <c r="R81" s="721">
        <f t="shared" si="44"/>
        <v>21.083441259016393</v>
      </c>
      <c r="S81" s="721">
        <f t="shared" si="44"/>
        <v>21.305001259016393</v>
      </c>
      <c r="T81" s="721">
        <f t="shared" si="44"/>
        <v>41.561852768032786</v>
      </c>
      <c r="U81" s="721">
        <f t="shared" si="44"/>
        <v>42.38844251803279</v>
      </c>
      <c r="V81" s="722">
        <f t="shared" si="44"/>
        <v>83.950295286065568</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workbookViewId="0">
      <selection activeCell="S3" sqref="S3"/>
    </sheetView>
  </sheetViews>
  <sheetFormatPr defaultRowHeight="14.5"/>
  <cols>
    <col min="1" max="1" width="22.453125" bestFit="1" customWidth="1"/>
    <col min="2" max="2" width="17.81640625" hidden="1" customWidth="1"/>
    <col min="3" max="3" width="13" customWidth="1"/>
    <col min="4" max="4" width="14.26953125" customWidth="1"/>
    <col min="5" max="5" width="19" customWidth="1"/>
    <col min="6" max="10" width="9.1796875" hidden="1" customWidth="1"/>
    <col min="11" max="11" width="48.7265625" hidden="1" customWidth="1"/>
    <col min="12" max="12" width="9.1796875" hidden="1" customWidth="1"/>
    <col min="13" max="13" width="0" hidden="1" customWidth="1"/>
    <col min="14" max="15" width="9.1796875" customWidth="1"/>
    <col min="16" max="17" width="9.1796875" hidden="1" customWidth="1"/>
  </cols>
  <sheetData>
    <row r="1" spans="1:17" ht="58">
      <c r="A1" s="1" t="s">
        <v>0</v>
      </c>
      <c r="B1" s="1" t="s">
        <v>100</v>
      </c>
      <c r="C1" s="1" t="s">
        <v>493</v>
      </c>
      <c r="D1" s="1" t="s">
        <v>960</v>
      </c>
      <c r="E1" s="1" t="s">
        <v>641</v>
      </c>
      <c r="F1" s="623" t="s">
        <v>663</v>
      </c>
      <c r="G1" s="623" t="s">
        <v>664</v>
      </c>
      <c r="H1" s="623" t="s">
        <v>665</v>
      </c>
      <c r="I1" s="623" t="s">
        <v>666</v>
      </c>
      <c r="J1" s="623" t="s">
        <v>667</v>
      </c>
      <c r="K1" s="1" t="s">
        <v>537</v>
      </c>
      <c r="L1" s="1"/>
      <c r="N1" s="1" t="s">
        <v>524</v>
      </c>
      <c r="O1" s="1" t="s">
        <v>525</v>
      </c>
      <c r="P1" s="1" t="s">
        <v>519</v>
      </c>
      <c r="Q1" s="1" t="s">
        <v>526</v>
      </c>
    </row>
    <row r="2" spans="1:17">
      <c r="A2" s="45" t="s">
        <v>15</v>
      </c>
      <c r="B2" s="397">
        <v>28228.393267199997</v>
      </c>
      <c r="C2" s="397">
        <v>27825.867924227354</v>
      </c>
      <c r="D2" s="246">
        <v>41</v>
      </c>
      <c r="E2" s="246">
        <v>42</v>
      </c>
      <c r="F2" s="625">
        <v>4</v>
      </c>
      <c r="G2" s="625"/>
      <c r="H2" s="625"/>
      <c r="I2" s="626">
        <v>0</v>
      </c>
      <c r="J2" s="45"/>
      <c r="K2" s="627" t="s">
        <v>681</v>
      </c>
      <c r="L2" s="13"/>
      <c r="N2" s="624">
        <v>23252.777777777777</v>
      </c>
      <c r="O2" s="624">
        <v>40.75</v>
      </c>
      <c r="P2" s="397">
        <v>27647.397818181806</v>
      </c>
      <c r="Q2" s="397">
        <v>43.802087195649484</v>
      </c>
    </row>
    <row r="3" spans="1:17">
      <c r="A3" s="45" t="s">
        <v>17</v>
      </c>
      <c r="B3" s="397">
        <v>22684.443342335991</v>
      </c>
      <c r="C3" s="397">
        <v>11600.234354902954</v>
      </c>
      <c r="D3" s="246">
        <v>34.333333333333336</v>
      </c>
      <c r="E3" s="246">
        <v>37</v>
      </c>
      <c r="F3" s="625">
        <v>1</v>
      </c>
      <c r="G3" s="625"/>
      <c r="H3" s="625"/>
      <c r="I3" s="625">
        <v>3</v>
      </c>
      <c r="J3" s="45"/>
      <c r="K3" s="627" t="s">
        <v>633</v>
      </c>
      <c r="L3" s="13"/>
      <c r="N3" s="624">
        <v>18286.111111111109</v>
      </c>
      <c r="O3" s="624">
        <v>47.5</v>
      </c>
      <c r="P3" s="397">
        <v>12534.339818181819</v>
      </c>
      <c r="Q3" s="397">
        <v>36.949718050920787</v>
      </c>
    </row>
    <row r="4" spans="1:17">
      <c r="A4" s="45" t="s">
        <v>19</v>
      </c>
      <c r="B4" s="397">
        <v>27001.223389145995</v>
      </c>
      <c r="C4" s="397">
        <v>26963.266018576298</v>
      </c>
      <c r="D4" s="246">
        <v>83.333333333333329</v>
      </c>
      <c r="E4" s="628">
        <v>82</v>
      </c>
      <c r="F4" s="625">
        <v>3</v>
      </c>
      <c r="G4" s="625"/>
      <c r="H4" s="625">
        <v>5</v>
      </c>
      <c r="I4" s="625"/>
      <c r="J4" s="45"/>
      <c r="K4" s="627" t="s">
        <v>633</v>
      </c>
      <c r="L4" s="13"/>
      <c r="N4" s="624">
        <v>23069.444444444442</v>
      </c>
      <c r="O4" s="624">
        <v>88.916666666666671</v>
      </c>
      <c r="P4" s="397">
        <v>26723.553321212123</v>
      </c>
      <c r="Q4" s="397">
        <v>103.24487778397538</v>
      </c>
    </row>
    <row r="5" spans="1:17">
      <c r="A5" s="45" t="s">
        <v>21</v>
      </c>
      <c r="B5" s="397">
        <v>12165.119999999997</v>
      </c>
      <c r="C5" s="397">
        <v>14735.71533476357</v>
      </c>
      <c r="D5" s="246">
        <v>27</v>
      </c>
      <c r="E5" s="628">
        <v>27</v>
      </c>
      <c r="F5" s="625"/>
      <c r="G5" s="625"/>
      <c r="H5" s="625">
        <v>2</v>
      </c>
      <c r="I5" s="625">
        <v>5</v>
      </c>
      <c r="J5" s="45"/>
      <c r="K5" s="627"/>
      <c r="L5" s="13"/>
      <c r="N5" s="624">
        <v>9169.4444444444434</v>
      </c>
      <c r="O5" s="624">
        <v>26</v>
      </c>
      <c r="P5" s="397">
        <v>11033.594751515155</v>
      </c>
      <c r="Q5" s="397">
        <v>23.157638662333238</v>
      </c>
    </row>
    <row r="6" spans="1:17">
      <c r="A6" s="45" t="s">
        <v>383</v>
      </c>
      <c r="B6" s="45"/>
      <c r="C6" s="45"/>
      <c r="D6" s="246">
        <v>14</v>
      </c>
      <c r="E6" s="628">
        <v>14</v>
      </c>
      <c r="F6" s="625"/>
      <c r="G6" s="625"/>
      <c r="H6" s="625"/>
      <c r="I6" s="625">
        <v>0</v>
      </c>
      <c r="J6" s="45"/>
      <c r="K6" s="627"/>
      <c r="L6" s="13"/>
      <c r="N6" s="624"/>
      <c r="O6" s="624">
        <v>22.5</v>
      </c>
      <c r="P6" s="45"/>
      <c r="Q6" s="134">
        <v>27.389306019033494</v>
      </c>
    </row>
    <row r="7" spans="1:17">
      <c r="A7" s="45" t="s">
        <v>366</v>
      </c>
      <c r="B7" s="397">
        <v>14056.473599999999</v>
      </c>
      <c r="C7" s="397">
        <v>5790.633361184432</v>
      </c>
      <c r="D7" s="246">
        <v>104</v>
      </c>
      <c r="E7" s="628">
        <v>148</v>
      </c>
      <c r="F7" s="625"/>
      <c r="G7" s="625"/>
      <c r="H7" s="625"/>
      <c r="I7" s="625">
        <v>2</v>
      </c>
      <c r="J7" s="45"/>
      <c r="K7" s="627"/>
      <c r="L7" s="13"/>
      <c r="N7" s="624">
        <v>6277.7777777777774</v>
      </c>
      <c r="O7" s="624">
        <v>194</v>
      </c>
      <c r="P7" s="397">
        <v>7703.7476333333334</v>
      </c>
      <c r="Q7" s="397">
        <v>157.43610166057672</v>
      </c>
    </row>
    <row r="8" spans="1:17" ht="29">
      <c r="A8" s="45" t="s">
        <v>22</v>
      </c>
      <c r="B8" s="397">
        <v>31329.723223880592</v>
      </c>
      <c r="C8" s="397">
        <v>30635.412445373731</v>
      </c>
      <c r="D8" s="246">
        <v>63.75</v>
      </c>
      <c r="E8" s="246">
        <v>46</v>
      </c>
      <c r="F8" s="625">
        <v>3</v>
      </c>
      <c r="G8" s="625"/>
      <c r="H8" s="625">
        <v>17</v>
      </c>
      <c r="I8" s="625"/>
      <c r="J8" s="134"/>
      <c r="K8" s="629" t="s">
        <v>619</v>
      </c>
      <c r="L8" s="13"/>
      <c r="N8" s="624">
        <v>32705.555555555562</v>
      </c>
      <c r="O8" s="624">
        <v>55.5</v>
      </c>
      <c r="P8" s="397">
        <v>26749.661645454544</v>
      </c>
      <c r="Q8" s="397">
        <v>69.240907723772452</v>
      </c>
    </row>
    <row r="9" spans="1:17" ht="29">
      <c r="A9" s="45" t="s">
        <v>24</v>
      </c>
      <c r="B9" s="397">
        <v>34099.200000000004</v>
      </c>
      <c r="C9" s="397">
        <v>35845.811073476732</v>
      </c>
      <c r="D9" s="246">
        <v>80.333333333333329</v>
      </c>
      <c r="E9" s="628">
        <v>79</v>
      </c>
      <c r="F9" s="625">
        <v>3</v>
      </c>
      <c r="G9" s="625"/>
      <c r="H9" s="625">
        <v>5</v>
      </c>
      <c r="I9" s="625"/>
      <c r="J9" s="45"/>
      <c r="K9" s="627" t="s">
        <v>620</v>
      </c>
      <c r="L9" s="13"/>
      <c r="N9" s="624">
        <v>38499.999999999993</v>
      </c>
      <c r="O9" s="624">
        <v>75.5</v>
      </c>
      <c r="P9" s="397">
        <v>29645.869099999996</v>
      </c>
      <c r="Q9" s="397">
        <v>85.150096557903836</v>
      </c>
    </row>
    <row r="10" spans="1:17" ht="29">
      <c r="A10" s="45" t="s">
        <v>351</v>
      </c>
      <c r="B10" s="45"/>
      <c r="C10" s="397"/>
      <c r="D10" s="246">
        <v>24</v>
      </c>
      <c r="E10" s="628">
        <v>24</v>
      </c>
      <c r="F10" s="625"/>
      <c r="G10" s="625"/>
      <c r="H10" s="625">
        <v>3</v>
      </c>
      <c r="I10" s="625"/>
      <c r="J10" s="45"/>
      <c r="K10" s="627" t="s">
        <v>623</v>
      </c>
      <c r="L10" s="13"/>
      <c r="N10" s="45"/>
      <c r="O10" s="134">
        <v>33</v>
      </c>
      <c r="P10" s="45"/>
      <c r="Q10" s="134">
        <v>34.399127116549252</v>
      </c>
    </row>
    <row r="11" spans="1:17">
      <c r="A11" s="45" t="s">
        <v>344</v>
      </c>
      <c r="B11" s="45"/>
      <c r="C11" s="397"/>
      <c r="D11" s="246">
        <v>31</v>
      </c>
      <c r="E11" s="628">
        <v>31</v>
      </c>
      <c r="F11" s="625">
        <v>2</v>
      </c>
      <c r="G11" s="625"/>
      <c r="H11" s="625"/>
      <c r="I11" s="625">
        <v>3</v>
      </c>
      <c r="J11" s="45"/>
      <c r="K11" s="627"/>
      <c r="L11" s="13"/>
      <c r="N11" s="45"/>
      <c r="O11" s="45">
        <v>30</v>
      </c>
      <c r="P11" s="45"/>
      <c r="Q11" s="134">
        <v>28.165486330153417</v>
      </c>
    </row>
    <row r="12" spans="1:17" ht="29">
      <c r="A12" s="45" t="s">
        <v>357</v>
      </c>
      <c r="B12" s="397">
        <v>66842.920404648627</v>
      </c>
      <c r="C12" s="397">
        <v>40457.268833806753</v>
      </c>
      <c r="D12" s="246">
        <v>171.25</v>
      </c>
      <c r="E12" s="628">
        <v>164</v>
      </c>
      <c r="F12" s="626"/>
      <c r="G12" s="625"/>
      <c r="H12" s="626">
        <v>-2.5</v>
      </c>
      <c r="I12" s="625">
        <v>15</v>
      </c>
      <c r="J12" s="45"/>
      <c r="K12" s="627" t="s">
        <v>637</v>
      </c>
      <c r="L12" s="13"/>
      <c r="N12" s="624">
        <v>47127.272222222215</v>
      </c>
      <c r="O12" s="624">
        <v>182.25</v>
      </c>
      <c r="P12" s="397">
        <v>43372.09279090909</v>
      </c>
      <c r="Q12" s="397">
        <v>144.09928650506694</v>
      </c>
    </row>
    <row r="13" spans="1:17">
      <c r="A13" s="45" t="s">
        <v>358</v>
      </c>
      <c r="B13" s="397">
        <v>4432.8960000000015</v>
      </c>
      <c r="C13" s="397">
        <v>3180.337179449934</v>
      </c>
      <c r="D13" s="246">
        <v>38</v>
      </c>
      <c r="E13" s="628">
        <v>42</v>
      </c>
      <c r="F13" s="625"/>
      <c r="G13" s="625"/>
      <c r="H13" s="625"/>
      <c r="I13" s="625">
        <v>0</v>
      </c>
      <c r="J13" s="45"/>
      <c r="K13" s="627" t="s">
        <v>638</v>
      </c>
      <c r="L13" s="13"/>
      <c r="N13" s="624">
        <v>2952.8833333333332</v>
      </c>
      <c r="O13" s="630">
        <v>31</v>
      </c>
      <c r="P13" s="397">
        <v>3649.4973757575767</v>
      </c>
      <c r="Q13" s="631">
        <v>36.567808958157187</v>
      </c>
    </row>
    <row r="14" spans="1:17">
      <c r="A14" s="45" t="s">
        <v>359</v>
      </c>
      <c r="B14" s="397">
        <v>3686.400000000001</v>
      </c>
      <c r="C14" s="397">
        <v>910.80991049128068</v>
      </c>
      <c r="D14" s="246"/>
      <c r="E14" s="598"/>
      <c r="F14" s="625"/>
      <c r="G14" s="625"/>
      <c r="H14" s="625"/>
      <c r="I14" s="625">
        <v>0</v>
      </c>
      <c r="J14" s="45"/>
      <c r="K14" s="627" t="s">
        <v>639</v>
      </c>
      <c r="L14" s="13"/>
      <c r="N14" s="624">
        <v>1386.0111111111109</v>
      </c>
      <c r="O14" s="630"/>
      <c r="P14" s="397">
        <v>863.3847484848485</v>
      </c>
      <c r="Q14" s="631"/>
    </row>
    <row r="15" spans="1:17" ht="29">
      <c r="A15" s="45" t="s">
        <v>360</v>
      </c>
      <c r="B15" s="397">
        <v>15160.320000000005</v>
      </c>
      <c r="C15" s="397">
        <v>4787.0507346666664</v>
      </c>
      <c r="D15" s="246">
        <v>91.5</v>
      </c>
      <c r="E15" s="246">
        <v>86</v>
      </c>
      <c r="F15" s="626"/>
      <c r="G15" s="626"/>
      <c r="H15" s="626">
        <v>7.5</v>
      </c>
      <c r="I15" s="626">
        <v>10.5</v>
      </c>
      <c r="J15" s="625">
        <v>7</v>
      </c>
      <c r="K15" s="627" t="s">
        <v>629</v>
      </c>
      <c r="L15" s="13"/>
      <c r="N15" s="624">
        <v>4452.2833333333328</v>
      </c>
      <c r="O15" s="630">
        <v>100</v>
      </c>
      <c r="P15" s="397">
        <v>3498.5587404242424</v>
      </c>
      <c r="Q15" s="632">
        <v>99.179665677913746</v>
      </c>
    </row>
    <row r="16" spans="1:17">
      <c r="A16" s="45" t="s">
        <v>361</v>
      </c>
      <c r="B16" s="397">
        <v>23267.638552822817</v>
      </c>
      <c r="C16" s="397">
        <v>15336.815393590718</v>
      </c>
      <c r="D16" s="246"/>
      <c r="E16" s="598"/>
      <c r="F16" s="625"/>
      <c r="G16" s="625"/>
      <c r="H16" s="625"/>
      <c r="I16" s="625">
        <v>0</v>
      </c>
      <c r="J16" s="45"/>
      <c r="K16" s="627" t="s">
        <v>661</v>
      </c>
      <c r="L16" s="13"/>
      <c r="N16" s="624">
        <v>17606.605555555554</v>
      </c>
      <c r="O16" s="630"/>
      <c r="P16" s="397">
        <v>11768.344518181819</v>
      </c>
      <c r="Q16" s="632"/>
    </row>
    <row r="17" spans="1:17">
      <c r="A17" s="45" t="s">
        <v>49</v>
      </c>
      <c r="B17" s="397">
        <v>6900</v>
      </c>
      <c r="C17" s="397">
        <v>7224.2480287149119</v>
      </c>
      <c r="D17" s="246">
        <v>244.16666666666666</v>
      </c>
      <c r="E17" s="246">
        <v>223</v>
      </c>
      <c r="F17" s="625"/>
      <c r="G17" s="625"/>
      <c r="H17" s="625"/>
      <c r="I17" s="625">
        <v>0</v>
      </c>
      <c r="J17" s="45"/>
      <c r="K17" s="627" t="s">
        <v>640</v>
      </c>
      <c r="L17" s="13"/>
      <c r="N17" s="624">
        <v>6814.2916666666679</v>
      </c>
      <c r="O17" s="624">
        <v>298.33333333333331</v>
      </c>
      <c r="P17" s="397">
        <v>5846.3732393939399</v>
      </c>
      <c r="Q17" s="397">
        <v>208.64994917774308</v>
      </c>
    </row>
    <row r="18" spans="1:17">
      <c r="A18" s="45" t="s">
        <v>159</v>
      </c>
      <c r="B18" s="397"/>
      <c r="C18" s="397"/>
      <c r="D18" s="246">
        <v>12</v>
      </c>
      <c r="E18" s="246">
        <v>12</v>
      </c>
      <c r="F18" s="625"/>
      <c r="G18" s="625"/>
      <c r="H18" s="625"/>
      <c r="I18" s="625"/>
      <c r="J18" s="45"/>
      <c r="K18" s="627"/>
      <c r="L18" s="13"/>
      <c r="N18" s="624"/>
      <c r="O18" s="624"/>
      <c r="P18" s="397"/>
      <c r="Q18" s="397"/>
    </row>
    <row r="19" spans="1:17">
      <c r="A19" s="45" t="s">
        <v>308</v>
      </c>
      <c r="B19" s="45" t="s">
        <v>940</v>
      </c>
      <c r="C19" s="45"/>
      <c r="D19" s="246">
        <v>84</v>
      </c>
      <c r="E19" s="628">
        <v>84</v>
      </c>
      <c r="F19" s="625"/>
      <c r="G19" s="625"/>
      <c r="H19" s="625"/>
      <c r="I19" s="626">
        <v>5</v>
      </c>
      <c r="J19" s="45"/>
      <c r="K19" s="627" t="s">
        <v>955</v>
      </c>
      <c r="L19" s="13"/>
      <c r="N19" s="45"/>
      <c r="O19" s="134">
        <v>150.08333333333334</v>
      </c>
      <c r="P19" s="45"/>
      <c r="Q19" s="134">
        <v>119.73895068594734</v>
      </c>
    </row>
    <row r="20" spans="1:17">
      <c r="A20" s="45" t="s">
        <v>308</v>
      </c>
      <c r="B20" s="45" t="s">
        <v>941</v>
      </c>
      <c r="C20" s="45"/>
      <c r="D20" s="246">
        <v>34</v>
      </c>
      <c r="E20" s="628">
        <v>36</v>
      </c>
      <c r="F20" s="625"/>
      <c r="G20" s="625"/>
      <c r="H20" s="625"/>
      <c r="I20" s="626"/>
      <c r="J20" s="45"/>
      <c r="K20" s="627"/>
      <c r="L20" s="13"/>
      <c r="N20" s="45"/>
      <c r="O20" s="134"/>
      <c r="P20" s="45"/>
      <c r="Q20" s="134"/>
    </row>
    <row r="21" spans="1:17">
      <c r="A21" s="45" t="s">
        <v>316</v>
      </c>
      <c r="B21" s="45" t="s">
        <v>940</v>
      </c>
      <c r="C21" s="45"/>
      <c r="D21" s="246">
        <v>50</v>
      </c>
      <c r="E21" s="628">
        <v>45</v>
      </c>
      <c r="F21" s="625"/>
      <c r="G21" s="625"/>
      <c r="H21" s="625"/>
      <c r="I21" s="626">
        <v>5</v>
      </c>
      <c r="J21" s="45"/>
      <c r="K21" s="627" t="s">
        <v>643</v>
      </c>
      <c r="L21" s="13"/>
      <c r="N21" s="45"/>
      <c r="O21" s="134">
        <v>170</v>
      </c>
      <c r="P21" s="45"/>
      <c r="Q21" s="134">
        <v>149.40853108392042</v>
      </c>
    </row>
    <row r="22" spans="1:17">
      <c r="A22" s="45" t="s">
        <v>316</v>
      </c>
      <c r="B22" s="45" t="s">
        <v>941</v>
      </c>
      <c r="C22" s="45"/>
      <c r="D22" s="246">
        <v>20</v>
      </c>
      <c r="E22" s="628">
        <v>21</v>
      </c>
      <c r="F22" s="625"/>
      <c r="G22" s="625"/>
      <c r="H22" s="625"/>
      <c r="I22" s="626"/>
      <c r="J22" s="45"/>
      <c r="K22" s="627"/>
      <c r="L22" s="13"/>
      <c r="N22" s="45"/>
      <c r="O22" s="134"/>
      <c r="P22" s="45"/>
      <c r="Q22" s="134"/>
    </row>
    <row r="23" spans="1:17">
      <c r="A23" s="45" t="s">
        <v>316</v>
      </c>
      <c r="B23" s="45" t="s">
        <v>942</v>
      </c>
      <c r="C23" s="45"/>
      <c r="D23" s="246">
        <v>63</v>
      </c>
      <c r="E23" s="628">
        <v>54</v>
      </c>
      <c r="F23" s="625"/>
      <c r="G23" s="625"/>
      <c r="H23" s="625"/>
      <c r="I23" s="626"/>
      <c r="J23" s="45"/>
      <c r="K23" s="627"/>
      <c r="L23" s="13"/>
      <c r="N23" s="45"/>
      <c r="O23" s="134"/>
      <c r="P23" s="45"/>
      <c r="Q23" s="134"/>
    </row>
    <row r="24" spans="1:17">
      <c r="A24" s="45" t="s">
        <v>478</v>
      </c>
      <c r="B24" s="45" t="s">
        <v>940</v>
      </c>
      <c r="C24" s="45"/>
      <c r="D24" s="246">
        <v>33</v>
      </c>
      <c r="E24" s="628">
        <v>33</v>
      </c>
      <c r="F24" s="625"/>
      <c r="G24" s="625"/>
      <c r="H24" s="626">
        <v>4</v>
      </c>
      <c r="I24" s="625"/>
      <c r="J24" s="45"/>
      <c r="K24" s="627" t="s">
        <v>662</v>
      </c>
      <c r="L24" s="13"/>
      <c r="N24" s="45"/>
      <c r="O24" s="134">
        <v>56</v>
      </c>
      <c r="P24" s="45"/>
      <c r="Q24" s="134">
        <v>55.77206618464961</v>
      </c>
    </row>
    <row r="25" spans="1:17">
      <c r="A25" s="45" t="s">
        <v>478</v>
      </c>
      <c r="B25" s="45" t="s">
        <v>941</v>
      </c>
      <c r="C25" s="45"/>
      <c r="D25" s="246">
        <v>6</v>
      </c>
      <c r="E25" s="628">
        <v>6</v>
      </c>
      <c r="F25" s="625"/>
      <c r="G25" s="625"/>
      <c r="H25" s="626"/>
      <c r="I25" s="625"/>
      <c r="J25" s="45"/>
      <c r="K25" s="627"/>
      <c r="L25" s="13"/>
      <c r="N25" s="45"/>
      <c r="O25" s="134"/>
      <c r="P25" s="45"/>
      <c r="Q25" s="134"/>
    </row>
    <row r="26" spans="1:17">
      <c r="A26" s="45" t="s">
        <v>610</v>
      </c>
      <c r="B26" s="45" t="s">
        <v>940</v>
      </c>
      <c r="C26" s="45"/>
      <c r="D26" s="246">
        <v>72</v>
      </c>
      <c r="E26" s="628">
        <v>72</v>
      </c>
      <c r="F26" s="625"/>
      <c r="G26" s="625"/>
      <c r="H26" s="626">
        <v>2</v>
      </c>
      <c r="I26" s="625"/>
      <c r="J26" s="45"/>
      <c r="K26" s="627"/>
      <c r="L26" s="13"/>
      <c r="N26" s="45"/>
      <c r="O26" s="134">
        <v>149</v>
      </c>
      <c r="P26" s="45"/>
      <c r="Q26" s="134">
        <v>145.78181331881103</v>
      </c>
    </row>
    <row r="27" spans="1:17">
      <c r="A27" s="45" t="s">
        <v>610</v>
      </c>
      <c r="B27" s="45" t="s">
        <v>941</v>
      </c>
      <c r="C27" s="45"/>
      <c r="D27" s="246">
        <v>20</v>
      </c>
      <c r="E27" s="628">
        <v>18</v>
      </c>
      <c r="F27" s="625"/>
      <c r="G27" s="625"/>
      <c r="H27" s="626"/>
      <c r="I27" s="625"/>
      <c r="J27" s="45"/>
      <c r="K27" s="627"/>
      <c r="L27" s="13"/>
      <c r="N27" s="45"/>
      <c r="O27" s="134"/>
      <c r="P27" s="45"/>
      <c r="Q27" s="134"/>
    </row>
    <row r="28" spans="1:17">
      <c r="A28" s="45" t="s">
        <v>610</v>
      </c>
      <c r="B28" s="45" t="s">
        <v>943</v>
      </c>
      <c r="C28" s="45"/>
      <c r="D28" s="246">
        <v>30</v>
      </c>
      <c r="E28" s="628">
        <v>30</v>
      </c>
      <c r="F28" s="625"/>
      <c r="G28" s="625"/>
      <c r="H28" s="626"/>
      <c r="I28" s="625"/>
      <c r="J28" s="45"/>
      <c r="K28" s="627"/>
      <c r="L28" s="13"/>
      <c r="N28" s="45"/>
      <c r="O28" s="134"/>
      <c r="P28" s="45"/>
      <c r="Q28" s="134"/>
    </row>
    <row r="29" spans="1:17">
      <c r="A29" s="45" t="s">
        <v>307</v>
      </c>
      <c r="B29" s="45"/>
      <c r="C29" s="45"/>
      <c r="D29" s="246">
        <v>199</v>
      </c>
      <c r="E29" s="628">
        <v>189</v>
      </c>
      <c r="F29" s="625">
        <v>9</v>
      </c>
      <c r="G29" s="625"/>
      <c r="H29" s="625">
        <v>24</v>
      </c>
      <c r="I29" s="625"/>
      <c r="J29" s="45"/>
      <c r="K29" s="627"/>
      <c r="L29" s="13"/>
      <c r="N29" s="45"/>
      <c r="O29" s="134">
        <v>208</v>
      </c>
      <c r="P29" s="45"/>
      <c r="Q29" s="134">
        <v>176.75531763688048</v>
      </c>
    </row>
    <row r="30" spans="1:17">
      <c r="A30" s="634" t="s">
        <v>295</v>
      </c>
      <c r="B30" s="634"/>
      <c r="C30" s="634"/>
      <c r="D30" s="633">
        <v>165</v>
      </c>
      <c r="E30" s="628">
        <v>150</v>
      </c>
      <c r="F30" s="625"/>
      <c r="G30" s="625"/>
      <c r="H30" s="625"/>
      <c r="I30" s="625">
        <v>0</v>
      </c>
      <c r="J30" s="45"/>
      <c r="K30" s="627"/>
      <c r="L30" s="13"/>
      <c r="N30" s="634"/>
      <c r="O30" s="635">
        <v>343.17411818056229</v>
      </c>
      <c r="P30" s="634"/>
      <c r="Q30" s="635">
        <v>193.24641564342528</v>
      </c>
    </row>
    <row r="31" spans="1:17" ht="15" thickBot="1">
      <c r="A31" s="636"/>
      <c r="B31" s="636"/>
      <c r="C31" s="637"/>
      <c r="D31" s="651"/>
      <c r="E31" s="638"/>
      <c r="F31" s="641"/>
      <c r="G31" s="642"/>
      <c r="H31" s="642"/>
      <c r="I31" s="642"/>
      <c r="J31" s="637"/>
      <c r="K31" s="643"/>
      <c r="N31" s="636"/>
      <c r="O31" s="639"/>
      <c r="P31" s="636"/>
      <c r="Q31" s="640"/>
    </row>
    <row r="32" spans="1:17" ht="15" thickBot="1">
      <c r="C32" s="40"/>
      <c r="D32" s="334">
        <f>SUM(D2:D30)</f>
        <v>1835.6666666666667</v>
      </c>
      <c r="E32" s="604">
        <f>SUM(E2:E30)</f>
        <v>1795</v>
      </c>
      <c r="F32" s="335">
        <v>25</v>
      </c>
      <c r="G32" s="336">
        <v>0</v>
      </c>
      <c r="H32" s="336">
        <v>67</v>
      </c>
      <c r="I32" s="337">
        <v>48.5</v>
      </c>
      <c r="J32" s="338">
        <v>7</v>
      </c>
      <c r="K32" s="608"/>
      <c r="N32" s="333"/>
      <c r="O32" s="334">
        <v>2301.5074515138954</v>
      </c>
      <c r="P32" s="333"/>
      <c r="Q32" s="345">
        <v>1938.1351519733835</v>
      </c>
    </row>
    <row r="33" spans="15:17">
      <c r="O33" t="s">
        <v>605</v>
      </c>
      <c r="Q33" t="s">
        <v>606</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E30"/>
  <sheetViews>
    <sheetView topLeftCell="R1" workbookViewId="0">
      <selection activeCell="K2" sqref="K2:O14"/>
    </sheetView>
  </sheetViews>
  <sheetFormatPr defaultRowHeight="14.5"/>
  <cols>
    <col min="3" max="4" width="10" bestFit="1" customWidth="1"/>
    <col min="5" max="6" width="14.26953125" bestFit="1" customWidth="1"/>
    <col min="7" max="9" width="12.54296875" bestFit="1" customWidth="1"/>
    <col min="11" max="11" width="11.54296875" bestFit="1" customWidth="1"/>
    <col min="12" max="15" width="10" bestFit="1" customWidth="1"/>
  </cols>
  <sheetData>
    <row r="1" spans="2:31">
      <c r="Q1" s="1395" t="s">
        <v>1123</v>
      </c>
      <c r="R1" s="1395"/>
      <c r="S1" s="1395"/>
      <c r="T1" s="1395"/>
      <c r="U1" s="1395"/>
      <c r="X1" s="1395" t="s">
        <v>1122</v>
      </c>
      <c r="Y1" s="1395"/>
      <c r="Z1" s="1395"/>
      <c r="AA1" s="1395"/>
      <c r="AB1" s="1395"/>
    </row>
    <row r="2" spans="2:31" s="2" customFormat="1">
      <c r="C2" s="2" t="s">
        <v>16</v>
      </c>
      <c r="D2" s="2" t="s">
        <v>18</v>
      </c>
      <c r="E2" s="2" t="s">
        <v>301</v>
      </c>
      <c r="F2" s="2" t="s">
        <v>26</v>
      </c>
      <c r="G2" s="2" t="s">
        <v>31</v>
      </c>
      <c r="H2" s="2" t="s">
        <v>32</v>
      </c>
      <c r="I2" s="2" t="s">
        <v>49</v>
      </c>
      <c r="K2" s="2" t="s">
        <v>301</v>
      </c>
      <c r="L2" s="2" t="s">
        <v>26</v>
      </c>
      <c r="M2" s="2" t="s">
        <v>31</v>
      </c>
      <c r="N2" s="2" t="s">
        <v>32</v>
      </c>
      <c r="O2" s="2" t="s">
        <v>49</v>
      </c>
      <c r="Q2" s="776" t="s">
        <v>301</v>
      </c>
      <c r="R2" s="776" t="s">
        <v>26</v>
      </c>
      <c r="S2" s="776" t="s">
        <v>31</v>
      </c>
      <c r="T2" s="776" t="s">
        <v>32</v>
      </c>
      <c r="U2" s="776" t="s">
        <v>49</v>
      </c>
      <c r="X2" s="840" t="s">
        <v>301</v>
      </c>
      <c r="Y2" s="840" t="s">
        <v>26</v>
      </c>
      <c r="Z2" s="840" t="s">
        <v>31</v>
      </c>
      <c r="AA2" s="840" t="s">
        <v>32</v>
      </c>
      <c r="AB2" s="840" t="s">
        <v>49</v>
      </c>
    </row>
    <row r="3" spans="2:31">
      <c r="B3" s="646">
        <f>'Sectionwise Working'!C4</f>
        <v>46113</v>
      </c>
      <c r="C3" s="645">
        <f>'Sectionwise Working'!J18</f>
        <v>50613.667538818154</v>
      </c>
      <c r="D3" s="645">
        <f>'Sectionwise Working'!J4</f>
        <v>6335.1185921886217</v>
      </c>
      <c r="E3" s="645">
        <f>D3+C3</f>
        <v>56948.786131006775</v>
      </c>
      <c r="F3" s="645">
        <f>'Sectionwise Working'!J107</f>
        <v>52035.401610658977</v>
      </c>
      <c r="G3" s="645">
        <f>'Sectionwise Working'!J139+'Sectionwise Working'!J152</f>
        <v>4567.6435314662222</v>
      </c>
      <c r="H3" s="645">
        <f>'Sectionwise Working'!J168+'Sectionwise Working'!J182</f>
        <v>26081.475318111465</v>
      </c>
      <c r="I3" s="645">
        <f>'Sectionwise Working'!J197</f>
        <v>15347.054674855948</v>
      </c>
      <c r="J3" s="2"/>
      <c r="K3" s="644">
        <f>'Sectionwise Working'!T18+'Sectionwise Working'!T4+'Sectionwise Working'!T33+'Sectionwise Working'!T49+'Sectionwise Working'!T64+'Sectionwise Working'!T79+'Sectionwise Working'!T382+'Sectionwise Working'!$T$394+'Sectionwise Working'!$T$396+'Sectionwise Working'!$T$395</f>
        <v>488</v>
      </c>
      <c r="L3" s="644">
        <f>'Sectionwise Working'!T107</f>
        <v>167.5</v>
      </c>
      <c r="M3" s="2">
        <f>'Sectionwise Working'!T139+'Sectionwise Working'!T152</f>
        <v>42</v>
      </c>
      <c r="N3" s="2">
        <f>'Sectionwise Working'!T168+'Sectionwise Working'!T182</f>
        <v>98</v>
      </c>
      <c r="O3" s="644">
        <f>'Sectionwise Working'!T197</f>
        <v>312</v>
      </c>
      <c r="P3" s="2"/>
      <c r="Q3" s="775">
        <f>E3/K3</f>
        <v>116.69833223566962</v>
      </c>
      <c r="R3" s="775">
        <f t="shared" ref="R3:U14" si="0">F3/L3</f>
        <v>310.65911409348644</v>
      </c>
      <c r="S3" s="775">
        <f t="shared" si="0"/>
        <v>108.75341741586243</v>
      </c>
      <c r="T3" s="775">
        <f t="shared" si="0"/>
        <v>266.13750324603535</v>
      </c>
      <c r="U3" s="775">
        <f t="shared" si="0"/>
        <v>49.189277804025473</v>
      </c>
      <c r="V3" s="2"/>
      <c r="X3" s="10">
        <v>67.956156133252065</v>
      </c>
      <c r="Y3" s="10">
        <v>185.73115505337867</v>
      </c>
      <c r="Z3" s="10">
        <v>102.93539460910918</v>
      </c>
      <c r="AA3" s="10">
        <v>133.2695411260672</v>
      </c>
      <c r="AB3" s="10">
        <v>26.763384403976858</v>
      </c>
      <c r="AC3" s="798">
        <f>S3/Z3</f>
        <v>1.056521110438706</v>
      </c>
      <c r="AD3" s="62">
        <f>AC3-1</f>
        <v>5.6521110438706001E-2</v>
      </c>
      <c r="AE3" s="62">
        <f>MAX(AD3:AD14)</f>
        <v>0.4031612367513091</v>
      </c>
    </row>
    <row r="4" spans="2:31">
      <c r="B4" s="646">
        <f>'Sectionwise Working'!C5</f>
        <v>46143</v>
      </c>
      <c r="C4" s="645">
        <f>'Sectionwise Working'!J19</f>
        <v>40984.506715719152</v>
      </c>
      <c r="D4" s="645">
        <f>'Sectionwise Working'!J5</f>
        <v>7343.1179459607247</v>
      </c>
      <c r="E4" s="645">
        <f t="shared" ref="E4:E14" si="1">D4+C4</f>
        <v>48327.624661679874</v>
      </c>
      <c r="F4" s="645">
        <f>'Sectionwise Working'!J108</f>
        <v>45259.705235970294</v>
      </c>
      <c r="G4" s="645">
        <f>'Sectionwise Working'!J140+'Sectionwise Working'!J153</f>
        <v>5903.3838524480143</v>
      </c>
      <c r="H4" s="645">
        <f>'Sectionwise Working'!J169+'Sectionwise Working'!J183</f>
        <v>20933.835705661608</v>
      </c>
      <c r="I4" s="645">
        <f>'Sectionwise Working'!J198</f>
        <v>10285.954409279861</v>
      </c>
      <c r="J4" s="2"/>
      <c r="K4" s="644">
        <f>'Sectionwise Working'!T19+'Sectionwise Working'!T5+'Sectionwise Working'!T34+'Sectionwise Working'!T50+'Sectionwise Working'!T65+'Sectionwise Working'!T80+'Sectionwise Working'!T383+'Sectionwise Working'!$T$394+'Sectionwise Working'!$T$396+'Sectionwise Working'!$T$395</f>
        <v>494</v>
      </c>
      <c r="L4" s="644">
        <f>'Sectionwise Working'!T108</f>
        <v>165</v>
      </c>
      <c r="M4" s="2">
        <f>'Sectionwise Working'!T140+'Sectionwise Working'!T153</f>
        <v>42</v>
      </c>
      <c r="N4" s="2">
        <f>'Sectionwise Working'!T169+'Sectionwise Working'!T183</f>
        <v>98</v>
      </c>
      <c r="O4" s="644">
        <f>'Sectionwise Working'!T198</f>
        <v>298</v>
      </c>
      <c r="P4" s="2"/>
      <c r="Q4" s="775">
        <f t="shared" ref="Q4:Q14" si="2">E4/K4</f>
        <v>97.82919971999975</v>
      </c>
      <c r="R4" s="775">
        <f t="shared" si="0"/>
        <v>274.3012438543654</v>
      </c>
      <c r="S4" s="775">
        <f t="shared" si="0"/>
        <v>140.55675839161938</v>
      </c>
      <c r="T4" s="775">
        <f t="shared" si="0"/>
        <v>213.61056842511846</v>
      </c>
      <c r="U4" s="775">
        <f t="shared" si="0"/>
        <v>34.516625534496178</v>
      </c>
      <c r="V4" s="2"/>
      <c r="X4" s="10">
        <v>68.796957993138122</v>
      </c>
      <c r="Y4" s="10">
        <v>207.46682643681729</v>
      </c>
      <c r="Z4" s="10">
        <v>124.77259339781072</v>
      </c>
      <c r="AA4" s="10">
        <v>162.63500579732619</v>
      </c>
      <c r="AB4" s="10">
        <v>30.237464965118257</v>
      </c>
      <c r="AC4" s="798">
        <f t="shared" ref="AC4:AC14" si="3">S4/Z4</f>
        <v>1.1265034617296463</v>
      </c>
      <c r="AD4" s="62">
        <f t="shared" ref="AD4:AD14" si="4">AC4-1</f>
        <v>0.12650346172964633</v>
      </c>
      <c r="AE4" s="62">
        <f>MIN(AD3:AD14)</f>
        <v>-0.4702112620171589</v>
      </c>
    </row>
    <row r="5" spans="2:31">
      <c r="B5" s="646">
        <f>'Sectionwise Working'!C6</f>
        <v>46174</v>
      </c>
      <c r="C5" s="645">
        <f>'Sectionwise Working'!J20</f>
        <v>35678.920404370176</v>
      </c>
      <c r="D5" s="645">
        <f>'Sectionwise Working'!J6</f>
        <v>5757.8726906013535</v>
      </c>
      <c r="E5" s="645">
        <f t="shared" si="1"/>
        <v>41436.79309497153</v>
      </c>
      <c r="F5" s="645">
        <f>'Sectionwise Working'!J109</f>
        <v>41963.46711804418</v>
      </c>
      <c r="G5" s="645">
        <f>'Sectionwise Working'!J141+'Sectionwise Working'!J154</f>
        <v>4402.0631108225725</v>
      </c>
      <c r="H5" s="645">
        <f>'Sectionwise Working'!J170+'Sectionwise Working'!J184</f>
        <v>19058.671358396314</v>
      </c>
      <c r="I5" s="645">
        <f>'Sectionwise Working'!J199</f>
        <v>9206.1022335126581</v>
      </c>
      <c r="J5" s="2"/>
      <c r="K5" s="644">
        <f>'Sectionwise Working'!T20+'Sectionwise Working'!T6+'Sectionwise Working'!T35+'Sectionwise Working'!T51+'Sectionwise Working'!T66+'Sectionwise Working'!T81+'Sectionwise Working'!T384+'Sectionwise Working'!$T$394+'Sectionwise Working'!$T$396+'Sectionwise Working'!$T$395</f>
        <v>492</v>
      </c>
      <c r="L5" s="644">
        <f>'Sectionwise Working'!T109</f>
        <v>157.5</v>
      </c>
      <c r="M5" s="2">
        <f>'Sectionwise Working'!T141+'Sectionwise Working'!T154</f>
        <v>42</v>
      </c>
      <c r="N5" s="2">
        <f>'Sectionwise Working'!T170+'Sectionwise Working'!T184</f>
        <v>98</v>
      </c>
      <c r="O5" s="644">
        <f>'Sectionwise Working'!T199</f>
        <v>288</v>
      </c>
      <c r="P5" s="2"/>
      <c r="Q5" s="775">
        <f t="shared" si="2"/>
        <v>84.221124176771397</v>
      </c>
      <c r="R5" s="775">
        <f t="shared" si="0"/>
        <v>266.43471186059799</v>
      </c>
      <c r="S5" s="775">
        <f t="shared" si="0"/>
        <v>104.81102644815648</v>
      </c>
      <c r="T5" s="775">
        <f t="shared" si="0"/>
        <v>194.47623835098278</v>
      </c>
      <c r="U5" s="775">
        <f t="shared" si="0"/>
        <v>31.965632755252287</v>
      </c>
      <c r="V5" s="2"/>
      <c r="X5" s="10">
        <v>76.746817676546314</v>
      </c>
      <c r="Y5" s="10">
        <v>225.12151530053893</v>
      </c>
      <c r="Z5" s="10">
        <v>127.4001213467742</v>
      </c>
      <c r="AA5" s="10">
        <v>180.37536125221033</v>
      </c>
      <c r="AB5" s="10">
        <v>31.561070769599137</v>
      </c>
      <c r="AC5" s="798">
        <f t="shared" si="3"/>
        <v>0.82269173168892218</v>
      </c>
      <c r="AD5" s="62">
        <f t="shared" si="4"/>
        <v>-0.17730826831107782</v>
      </c>
    </row>
    <row r="6" spans="2:31">
      <c r="B6" s="646">
        <f>'Sectionwise Working'!C7</f>
        <v>46204</v>
      </c>
      <c r="C6" s="645">
        <f>'Sectionwise Working'!J21</f>
        <v>48507.406003135155</v>
      </c>
      <c r="D6" s="645">
        <f>'Sectionwise Working'!J7</f>
        <v>6631.5757487786796</v>
      </c>
      <c r="E6" s="645">
        <f t="shared" si="1"/>
        <v>55138.981751913831</v>
      </c>
      <c r="F6" s="645">
        <f>'Sectionwise Working'!J110</f>
        <v>45149.462615836208</v>
      </c>
      <c r="G6" s="645">
        <f>'Sectionwise Working'!J142+'Sectionwise Working'!J155</f>
        <v>5215.6911169327568</v>
      </c>
      <c r="H6" s="645">
        <f>'Sectionwise Working'!J171+'Sectionwise Working'!J185</f>
        <v>21620.144478870076</v>
      </c>
      <c r="I6" s="645">
        <f>'Sectionwise Working'!J200</f>
        <v>12100.98826829652</v>
      </c>
      <c r="J6" s="2"/>
      <c r="K6" s="644">
        <f>'Sectionwise Working'!T21+'Sectionwise Working'!T7+'Sectionwise Working'!T36+'Sectionwise Working'!T52+'Sectionwise Working'!T67+'Sectionwise Working'!T82+'Sectionwise Working'!T385+'Sectionwise Working'!$T$394+'Sectionwise Working'!$T$396+'Sectionwise Working'!$T$395</f>
        <v>479</v>
      </c>
      <c r="L6" s="644">
        <f>'Sectionwise Working'!T110</f>
        <v>162.5</v>
      </c>
      <c r="M6" s="2">
        <f>'Sectionwise Working'!T142+'Sectionwise Working'!T155</f>
        <v>48</v>
      </c>
      <c r="N6" s="2">
        <f>'Sectionwise Working'!T171+'Sectionwise Working'!T185</f>
        <v>98</v>
      </c>
      <c r="O6" s="644">
        <f>'Sectionwise Working'!T200</f>
        <v>305</v>
      </c>
      <c r="P6" s="2"/>
      <c r="Q6" s="775">
        <f t="shared" si="2"/>
        <v>115.11269676808733</v>
      </c>
      <c r="R6" s="775">
        <f t="shared" si="0"/>
        <v>277.84284686668434</v>
      </c>
      <c r="S6" s="775">
        <f t="shared" si="0"/>
        <v>108.66023160276576</v>
      </c>
      <c r="T6" s="775">
        <f t="shared" si="0"/>
        <v>220.61371917214362</v>
      </c>
      <c r="U6" s="775">
        <f t="shared" si="0"/>
        <v>39.675371371464003</v>
      </c>
      <c r="V6" s="2"/>
      <c r="X6" s="10">
        <v>71.330163651978694</v>
      </c>
      <c r="Y6" s="10">
        <v>214.67804439072603</v>
      </c>
      <c r="Z6" s="10">
        <v>138.96706708065358</v>
      </c>
      <c r="AA6" s="10">
        <v>194.80929342308946</v>
      </c>
      <c r="AB6" s="10">
        <v>30.336800707545351</v>
      </c>
      <c r="AC6" s="798">
        <f t="shared" si="3"/>
        <v>0.7819135417148988</v>
      </c>
      <c r="AD6" s="62">
        <f t="shared" si="4"/>
        <v>-0.2180864582851012</v>
      </c>
    </row>
    <row r="7" spans="2:31">
      <c r="B7" s="646">
        <f>'Sectionwise Working'!C8</f>
        <v>46235</v>
      </c>
      <c r="C7" s="645">
        <f>'Sectionwise Working'!J22</f>
        <v>37814.245483172235</v>
      </c>
      <c r="D7" s="645">
        <f>'Sectionwise Working'!J8</f>
        <v>8091.1841247840584</v>
      </c>
      <c r="E7" s="645">
        <f t="shared" si="1"/>
        <v>45905.429607956292</v>
      </c>
      <c r="F7" s="645">
        <f>'Sectionwise Working'!J111</f>
        <v>55734.102763651492</v>
      </c>
      <c r="G7" s="645">
        <f>'Sectionwise Working'!J143+'Sectionwise Working'!J156</f>
        <v>5594.1075339038125</v>
      </c>
      <c r="H7" s="645">
        <f>'Sectionwise Working'!J172+'Sectionwise Working'!J186</f>
        <v>32281.095707700697</v>
      </c>
      <c r="I7" s="645">
        <f>'Sectionwise Working'!J201</f>
        <v>20542.260631347624</v>
      </c>
      <c r="J7" s="2"/>
      <c r="K7" s="644">
        <f>'Sectionwise Working'!T22+'Sectionwise Working'!T8+'Sectionwise Working'!T37+'Sectionwise Working'!T53+'Sectionwise Working'!T68+'Sectionwise Working'!T83+'Sectionwise Working'!T386+'Sectionwise Working'!$T$394+'Sectionwise Working'!$T$396+'Sectionwise Working'!$T$395</f>
        <v>507</v>
      </c>
      <c r="L7" s="644">
        <f>'Sectionwise Working'!T111</f>
        <v>162.5</v>
      </c>
      <c r="M7" s="2">
        <f>'Sectionwise Working'!T143+'Sectionwise Working'!T156</f>
        <v>54</v>
      </c>
      <c r="N7" s="2">
        <f>'Sectionwise Working'!T172+'Sectionwise Working'!T186</f>
        <v>98</v>
      </c>
      <c r="O7" s="644">
        <f>'Sectionwise Working'!T201</f>
        <v>315</v>
      </c>
      <c r="P7" s="2"/>
      <c r="Q7" s="775">
        <f t="shared" si="2"/>
        <v>90.543253664608073</v>
      </c>
      <c r="R7" s="775">
        <f t="shared" si="0"/>
        <v>342.979093930163</v>
      </c>
      <c r="S7" s="775">
        <f t="shared" si="0"/>
        <v>103.59458396118171</v>
      </c>
      <c r="T7" s="775">
        <f t="shared" si="0"/>
        <v>329.39893579286428</v>
      </c>
      <c r="U7" s="775">
        <f t="shared" si="0"/>
        <v>65.213525813801979</v>
      </c>
      <c r="V7" s="2"/>
      <c r="X7" s="10">
        <v>69.875758992490873</v>
      </c>
      <c r="Y7" s="10">
        <v>216.24634462038347</v>
      </c>
      <c r="Z7" s="10">
        <v>195.5394226680163</v>
      </c>
      <c r="AA7" s="10">
        <v>181.96255392073246</v>
      </c>
      <c r="AB7" s="10">
        <v>31.294970064497285</v>
      </c>
      <c r="AC7" s="798">
        <f t="shared" si="3"/>
        <v>0.5297887379828411</v>
      </c>
      <c r="AD7" s="62">
        <f t="shared" si="4"/>
        <v>-0.4702112620171589</v>
      </c>
    </row>
    <row r="8" spans="2:31">
      <c r="B8" s="646">
        <f>'Sectionwise Working'!C9</f>
        <v>46266</v>
      </c>
      <c r="C8" s="645">
        <f>'Sectionwise Working'!J23</f>
        <v>35651.418688229067</v>
      </c>
      <c r="D8" s="645">
        <f>'Sectionwise Working'!J9</f>
        <v>13123.900339820473</v>
      </c>
      <c r="E8" s="645">
        <f t="shared" si="1"/>
        <v>48775.31902804954</v>
      </c>
      <c r="F8" s="645">
        <f>'Sectionwise Working'!J112</f>
        <v>48188.250467753955</v>
      </c>
      <c r="G8" s="645">
        <f>'Sectionwise Working'!J144+'Sectionwise Working'!J157</f>
        <v>5089.8927749195554</v>
      </c>
      <c r="H8" s="645">
        <f>'Sectionwise Working'!J173+'Sectionwise Working'!J187</f>
        <v>25623.679110262943</v>
      </c>
      <c r="I8" s="645">
        <f>'Sectionwise Working'!J202</f>
        <v>11342.677296315534</v>
      </c>
      <c r="J8" s="2"/>
      <c r="K8" s="644">
        <f>'Sectionwise Working'!T23+'Sectionwise Working'!T9+'Sectionwise Working'!T38+'Sectionwise Working'!T54+'Sectionwise Working'!T69+'Sectionwise Working'!T84+'Sectionwise Working'!T387+'Sectionwise Working'!$T$394+'Sectionwise Working'!$T$396+'Sectionwise Working'!$T$395</f>
        <v>507</v>
      </c>
      <c r="L8" s="644">
        <f>'Sectionwise Working'!T112</f>
        <v>167.5</v>
      </c>
      <c r="M8" s="2">
        <f>'Sectionwise Working'!T144+'Sectionwise Working'!T157</f>
        <v>48</v>
      </c>
      <c r="N8" s="2">
        <f>'Sectionwise Working'!T173+'Sectionwise Working'!T187</f>
        <v>119</v>
      </c>
      <c r="O8" s="644">
        <f>'Sectionwise Working'!T202</f>
        <v>298</v>
      </c>
      <c r="P8" s="2"/>
      <c r="Q8" s="775">
        <f t="shared" si="2"/>
        <v>96.203785065186466</v>
      </c>
      <c r="R8" s="775">
        <f t="shared" si="0"/>
        <v>287.69104756868035</v>
      </c>
      <c r="S8" s="775">
        <f t="shared" si="0"/>
        <v>106.03943281082407</v>
      </c>
      <c r="T8" s="775">
        <f t="shared" si="0"/>
        <v>215.32503454002475</v>
      </c>
      <c r="U8" s="775">
        <f t="shared" si="0"/>
        <v>38.06267549099173</v>
      </c>
      <c r="V8" s="2"/>
      <c r="X8" s="10">
        <v>82.549782304202026</v>
      </c>
      <c r="Y8" s="10">
        <v>237.72585498635345</v>
      </c>
      <c r="Z8" s="10">
        <v>158.9008842224643</v>
      </c>
      <c r="AA8" s="10">
        <v>230.51873022057995</v>
      </c>
      <c r="AB8" s="10">
        <v>30.861221461487268</v>
      </c>
      <c r="AC8" s="798">
        <f t="shared" si="3"/>
        <v>0.66733066546292352</v>
      </c>
      <c r="AD8" s="62">
        <f t="shared" si="4"/>
        <v>-0.33266933453707648</v>
      </c>
    </row>
    <row r="9" spans="2:31">
      <c r="B9" s="646">
        <f>'Sectionwise Working'!C10</f>
        <v>46296</v>
      </c>
      <c r="C9" s="645">
        <f>'Sectionwise Working'!J24</f>
        <v>37403.158993685662</v>
      </c>
      <c r="D9" s="645">
        <f>'Sectionwise Working'!J10</f>
        <v>9321.0410097002386</v>
      </c>
      <c r="E9" s="645">
        <f t="shared" si="1"/>
        <v>46724.2000033859</v>
      </c>
      <c r="F9" s="645">
        <f>'Sectionwise Working'!J113</f>
        <v>45314.78605616017</v>
      </c>
      <c r="G9" s="645">
        <f>'Sectionwise Working'!J145+'Sectionwise Working'!J158</f>
        <v>4979.8745882693947</v>
      </c>
      <c r="H9" s="645">
        <f>'Sectionwise Working'!J174+'Sectionwise Working'!J188</f>
        <v>22607.729069128567</v>
      </c>
      <c r="I9" s="645">
        <f>'Sectionwise Working'!J203</f>
        <v>9358.4119616767875</v>
      </c>
      <c r="J9" s="2"/>
      <c r="K9" s="644">
        <f>'Sectionwise Working'!T24+'Sectionwise Working'!T10+'Sectionwise Working'!T39+'Sectionwise Working'!T55+'Sectionwise Working'!T70+'Sectionwise Working'!T85+'Sectionwise Working'!T388+'Sectionwise Working'!$T$394+'Sectionwise Working'!$T$396+'Sectionwise Working'!$T$395</f>
        <v>495</v>
      </c>
      <c r="L9" s="644">
        <f>'Sectionwise Working'!T113</f>
        <v>162.5</v>
      </c>
      <c r="M9" s="2">
        <f>'Sectionwise Working'!T145+'Sectionwise Working'!T158</f>
        <v>48</v>
      </c>
      <c r="N9" s="2">
        <f>'Sectionwise Working'!T174+'Sectionwise Working'!T188</f>
        <v>119</v>
      </c>
      <c r="O9" s="644">
        <f>'Sectionwise Working'!T203</f>
        <v>296</v>
      </c>
      <c r="P9" s="2"/>
      <c r="Q9" s="775">
        <f t="shared" si="2"/>
        <v>94.392323239163431</v>
      </c>
      <c r="R9" s="775">
        <f t="shared" si="0"/>
        <v>278.86022188406258</v>
      </c>
      <c r="S9" s="775">
        <f t="shared" si="0"/>
        <v>103.7473872556124</v>
      </c>
      <c r="T9" s="775">
        <f t="shared" si="0"/>
        <v>189.98091654729888</v>
      </c>
      <c r="U9" s="775">
        <f t="shared" si="0"/>
        <v>31.616256627286443</v>
      </c>
      <c r="V9" s="2"/>
      <c r="X9" s="10">
        <v>72.8086453633953</v>
      </c>
      <c r="Y9" s="10">
        <v>224.13738526042692</v>
      </c>
      <c r="Z9" s="10">
        <v>97.0497148016522</v>
      </c>
      <c r="AA9" s="10">
        <v>155.72418434168296</v>
      </c>
      <c r="AB9" s="10">
        <v>28.351108881807754</v>
      </c>
      <c r="AC9" s="798">
        <f t="shared" si="3"/>
        <v>1.0690127989314417</v>
      </c>
      <c r="AD9" s="62">
        <f t="shared" si="4"/>
        <v>6.9012798931441743E-2</v>
      </c>
    </row>
    <row r="10" spans="2:31">
      <c r="B10" s="646">
        <f>'Sectionwise Working'!C11</f>
        <v>46327</v>
      </c>
      <c r="C10" s="645">
        <f>'Sectionwise Working'!J25</f>
        <v>34395.261301297389</v>
      </c>
      <c r="D10" s="645">
        <f>'Sectionwise Working'!J11</f>
        <v>12237.75407168092</v>
      </c>
      <c r="E10" s="645">
        <f t="shared" si="1"/>
        <v>46633.015372978305</v>
      </c>
      <c r="F10" s="645">
        <f>'Sectionwise Working'!J114</f>
        <v>39960.989807301987</v>
      </c>
      <c r="G10" s="645">
        <f>'Sectionwise Working'!J146+'Sectionwise Working'!J159</f>
        <v>5747.121919017859</v>
      </c>
      <c r="H10" s="645">
        <f>'Sectionwise Working'!J175+'Sectionwise Working'!J189</f>
        <v>21992.561982615272</v>
      </c>
      <c r="I10" s="645">
        <f>'Sectionwise Working'!J204</f>
        <v>7936.7272047885381</v>
      </c>
      <c r="J10" s="2"/>
      <c r="K10" s="644">
        <f>'Sectionwise Working'!T25+'Sectionwise Working'!T11+'Sectionwise Working'!T40+'Sectionwise Working'!T56+'Sectionwise Working'!T71+'Sectionwise Working'!T86+'Sectionwise Working'!T389+'Sectionwise Working'!$T$394+'Sectionwise Working'!$T$396+'Sectionwise Working'!$T$395</f>
        <v>506</v>
      </c>
      <c r="L10" s="644">
        <f>'Sectionwise Working'!T114</f>
        <v>160</v>
      </c>
      <c r="M10" s="2">
        <f>'Sectionwise Working'!T146+'Sectionwise Working'!T159</f>
        <v>48</v>
      </c>
      <c r="N10" s="2">
        <f>'Sectionwise Working'!T175+'Sectionwise Working'!T189</f>
        <v>98</v>
      </c>
      <c r="O10" s="644">
        <f>'Sectionwise Working'!T204</f>
        <v>264.5</v>
      </c>
      <c r="P10" s="2"/>
      <c r="Q10" s="775">
        <f t="shared" si="2"/>
        <v>92.160109432763448</v>
      </c>
      <c r="R10" s="775">
        <f t="shared" si="0"/>
        <v>249.75618629563741</v>
      </c>
      <c r="S10" s="775">
        <f t="shared" si="0"/>
        <v>119.7317066462054</v>
      </c>
      <c r="T10" s="775">
        <f t="shared" si="0"/>
        <v>224.41389778178851</v>
      </c>
      <c r="U10" s="775">
        <f t="shared" si="0"/>
        <v>30.00653007481489</v>
      </c>
      <c r="V10" s="2"/>
      <c r="X10" s="10">
        <v>78.824560625034422</v>
      </c>
      <c r="Y10" s="10">
        <v>231.21863583836546</v>
      </c>
      <c r="Z10" s="10">
        <v>163.46042065235901</v>
      </c>
      <c r="AA10" s="10">
        <v>198.36853146008059</v>
      </c>
      <c r="AB10" s="10">
        <v>32.501546757749651</v>
      </c>
      <c r="AC10" s="798">
        <f t="shared" si="3"/>
        <v>0.73248133198461496</v>
      </c>
      <c r="AD10" s="62">
        <f t="shared" si="4"/>
        <v>-0.26751866801538504</v>
      </c>
    </row>
    <row r="11" spans="2:31">
      <c r="B11" s="646">
        <f>'Sectionwise Working'!C12</f>
        <v>46357</v>
      </c>
      <c r="C11" s="645">
        <f>'Sectionwise Working'!J26</f>
        <v>33711.280943895981</v>
      </c>
      <c r="D11" s="645">
        <f>'Sectionwise Working'!J12</f>
        <v>21844.944561204364</v>
      </c>
      <c r="E11" s="645">
        <f t="shared" si="1"/>
        <v>55556.225505100345</v>
      </c>
      <c r="F11" s="645">
        <f>'Sectionwise Working'!J115</f>
        <v>44315.176480305301</v>
      </c>
      <c r="G11" s="645">
        <f>'Sectionwise Working'!J147+'Sectionwise Working'!J160</f>
        <v>7322.9391162792563</v>
      </c>
      <c r="H11" s="645">
        <f>'Sectionwise Working'!J176+'Sectionwise Working'!J190</f>
        <v>22201.996333228002</v>
      </c>
      <c r="I11" s="645">
        <f>'Sectionwise Working'!J205</f>
        <v>5255.2384161585906</v>
      </c>
      <c r="J11" s="2"/>
      <c r="K11" s="644">
        <f>'Sectionwise Working'!T26+'Sectionwise Working'!T12+'Sectionwise Working'!T41+'Sectionwise Working'!T57+'Sectionwise Working'!T72+'Sectionwise Working'!T87+'Sectionwise Working'!T390+'Sectionwise Working'!$T$394+'Sectionwise Working'!$T$396+'Sectionwise Working'!$T$395</f>
        <v>555</v>
      </c>
      <c r="L11" s="644">
        <f>'Sectionwise Working'!T115</f>
        <v>170</v>
      </c>
      <c r="M11" s="2">
        <f>'Sectionwise Working'!T147+'Sectionwise Working'!T160</f>
        <v>54</v>
      </c>
      <c r="N11" s="2">
        <f>'Sectionwise Working'!T176+'Sectionwise Working'!T190</f>
        <v>119</v>
      </c>
      <c r="O11" s="644">
        <f>'Sectionwise Working'!T205</f>
        <v>205.5</v>
      </c>
      <c r="P11" s="2"/>
      <c r="Q11" s="775">
        <f t="shared" si="2"/>
        <v>100.10130721639702</v>
      </c>
      <c r="R11" s="775">
        <f t="shared" si="0"/>
        <v>260.67750870767821</v>
      </c>
      <c r="S11" s="775">
        <f t="shared" si="0"/>
        <v>135.60998363480104</v>
      </c>
      <c r="T11" s="775">
        <f t="shared" si="0"/>
        <v>186.5713977582185</v>
      </c>
      <c r="U11" s="775">
        <f t="shared" si="0"/>
        <v>25.572936331671972</v>
      </c>
      <c r="V11" s="2"/>
      <c r="X11" s="10">
        <v>76.498072390512533</v>
      </c>
      <c r="Y11" s="10">
        <v>233.65210281570072</v>
      </c>
      <c r="Z11" s="10">
        <v>126.23359758216759</v>
      </c>
      <c r="AA11" s="10">
        <v>167.88105357051785</v>
      </c>
      <c r="AB11" s="10">
        <v>28.424895027629066</v>
      </c>
      <c r="AC11" s="798">
        <f t="shared" si="3"/>
        <v>1.0742780545926389</v>
      </c>
      <c r="AD11" s="62">
        <f t="shared" si="4"/>
        <v>7.427805459263892E-2</v>
      </c>
    </row>
    <row r="12" spans="2:31">
      <c r="B12" s="646">
        <f>'Sectionwise Working'!C13</f>
        <v>46388</v>
      </c>
      <c r="C12" s="645">
        <f>'Sectionwise Working'!J27</f>
        <v>33761.519179139214</v>
      </c>
      <c r="D12" s="645">
        <f>'Sectionwise Working'!J13</f>
        <v>17033.689068936208</v>
      </c>
      <c r="E12" s="645">
        <f t="shared" si="1"/>
        <v>50795.208248075418</v>
      </c>
      <c r="F12" s="645">
        <f>'Sectionwise Working'!J116</f>
        <v>44457.686927837909</v>
      </c>
      <c r="G12" s="645">
        <f>'Sectionwise Working'!J148+'Sectionwise Working'!J161</f>
        <v>8558.9124395247309</v>
      </c>
      <c r="H12" s="645">
        <f>'Sectionwise Working'!J177+'Sectionwise Working'!J191</f>
        <v>23475.777050951336</v>
      </c>
      <c r="I12" s="645">
        <f>'Sectionwise Working'!J206</f>
        <v>4662.4716711605115</v>
      </c>
      <c r="J12" s="2"/>
      <c r="K12" s="644">
        <f>'Sectionwise Working'!T27+'Sectionwise Working'!T13+'Sectionwise Working'!T42+'Sectionwise Working'!T58+'Sectionwise Working'!T73+'Sectionwise Working'!T88+'Sectionwise Working'!T391+'Sectionwise Working'!$T$394+'Sectionwise Working'!$T$396+'Sectionwise Working'!$T$395</f>
        <v>495</v>
      </c>
      <c r="L12" s="644">
        <f>'Sectionwise Working'!T116</f>
        <v>170</v>
      </c>
      <c r="M12" s="2">
        <f>'Sectionwise Working'!T148+'Sectionwise Working'!T161</f>
        <v>54</v>
      </c>
      <c r="N12" s="2">
        <f>'Sectionwise Working'!T177+'Sectionwise Working'!T191</f>
        <v>119</v>
      </c>
      <c r="O12" s="644">
        <f>'Sectionwise Working'!T206</f>
        <v>191</v>
      </c>
      <c r="P12" s="2"/>
      <c r="Q12" s="775">
        <f t="shared" si="2"/>
        <v>102.61658231934427</v>
      </c>
      <c r="R12" s="775">
        <f t="shared" si="0"/>
        <v>261.51580545787004</v>
      </c>
      <c r="S12" s="775">
        <f t="shared" si="0"/>
        <v>158.49837850971724</v>
      </c>
      <c r="T12" s="775">
        <f t="shared" si="0"/>
        <v>197.27543740295241</v>
      </c>
      <c r="U12" s="775">
        <f t="shared" si="0"/>
        <v>24.410846445866554</v>
      </c>
      <c r="V12" s="2"/>
      <c r="X12" s="10">
        <v>78.523090527654162</v>
      </c>
      <c r="Y12" s="10">
        <v>243.68552701222902</v>
      </c>
      <c r="Z12" s="10">
        <v>129.74480088058667</v>
      </c>
      <c r="AA12" s="10">
        <v>184.17486690813894</v>
      </c>
      <c r="AB12" s="10">
        <v>33.565313295202579</v>
      </c>
      <c r="AC12" s="798">
        <f t="shared" si="3"/>
        <v>1.2216164149467117</v>
      </c>
      <c r="AD12" s="62">
        <f t="shared" si="4"/>
        <v>0.22161641494671169</v>
      </c>
    </row>
    <row r="13" spans="2:31">
      <c r="B13" s="646">
        <f>'Sectionwise Working'!C14</f>
        <v>46419</v>
      </c>
      <c r="C13" s="645">
        <f>'Sectionwise Working'!J28</f>
        <v>35709.419840274299</v>
      </c>
      <c r="D13" s="645">
        <f>'Sectionwise Working'!J14</f>
        <v>17417.413110346832</v>
      </c>
      <c r="E13" s="645">
        <f t="shared" si="1"/>
        <v>53126.83295062113</v>
      </c>
      <c r="F13" s="645">
        <f>'Sectionwise Working'!J117</f>
        <v>48053.759492729456</v>
      </c>
      <c r="G13" s="645">
        <f>'Sectionwise Working'!J149+'Sectionwise Working'!J162</f>
        <v>7941.0704000023816</v>
      </c>
      <c r="H13" s="645">
        <f>'Sectionwise Working'!J178+'Sectionwise Working'!J192</f>
        <v>25966.792139129546</v>
      </c>
      <c r="I13" s="645">
        <f>'Sectionwise Working'!J207</f>
        <v>6406.672782879742</v>
      </c>
      <c r="J13" s="2"/>
      <c r="K13" s="644">
        <f>'Sectionwise Working'!T28+'Sectionwise Working'!T14+'Sectionwise Working'!T43+'Sectionwise Working'!T59+'Sectionwise Working'!T74+'Sectionwise Working'!T89+'Sectionwise Working'!T392+'Sectionwise Working'!$T$394+'Sectionwise Working'!$T$396+'Sectionwise Working'!$T$395</f>
        <v>520</v>
      </c>
      <c r="L13" s="644">
        <f>'Sectionwise Working'!T117</f>
        <v>170</v>
      </c>
      <c r="M13" s="2">
        <f>'Sectionwise Working'!T149+'Sectionwise Working'!T162</f>
        <v>54</v>
      </c>
      <c r="N13" s="2">
        <f>'Sectionwise Working'!T178+'Sectionwise Working'!T192</f>
        <v>119</v>
      </c>
      <c r="O13" s="644">
        <f>'Sectionwise Working'!T207</f>
        <v>219</v>
      </c>
      <c r="P13" s="2"/>
      <c r="Q13" s="775">
        <f t="shared" si="2"/>
        <v>102.16698644350217</v>
      </c>
      <c r="R13" s="775">
        <f t="shared" si="0"/>
        <v>282.66917348664384</v>
      </c>
      <c r="S13" s="775">
        <f t="shared" si="0"/>
        <v>147.05685925930337</v>
      </c>
      <c r="T13" s="775">
        <f t="shared" si="0"/>
        <v>218.20833730360962</v>
      </c>
      <c r="U13" s="775">
        <f t="shared" si="0"/>
        <v>29.254213620455442</v>
      </c>
      <c r="V13" s="2"/>
      <c r="X13" s="10">
        <v>88.458912413938279</v>
      </c>
      <c r="Y13" s="10">
        <v>241.60806360548506</v>
      </c>
      <c r="Z13" s="10">
        <v>149.38515686457581</v>
      </c>
      <c r="AA13" s="10">
        <v>186.82876515733733</v>
      </c>
      <c r="AB13" s="10">
        <v>31.399472280010912</v>
      </c>
      <c r="AC13" s="798">
        <f t="shared" si="3"/>
        <v>0.98441413019780044</v>
      </c>
      <c r="AD13" s="62">
        <f t="shared" si="4"/>
        <v>-1.5585869802199559E-2</v>
      </c>
    </row>
    <row r="14" spans="2:31">
      <c r="B14" s="646">
        <f>'Sectionwise Working'!C15</f>
        <v>46447</v>
      </c>
      <c r="C14" s="645">
        <f>'Sectionwise Working'!J29</f>
        <v>29715.511176625227</v>
      </c>
      <c r="D14" s="645">
        <f>'Sectionwise Working'!J15</f>
        <v>14566.332876215205</v>
      </c>
      <c r="E14" s="645">
        <f t="shared" si="1"/>
        <v>44281.844052840432</v>
      </c>
      <c r="F14" s="645">
        <f>'Sectionwise Working'!J118</f>
        <v>43018.721668305654</v>
      </c>
      <c r="G14" s="645">
        <f>'Sectionwise Working'!J150+'Sectionwise Working'!J163</f>
        <v>7956.2512645182787</v>
      </c>
      <c r="H14" s="645">
        <f>'Sectionwise Working'!J179+'Sectionwise Working'!J193</f>
        <v>23977.891094306884</v>
      </c>
      <c r="I14" s="645">
        <f>'Sectionwise Working'!J208</f>
        <v>6365.1863641604978</v>
      </c>
      <c r="J14" s="2"/>
      <c r="K14" s="644">
        <f>'Sectionwise Working'!T29+'Sectionwise Working'!T15+'Sectionwise Working'!T44+'Sectionwise Working'!T60+'Sectionwise Working'!T75+'Sectionwise Working'!T90+'Sectionwise Working'!T393+'Sectionwise Working'!$T$394+'Sectionwise Working'!$T$396+'Sectionwise Working'!$T$395</f>
        <v>479</v>
      </c>
      <c r="L14" s="644">
        <f>'Sectionwise Working'!T118</f>
        <v>165</v>
      </c>
      <c r="M14" s="2">
        <f>'Sectionwise Working'!T150+'Sectionwise Working'!T163</f>
        <v>48</v>
      </c>
      <c r="N14" s="2">
        <f>'Sectionwise Working'!T179+'Sectionwise Working'!T193</f>
        <v>119</v>
      </c>
      <c r="O14" s="644">
        <f>'Sectionwise Working'!T208</f>
        <v>196.5</v>
      </c>
      <c r="P14" s="2"/>
      <c r="Q14" s="775">
        <f t="shared" si="2"/>
        <v>92.446438523675226</v>
      </c>
      <c r="R14" s="775">
        <f t="shared" si="0"/>
        <v>260.71952526245849</v>
      </c>
      <c r="S14" s="775">
        <f t="shared" si="0"/>
        <v>165.75523467746413</v>
      </c>
      <c r="T14" s="775">
        <f t="shared" si="0"/>
        <v>201.49488314543601</v>
      </c>
      <c r="U14" s="775">
        <f t="shared" si="0"/>
        <v>32.392805924480903</v>
      </c>
      <c r="V14" s="2"/>
      <c r="X14" s="10">
        <v>81.465515154898426</v>
      </c>
      <c r="Y14" s="10">
        <v>249.12867755801597</v>
      </c>
      <c r="Z14" s="10">
        <v>118.12985588258661</v>
      </c>
      <c r="AA14" s="10">
        <v>193.79208630543442</v>
      </c>
      <c r="AB14" s="10">
        <v>27.952637657901867</v>
      </c>
      <c r="AC14" s="798">
        <f t="shared" si="3"/>
        <v>1.4031612367513091</v>
      </c>
      <c r="AD14" s="62">
        <f t="shared" si="4"/>
        <v>0.4031612367513091</v>
      </c>
    </row>
    <row r="15" spans="2:31" hidden="1">
      <c r="B15" s="2"/>
      <c r="C15" s="647">
        <f>AVERAGE(C3:C14)</f>
        <v>37828.859689030149</v>
      </c>
      <c r="D15" s="647">
        <f>AVERAGE(D3:D14)</f>
        <v>11641.99534501814</v>
      </c>
      <c r="E15" s="2"/>
      <c r="F15" s="2"/>
      <c r="G15" s="2"/>
      <c r="H15" s="2"/>
      <c r="I15" s="2"/>
      <c r="J15" s="2"/>
      <c r="K15" s="644">
        <v>33.25</v>
      </c>
      <c r="L15" s="644">
        <v>8</v>
      </c>
      <c r="M15" s="644">
        <v>4.75</v>
      </c>
      <c r="N15" s="644">
        <v>11.416666666666666</v>
      </c>
      <c r="O15" s="644">
        <v>4.333333333333333</v>
      </c>
      <c r="P15" s="2"/>
      <c r="Q15" s="777"/>
      <c r="R15" s="777"/>
      <c r="S15" s="777"/>
      <c r="T15" s="777"/>
      <c r="U15" s="777"/>
      <c r="X15" s="13">
        <v>76.152869435586766</v>
      </c>
      <c r="Y15" s="13">
        <v>225.86667773986844</v>
      </c>
      <c r="Z15" s="13">
        <v>136.04325249906299</v>
      </c>
      <c r="AA15" s="13">
        <v>180.86166445693314</v>
      </c>
      <c r="AB15" s="13">
        <v>30.270823856043833</v>
      </c>
    </row>
    <row r="16" spans="2:31" hidden="1">
      <c r="B16" s="2"/>
      <c r="C16" s="2">
        <f>(C15+D15)*30*12</f>
        <v>17809507.812257383</v>
      </c>
      <c r="D16" s="2"/>
      <c r="E16" s="2"/>
      <c r="F16" s="2"/>
      <c r="G16" s="2"/>
      <c r="H16" s="2"/>
      <c r="I16" s="2"/>
      <c r="J16" s="2"/>
      <c r="K16" s="2">
        <v>6</v>
      </c>
      <c r="L16" s="2">
        <v>3</v>
      </c>
      <c r="M16" s="2"/>
      <c r="N16" s="644"/>
      <c r="O16" s="2">
        <v>3</v>
      </c>
      <c r="P16" s="2"/>
      <c r="Q16" s="774">
        <v>65.082040177641247</v>
      </c>
      <c r="R16" s="774">
        <v>249.8073061111894</v>
      </c>
      <c r="S16" s="774">
        <v>125.3691750893707</v>
      </c>
      <c r="T16" s="774">
        <v>195.12533121071931</v>
      </c>
      <c r="U16" s="774">
        <v>19.670473768473396</v>
      </c>
      <c r="V16" t="s">
        <v>605</v>
      </c>
      <c r="X16" s="13"/>
      <c r="Y16" s="13"/>
      <c r="Z16" s="13"/>
      <c r="AA16" s="13"/>
      <c r="AB16" s="13"/>
    </row>
    <row r="17" spans="4:28" hidden="1">
      <c r="Q17" s="38">
        <v>74.204546947471016</v>
      </c>
      <c r="R17" s="38">
        <v>292.87571215674598</v>
      </c>
      <c r="S17" s="38">
        <v>120.1674810310637</v>
      </c>
      <c r="T17" s="38">
        <v>187.3952675961186</v>
      </c>
      <c r="U17" s="38">
        <v>32.041500679426463</v>
      </c>
      <c r="V17" t="s">
        <v>959</v>
      </c>
      <c r="X17" s="13"/>
      <c r="Y17" s="13"/>
      <c r="Z17" s="13"/>
      <c r="AA17" s="13"/>
      <c r="AB17" s="13"/>
    </row>
    <row r="18" spans="4:28" hidden="1">
      <c r="E18" s="39">
        <f>SUM(E3:E14)*30</f>
        <v>17809507.812257379</v>
      </c>
      <c r="F18" s="39">
        <f t="shared" ref="F18:O18" si="5">SUM(F3:F14)*30</f>
        <v>16603545.307336666</v>
      </c>
      <c r="G18" s="39">
        <f t="shared" si="5"/>
        <v>2198368.5494431448</v>
      </c>
      <c r="H18" s="39">
        <f t="shared" si="5"/>
        <v>8574649.4804508816</v>
      </c>
      <c r="I18" s="39">
        <f t="shared" si="5"/>
        <v>3564292.3774329843</v>
      </c>
      <c r="J18" s="39"/>
      <c r="K18" s="39">
        <f t="shared" si="5"/>
        <v>180510</v>
      </c>
      <c r="L18" s="39">
        <f t="shared" si="5"/>
        <v>59400</v>
      </c>
      <c r="M18" s="39">
        <f t="shared" si="5"/>
        <v>17460</v>
      </c>
      <c r="N18" s="39">
        <f t="shared" si="5"/>
        <v>39060</v>
      </c>
      <c r="O18" s="39">
        <f t="shared" si="5"/>
        <v>95655</v>
      </c>
      <c r="Q18" s="43">
        <f t="shared" ref="Q18" si="6">E18/K18</f>
        <v>98.662167260857458</v>
      </c>
      <c r="R18" s="43">
        <f t="shared" ref="R18" si="7">F18/L18</f>
        <v>279.52096476997752</v>
      </c>
      <c r="S18" s="43">
        <f t="shared" ref="S18" si="8">G18/M18</f>
        <v>125.9088516290461</v>
      </c>
      <c r="T18" s="43">
        <f t="shared" ref="T18" si="9">H18/N18</f>
        <v>219.52507630442605</v>
      </c>
      <c r="U18" s="43">
        <f t="shared" ref="U18" si="10">I18/O18</f>
        <v>37.261955751743081</v>
      </c>
      <c r="V18" t="s">
        <v>480</v>
      </c>
      <c r="X18" s="13"/>
      <c r="Y18" s="13"/>
      <c r="Z18" s="13"/>
      <c r="AA18" s="13"/>
      <c r="AB18" s="13"/>
    </row>
    <row r="19" spans="4:28" hidden="1">
      <c r="E19" s="41">
        <f>E18/1000</f>
        <v>17809.50781225738</v>
      </c>
      <c r="K19" s="19">
        <f>SUM(K3:K16)*30</f>
        <v>181687.5</v>
      </c>
      <c r="L19" s="19">
        <f t="shared" ref="L19:O19" si="11">SUM(L3:L16)*30</f>
        <v>59730</v>
      </c>
      <c r="M19" s="19">
        <f t="shared" si="11"/>
        <v>17602.5</v>
      </c>
      <c r="N19" s="19">
        <f t="shared" si="11"/>
        <v>39402.5</v>
      </c>
      <c r="O19" s="19">
        <f t="shared" si="11"/>
        <v>95875</v>
      </c>
      <c r="Q19" s="10">
        <f>E18/K19</f>
        <v>98.022746816690088</v>
      </c>
      <c r="R19" s="10">
        <f t="shared" ref="R19:U19" si="12">F18/L19</f>
        <v>277.97665004749149</v>
      </c>
      <c r="S19" s="10">
        <f t="shared" si="12"/>
        <v>124.88956395075385</v>
      </c>
      <c r="T19" s="10">
        <f t="shared" si="12"/>
        <v>217.61688929511786</v>
      </c>
      <c r="U19" s="10">
        <f t="shared" si="12"/>
        <v>37.176452437371417</v>
      </c>
      <c r="V19" t="s">
        <v>480</v>
      </c>
      <c r="X19" s="13"/>
      <c r="Y19" s="13"/>
      <c r="Z19" s="13"/>
      <c r="AA19" s="13"/>
      <c r="AB19" s="13"/>
    </row>
    <row r="20" spans="4:28" hidden="1">
      <c r="E20">
        <v>14212000</v>
      </c>
      <c r="Q20" s="13"/>
      <c r="R20" s="13"/>
      <c r="S20" s="13"/>
      <c r="T20" s="13"/>
      <c r="U20" s="13"/>
      <c r="X20" s="13"/>
      <c r="Y20" s="13"/>
      <c r="Z20" s="13"/>
      <c r="AA20" s="13"/>
      <c r="AB20" s="13"/>
    </row>
    <row r="21" spans="4:28" hidden="1">
      <c r="E21" s="41"/>
      <c r="K21" s="40">
        <f>AVERAGE(K3:K14)+K15+K16-1</f>
        <v>539.66666666666674</v>
      </c>
      <c r="L21" s="40">
        <f>AVERAGE(L3:L14)+L15+L16</f>
        <v>176</v>
      </c>
      <c r="M21" s="40">
        <f>AVERAGE(M3:M14)+M15+M16</f>
        <v>53.25</v>
      </c>
      <c r="N21" s="40">
        <f>AVERAGE(N3:N14)+N15+N16</f>
        <v>119.91666666666667</v>
      </c>
      <c r="O21" s="40">
        <f>AVERAGE(O3:O14)+O15+O16</f>
        <v>273.04166666666663</v>
      </c>
      <c r="Q21" s="13"/>
      <c r="R21" s="13"/>
      <c r="S21" s="13"/>
      <c r="T21" s="13"/>
      <c r="U21" s="13"/>
      <c r="X21" s="13"/>
      <c r="Y21" s="13"/>
      <c r="Z21" s="13"/>
      <c r="AA21" s="13"/>
      <c r="AB21" s="13"/>
    </row>
    <row r="22" spans="4:28" hidden="1">
      <c r="Q22" s="13"/>
      <c r="R22" s="13"/>
      <c r="S22" s="13"/>
      <c r="T22" s="13"/>
      <c r="U22" s="13"/>
      <c r="X22" s="13"/>
      <c r="Y22" s="13"/>
      <c r="Z22" s="13"/>
      <c r="AA22" s="13"/>
      <c r="AB22" s="13"/>
    </row>
    <row r="23" spans="4:28" hidden="1">
      <c r="D23" s="40">
        <v>31.416666666666668</v>
      </c>
      <c r="K23" s="40">
        <f>E18/(K21*357)</f>
        <v>92.439610571196951</v>
      </c>
      <c r="L23" s="40">
        <f>F18/(L21*357)</f>
        <v>264.25301291279391</v>
      </c>
      <c r="M23" s="40">
        <f>G18/(M21*357)</f>
        <v>115.64122246909666</v>
      </c>
      <c r="N23" s="40">
        <f>H18/(N21*357)</f>
        <v>200.29430990127088</v>
      </c>
      <c r="O23" s="40">
        <f>I18/(O21*357)</f>
        <v>36.565892611202358</v>
      </c>
      <c r="Q23" s="13"/>
      <c r="R23" s="13"/>
      <c r="S23" s="13"/>
      <c r="T23" s="13"/>
      <c r="U23" s="13"/>
      <c r="X23" s="13"/>
      <c r="Y23" s="13"/>
      <c r="Z23" s="13"/>
      <c r="AA23" s="13"/>
      <c r="AB23" s="13"/>
    </row>
    <row r="24" spans="4:28" hidden="1">
      <c r="D24" s="40">
        <v>8</v>
      </c>
      <c r="F24">
        <v>5933.961992717369</v>
      </c>
      <c r="N24">
        <f>F25/(N21*357)</f>
        <v>138.61077645464272</v>
      </c>
      <c r="Q24" s="13"/>
      <c r="R24" s="13"/>
      <c r="S24" s="13"/>
      <c r="T24" s="13"/>
      <c r="U24" s="13"/>
      <c r="X24" s="13"/>
      <c r="Y24" s="13"/>
      <c r="Z24" s="13"/>
      <c r="AA24" s="13"/>
      <c r="AB24" s="13"/>
    </row>
    <row r="25" spans="4:28" hidden="1">
      <c r="D25" s="40">
        <v>11.416666666666666</v>
      </c>
      <c r="F25">
        <f>F24*1000</f>
        <v>5933961.9927173685</v>
      </c>
      <c r="Q25" s="13"/>
      <c r="R25" s="13"/>
      <c r="S25" s="13"/>
      <c r="T25" s="13"/>
      <c r="U25" s="13"/>
      <c r="X25" s="13"/>
      <c r="Y25" s="13"/>
      <c r="Z25" s="13"/>
      <c r="AA25" s="13"/>
      <c r="AB25" s="13"/>
    </row>
    <row r="26" spans="4:28" hidden="1">
      <c r="D26" s="40">
        <v>4.75</v>
      </c>
      <c r="Q26" s="13"/>
      <c r="R26" s="13"/>
      <c r="S26" s="13"/>
      <c r="T26" s="13"/>
      <c r="U26" s="13"/>
      <c r="X26" s="13"/>
      <c r="Y26" s="13"/>
      <c r="Z26" s="13"/>
      <c r="AA26" s="13"/>
      <c r="AB26" s="13"/>
    </row>
    <row r="27" spans="4:28" hidden="1">
      <c r="D27" s="40">
        <v>4.333333333333333</v>
      </c>
      <c r="Q27" s="13"/>
      <c r="R27" s="13"/>
      <c r="S27" s="13"/>
      <c r="T27" s="13"/>
      <c r="U27" s="13"/>
      <c r="X27" s="13"/>
      <c r="Y27" s="13"/>
      <c r="Z27" s="13"/>
      <c r="AA27" s="13"/>
      <c r="AB27" s="13"/>
    </row>
    <row r="28" spans="4:28" hidden="1">
      <c r="Q28" s="13"/>
      <c r="R28" s="13"/>
      <c r="S28" s="13"/>
      <c r="T28" s="13"/>
      <c r="U28" s="13"/>
      <c r="X28" s="13"/>
      <c r="Y28" s="13"/>
      <c r="Z28" s="13"/>
      <c r="AA28" s="13"/>
      <c r="AB28" s="13"/>
    </row>
    <row r="29" spans="4:28">
      <c r="F29" s="39"/>
      <c r="Q29" s="844">
        <f>AVERAGE(Q3:Q14)</f>
        <v>98.707678233764</v>
      </c>
      <c r="R29" s="844">
        <f>AVERAGE(R3:R14)</f>
        <v>279.50887327236069</v>
      </c>
      <c r="S29" s="844">
        <f>AVERAGE(S3:S14)</f>
        <v>125.23458338445944</v>
      </c>
      <c r="T29" s="844">
        <f>AVERAGE(T3:T14)</f>
        <v>221.45890578887278</v>
      </c>
      <c r="U29" s="844">
        <f>AVERAGE(U3:U14)</f>
        <v>35.989724816217318</v>
      </c>
      <c r="X29" s="844">
        <f>AVERAGE(X3:X14)</f>
        <v>76.152869435586766</v>
      </c>
      <c r="Y29" s="844">
        <f>AVERAGE(Y3:Y14)</f>
        <v>225.86667773986844</v>
      </c>
      <c r="Z29" s="844">
        <f>AVERAGE(Z3:Z14)</f>
        <v>136.04325249906299</v>
      </c>
      <c r="AA29" s="844">
        <f>AVERAGE(AA3:AA14)</f>
        <v>180.86166445693314</v>
      </c>
      <c r="AB29" s="844">
        <f>AVERAGE(AB3:AB14)</f>
        <v>30.270823856043833</v>
      </c>
    </row>
    <row r="30" spans="4:28">
      <c r="Q30" s="798">
        <f>Q29/X29</f>
        <v>1.2961780556050488</v>
      </c>
      <c r="R30" s="798">
        <f>R29/Y29</f>
        <v>1.2374949508677513</v>
      </c>
      <c r="S30" s="798">
        <f>S29/Z29</f>
        <v>0.92054975960915086</v>
      </c>
      <c r="T30" s="798">
        <f>T29/AA29</f>
        <v>1.2244657067258533</v>
      </c>
      <c r="U30" s="798">
        <f>U29/AB29</f>
        <v>1.1889245230777443</v>
      </c>
    </row>
  </sheetData>
  <mergeCells count="2">
    <mergeCell ref="X1:AB1"/>
    <mergeCell ref="Q1:U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75"/>
  <sheetViews>
    <sheetView topLeftCell="A4" workbookViewId="0">
      <selection activeCell="G8" sqref="G8"/>
    </sheetView>
  </sheetViews>
  <sheetFormatPr defaultRowHeight="14.5"/>
  <cols>
    <col min="2" max="2" width="22.453125" bestFit="1" customWidth="1"/>
  </cols>
  <sheetData>
    <row r="3" spans="2:7" ht="72.5">
      <c r="B3" s="1" t="str">
        <f>'[66]Consilidate Summary'!B34</f>
        <v>Section</v>
      </c>
      <c r="C3" s="1" t="str">
        <f>'[66]Consilidate Summary'!C34</f>
        <v>MP (In BP)</v>
      </c>
      <c r="D3" s="1" t="s">
        <v>944</v>
      </c>
      <c r="E3" s="1" t="s">
        <v>945</v>
      </c>
      <c r="F3" s="1" t="s">
        <v>946</v>
      </c>
    </row>
    <row r="4" spans="2:7">
      <c r="B4" s="13" t="str">
        <f>'[66]Consilidate Summary'!B35</f>
        <v>1. POY</v>
      </c>
      <c r="C4" s="249">
        <f>'[66]Consilidate Summary'!C35</f>
        <v>46</v>
      </c>
      <c r="D4" s="249">
        <f>'[66]Consilidate Summary'!D35</f>
        <v>46.410000000000004</v>
      </c>
      <c r="E4" s="249">
        <f>'[66]Consilidate Summary'!K35</f>
        <v>42</v>
      </c>
      <c r="F4" s="249">
        <f>'[66]Consilidate Summary'!M35</f>
        <v>42</v>
      </c>
      <c r="G4" t="s">
        <v>947</v>
      </c>
    </row>
    <row r="5" spans="2:7">
      <c r="B5" s="13" t="str">
        <f>'[66]Consilidate Summary'!B36</f>
        <v>2. BCF</v>
      </c>
      <c r="C5" s="249">
        <f>'[66]Consilidate Summary'!C36</f>
        <v>39</v>
      </c>
      <c r="D5" s="249">
        <f>'[66]Consilidate Summary'!D36</f>
        <v>39</v>
      </c>
      <c r="E5" s="249">
        <f>'[66]Consilidate Summary'!K36</f>
        <v>37</v>
      </c>
      <c r="F5" s="249">
        <f>'[66]Consilidate Summary'!M36</f>
        <v>37</v>
      </c>
      <c r="G5" t="s">
        <v>947</v>
      </c>
    </row>
    <row r="6" spans="2:7">
      <c r="B6" s="13" t="str">
        <f>'[66]Consilidate Summary'!B37</f>
        <v>3. Texturizing</v>
      </c>
      <c r="C6" s="249">
        <f>'[66]Consilidate Summary'!C37</f>
        <v>90</v>
      </c>
      <c r="D6" s="249">
        <f>'[66]Consilidate Summary'!D37</f>
        <v>92</v>
      </c>
      <c r="E6" s="249">
        <f>'[66]Consilidate Summary'!K37</f>
        <v>82</v>
      </c>
      <c r="F6" s="249">
        <f>'[66]Consilidate Summary'!M37</f>
        <v>87</v>
      </c>
      <c r="G6" t="s">
        <v>947</v>
      </c>
    </row>
    <row r="7" spans="2:7">
      <c r="B7" s="13" t="str">
        <f>'[66]Consilidate Summary'!B38</f>
        <v>4. Parallel Winding</v>
      </c>
      <c r="C7" s="249">
        <f>'[66]Consilidate Summary'!C38</f>
        <v>27</v>
      </c>
      <c r="D7" s="249">
        <f>'[66]Consilidate Summary'!D38</f>
        <v>27</v>
      </c>
      <c r="E7" s="249">
        <f>'[66]Consilidate Summary'!K38</f>
        <v>27</v>
      </c>
      <c r="F7" s="249">
        <v>27</v>
      </c>
      <c r="G7" t="s">
        <v>948</v>
      </c>
    </row>
    <row r="8" spans="2:7">
      <c r="B8" s="13" t="str">
        <f>'[66]Consilidate Summary'!B39</f>
        <v>Rewinding</v>
      </c>
      <c r="C8" s="249">
        <f>'[66]Consilidate Summary'!C39</f>
        <v>14</v>
      </c>
      <c r="D8" s="249">
        <f>'[66]Consilidate Summary'!D39</f>
        <v>14</v>
      </c>
      <c r="E8" s="249">
        <f>'[66]Consilidate Summary'!K39</f>
        <v>14</v>
      </c>
      <c r="F8" s="249">
        <f>'[66]Consilidate Summary'!M39</f>
        <v>14</v>
      </c>
    </row>
    <row r="9" spans="2:7">
      <c r="B9" s="13" t="str">
        <f>'[66]Consilidate Summary'!B40</f>
        <v>5. Multiply</v>
      </c>
      <c r="C9" s="249">
        <f>'[66]Consilidate Summary'!C40</f>
        <v>139</v>
      </c>
      <c r="D9" s="249">
        <f>'[66]Consilidate Summary'!D40</f>
        <v>153</v>
      </c>
      <c r="E9" s="249">
        <f>'[66]Consilidate Summary'!K40</f>
        <v>148</v>
      </c>
      <c r="F9" s="249">
        <f>'[66]Consilidate Summary'!M40</f>
        <v>148</v>
      </c>
      <c r="G9" t="s">
        <v>949</v>
      </c>
    </row>
    <row r="10" spans="2:7">
      <c r="B10" s="13" t="str">
        <f>'[66]Consilidate Summary'!B41</f>
        <v>6. Cabling</v>
      </c>
      <c r="C10" s="249">
        <f>'[66]Consilidate Summary'!C41</f>
        <v>66</v>
      </c>
      <c r="D10" s="249">
        <f>'[66]Consilidate Summary'!D41</f>
        <v>67</v>
      </c>
      <c r="E10" s="249">
        <f>'[66]Consilidate Summary'!K41</f>
        <v>46</v>
      </c>
      <c r="F10" s="249">
        <f>'[66]Consilidate Summary'!M41</f>
        <v>60</v>
      </c>
      <c r="G10" t="s">
        <v>950</v>
      </c>
    </row>
    <row r="11" spans="2:7">
      <c r="B11" s="13" t="str">
        <f>'[66]Consilidate Summary'!B42</f>
        <v>7. Heat Set</v>
      </c>
      <c r="C11" s="249">
        <f>'[66]Consilidate Summary'!C42</f>
        <v>89</v>
      </c>
      <c r="D11" s="249">
        <f>'[66]Consilidate Summary'!D42</f>
        <v>91</v>
      </c>
      <c r="E11" s="249">
        <f>'[66]Consilidate Summary'!K42</f>
        <v>79</v>
      </c>
      <c r="F11" s="249">
        <f>'[66]Consilidate Summary'!M42</f>
        <v>87</v>
      </c>
      <c r="G11" t="s">
        <v>951</v>
      </c>
    </row>
    <row r="12" spans="2:7">
      <c r="B12" s="13" t="str">
        <f>'[66]Consilidate Summary'!B43</f>
        <v>Yarn Common</v>
      </c>
      <c r="C12" s="249">
        <f>'[66]Consilidate Summary'!C43</f>
        <v>30</v>
      </c>
      <c r="D12" s="249">
        <f>'[66]Consilidate Summary'!D43</f>
        <v>30</v>
      </c>
      <c r="E12" s="249">
        <f>'[66]Consilidate Summary'!K43</f>
        <v>24</v>
      </c>
      <c r="F12" s="249">
        <f>'[66]Consilidate Summary'!M43</f>
        <v>24</v>
      </c>
    </row>
    <row r="13" spans="2:7">
      <c r="B13" s="13" t="str">
        <f>'[66]Consilidate Summary'!B44</f>
        <v>Yarn Process Control</v>
      </c>
      <c r="C13" s="249">
        <f>'[66]Consilidate Summary'!C44</f>
        <v>3</v>
      </c>
      <c r="D13" s="249">
        <f>'[66]Consilidate Summary'!D44</f>
        <v>0</v>
      </c>
      <c r="E13" s="249">
        <f>'[66]Consilidate Summary'!K44</f>
        <v>0</v>
      </c>
      <c r="F13" s="249">
        <f>'[66]Consilidate Summary'!M44</f>
        <v>3</v>
      </c>
    </row>
    <row r="14" spans="2:7">
      <c r="B14" s="13" t="str">
        <f>'[66]Consilidate Summary'!B45</f>
        <v>Master Batch</v>
      </c>
      <c r="C14" s="249">
        <f>'[66]Consilidate Summary'!C45</f>
        <v>35</v>
      </c>
      <c r="D14" s="249">
        <f>'[66]Consilidate Summary'!D45</f>
        <v>36</v>
      </c>
      <c r="E14" s="249">
        <f>'[66]Consilidate Summary'!K45</f>
        <v>31</v>
      </c>
      <c r="F14" s="249">
        <f>'[66]Consilidate Summary'!M45</f>
        <v>36</v>
      </c>
    </row>
    <row r="15" spans="2:7">
      <c r="B15" s="13" t="str">
        <f>'[66]Consilidate Summary'!B46</f>
        <v>8. Tufting</v>
      </c>
      <c r="C15" s="249">
        <f>'[66]Consilidate Summary'!C46</f>
        <v>194</v>
      </c>
      <c r="D15" s="249">
        <f>'[66]Consilidate Summary'!D46</f>
        <v>176.5</v>
      </c>
      <c r="E15" s="249">
        <f>'[66]Consilidate Summary'!K46</f>
        <v>149</v>
      </c>
      <c r="F15" s="249">
        <f>'[66]Consilidate Summary'!M46</f>
        <v>171</v>
      </c>
      <c r="G15" t="s">
        <v>952</v>
      </c>
    </row>
    <row r="16" spans="2:7">
      <c r="B16" s="13" t="str">
        <f>'[66]Consilidate Summary'!B47</f>
        <v>9.1 Printing - Chromojet</v>
      </c>
      <c r="C16" s="249">
        <f>'[66]Consilidate Summary'!C47</f>
        <v>41</v>
      </c>
      <c r="D16" s="249">
        <f>'[66]Consilidate Summary'!D47</f>
        <v>29.333333333333332</v>
      </c>
      <c r="E16" s="249">
        <f>'[66]Consilidate Summary'!K47</f>
        <v>42</v>
      </c>
      <c r="F16" s="249">
        <f>'[66]Consilidate Summary'!M47</f>
        <v>42</v>
      </c>
    </row>
    <row r="17" spans="1:7">
      <c r="B17" s="13" t="str">
        <f>'[66]Consilidate Summary'!B48</f>
        <v>9.2 Printing - Digital</v>
      </c>
      <c r="C17" s="249">
        <f>'[66]Consilidate Summary'!C48</f>
        <v>0</v>
      </c>
      <c r="D17" s="249">
        <f>'[66]Consilidate Summary'!D48</f>
        <v>13</v>
      </c>
      <c r="E17" s="249">
        <f>'[66]Consilidate Summary'!K48</f>
        <v>0</v>
      </c>
      <c r="F17" s="249">
        <f>'[66]Consilidate Summary'!M48</f>
        <v>0</v>
      </c>
    </row>
    <row r="18" spans="1:7">
      <c r="B18" s="13" t="str">
        <f>'[66]Consilidate Summary'!B49</f>
        <v>10.1 Carpet Tiles</v>
      </c>
      <c r="C18" s="249">
        <f>'[66]Consilidate Summary'!C49</f>
        <v>104</v>
      </c>
      <c r="D18" s="249">
        <f>'[66]Consilidate Summary'!D49</f>
        <v>45.25</v>
      </c>
      <c r="E18" s="249">
        <f>'[66]Consilidate Summary'!K49</f>
        <v>86</v>
      </c>
      <c r="F18" s="249">
        <f>'[66]Consilidate Summary'!M49</f>
        <v>104</v>
      </c>
    </row>
    <row r="19" spans="1:7">
      <c r="B19" s="13" t="str">
        <f>'[66]Consilidate Summary'!B50</f>
        <v>10.2 W2W</v>
      </c>
      <c r="C19" s="249">
        <f>'[66]Consilidate Summary'!C50</f>
        <v>0</v>
      </c>
      <c r="D19" s="249">
        <f>'[66]Consilidate Summary'!D50</f>
        <v>66</v>
      </c>
      <c r="E19" s="249">
        <f>'[66]Consilidate Summary'!K50</f>
        <v>0</v>
      </c>
      <c r="F19" s="249">
        <f>'[66]Consilidate Summary'!M50</f>
        <v>0</v>
      </c>
    </row>
    <row r="20" spans="1:7">
      <c r="B20" s="13" t="str">
        <f>'[66]Consilidate Summary'!B51</f>
        <v>CSP</v>
      </c>
      <c r="C20" s="249">
        <f>'[66]Consilidate Summary'!C51</f>
        <v>173</v>
      </c>
      <c r="D20" s="249">
        <f>'[66]Consilidate Summary'!D51</f>
        <v>222.66666666666666</v>
      </c>
      <c r="E20" s="249">
        <f>'[66]Consilidate Summary'!K51</f>
        <v>223</v>
      </c>
      <c r="F20" s="249">
        <f>'[66]Consilidate Summary'!M51</f>
        <v>223</v>
      </c>
      <c r="G20" s="40">
        <f>F20-C20</f>
        <v>50</v>
      </c>
    </row>
    <row r="21" spans="1:7">
      <c r="A21" t="s">
        <v>940</v>
      </c>
      <c r="B21" s="13" t="str">
        <f>'[66]Consilidate Summary'!B52</f>
        <v>TQM</v>
      </c>
      <c r="C21" s="249">
        <f>'[66]Consilidate Summary'!C52-'[66]Manpower Allocation'!F197</f>
        <v>89</v>
      </c>
      <c r="D21" s="249">
        <f>'[66]Consilidate Summary'!D52</f>
        <v>128</v>
      </c>
      <c r="E21" s="249">
        <f>'[66]Consilidate Summary'!K52</f>
        <v>120</v>
      </c>
      <c r="F21" s="249">
        <f>C21</f>
        <v>89</v>
      </c>
    </row>
    <row r="22" spans="1:7">
      <c r="A22" t="s">
        <v>953</v>
      </c>
      <c r="B22" s="13"/>
      <c r="C22" s="249" t="e">
        <f>'Monthly HC &amp; Prodn Working'!#REF!</f>
        <v>#REF!</v>
      </c>
      <c r="D22" s="249"/>
      <c r="E22" s="249"/>
      <c r="F22" s="249"/>
    </row>
    <row r="23" spans="1:7">
      <c r="A23" t="s">
        <v>940</v>
      </c>
      <c r="B23" s="13" t="str">
        <f>'[66]Consilidate Summary'!B53</f>
        <v>Engg.</v>
      </c>
      <c r="C23" s="249">
        <f>'[66]Consilidate Summary'!C53-'[66]Manpower Allocation'!F188</f>
        <v>113</v>
      </c>
      <c r="D23" s="249">
        <f>'[66]Consilidate Summary'!D53</f>
        <v>138</v>
      </c>
      <c r="E23" s="249">
        <f>'[66]Consilidate Summary'!K53</f>
        <v>120</v>
      </c>
      <c r="F23" s="249">
        <f t="shared" ref="F23:F29" si="0">C23</f>
        <v>113</v>
      </c>
    </row>
    <row r="24" spans="1:7">
      <c r="A24" t="s">
        <v>953</v>
      </c>
      <c r="B24" s="13"/>
      <c r="C24" s="249"/>
      <c r="D24" s="249"/>
      <c r="E24" s="249"/>
      <c r="F24" s="249"/>
    </row>
    <row r="25" spans="1:7">
      <c r="A25" t="s">
        <v>307</v>
      </c>
      <c r="B25" s="13"/>
      <c r="C25" s="249"/>
      <c r="D25" s="249"/>
      <c r="E25" s="249"/>
      <c r="F25" s="249"/>
    </row>
    <row r="26" spans="1:7">
      <c r="B26" s="13"/>
      <c r="C26" s="249"/>
      <c r="D26" s="249"/>
      <c r="E26" s="249"/>
      <c r="F26" s="249"/>
    </row>
    <row r="27" spans="1:7">
      <c r="A27" t="s">
        <v>940</v>
      </c>
      <c r="B27" s="13" t="str">
        <f>'[66]Consilidate Summary'!B54</f>
        <v>R&amp;D (PD)</v>
      </c>
      <c r="C27" s="249">
        <f>'[66]Consilidate Summary'!C54-'[66]Manpower Allocation'!F171</f>
        <v>45</v>
      </c>
      <c r="D27" s="249">
        <f>'[66]Consilidate Summary'!D54</f>
        <v>44</v>
      </c>
      <c r="E27" s="249">
        <f>'[66]Consilidate Summary'!K54</f>
        <v>39</v>
      </c>
      <c r="F27" s="249">
        <f t="shared" si="0"/>
        <v>45</v>
      </c>
    </row>
    <row r="28" spans="1:7">
      <c r="A28" t="s">
        <v>953</v>
      </c>
      <c r="B28" s="13"/>
      <c r="C28" s="249"/>
      <c r="D28" s="249"/>
      <c r="E28" s="249"/>
      <c r="F28" s="249"/>
    </row>
    <row r="29" spans="1:7">
      <c r="A29" t="s">
        <v>940</v>
      </c>
      <c r="B29" s="13" t="str">
        <f>'[66]Consilidate Summary'!B55</f>
        <v>SCM (Stores &amp; WH)</v>
      </c>
      <c r="C29" s="249">
        <f>'[66]Consilidate Summary'!C55-'[66]Manpower Allocation'!F180</f>
        <v>106</v>
      </c>
      <c r="D29" s="249">
        <f>'[66]Consilidate Summary'!D55</f>
        <v>125</v>
      </c>
      <c r="E29" s="249">
        <f>'[66]Consilidate Summary'!K55</f>
        <v>120</v>
      </c>
      <c r="F29" s="249">
        <f t="shared" si="0"/>
        <v>106</v>
      </c>
    </row>
    <row r="30" spans="1:7">
      <c r="A30" t="s">
        <v>953</v>
      </c>
      <c r="B30" s="13"/>
      <c r="C30" s="249"/>
      <c r="D30" s="249"/>
      <c r="E30" s="249"/>
      <c r="F30" s="249"/>
    </row>
    <row r="31" spans="1:7">
      <c r="A31" t="s">
        <v>307</v>
      </c>
      <c r="B31" s="13"/>
      <c r="C31" s="249"/>
      <c r="D31" s="249"/>
      <c r="E31" s="249"/>
      <c r="F31" s="249"/>
    </row>
    <row r="32" spans="1:7">
      <c r="B32" s="13" t="str">
        <f>'[66]Consilidate Summary'!B56</f>
        <v>Common</v>
      </c>
      <c r="C32" s="249">
        <f>'[66]Consilidate Summary'!C56</f>
        <v>223</v>
      </c>
      <c r="D32" s="249">
        <f>'[66]Consilidate Summary'!D56</f>
        <v>223</v>
      </c>
      <c r="E32" s="249">
        <f>'[66]Consilidate Summary'!K56</f>
        <v>189</v>
      </c>
      <c r="F32" s="249">
        <f>'[66]Consilidate Summary'!M56</f>
        <v>207</v>
      </c>
      <c r="G32">
        <v>17</v>
      </c>
    </row>
    <row r="33" spans="2:16">
      <c r="B33" s="13" t="str">
        <f>'[66]Consilidate Summary'!B57</f>
        <v>SPC</v>
      </c>
      <c r="C33" s="601" t="s">
        <v>954</v>
      </c>
      <c r="D33" s="249">
        <f>'[66]Consilidate Summary'!D57</f>
        <v>150</v>
      </c>
      <c r="E33" s="249"/>
      <c r="F33" s="249"/>
    </row>
    <row r="34" spans="2:16">
      <c r="C34" s="602" t="e">
        <f>SUM(C4:C33)</f>
        <v>#REF!</v>
      </c>
      <c r="D34" s="602">
        <f>SUM(D4:D33)</f>
        <v>1956.16</v>
      </c>
      <c r="E34" s="602">
        <f>SUM(E4:E33)</f>
        <v>1618</v>
      </c>
      <c r="F34" s="602">
        <f>SUM(F4:F33)</f>
        <v>1665</v>
      </c>
      <c r="G34" s="40" t="e">
        <f>C34-E34</f>
        <v>#REF!</v>
      </c>
    </row>
    <row r="35" spans="2:16">
      <c r="C35" s="603" t="e">
        <f>C34-C33</f>
        <v>#REF!</v>
      </c>
      <c r="D35" s="603">
        <f>D34-D33</f>
        <v>1806.16</v>
      </c>
      <c r="E35" s="603">
        <f t="shared" ref="E35:F35" si="1">E34-E33</f>
        <v>1618</v>
      </c>
      <c r="F35" s="603">
        <f t="shared" si="1"/>
        <v>1665</v>
      </c>
    </row>
    <row r="38" spans="2:16">
      <c r="E38" s="40">
        <f>D34-E34</f>
        <v>338.16000000000008</v>
      </c>
      <c r="F38" s="40">
        <f>D34-F34</f>
        <v>291.16000000000008</v>
      </c>
    </row>
    <row r="39" spans="2:16">
      <c r="E39" s="40" t="e">
        <f>C34-E34</f>
        <v>#REF!</v>
      </c>
      <c r="F39" s="40" t="e">
        <f>C34-F34</f>
        <v>#REF!</v>
      </c>
    </row>
    <row r="43" spans="2:16">
      <c r="C43" s="5">
        <v>45748</v>
      </c>
      <c r="D43" s="5">
        <v>45778</v>
      </c>
      <c r="E43" s="5">
        <v>45809</v>
      </c>
      <c r="F43" s="5">
        <v>45839</v>
      </c>
      <c r="G43" s="5">
        <v>45870</v>
      </c>
      <c r="H43" s="5">
        <v>45901</v>
      </c>
      <c r="I43" s="5">
        <v>45931</v>
      </c>
      <c r="J43" s="5">
        <v>45962</v>
      </c>
      <c r="K43" s="5">
        <v>45992</v>
      </c>
      <c r="L43" s="5">
        <v>46023</v>
      </c>
      <c r="M43" s="5">
        <v>46054</v>
      </c>
      <c r="N43" s="5">
        <v>46082</v>
      </c>
    </row>
    <row r="44" spans="2:16">
      <c r="B44" t="s">
        <v>15</v>
      </c>
      <c r="C44" s="40">
        <f>'Sectionwise Working'!AY25</f>
        <v>42</v>
      </c>
      <c r="D44" s="40">
        <f>'Sectionwise Working'!AZ25</f>
        <v>42</v>
      </c>
      <c r="E44" s="40">
        <f>'Sectionwise Working'!BA25</f>
        <v>42</v>
      </c>
      <c r="F44" s="40">
        <f>'Sectionwise Working'!BB25</f>
        <v>42</v>
      </c>
      <c r="G44" s="40">
        <f>'Sectionwise Working'!BC25</f>
        <v>42</v>
      </c>
      <c r="H44" s="40">
        <f>'Sectionwise Working'!BD25</f>
        <v>42</v>
      </c>
      <c r="I44" s="40">
        <f>'Sectionwise Working'!BE25</f>
        <v>42</v>
      </c>
      <c r="J44" s="40">
        <f>'Sectionwise Working'!BF25</f>
        <v>42</v>
      </c>
      <c r="K44" s="40">
        <f>'Sectionwise Working'!BG25</f>
        <v>36</v>
      </c>
      <c r="L44" s="40">
        <f>'Sectionwise Working'!BH25</f>
        <v>42</v>
      </c>
      <c r="M44" s="40">
        <f>'Sectionwise Working'!BI25</f>
        <v>42</v>
      </c>
      <c r="N44" s="40">
        <f>'Sectionwise Working'!BJ25</f>
        <v>42</v>
      </c>
      <c r="P44">
        <v>36</v>
      </c>
    </row>
    <row r="45" spans="2:16">
      <c r="B45" t="s">
        <v>17</v>
      </c>
      <c r="C45" s="40">
        <f>'Sectionwise Working'!AW11</f>
        <v>37</v>
      </c>
      <c r="D45" s="40">
        <f>'Sectionwise Working'!AX11</f>
        <v>0</v>
      </c>
      <c r="E45" s="40">
        <f>'Sectionwise Working'!AY11</f>
        <v>31</v>
      </c>
      <c r="F45" s="40">
        <f>'Sectionwise Working'!AZ11</f>
        <v>32.5</v>
      </c>
      <c r="G45" s="40">
        <f>'Sectionwise Working'!BA11</f>
        <v>32.5</v>
      </c>
      <c r="H45" s="40">
        <f>'Sectionwise Working'!BB11</f>
        <v>35.5</v>
      </c>
      <c r="I45" s="40">
        <f>'Sectionwise Working'!BC11</f>
        <v>35.5</v>
      </c>
      <c r="J45" s="40">
        <f>'Sectionwise Working'!BD11</f>
        <v>41.5</v>
      </c>
      <c r="K45" s="40">
        <f>'Sectionwise Working'!BE11</f>
        <v>38.5</v>
      </c>
      <c r="L45" s="40">
        <f>'Sectionwise Working'!BF11</f>
        <v>43</v>
      </c>
      <c r="M45" s="40">
        <f>'Sectionwise Working'!BG11</f>
        <v>38.5</v>
      </c>
      <c r="N45" s="40">
        <f>'Sectionwise Working'!BH11</f>
        <v>43</v>
      </c>
      <c r="P45">
        <v>31</v>
      </c>
    </row>
    <row r="46" spans="2:16">
      <c r="B46" t="s">
        <v>19</v>
      </c>
      <c r="C46" s="40">
        <f>'Sectionwise Working'!AY41</f>
        <v>82</v>
      </c>
      <c r="D46" s="40">
        <f>'Sectionwise Working'!AZ41</f>
        <v>82</v>
      </c>
      <c r="E46" s="40">
        <f>'Sectionwise Working'!BA41</f>
        <v>82</v>
      </c>
      <c r="F46" s="40">
        <f>'Sectionwise Working'!BB41</f>
        <v>82</v>
      </c>
      <c r="G46" s="40">
        <f>'Sectionwise Working'!BC41</f>
        <v>82</v>
      </c>
      <c r="H46" s="40">
        <f>'Sectionwise Working'!BD41</f>
        <v>82</v>
      </c>
      <c r="I46" s="40">
        <f>'Sectionwise Working'!BE41</f>
        <v>82</v>
      </c>
      <c r="J46" s="40">
        <f>'Sectionwise Working'!BF41</f>
        <v>82</v>
      </c>
      <c r="K46" s="40">
        <f>'Sectionwise Working'!BG41</f>
        <v>82</v>
      </c>
      <c r="L46" s="40">
        <f>'Sectionwise Working'!BH41</f>
        <v>82</v>
      </c>
      <c r="M46" s="40">
        <f>'Sectionwise Working'!BI41</f>
        <v>82</v>
      </c>
      <c r="N46" s="40">
        <f>'Sectionwise Working'!BJ41</f>
        <v>82</v>
      </c>
      <c r="P46">
        <v>67</v>
      </c>
    </row>
    <row r="47" spans="2:16">
      <c r="B47" t="s">
        <v>21</v>
      </c>
      <c r="C47" s="40">
        <f>'Sectionwise Working'!AY51</f>
        <v>27</v>
      </c>
      <c r="D47" s="40">
        <f>'Sectionwise Working'!AZ51</f>
        <v>27</v>
      </c>
      <c r="E47" s="40">
        <f>'Sectionwise Working'!BA51</f>
        <v>27</v>
      </c>
      <c r="F47" s="40">
        <f>'Sectionwise Working'!BB51</f>
        <v>27</v>
      </c>
      <c r="G47" s="40">
        <f>'Sectionwise Working'!BC51</f>
        <v>27</v>
      </c>
      <c r="H47" s="40">
        <f>'Sectionwise Working'!BD51</f>
        <v>27</v>
      </c>
      <c r="I47" s="40">
        <f>'Sectionwise Working'!BE51</f>
        <v>27</v>
      </c>
      <c r="J47" s="40">
        <f>'Sectionwise Working'!BF51</f>
        <v>27</v>
      </c>
      <c r="K47" s="40">
        <f>'Sectionwise Working'!BG51</f>
        <v>27</v>
      </c>
      <c r="L47" s="40">
        <f>'Sectionwise Working'!BH51</f>
        <v>27</v>
      </c>
      <c r="M47" s="40">
        <f>'Sectionwise Working'!BI51</f>
        <v>27</v>
      </c>
      <c r="N47" s="40">
        <f>'Sectionwise Working'!BJ51</f>
        <v>27</v>
      </c>
      <c r="P47">
        <v>20</v>
      </c>
    </row>
    <row r="48" spans="2:16">
      <c r="B48" t="s">
        <v>383</v>
      </c>
      <c r="C48" s="40">
        <v>14</v>
      </c>
      <c r="D48" s="40">
        <v>14</v>
      </c>
      <c r="E48" s="40">
        <v>14</v>
      </c>
      <c r="F48" s="40">
        <v>14</v>
      </c>
      <c r="G48" s="40">
        <v>14</v>
      </c>
      <c r="H48" s="40">
        <v>14</v>
      </c>
      <c r="I48" s="40">
        <v>14</v>
      </c>
      <c r="J48" s="40">
        <v>14</v>
      </c>
      <c r="K48" s="40">
        <v>14</v>
      </c>
      <c r="L48" s="40">
        <v>14</v>
      </c>
      <c r="M48" s="40">
        <v>14</v>
      </c>
      <c r="N48" s="40">
        <v>14</v>
      </c>
      <c r="P48" s="40">
        <v>14</v>
      </c>
    </row>
    <row r="49" spans="1:16">
      <c r="A49" t="s">
        <v>956</v>
      </c>
      <c r="B49" t="s">
        <v>366</v>
      </c>
      <c r="C49" s="40">
        <f>139</f>
        <v>139</v>
      </c>
      <c r="D49" s="40">
        <f>139</f>
        <v>139</v>
      </c>
      <c r="E49" s="40">
        <f>139</f>
        <v>139</v>
      </c>
      <c r="F49" s="40">
        <f>139</f>
        <v>139</v>
      </c>
      <c r="G49" s="40">
        <f>139</f>
        <v>139</v>
      </c>
      <c r="H49" s="40">
        <f>139</f>
        <v>139</v>
      </c>
      <c r="I49" s="40">
        <f>139</f>
        <v>139</v>
      </c>
      <c r="J49" s="40">
        <f>139</f>
        <v>139</v>
      </c>
      <c r="K49" s="40">
        <f>139</f>
        <v>139</v>
      </c>
      <c r="L49" s="40">
        <f>139</f>
        <v>139</v>
      </c>
      <c r="M49" s="40">
        <f>139</f>
        <v>139</v>
      </c>
      <c r="N49" s="40">
        <f>139</f>
        <v>139</v>
      </c>
      <c r="P49">
        <v>120</v>
      </c>
    </row>
    <row r="50" spans="1:16">
      <c r="B50" t="s">
        <v>22</v>
      </c>
      <c r="C50" s="40">
        <f>'Sectionwise Working'!AY70</f>
        <v>51</v>
      </c>
      <c r="D50" s="40">
        <f>'Sectionwise Working'!AZ70</f>
        <v>54</v>
      </c>
      <c r="E50" s="40">
        <f>'Sectionwise Working'!BA70</f>
        <v>54</v>
      </c>
      <c r="F50" s="40">
        <f>'Sectionwise Working'!BB70</f>
        <v>63</v>
      </c>
      <c r="G50" s="40">
        <f>'Sectionwise Working'!BC70</f>
        <v>63</v>
      </c>
      <c r="H50" s="40">
        <f>'Sectionwise Working'!BD70</f>
        <v>66</v>
      </c>
      <c r="I50" s="40">
        <f>'Sectionwise Working'!BE70</f>
        <v>57</v>
      </c>
      <c r="J50" s="40">
        <f>'Sectionwise Working'!BF70</f>
        <v>66</v>
      </c>
      <c r="K50" s="40">
        <f>'Sectionwise Working'!BG70</f>
        <v>66</v>
      </c>
      <c r="L50" s="40">
        <f>'Sectionwise Working'!BH70</f>
        <v>66</v>
      </c>
      <c r="M50" s="40">
        <f>'Sectionwise Working'!BI70</f>
        <v>63</v>
      </c>
      <c r="N50" s="40">
        <f>'Sectionwise Working'!BJ70</f>
        <v>66</v>
      </c>
      <c r="P50">
        <v>42</v>
      </c>
    </row>
    <row r="51" spans="1:16">
      <c r="B51" t="s">
        <v>24</v>
      </c>
      <c r="C51" s="40">
        <f>'Sectionwise Working'!AY85</f>
        <v>81</v>
      </c>
      <c r="D51" s="40">
        <f>'Sectionwise Working'!AZ85</f>
        <v>81</v>
      </c>
      <c r="E51" s="40">
        <f>'Sectionwise Working'!BA85</f>
        <v>81</v>
      </c>
      <c r="F51" s="40">
        <f>'Sectionwise Working'!BB85</f>
        <v>81</v>
      </c>
      <c r="G51" s="40">
        <f>'Sectionwise Working'!BC85</f>
        <v>81</v>
      </c>
      <c r="H51" s="40">
        <f>'Sectionwise Working'!BD85</f>
        <v>81</v>
      </c>
      <c r="I51" s="40">
        <f>'Sectionwise Working'!BE85</f>
        <v>81</v>
      </c>
      <c r="J51" s="40">
        <f>'Sectionwise Working'!BF85</f>
        <v>81</v>
      </c>
      <c r="K51" s="40">
        <f>'Sectionwise Working'!BG85</f>
        <v>81</v>
      </c>
      <c r="L51" s="40">
        <f>'Sectionwise Working'!BH85</f>
        <v>81</v>
      </c>
      <c r="M51" s="40">
        <f>'Sectionwise Working'!BI85</f>
        <v>81</v>
      </c>
      <c r="N51" s="40">
        <f>'Sectionwise Working'!BJ85</f>
        <v>81</v>
      </c>
      <c r="P51">
        <v>69</v>
      </c>
    </row>
    <row r="52" spans="1:16">
      <c r="B52" t="s">
        <v>351</v>
      </c>
      <c r="C52" s="40" t="e">
        <f>'Monthly HC &amp; Prodn Working'!#REF!</f>
        <v>#REF!</v>
      </c>
      <c r="D52" s="40" t="e">
        <f>'Monthly HC &amp; Prodn Working'!#REF!</f>
        <v>#REF!</v>
      </c>
      <c r="E52" s="40" t="e">
        <f>'Monthly HC &amp; Prodn Working'!#REF!</f>
        <v>#REF!</v>
      </c>
      <c r="F52" s="40" t="e">
        <f>'Monthly HC &amp; Prodn Working'!#REF!</f>
        <v>#REF!</v>
      </c>
      <c r="G52" s="40" t="e">
        <f>'Monthly HC &amp; Prodn Working'!#REF!</f>
        <v>#REF!</v>
      </c>
      <c r="H52" s="40" t="e">
        <f>'Monthly HC &amp; Prodn Working'!#REF!</f>
        <v>#REF!</v>
      </c>
      <c r="I52" s="40" t="e">
        <f>'Monthly HC &amp; Prodn Working'!#REF!</f>
        <v>#REF!</v>
      </c>
      <c r="J52" s="40" t="e">
        <f>'Monthly HC &amp; Prodn Working'!#REF!</f>
        <v>#REF!</v>
      </c>
      <c r="K52" s="40" t="e">
        <f>'Monthly HC &amp; Prodn Working'!#REF!</f>
        <v>#REF!</v>
      </c>
      <c r="L52" s="40" t="e">
        <f>'Monthly HC &amp; Prodn Working'!#REF!</f>
        <v>#REF!</v>
      </c>
      <c r="M52" s="40" t="e">
        <f>'Monthly HC &amp; Prodn Working'!#REF!</f>
        <v>#REF!</v>
      </c>
      <c r="N52" s="40" t="e">
        <f>'Monthly HC &amp; Prodn Working'!#REF!</f>
        <v>#REF!</v>
      </c>
      <c r="P52">
        <v>24</v>
      </c>
    </row>
    <row r="53" spans="1:16">
      <c r="B53" t="s">
        <v>344</v>
      </c>
      <c r="C53" s="40" t="e">
        <f>'Monthly HC &amp; Prodn Working'!#REF!</f>
        <v>#REF!</v>
      </c>
      <c r="D53" s="40" t="e">
        <f>'Monthly HC &amp; Prodn Working'!#REF!</f>
        <v>#REF!</v>
      </c>
      <c r="E53" s="40" t="e">
        <f>'Monthly HC &amp; Prodn Working'!#REF!</f>
        <v>#REF!</v>
      </c>
      <c r="F53" s="40" t="e">
        <f>'Monthly HC &amp; Prodn Working'!#REF!</f>
        <v>#REF!</v>
      </c>
      <c r="G53" s="40" t="e">
        <f>'Monthly HC &amp; Prodn Working'!#REF!</f>
        <v>#REF!</v>
      </c>
      <c r="H53" s="40" t="e">
        <f>'Monthly HC &amp; Prodn Working'!#REF!</f>
        <v>#REF!</v>
      </c>
      <c r="I53" s="40" t="e">
        <f>'Monthly HC &amp; Prodn Working'!#REF!</f>
        <v>#REF!</v>
      </c>
      <c r="J53" s="40" t="e">
        <f>'Monthly HC &amp; Prodn Working'!#REF!</f>
        <v>#REF!</v>
      </c>
      <c r="K53" s="40" t="e">
        <f>'Monthly HC &amp; Prodn Working'!#REF!</f>
        <v>#REF!</v>
      </c>
      <c r="L53" s="40" t="e">
        <f>'Monthly HC &amp; Prodn Working'!#REF!</f>
        <v>#REF!</v>
      </c>
      <c r="M53" s="40" t="e">
        <f>'Monthly HC &amp; Prodn Working'!#REF!</f>
        <v>#REF!</v>
      </c>
      <c r="N53" s="40" t="e">
        <f>'Monthly HC &amp; Prodn Working'!#REF!</f>
        <v>#REF!</v>
      </c>
      <c r="P53">
        <v>31</v>
      </c>
    </row>
    <row r="54" spans="1:16">
      <c r="B54" t="s">
        <v>357</v>
      </c>
      <c r="C54" s="40">
        <f>'Sectionwise Working'!AY118</f>
        <v>149</v>
      </c>
      <c r="D54" s="40">
        <f>'Sectionwise Working'!AZ118</f>
        <v>156.5</v>
      </c>
      <c r="E54" s="40">
        <f>'Sectionwise Working'!BA118</f>
        <v>156.5</v>
      </c>
      <c r="F54" s="40">
        <f>'Sectionwise Working'!BB118</f>
        <v>156.5</v>
      </c>
      <c r="G54" s="40">
        <f>'Sectionwise Working'!BC118</f>
        <v>164</v>
      </c>
      <c r="H54" s="40">
        <f>'Sectionwise Working'!BD118</f>
        <v>179</v>
      </c>
      <c r="I54" s="40">
        <f>'Sectionwise Working'!BE118</f>
        <v>156.5</v>
      </c>
      <c r="J54" s="40">
        <f>'Sectionwise Working'!BF118</f>
        <v>171.5</v>
      </c>
      <c r="K54" s="40">
        <f>'Sectionwise Working'!BG118</f>
        <v>171.5</v>
      </c>
      <c r="L54" s="40">
        <f>'Sectionwise Working'!BH118</f>
        <v>164</v>
      </c>
      <c r="M54" s="40">
        <f>'Sectionwise Working'!BI118</f>
        <v>164</v>
      </c>
      <c r="N54" s="40">
        <f>'Sectionwise Working'!BJ118</f>
        <v>171.5</v>
      </c>
      <c r="P54">
        <v>134</v>
      </c>
    </row>
    <row r="55" spans="1:16">
      <c r="B55" t="s">
        <v>358</v>
      </c>
      <c r="C55" s="1449">
        <f>'Sectionwise Working'!AV147</f>
        <v>42</v>
      </c>
      <c r="D55" s="1449">
        <f>'Sectionwise Working'!AW147</f>
        <v>42</v>
      </c>
      <c r="E55" s="1449">
        <f>'Sectionwise Working'!AX147</f>
        <v>42</v>
      </c>
      <c r="F55" s="1449">
        <f>'Sectionwise Working'!AY147</f>
        <v>42</v>
      </c>
      <c r="G55" s="1449">
        <f>'Sectionwise Working'!AZ147</f>
        <v>42</v>
      </c>
      <c r="H55" s="1449">
        <f>'Sectionwise Working'!BA147</f>
        <v>34</v>
      </c>
      <c r="I55" s="1449">
        <f>'Sectionwise Working'!BB147</f>
        <v>48</v>
      </c>
      <c r="J55" s="1449">
        <f>'Sectionwise Working'!BC147</f>
        <v>42</v>
      </c>
      <c r="K55" s="1449">
        <f>'Sectionwise Working'!BD147</f>
        <v>42</v>
      </c>
      <c r="L55" s="1449">
        <f>'Sectionwise Working'!BE147</f>
        <v>48</v>
      </c>
      <c r="M55" s="1449">
        <f>'Sectionwise Working'!BF147</f>
        <v>42</v>
      </c>
      <c r="N55" s="1449">
        <f>'Sectionwise Working'!BG147</f>
        <v>42</v>
      </c>
      <c r="P55">
        <v>34</v>
      </c>
    </row>
    <row r="56" spans="1:16">
      <c r="B56" t="s">
        <v>359</v>
      </c>
      <c r="C56" s="1449"/>
      <c r="D56" s="1449"/>
      <c r="E56" s="1449"/>
      <c r="F56" s="1449"/>
      <c r="G56" s="1449"/>
      <c r="H56" s="1449"/>
      <c r="I56" s="1449"/>
      <c r="J56" s="1449"/>
      <c r="K56" s="1449"/>
      <c r="L56" s="1449"/>
      <c r="M56" s="1449"/>
      <c r="N56" s="1449"/>
    </row>
    <row r="57" spans="1:16">
      <c r="B57" t="s">
        <v>360</v>
      </c>
      <c r="C57" s="1449">
        <f>'Sectionwise Working'!AW184</f>
        <v>86</v>
      </c>
      <c r="D57" s="610">
        <f>'Sectionwise Working'!AX184</f>
        <v>86</v>
      </c>
      <c r="E57" s="610">
        <f>'Sectionwise Working'!AY184</f>
        <v>86</v>
      </c>
      <c r="F57" s="610">
        <f>'Sectionwise Working'!AZ184</f>
        <v>86</v>
      </c>
      <c r="G57" s="610">
        <f>'Sectionwise Working'!BA184</f>
        <v>86</v>
      </c>
      <c r="H57" s="610">
        <f>'Sectionwise Working'!BB184</f>
        <v>116</v>
      </c>
      <c r="I57" s="610">
        <f>'Sectionwise Working'!BC184</f>
        <v>116</v>
      </c>
      <c r="J57" s="610">
        <f>'Sectionwise Working'!BD184</f>
        <v>116</v>
      </c>
      <c r="K57" s="610">
        <f>'Sectionwise Working'!BE184</f>
        <v>116</v>
      </c>
      <c r="L57" s="610">
        <f>'Sectionwise Working'!BF184</f>
        <v>116</v>
      </c>
      <c r="M57" s="610">
        <f>'Sectionwise Working'!BG184</f>
        <v>116</v>
      </c>
      <c r="N57" s="610">
        <f>'Sectionwise Working'!BH184</f>
        <v>116</v>
      </c>
      <c r="P57">
        <v>32</v>
      </c>
    </row>
    <row r="58" spans="1:16">
      <c r="B58" t="s">
        <v>361</v>
      </c>
      <c r="C58" s="1449"/>
      <c r="D58" s="610"/>
      <c r="E58" s="610"/>
      <c r="F58" s="610"/>
      <c r="G58" s="610"/>
      <c r="H58" s="610"/>
      <c r="I58" s="610"/>
      <c r="J58" s="610"/>
      <c r="K58" s="610"/>
      <c r="L58" s="610"/>
      <c r="M58" s="610"/>
      <c r="N58" s="610"/>
      <c r="P58">
        <v>44</v>
      </c>
    </row>
    <row r="59" spans="1:16">
      <c r="B59" t="s">
        <v>49</v>
      </c>
      <c r="C59" s="40">
        <v>223</v>
      </c>
      <c r="D59" s="40">
        <v>223</v>
      </c>
      <c r="E59" s="40">
        <v>223</v>
      </c>
      <c r="F59" s="40">
        <v>223</v>
      </c>
      <c r="G59" s="40">
        <v>223</v>
      </c>
      <c r="H59" s="40">
        <v>223</v>
      </c>
      <c r="I59" s="40">
        <v>223</v>
      </c>
      <c r="J59" s="40">
        <v>223</v>
      </c>
      <c r="K59" s="40">
        <v>223</v>
      </c>
      <c r="L59" s="40">
        <v>223</v>
      </c>
      <c r="M59" s="40">
        <v>223</v>
      </c>
      <c r="N59" s="40">
        <v>223</v>
      </c>
      <c r="P59">
        <v>223</v>
      </c>
    </row>
    <row r="60" spans="1:16">
      <c r="B60" t="s">
        <v>159</v>
      </c>
      <c r="C60" s="40">
        <v>12</v>
      </c>
      <c r="D60" s="40">
        <v>12</v>
      </c>
      <c r="E60" s="40">
        <v>12</v>
      </c>
      <c r="F60" s="40">
        <v>12</v>
      </c>
      <c r="G60" s="40">
        <v>12</v>
      </c>
      <c r="H60" s="40">
        <v>12</v>
      </c>
      <c r="I60" s="40">
        <v>12</v>
      </c>
      <c r="J60" s="40">
        <v>12</v>
      </c>
      <c r="K60" s="40">
        <v>12</v>
      </c>
      <c r="L60" s="40">
        <v>12</v>
      </c>
      <c r="M60" s="40">
        <v>12</v>
      </c>
      <c r="N60" s="40">
        <v>12</v>
      </c>
      <c r="P60" s="40">
        <v>12</v>
      </c>
    </row>
    <row r="61" spans="1:16">
      <c r="B61" t="s">
        <v>308</v>
      </c>
      <c r="C61" s="40">
        <v>84</v>
      </c>
      <c r="D61" s="40">
        <v>84</v>
      </c>
      <c r="E61" s="40">
        <v>84</v>
      </c>
      <c r="F61" s="40">
        <v>84</v>
      </c>
      <c r="G61" s="40">
        <v>84</v>
      </c>
      <c r="H61" s="40">
        <v>84</v>
      </c>
      <c r="I61" s="40">
        <v>84</v>
      </c>
      <c r="J61" s="40">
        <v>84</v>
      </c>
      <c r="K61" s="40">
        <v>84</v>
      </c>
      <c r="L61" s="40">
        <v>84</v>
      </c>
      <c r="M61" s="40">
        <v>84</v>
      </c>
      <c r="N61" s="40">
        <v>84</v>
      </c>
      <c r="P61" s="40">
        <v>84</v>
      </c>
    </row>
    <row r="62" spans="1:16">
      <c r="B62" t="s">
        <v>308</v>
      </c>
      <c r="C62" s="40">
        <v>29</v>
      </c>
      <c r="D62" s="40">
        <v>29</v>
      </c>
      <c r="E62" s="40">
        <v>29</v>
      </c>
      <c r="F62" s="40">
        <v>29</v>
      </c>
      <c r="G62" s="40">
        <v>29</v>
      </c>
      <c r="H62" s="40">
        <v>29</v>
      </c>
      <c r="I62" s="40">
        <v>29</v>
      </c>
      <c r="J62" s="40">
        <v>29</v>
      </c>
      <c r="K62" s="40">
        <v>29</v>
      </c>
      <c r="L62" s="40">
        <v>29</v>
      </c>
      <c r="M62" s="40">
        <v>29</v>
      </c>
      <c r="N62" s="40">
        <v>29</v>
      </c>
      <c r="P62" s="40">
        <v>29</v>
      </c>
    </row>
    <row r="63" spans="1:16">
      <c r="B63" t="s">
        <v>316</v>
      </c>
      <c r="C63" s="40">
        <v>45</v>
      </c>
      <c r="D63" s="40">
        <v>45</v>
      </c>
      <c r="E63" s="40">
        <v>45</v>
      </c>
      <c r="F63" s="40">
        <v>45</v>
      </c>
      <c r="G63" s="40">
        <v>45</v>
      </c>
      <c r="H63" s="40">
        <v>45</v>
      </c>
      <c r="I63" s="40">
        <v>45</v>
      </c>
      <c r="J63" s="40">
        <v>45</v>
      </c>
      <c r="K63" s="40">
        <v>45</v>
      </c>
      <c r="L63" s="40">
        <v>45</v>
      </c>
      <c r="M63" s="40">
        <v>45</v>
      </c>
      <c r="N63" s="40">
        <v>45</v>
      </c>
      <c r="P63" s="40">
        <v>45</v>
      </c>
    </row>
    <row r="64" spans="1:16">
      <c r="B64" t="s">
        <v>316</v>
      </c>
      <c r="C64" s="40">
        <v>17</v>
      </c>
      <c r="D64" s="40">
        <v>17</v>
      </c>
      <c r="E64" s="40">
        <v>17</v>
      </c>
      <c r="F64" s="40">
        <v>17</v>
      </c>
      <c r="G64" s="40">
        <v>17</v>
      </c>
      <c r="H64" s="40">
        <v>17</v>
      </c>
      <c r="I64" s="40">
        <v>17</v>
      </c>
      <c r="J64" s="40">
        <v>17</v>
      </c>
      <c r="K64" s="40">
        <v>17</v>
      </c>
      <c r="L64" s="40">
        <v>17</v>
      </c>
      <c r="M64" s="40">
        <v>17</v>
      </c>
      <c r="N64" s="40">
        <v>17</v>
      </c>
      <c r="P64" s="40">
        <v>17</v>
      </c>
    </row>
    <row r="65" spans="2:16">
      <c r="B65" t="s">
        <v>316</v>
      </c>
      <c r="C65" s="40">
        <v>54</v>
      </c>
      <c r="D65" s="40">
        <v>54</v>
      </c>
      <c r="E65" s="40">
        <v>54</v>
      </c>
      <c r="F65" s="40">
        <v>54</v>
      </c>
      <c r="G65" s="40">
        <v>54</v>
      </c>
      <c r="H65" s="40">
        <v>54</v>
      </c>
      <c r="I65" s="40">
        <v>54</v>
      </c>
      <c r="J65" s="40">
        <v>54</v>
      </c>
      <c r="K65" s="40">
        <v>54</v>
      </c>
      <c r="L65" s="40">
        <v>54</v>
      </c>
      <c r="M65" s="40">
        <v>54</v>
      </c>
      <c r="N65" s="40">
        <v>54</v>
      </c>
      <c r="P65" s="40">
        <v>54</v>
      </c>
    </row>
    <row r="66" spans="2:16">
      <c r="B66" t="s">
        <v>478</v>
      </c>
      <c r="C66" s="40">
        <v>33</v>
      </c>
      <c r="D66" s="40">
        <v>33</v>
      </c>
      <c r="E66" s="40">
        <v>33</v>
      </c>
      <c r="F66" s="40">
        <v>33</v>
      </c>
      <c r="G66" s="40">
        <v>33</v>
      </c>
      <c r="H66" s="40">
        <v>33</v>
      </c>
      <c r="I66" s="40">
        <v>33</v>
      </c>
      <c r="J66" s="40">
        <v>33</v>
      </c>
      <c r="K66" s="40">
        <v>33</v>
      </c>
      <c r="L66" s="40">
        <v>33</v>
      </c>
      <c r="M66" s="40">
        <v>33</v>
      </c>
      <c r="N66" s="40">
        <v>33</v>
      </c>
      <c r="P66" s="40">
        <v>33</v>
      </c>
    </row>
    <row r="67" spans="2:16">
      <c r="B67" t="s">
        <v>478</v>
      </c>
      <c r="C67" s="40">
        <v>6</v>
      </c>
      <c r="D67" s="40">
        <v>6</v>
      </c>
      <c r="E67" s="40">
        <v>6</v>
      </c>
      <c r="F67" s="40">
        <v>6</v>
      </c>
      <c r="G67" s="40">
        <v>6</v>
      </c>
      <c r="H67" s="40">
        <v>6</v>
      </c>
      <c r="I67" s="40">
        <v>6</v>
      </c>
      <c r="J67" s="40">
        <v>6</v>
      </c>
      <c r="K67" s="40">
        <v>6</v>
      </c>
      <c r="L67" s="40">
        <v>6</v>
      </c>
      <c r="M67" s="40">
        <v>6</v>
      </c>
      <c r="N67" s="40">
        <v>6</v>
      </c>
      <c r="P67" s="40">
        <v>6</v>
      </c>
    </row>
    <row r="68" spans="2:16">
      <c r="B68" t="s">
        <v>610</v>
      </c>
      <c r="C68" s="40">
        <v>72</v>
      </c>
      <c r="D68" s="40">
        <v>72</v>
      </c>
      <c r="E68" s="40">
        <v>72</v>
      </c>
      <c r="F68" s="40">
        <v>72</v>
      </c>
      <c r="G68" s="40">
        <v>72</v>
      </c>
      <c r="H68" s="40">
        <v>72</v>
      </c>
      <c r="I68" s="40">
        <v>72</v>
      </c>
      <c r="J68" s="40">
        <v>72</v>
      </c>
      <c r="K68" s="40">
        <v>72</v>
      </c>
      <c r="L68" s="40">
        <v>72</v>
      </c>
      <c r="M68" s="40">
        <v>72</v>
      </c>
      <c r="N68" s="40">
        <v>72</v>
      </c>
      <c r="P68" s="40">
        <v>72</v>
      </c>
    </row>
    <row r="69" spans="2:16">
      <c r="B69" t="s">
        <v>610</v>
      </c>
      <c r="C69" s="40">
        <v>17</v>
      </c>
      <c r="D69" s="40">
        <v>17</v>
      </c>
      <c r="E69" s="40">
        <v>17</v>
      </c>
      <c r="F69" s="40">
        <v>17</v>
      </c>
      <c r="G69" s="40">
        <v>17</v>
      </c>
      <c r="H69" s="40">
        <v>17</v>
      </c>
      <c r="I69" s="40">
        <v>17</v>
      </c>
      <c r="J69" s="40">
        <v>17</v>
      </c>
      <c r="K69" s="40">
        <v>17</v>
      </c>
      <c r="L69" s="40">
        <v>17</v>
      </c>
      <c r="M69" s="40">
        <v>17</v>
      </c>
      <c r="N69" s="40">
        <v>17</v>
      </c>
      <c r="P69" s="40">
        <v>17</v>
      </c>
    </row>
    <row r="70" spans="2:16">
      <c r="B70" t="s">
        <v>610</v>
      </c>
      <c r="C70" s="40">
        <v>30</v>
      </c>
      <c r="D70" s="40">
        <v>30</v>
      </c>
      <c r="E70" s="40">
        <v>30</v>
      </c>
      <c r="F70" s="40">
        <v>30</v>
      </c>
      <c r="G70" s="40">
        <v>30</v>
      </c>
      <c r="H70" s="40">
        <v>30</v>
      </c>
      <c r="I70" s="40">
        <v>30</v>
      </c>
      <c r="J70" s="40">
        <v>30</v>
      </c>
      <c r="K70" s="40">
        <v>30</v>
      </c>
      <c r="L70" s="40">
        <v>30</v>
      </c>
      <c r="M70" s="40">
        <v>30</v>
      </c>
      <c r="N70" s="40">
        <v>30</v>
      </c>
      <c r="P70" s="40">
        <v>30</v>
      </c>
    </row>
    <row r="71" spans="2:16">
      <c r="B71" t="s">
        <v>307</v>
      </c>
      <c r="C71" s="40">
        <v>199</v>
      </c>
      <c r="D71" s="40">
        <v>199</v>
      </c>
      <c r="E71" s="40">
        <v>199</v>
      </c>
      <c r="F71" s="40">
        <v>199</v>
      </c>
      <c r="G71" s="40">
        <v>199</v>
      </c>
      <c r="H71" s="40">
        <v>199</v>
      </c>
      <c r="I71" s="40">
        <v>199</v>
      </c>
      <c r="J71" s="40">
        <v>199</v>
      </c>
      <c r="K71" s="40">
        <v>199</v>
      </c>
      <c r="L71" s="40">
        <v>199</v>
      </c>
      <c r="M71" s="40">
        <v>199</v>
      </c>
      <c r="N71" s="40">
        <v>199</v>
      </c>
      <c r="P71" s="40">
        <v>199</v>
      </c>
    </row>
    <row r="72" spans="2:16">
      <c r="B72" t="s">
        <v>295</v>
      </c>
      <c r="C72" s="40">
        <v>153</v>
      </c>
      <c r="D72" s="40">
        <v>153</v>
      </c>
      <c r="E72" s="40">
        <v>153</v>
      </c>
      <c r="F72" s="40">
        <v>153</v>
      </c>
      <c r="G72" s="40">
        <v>153</v>
      </c>
      <c r="H72" s="40">
        <v>153</v>
      </c>
      <c r="I72" s="40">
        <v>153</v>
      </c>
      <c r="J72" s="40">
        <v>153</v>
      </c>
      <c r="K72" s="40">
        <v>153</v>
      </c>
      <c r="L72" s="40">
        <v>153</v>
      </c>
      <c r="M72" s="40">
        <v>153</v>
      </c>
      <c r="N72" s="40">
        <v>153</v>
      </c>
      <c r="P72" s="40">
        <v>153</v>
      </c>
    </row>
    <row r="73" spans="2:16">
      <c r="C73" s="40" t="e">
        <f>SUM(C44:C72)</f>
        <v>#REF!</v>
      </c>
      <c r="D73" s="40" t="e">
        <f t="shared" ref="D73:N73" si="2">SUM(D44:D72)</f>
        <v>#REF!</v>
      </c>
      <c r="E73" s="40" t="e">
        <f t="shared" si="2"/>
        <v>#REF!</v>
      </c>
      <c r="F73" s="40" t="e">
        <f t="shared" si="2"/>
        <v>#REF!</v>
      </c>
      <c r="G73" s="40" t="e">
        <f t="shared" si="2"/>
        <v>#REF!</v>
      </c>
      <c r="H73" s="40" t="e">
        <f t="shared" si="2"/>
        <v>#REF!</v>
      </c>
      <c r="I73" s="40" t="e">
        <f t="shared" si="2"/>
        <v>#REF!</v>
      </c>
      <c r="J73" s="40" t="e">
        <f t="shared" si="2"/>
        <v>#REF!</v>
      </c>
      <c r="K73" s="40" t="e">
        <f t="shared" si="2"/>
        <v>#REF!</v>
      </c>
      <c r="L73" s="40" t="e">
        <f t="shared" si="2"/>
        <v>#REF!</v>
      </c>
      <c r="M73" s="40" t="e">
        <f t="shared" si="2"/>
        <v>#REF!</v>
      </c>
      <c r="N73" s="40" t="e">
        <f t="shared" si="2"/>
        <v>#REF!</v>
      </c>
      <c r="P73">
        <f>SUM(P44:P72)</f>
        <v>1672</v>
      </c>
    </row>
    <row r="75" spans="2:16">
      <c r="P75">
        <f>1826-P73</f>
        <v>154</v>
      </c>
    </row>
  </sheetData>
  <mergeCells count="13">
    <mergeCell ref="C57:C58"/>
    <mergeCell ref="I55:I56"/>
    <mergeCell ref="J55:J56"/>
    <mergeCell ref="K55:K56"/>
    <mergeCell ref="L55:L56"/>
    <mergeCell ref="M55:M56"/>
    <mergeCell ref="N55:N56"/>
    <mergeCell ref="C55:C56"/>
    <mergeCell ref="D55:D56"/>
    <mergeCell ref="E55:E56"/>
    <mergeCell ref="F55:F56"/>
    <mergeCell ref="G55:G56"/>
    <mergeCell ref="H55:H5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U79"/>
  <sheetViews>
    <sheetView topLeftCell="C1" zoomScale="98" zoomScaleNormal="98" workbookViewId="0">
      <selection activeCell="V10" sqref="V10"/>
    </sheetView>
  </sheetViews>
  <sheetFormatPr defaultRowHeight="14.5"/>
  <cols>
    <col min="1" max="1" width="19.453125" style="154" customWidth="1"/>
    <col min="2" max="2" width="27.7265625" customWidth="1"/>
    <col min="3" max="3" width="24.1796875" customWidth="1"/>
    <col min="4" max="4" width="15.453125" bestFit="1" customWidth="1"/>
    <col min="5" max="11" width="6.7265625" customWidth="1"/>
    <col min="12" max="12" width="6.7265625" style="157" customWidth="1"/>
    <col min="13" max="16" width="6.453125" hidden="1" customWidth="1"/>
    <col min="17" max="20" width="9.1796875" hidden="1" customWidth="1"/>
    <col min="16375" max="16375" width="42" style="303" customWidth="1"/>
  </cols>
  <sheetData>
    <row r="1" spans="1:20 16375:16375" ht="22.5" customHeight="1" thickBot="1">
      <c r="A1" s="223"/>
      <c r="B1" s="224"/>
      <c r="C1" s="224"/>
      <c r="D1" s="225"/>
      <c r="E1" s="1451" t="s">
        <v>527</v>
      </c>
      <c r="F1" s="1452"/>
      <c r="G1" s="1452"/>
      <c r="H1" s="1453"/>
      <c r="I1" s="1451" t="s">
        <v>528</v>
      </c>
      <c r="J1" s="1452"/>
      <c r="K1" s="1452"/>
      <c r="L1" s="1453"/>
      <c r="M1" s="1451" t="s">
        <v>529</v>
      </c>
      <c r="N1" s="1452"/>
      <c r="O1" s="1452"/>
      <c r="P1" s="1453"/>
      <c r="Q1" s="1454" t="s">
        <v>530</v>
      </c>
      <c r="R1" s="1455"/>
      <c r="S1" s="1455"/>
      <c r="T1" s="1456"/>
      <c r="XEU1" s="226"/>
    </row>
    <row r="2" spans="1:20 16375:16375">
      <c r="A2" s="227" t="s">
        <v>219</v>
      </c>
      <c r="B2" s="228" t="s">
        <v>531</v>
      </c>
      <c r="C2" s="229" t="s">
        <v>532</v>
      </c>
      <c r="D2" s="230" t="s">
        <v>533</v>
      </c>
      <c r="E2" s="231" t="s">
        <v>534</v>
      </c>
      <c r="F2" s="232" t="s">
        <v>535</v>
      </c>
      <c r="G2" s="232" t="s">
        <v>536</v>
      </c>
      <c r="H2" s="233" t="s">
        <v>91</v>
      </c>
      <c r="I2" s="231" t="s">
        <v>534</v>
      </c>
      <c r="J2" s="232" t="s">
        <v>535</v>
      </c>
      <c r="K2" s="232" t="s">
        <v>536</v>
      </c>
      <c r="L2" s="304" t="s">
        <v>91</v>
      </c>
      <c r="M2" s="231" t="s">
        <v>534</v>
      </c>
      <c r="N2" s="232" t="s">
        <v>535</v>
      </c>
      <c r="O2" s="232" t="s">
        <v>536</v>
      </c>
      <c r="P2" s="233" t="s">
        <v>91</v>
      </c>
      <c r="Q2" s="234" t="s">
        <v>534</v>
      </c>
      <c r="R2" s="235" t="s">
        <v>535</v>
      </c>
      <c r="S2" s="232" t="s">
        <v>536</v>
      </c>
      <c r="T2" s="233" t="s">
        <v>91</v>
      </c>
      <c r="XEU2" s="236" t="s">
        <v>537</v>
      </c>
    </row>
    <row r="3" spans="1:20 16375:16375">
      <c r="A3" s="1457" t="s">
        <v>301</v>
      </c>
      <c r="B3" s="237" t="s">
        <v>18</v>
      </c>
      <c r="C3" s="238" t="s">
        <v>538</v>
      </c>
      <c r="D3" s="239" t="s">
        <v>539</v>
      </c>
      <c r="E3" s="240">
        <v>32.666666666666664</v>
      </c>
      <c r="F3" s="241">
        <v>6</v>
      </c>
      <c r="G3" s="241">
        <v>8.8333333333333321</v>
      </c>
      <c r="H3" s="242">
        <f t="shared" ref="H3:H20" si="0">SUM(E3:G3)</f>
        <v>47.5</v>
      </c>
      <c r="I3" s="243">
        <v>30.175118186874315</v>
      </c>
      <c r="J3" s="244">
        <v>3.4765480163144229</v>
      </c>
      <c r="K3" s="244">
        <v>3.2980518477320477</v>
      </c>
      <c r="L3" s="305">
        <v>36.949718050920787</v>
      </c>
      <c r="M3" s="245">
        <v>32</v>
      </c>
      <c r="N3" s="246">
        <v>7.916666666666667</v>
      </c>
      <c r="O3" s="246">
        <v>6.1911296039701638</v>
      </c>
      <c r="P3" s="247">
        <v>46.107796270636825</v>
      </c>
      <c r="Q3" s="248">
        <f t="shared" ref="Q3:T20" si="1">M3-E3</f>
        <v>-0.6666666666666643</v>
      </c>
      <c r="R3" s="249">
        <f t="shared" si="1"/>
        <v>1.916666666666667</v>
      </c>
      <c r="S3" s="249">
        <f t="shared" si="1"/>
        <v>-2.6422037293631684</v>
      </c>
      <c r="T3" s="242">
        <f t="shared" si="1"/>
        <v>-1.3922037293631746</v>
      </c>
      <c r="XEU3" s="250"/>
    </row>
    <row r="4" spans="1:20 16375:16375">
      <c r="A4" s="1457"/>
      <c r="B4" s="237" t="s">
        <v>16</v>
      </c>
      <c r="C4" s="238" t="s">
        <v>538</v>
      </c>
      <c r="D4" s="239" t="s">
        <v>539</v>
      </c>
      <c r="E4" s="240">
        <v>26.75</v>
      </c>
      <c r="F4" s="241">
        <v>11</v>
      </c>
      <c r="G4" s="241">
        <v>3</v>
      </c>
      <c r="H4" s="242">
        <f t="shared" si="0"/>
        <v>40.75</v>
      </c>
      <c r="I4" s="243">
        <v>37.178094487702381</v>
      </c>
      <c r="J4" s="244">
        <v>3.3247914349276972</v>
      </c>
      <c r="K4" s="244">
        <v>3.2992012730194045</v>
      </c>
      <c r="L4" s="305">
        <v>43.802087195649484</v>
      </c>
      <c r="M4" s="245">
        <v>35</v>
      </c>
      <c r="N4" s="246">
        <v>6</v>
      </c>
      <c r="O4" s="246">
        <v>4.8</v>
      </c>
      <c r="P4" s="247">
        <v>45.8</v>
      </c>
      <c r="Q4" s="248">
        <f t="shared" si="1"/>
        <v>8.25</v>
      </c>
      <c r="R4" s="249">
        <f t="shared" si="1"/>
        <v>-5</v>
      </c>
      <c r="S4" s="249">
        <f t="shared" si="1"/>
        <v>1.7999999999999998</v>
      </c>
      <c r="T4" s="242">
        <f t="shared" si="1"/>
        <v>5.0499999999999972</v>
      </c>
      <c r="XEU4" s="250" t="s">
        <v>540</v>
      </c>
    </row>
    <row r="5" spans="1:20 16375:16375">
      <c r="A5" s="1457"/>
      <c r="B5" s="237" t="s">
        <v>541</v>
      </c>
      <c r="C5" s="238" t="s">
        <v>538</v>
      </c>
      <c r="D5" s="239" t="s">
        <v>539</v>
      </c>
      <c r="E5" s="240">
        <v>18</v>
      </c>
      <c r="F5" s="241">
        <v>6</v>
      </c>
      <c r="G5" s="241">
        <v>6</v>
      </c>
      <c r="H5" s="242">
        <f t="shared" si="0"/>
        <v>30</v>
      </c>
      <c r="I5" s="243">
        <v>23.069603559173316</v>
      </c>
      <c r="J5" s="244">
        <v>5.0958827709801016</v>
      </c>
      <c r="K5" s="244">
        <v>0</v>
      </c>
      <c r="L5" s="305">
        <v>28.165486330153417</v>
      </c>
      <c r="M5" s="245">
        <v>20.5</v>
      </c>
      <c r="N5" s="246">
        <v>8.5</v>
      </c>
      <c r="O5" s="246">
        <v>6</v>
      </c>
      <c r="P5" s="247">
        <v>35</v>
      </c>
      <c r="Q5" s="248">
        <f t="shared" si="1"/>
        <v>2.5</v>
      </c>
      <c r="R5" s="249">
        <f t="shared" si="1"/>
        <v>2.5</v>
      </c>
      <c r="S5" s="249">
        <f t="shared" si="1"/>
        <v>0</v>
      </c>
      <c r="T5" s="242">
        <f t="shared" si="1"/>
        <v>5</v>
      </c>
      <c r="XEU5" s="250" t="s">
        <v>540</v>
      </c>
    </row>
    <row r="6" spans="1:20 16375:16375">
      <c r="A6" s="1457"/>
      <c r="B6" s="237" t="s">
        <v>542</v>
      </c>
      <c r="C6" s="238" t="s">
        <v>538</v>
      </c>
      <c r="D6" s="239" t="s">
        <v>539</v>
      </c>
      <c r="E6" s="248">
        <v>19</v>
      </c>
      <c r="F6" s="249">
        <v>17.166666666666668</v>
      </c>
      <c r="G6" s="249">
        <v>52.75</v>
      </c>
      <c r="H6" s="242">
        <f t="shared" si="0"/>
        <v>88.916666666666671</v>
      </c>
      <c r="I6" s="243">
        <v>48.338963805480759</v>
      </c>
      <c r="J6" s="244">
        <v>5.1596727845754549</v>
      </c>
      <c r="K6" s="244">
        <v>49.746241193919168</v>
      </c>
      <c r="L6" s="305">
        <v>103.24487778397538</v>
      </c>
      <c r="M6" s="245">
        <v>19</v>
      </c>
      <c r="N6" s="246">
        <v>26.916666666666668</v>
      </c>
      <c r="O6" s="246">
        <v>43.825912317649021</v>
      </c>
      <c r="P6" s="251">
        <v>89.742578984315685</v>
      </c>
      <c r="Q6" s="248">
        <f t="shared" si="1"/>
        <v>0</v>
      </c>
      <c r="R6" s="249">
        <f t="shared" si="1"/>
        <v>9.75</v>
      </c>
      <c r="S6" s="249">
        <f t="shared" si="1"/>
        <v>-8.9240876823509794</v>
      </c>
      <c r="T6" s="242">
        <f t="shared" si="1"/>
        <v>0.82591231764901352</v>
      </c>
      <c r="XEU6" s="250" t="s">
        <v>543</v>
      </c>
    </row>
    <row r="7" spans="1:20 16375:16375">
      <c r="A7" s="1457"/>
      <c r="B7" s="237" t="s">
        <v>147</v>
      </c>
      <c r="C7" s="238" t="s">
        <v>538</v>
      </c>
      <c r="D7" s="239" t="s">
        <v>539</v>
      </c>
      <c r="E7" s="248">
        <v>7</v>
      </c>
      <c r="F7" s="249">
        <v>9</v>
      </c>
      <c r="G7" s="249">
        <v>10</v>
      </c>
      <c r="H7" s="242">
        <f t="shared" si="0"/>
        <v>26</v>
      </c>
      <c r="I7" s="243">
        <v>18.027718071553359</v>
      </c>
      <c r="J7" s="244">
        <v>5.0573631195155118</v>
      </c>
      <c r="K7" s="244">
        <v>7.2557471264367818E-2</v>
      </c>
      <c r="L7" s="305">
        <v>23.157638662333238</v>
      </c>
      <c r="M7" s="245">
        <v>7</v>
      </c>
      <c r="N7" s="246">
        <v>18</v>
      </c>
      <c r="O7" s="246">
        <v>4.0999999999999996</v>
      </c>
      <c r="P7" s="251">
        <v>29.1</v>
      </c>
      <c r="Q7" s="248">
        <f t="shared" si="1"/>
        <v>0</v>
      </c>
      <c r="R7" s="249">
        <f t="shared" si="1"/>
        <v>9</v>
      </c>
      <c r="S7" s="249">
        <f t="shared" si="1"/>
        <v>-5.9</v>
      </c>
      <c r="T7" s="242">
        <f t="shared" si="1"/>
        <v>3.1000000000000014</v>
      </c>
      <c r="XEU7" s="250" t="s">
        <v>543</v>
      </c>
    </row>
    <row r="8" spans="1:20 16375:16375">
      <c r="A8" s="1457"/>
      <c r="B8" s="237" t="s">
        <v>23</v>
      </c>
      <c r="C8" s="238" t="s">
        <v>538</v>
      </c>
      <c r="D8" s="239" t="s">
        <v>539</v>
      </c>
      <c r="E8" s="248">
        <v>22</v>
      </c>
      <c r="F8" s="249">
        <v>24.5</v>
      </c>
      <c r="G8" s="249">
        <v>9</v>
      </c>
      <c r="H8" s="242">
        <f t="shared" si="0"/>
        <v>55.5</v>
      </c>
      <c r="I8" s="243">
        <v>56.035994857624878</v>
      </c>
      <c r="J8" s="244">
        <v>6.4208132492893322</v>
      </c>
      <c r="K8" s="244">
        <v>6.7840996168582368</v>
      </c>
      <c r="L8" s="305">
        <v>69.240907723772452</v>
      </c>
      <c r="M8" s="245">
        <v>34</v>
      </c>
      <c r="N8" s="246">
        <v>35.166666666666664</v>
      </c>
      <c r="O8" s="246">
        <v>0.5853994490358142</v>
      </c>
      <c r="P8" s="251">
        <v>69.752066115702476</v>
      </c>
      <c r="Q8" s="248">
        <f t="shared" si="1"/>
        <v>12</v>
      </c>
      <c r="R8" s="249">
        <f t="shared" si="1"/>
        <v>10.666666666666664</v>
      </c>
      <c r="S8" s="249">
        <f t="shared" si="1"/>
        <v>-8.4146005509641864</v>
      </c>
      <c r="T8" s="242">
        <f t="shared" si="1"/>
        <v>14.252066115702476</v>
      </c>
      <c r="XEU8" s="250" t="s">
        <v>544</v>
      </c>
    </row>
    <row r="9" spans="1:20 16375:16375">
      <c r="A9" s="1457"/>
      <c r="B9" s="237" t="s">
        <v>545</v>
      </c>
      <c r="C9" s="238" t="s">
        <v>538</v>
      </c>
      <c r="D9" s="239" t="s">
        <v>539</v>
      </c>
      <c r="E9" s="248">
        <v>30</v>
      </c>
      <c r="F9" s="249">
        <v>45.5</v>
      </c>
      <c r="G9" s="249">
        <v>0</v>
      </c>
      <c r="H9" s="242">
        <f t="shared" si="0"/>
        <v>75.5</v>
      </c>
      <c r="I9" s="243">
        <v>67.107345352861202</v>
      </c>
      <c r="J9" s="244">
        <v>11.789525398591028</v>
      </c>
      <c r="K9" s="244">
        <v>6.2532258064516126</v>
      </c>
      <c r="L9" s="305">
        <v>85.150096557903836</v>
      </c>
      <c r="M9" s="245">
        <v>35</v>
      </c>
      <c r="N9" s="246">
        <v>48.416666666666664</v>
      </c>
      <c r="O9" s="246">
        <v>3.8369963369963429</v>
      </c>
      <c r="P9" s="251">
        <v>87.253663003663007</v>
      </c>
      <c r="Q9" s="248">
        <f t="shared" si="1"/>
        <v>5</v>
      </c>
      <c r="R9" s="249">
        <f t="shared" si="1"/>
        <v>2.9166666666666643</v>
      </c>
      <c r="S9" s="249">
        <f t="shared" si="1"/>
        <v>3.8369963369963429</v>
      </c>
      <c r="T9" s="242">
        <f t="shared" si="1"/>
        <v>11.753663003663007</v>
      </c>
      <c r="XEU9" s="250" t="s">
        <v>546</v>
      </c>
    </row>
    <row r="10" spans="1:20 16375:16375">
      <c r="A10" s="1457"/>
      <c r="B10" s="237" t="s">
        <v>547</v>
      </c>
      <c r="C10" s="238" t="s">
        <v>538</v>
      </c>
      <c r="D10" s="239" t="s">
        <v>539</v>
      </c>
      <c r="E10" s="248">
        <v>0</v>
      </c>
      <c r="F10" s="249">
        <v>0</v>
      </c>
      <c r="G10" s="249">
        <v>0</v>
      </c>
      <c r="H10" s="242">
        <f t="shared" si="0"/>
        <v>0</v>
      </c>
      <c r="I10" s="243">
        <v>4.0684804103324694</v>
      </c>
      <c r="J10" s="244">
        <v>0.4705567914967248</v>
      </c>
      <c r="K10" s="244">
        <v>0</v>
      </c>
      <c r="L10" s="305">
        <v>4.5390372018291938</v>
      </c>
      <c r="M10" s="245">
        <v>0</v>
      </c>
      <c r="N10" s="246">
        <v>0</v>
      </c>
      <c r="O10" s="246">
        <v>0</v>
      </c>
      <c r="P10" s="251">
        <v>0</v>
      </c>
      <c r="Q10" s="248">
        <f t="shared" si="1"/>
        <v>0</v>
      </c>
      <c r="R10" s="249">
        <f t="shared" si="1"/>
        <v>0</v>
      </c>
      <c r="S10" s="249">
        <f t="shared" si="1"/>
        <v>0</v>
      </c>
      <c r="T10" s="242">
        <f t="shared" si="1"/>
        <v>0</v>
      </c>
      <c r="XEU10" s="250"/>
    </row>
    <row r="11" spans="1:20 16375:16375">
      <c r="A11" s="1457"/>
      <c r="B11" s="237" t="s">
        <v>548</v>
      </c>
      <c r="C11" s="238" t="s">
        <v>538</v>
      </c>
      <c r="D11" s="239" t="s">
        <v>539</v>
      </c>
      <c r="E11" s="248">
        <v>0</v>
      </c>
      <c r="F11" s="249">
        <v>0</v>
      </c>
      <c r="G11" s="249">
        <v>3</v>
      </c>
      <c r="H11" s="242">
        <f t="shared" si="0"/>
        <v>3</v>
      </c>
      <c r="I11" s="243">
        <v>0.14019126189593378</v>
      </c>
      <c r="J11" s="244">
        <v>1.9558769002595476E-2</v>
      </c>
      <c r="K11" s="244">
        <v>0</v>
      </c>
      <c r="L11" s="305">
        <v>0.15975003089852927</v>
      </c>
      <c r="M11" s="245">
        <v>0</v>
      </c>
      <c r="N11" s="246">
        <v>0</v>
      </c>
      <c r="O11" s="246">
        <v>0</v>
      </c>
      <c r="P11" s="251">
        <v>0</v>
      </c>
      <c r="Q11" s="248">
        <f t="shared" si="1"/>
        <v>0</v>
      </c>
      <c r="R11" s="249">
        <f t="shared" si="1"/>
        <v>0</v>
      </c>
      <c r="S11" s="249">
        <f t="shared" si="1"/>
        <v>-3</v>
      </c>
      <c r="T11" s="242">
        <f t="shared" si="1"/>
        <v>-3</v>
      </c>
      <c r="XEU11" s="250"/>
    </row>
    <row r="12" spans="1:20 16375:16375">
      <c r="A12" s="1457"/>
      <c r="B12" s="237" t="s">
        <v>549</v>
      </c>
      <c r="C12" s="238" t="s">
        <v>538</v>
      </c>
      <c r="D12" s="239" t="s">
        <v>539</v>
      </c>
      <c r="E12" s="248">
        <v>5</v>
      </c>
      <c r="F12" s="249">
        <v>1</v>
      </c>
      <c r="G12" s="249">
        <v>10</v>
      </c>
      <c r="H12" s="242">
        <f t="shared" si="0"/>
        <v>16</v>
      </c>
      <c r="I12" s="243">
        <v>4.5977011494252873E-2</v>
      </c>
      <c r="J12" s="244">
        <v>0</v>
      </c>
      <c r="K12" s="244">
        <v>16.198132183908044</v>
      </c>
      <c r="L12" s="305">
        <v>16.244109195402295</v>
      </c>
      <c r="M12" s="245">
        <v>1</v>
      </c>
      <c r="N12" s="246">
        <v>0</v>
      </c>
      <c r="O12" s="246">
        <v>15</v>
      </c>
      <c r="P12" s="251">
        <v>16</v>
      </c>
      <c r="Q12" s="248">
        <f t="shared" si="1"/>
        <v>-4</v>
      </c>
      <c r="R12" s="249">
        <f t="shared" si="1"/>
        <v>-1</v>
      </c>
      <c r="S12" s="249">
        <f t="shared" si="1"/>
        <v>5</v>
      </c>
      <c r="T12" s="242">
        <f t="shared" si="1"/>
        <v>0</v>
      </c>
      <c r="XEU12" s="250"/>
    </row>
    <row r="13" spans="1:20 16375:16375">
      <c r="A13" s="1457"/>
      <c r="B13" s="237" t="s">
        <v>550</v>
      </c>
      <c r="C13" s="238" t="s">
        <v>538</v>
      </c>
      <c r="D13" s="239" t="s">
        <v>539</v>
      </c>
      <c r="E13" s="248">
        <v>0</v>
      </c>
      <c r="F13" s="249">
        <v>0</v>
      </c>
      <c r="G13" s="249">
        <v>9</v>
      </c>
      <c r="H13" s="242">
        <f t="shared" si="0"/>
        <v>9</v>
      </c>
      <c r="I13" s="243">
        <v>2.5862068965517241E-2</v>
      </c>
      <c r="J13" s="244">
        <v>0</v>
      </c>
      <c r="K13" s="244">
        <v>13.022905079718205</v>
      </c>
      <c r="L13" s="305">
        <v>13.048767148683723</v>
      </c>
      <c r="M13" s="245">
        <v>0</v>
      </c>
      <c r="N13" s="246">
        <v>0</v>
      </c>
      <c r="O13" s="246">
        <v>9</v>
      </c>
      <c r="P13" s="251">
        <v>9</v>
      </c>
      <c r="Q13" s="248">
        <f t="shared" si="1"/>
        <v>0</v>
      </c>
      <c r="R13" s="249">
        <f t="shared" si="1"/>
        <v>0</v>
      </c>
      <c r="S13" s="249">
        <f t="shared" si="1"/>
        <v>0</v>
      </c>
      <c r="T13" s="242">
        <f t="shared" si="1"/>
        <v>0</v>
      </c>
      <c r="XEU13" s="250"/>
    </row>
    <row r="14" spans="1:20 16375:16375">
      <c r="A14" s="1457"/>
      <c r="B14" s="237" t="s">
        <v>551</v>
      </c>
      <c r="C14" s="238" t="s">
        <v>538</v>
      </c>
      <c r="D14" s="239" t="s">
        <v>539</v>
      </c>
      <c r="E14" s="248">
        <v>0</v>
      </c>
      <c r="F14" s="249">
        <v>0</v>
      </c>
      <c r="G14" s="249">
        <v>4</v>
      </c>
      <c r="H14" s="242">
        <f t="shared" si="0"/>
        <v>4</v>
      </c>
      <c r="I14" s="243">
        <v>1.1494252873563218E-2</v>
      </c>
      <c r="J14" s="244">
        <v>0</v>
      </c>
      <c r="K14" s="244">
        <v>2.1350821900877515</v>
      </c>
      <c r="L14" s="305">
        <v>2.1465764429613148</v>
      </c>
      <c r="M14" s="245">
        <v>0</v>
      </c>
      <c r="N14" s="246">
        <v>0</v>
      </c>
      <c r="O14" s="246">
        <v>3.6666666666666665</v>
      </c>
      <c r="P14" s="251">
        <v>3.6666666666666665</v>
      </c>
      <c r="Q14" s="248">
        <f t="shared" si="1"/>
        <v>0</v>
      </c>
      <c r="R14" s="249">
        <f t="shared" si="1"/>
        <v>0</v>
      </c>
      <c r="S14" s="249">
        <f t="shared" si="1"/>
        <v>-0.33333333333333348</v>
      </c>
      <c r="T14" s="242">
        <f t="shared" si="1"/>
        <v>-0.33333333333333348</v>
      </c>
      <c r="XEU14" s="250"/>
    </row>
    <row r="15" spans="1:20 16375:16375">
      <c r="A15" s="1457"/>
      <c r="B15" s="237" t="s">
        <v>552</v>
      </c>
      <c r="C15" s="238" t="s">
        <v>538</v>
      </c>
      <c r="D15" s="239" t="s">
        <v>539</v>
      </c>
      <c r="E15" s="248">
        <v>0</v>
      </c>
      <c r="F15" s="249">
        <v>0</v>
      </c>
      <c r="G15" s="249">
        <v>4</v>
      </c>
      <c r="H15" s="242">
        <f t="shared" si="0"/>
        <v>4</v>
      </c>
      <c r="I15" s="243">
        <v>1.1494252873563218E-2</v>
      </c>
      <c r="J15" s="244">
        <v>0</v>
      </c>
      <c r="K15" s="244">
        <v>2.9481800766283524</v>
      </c>
      <c r="L15" s="305">
        <v>2.9596743295019157</v>
      </c>
      <c r="M15" s="245">
        <v>0</v>
      </c>
      <c r="N15" s="246">
        <v>0</v>
      </c>
      <c r="O15" s="246">
        <v>2</v>
      </c>
      <c r="P15" s="251">
        <v>2</v>
      </c>
      <c r="Q15" s="248">
        <f t="shared" si="1"/>
        <v>0</v>
      </c>
      <c r="R15" s="249">
        <f t="shared" si="1"/>
        <v>0</v>
      </c>
      <c r="S15" s="249">
        <f t="shared" si="1"/>
        <v>-2</v>
      </c>
      <c r="T15" s="242">
        <f t="shared" si="1"/>
        <v>-2</v>
      </c>
      <c r="XEU15" s="250"/>
    </row>
    <row r="16" spans="1:20 16375:16375">
      <c r="A16" s="1457"/>
      <c r="B16" s="237" t="s">
        <v>553</v>
      </c>
      <c r="C16" s="238" t="s">
        <v>538</v>
      </c>
      <c r="D16" s="239" t="s">
        <v>539</v>
      </c>
      <c r="E16" s="248">
        <v>0</v>
      </c>
      <c r="F16" s="249">
        <v>0</v>
      </c>
      <c r="G16" s="249">
        <v>0</v>
      </c>
      <c r="H16" s="242">
        <f t="shared" si="0"/>
        <v>0</v>
      </c>
      <c r="I16" s="243">
        <v>0</v>
      </c>
      <c r="J16" s="244">
        <v>0</v>
      </c>
      <c r="K16" s="244">
        <v>3.9403086763070077</v>
      </c>
      <c r="L16" s="305">
        <v>3.9403086763070077</v>
      </c>
      <c r="M16" s="245">
        <v>0</v>
      </c>
      <c r="N16" s="246">
        <v>0</v>
      </c>
      <c r="O16" s="246">
        <v>2</v>
      </c>
      <c r="P16" s="251">
        <v>2</v>
      </c>
      <c r="Q16" s="248">
        <f t="shared" si="1"/>
        <v>0</v>
      </c>
      <c r="R16" s="249">
        <f t="shared" si="1"/>
        <v>0</v>
      </c>
      <c r="S16" s="249">
        <f t="shared" si="1"/>
        <v>2</v>
      </c>
      <c r="T16" s="242">
        <f t="shared" si="1"/>
        <v>2</v>
      </c>
      <c r="XEU16" s="250" t="s">
        <v>554</v>
      </c>
    </row>
    <row r="17" spans="1:24 16375:16375">
      <c r="A17" s="1457"/>
      <c r="B17" s="237" t="s">
        <v>555</v>
      </c>
      <c r="C17" s="238" t="s">
        <v>538</v>
      </c>
      <c r="D17" s="239" t="s">
        <v>539</v>
      </c>
      <c r="E17" s="248">
        <v>0</v>
      </c>
      <c r="F17" s="249">
        <v>0</v>
      </c>
      <c r="G17" s="249">
        <v>182</v>
      </c>
      <c r="H17" s="242">
        <f t="shared" si="0"/>
        <v>182</v>
      </c>
      <c r="I17" s="243">
        <v>0.30944887121760661</v>
      </c>
      <c r="J17" s="244">
        <v>1.3799283154121864E-2</v>
      </c>
      <c r="K17" s="244">
        <v>148.49129433938944</v>
      </c>
      <c r="L17" s="305">
        <v>148.81454249376117</v>
      </c>
      <c r="M17" s="245">
        <v>0</v>
      </c>
      <c r="N17" s="246">
        <v>0</v>
      </c>
      <c r="O17" s="246">
        <v>179.16666666666666</v>
      </c>
      <c r="P17" s="251">
        <v>179.16666666666666</v>
      </c>
      <c r="Q17" s="248">
        <f t="shared" si="1"/>
        <v>0</v>
      </c>
      <c r="R17" s="249">
        <f t="shared" si="1"/>
        <v>0</v>
      </c>
      <c r="S17" s="249">
        <f t="shared" si="1"/>
        <v>-2.8333333333333428</v>
      </c>
      <c r="T17" s="242">
        <f t="shared" si="1"/>
        <v>-2.8333333333333428</v>
      </c>
      <c r="XEU17" s="250"/>
    </row>
    <row r="18" spans="1:24 16375:16375">
      <c r="A18" s="1457"/>
      <c r="B18" s="237" t="s">
        <v>556</v>
      </c>
      <c r="C18" s="238" t="s">
        <v>538</v>
      </c>
      <c r="D18" s="239" t="s">
        <v>539</v>
      </c>
      <c r="E18" s="248">
        <v>0</v>
      </c>
      <c r="F18" s="249">
        <v>0</v>
      </c>
      <c r="G18" s="249">
        <v>12</v>
      </c>
      <c r="H18" s="242">
        <f t="shared" si="0"/>
        <v>12</v>
      </c>
      <c r="I18" s="243">
        <v>1.7707665147042952E-2</v>
      </c>
      <c r="J18" s="244">
        <v>0</v>
      </c>
      <c r="K18" s="244">
        <v>8.6038515016685224</v>
      </c>
      <c r="L18" s="305">
        <v>8.6215591668155653</v>
      </c>
      <c r="M18" s="245">
        <v>0</v>
      </c>
      <c r="N18" s="246">
        <v>0</v>
      </c>
      <c r="O18" s="246">
        <v>0</v>
      </c>
      <c r="P18" s="251">
        <v>0</v>
      </c>
      <c r="Q18" s="248">
        <f t="shared" si="1"/>
        <v>0</v>
      </c>
      <c r="R18" s="249">
        <f t="shared" si="1"/>
        <v>0</v>
      </c>
      <c r="S18" s="249">
        <f t="shared" si="1"/>
        <v>-12</v>
      </c>
      <c r="T18" s="242">
        <f t="shared" si="1"/>
        <v>-12</v>
      </c>
      <c r="XEU18" s="250"/>
    </row>
    <row r="19" spans="1:24 16375:16375">
      <c r="A19" s="1457"/>
      <c r="B19" s="237" t="s">
        <v>557</v>
      </c>
      <c r="C19" s="238" t="s">
        <v>538</v>
      </c>
      <c r="D19" s="239" t="s">
        <v>539</v>
      </c>
      <c r="E19" s="248">
        <v>0</v>
      </c>
      <c r="F19" s="249">
        <v>3</v>
      </c>
      <c r="G19" s="249">
        <v>16.5</v>
      </c>
      <c r="H19" s="242">
        <f t="shared" si="0"/>
        <v>19.5</v>
      </c>
      <c r="I19" s="243">
        <v>2.688504202199975</v>
      </c>
      <c r="J19" s="244">
        <v>1.6129032258064516E-2</v>
      </c>
      <c r="K19" s="244">
        <v>24.684672784575454</v>
      </c>
      <c r="L19" s="305">
        <v>27.389306019033494</v>
      </c>
      <c r="M19" s="245">
        <v>2</v>
      </c>
      <c r="N19" s="246">
        <v>3</v>
      </c>
      <c r="O19" s="246">
        <v>25</v>
      </c>
      <c r="P19" s="251">
        <v>30</v>
      </c>
      <c r="Q19" s="248">
        <f t="shared" si="1"/>
        <v>2</v>
      </c>
      <c r="R19" s="249">
        <f t="shared" si="1"/>
        <v>0</v>
      </c>
      <c r="S19" s="249">
        <f t="shared" si="1"/>
        <v>8.5</v>
      </c>
      <c r="T19" s="242">
        <f t="shared" si="1"/>
        <v>10.5</v>
      </c>
      <c r="XEU19" s="250" t="s">
        <v>558</v>
      </c>
    </row>
    <row r="20" spans="1:24 16375:16375" ht="15" thickBot="1">
      <c r="A20" s="1457"/>
      <c r="B20" s="237" t="s">
        <v>559</v>
      </c>
      <c r="C20" s="252" t="s">
        <v>538</v>
      </c>
      <c r="D20" s="253" t="s">
        <v>539</v>
      </c>
      <c r="E20" s="248">
        <v>0</v>
      </c>
      <c r="F20" s="249">
        <v>0</v>
      </c>
      <c r="G20" s="249">
        <v>0</v>
      </c>
      <c r="H20" s="242">
        <f t="shared" si="0"/>
        <v>0</v>
      </c>
      <c r="I20" s="243">
        <v>0</v>
      </c>
      <c r="J20" s="244">
        <v>0</v>
      </c>
      <c r="K20" s="244">
        <v>0</v>
      </c>
      <c r="L20" s="305">
        <v>0</v>
      </c>
      <c r="M20" s="248">
        <v>0</v>
      </c>
      <c r="N20" s="249">
        <v>3</v>
      </c>
      <c r="O20" s="249">
        <v>0</v>
      </c>
      <c r="P20" s="242">
        <v>3</v>
      </c>
      <c r="Q20" s="248">
        <f t="shared" si="1"/>
        <v>0</v>
      </c>
      <c r="R20" s="249">
        <f t="shared" si="1"/>
        <v>3</v>
      </c>
      <c r="S20" s="249">
        <f t="shared" si="1"/>
        <v>0</v>
      </c>
      <c r="T20" s="242">
        <f t="shared" si="1"/>
        <v>3</v>
      </c>
      <c r="U20" s="40"/>
      <c r="V20" s="40"/>
      <c r="W20" s="40"/>
      <c r="X20" s="40"/>
      <c r="XEU20" s="250" t="s">
        <v>560</v>
      </c>
    </row>
    <row r="21" spans="1:24 16375:16375">
      <c r="A21" s="1457"/>
      <c r="B21" s="254" t="s">
        <v>561</v>
      </c>
      <c r="C21" s="255"/>
      <c r="D21" s="256"/>
      <c r="E21" s="257">
        <f>SUM(E3:E20)</f>
        <v>160.41666666666666</v>
      </c>
      <c r="F21" s="258">
        <f>SUM(F3:F20)</f>
        <v>123.16666666666667</v>
      </c>
      <c r="G21" s="258">
        <f>SUM(G3:G20)</f>
        <v>330.08333333333331</v>
      </c>
      <c r="H21" s="259">
        <f>SUM(H3:H20)</f>
        <v>613.66666666666674</v>
      </c>
      <c r="I21" s="260">
        <f>SUM(I3:I20)</f>
        <v>287.25199831827013</v>
      </c>
      <c r="J21" s="261">
        <f t="shared" ref="J21:T21" si="2">SUM(J3:J20)</f>
        <v>40.844640650105056</v>
      </c>
      <c r="K21" s="261">
        <f t="shared" si="2"/>
        <v>289.47780404152763</v>
      </c>
      <c r="L21" s="305">
        <f t="shared" si="2"/>
        <v>617.57444300990278</v>
      </c>
      <c r="M21" s="257">
        <f t="shared" si="2"/>
        <v>185.5</v>
      </c>
      <c r="N21" s="258">
        <f t="shared" si="2"/>
        <v>156.91666666666666</v>
      </c>
      <c r="O21" s="258">
        <f t="shared" si="2"/>
        <v>305.17277104098468</v>
      </c>
      <c r="P21" s="259">
        <f t="shared" si="2"/>
        <v>647.58943770765131</v>
      </c>
      <c r="Q21" s="257">
        <f t="shared" si="2"/>
        <v>25.083333333333336</v>
      </c>
      <c r="R21" s="258">
        <f t="shared" si="2"/>
        <v>33.75</v>
      </c>
      <c r="S21" s="258">
        <f t="shared" si="2"/>
        <v>-24.910562292348672</v>
      </c>
      <c r="T21" s="259">
        <f t="shared" si="2"/>
        <v>33.922771040984642</v>
      </c>
      <c r="XEU21" s="262"/>
    </row>
    <row r="22" spans="1:24 16375:16375" ht="15.75" customHeight="1">
      <c r="A22" s="1457" t="s">
        <v>562</v>
      </c>
      <c r="B22" s="263" t="s">
        <v>26</v>
      </c>
      <c r="C22" s="264" t="s">
        <v>538</v>
      </c>
      <c r="D22" s="265" t="s">
        <v>539</v>
      </c>
      <c r="E22" s="248">
        <v>58.125</v>
      </c>
      <c r="F22" s="249">
        <v>38.125</v>
      </c>
      <c r="G22" s="249">
        <v>86</v>
      </c>
      <c r="H22" s="242">
        <f>SUM(E22:G22)</f>
        <v>182.25</v>
      </c>
      <c r="I22" s="266">
        <v>63.584362515448838</v>
      </c>
      <c r="J22" s="267">
        <v>33.004460202694354</v>
      </c>
      <c r="K22" s="267">
        <v>47.510463786923751</v>
      </c>
      <c r="L22" s="306">
        <v>144.09928650506694</v>
      </c>
      <c r="M22" s="248">
        <v>61</v>
      </c>
      <c r="N22" s="249">
        <v>42</v>
      </c>
      <c r="O22" s="249">
        <v>87.2</v>
      </c>
      <c r="P22" s="251">
        <v>190.2</v>
      </c>
      <c r="Q22" s="248">
        <f t="shared" ref="Q22:T25" si="3">M22-E22</f>
        <v>2.875</v>
      </c>
      <c r="R22" s="249">
        <f t="shared" si="3"/>
        <v>3.875</v>
      </c>
      <c r="S22" s="249">
        <f t="shared" si="3"/>
        <v>1.2000000000000028</v>
      </c>
      <c r="T22" s="242">
        <f t="shared" si="3"/>
        <v>7.9499999999999886</v>
      </c>
      <c r="XEU22" s="250" t="s">
        <v>563</v>
      </c>
    </row>
    <row r="23" spans="1:24 16375:16375">
      <c r="A23" s="1457"/>
      <c r="B23" s="268" t="s">
        <v>32</v>
      </c>
      <c r="C23" s="264" t="s">
        <v>538</v>
      </c>
      <c r="D23" s="269" t="s">
        <v>539</v>
      </c>
      <c r="E23" s="248">
        <v>35</v>
      </c>
      <c r="F23" s="249">
        <v>29</v>
      </c>
      <c r="G23" s="249">
        <v>36</v>
      </c>
      <c r="H23" s="242">
        <f>SUM(E23:G23)</f>
        <v>100</v>
      </c>
      <c r="I23" s="270">
        <v>53.588907428006436</v>
      </c>
      <c r="J23" s="271">
        <v>24.010528673835122</v>
      </c>
      <c r="K23" s="271">
        <v>21.580229576072181</v>
      </c>
      <c r="L23" s="306">
        <v>99.179665677913746</v>
      </c>
      <c r="M23" s="248">
        <v>52</v>
      </c>
      <c r="N23" s="249">
        <v>40</v>
      </c>
      <c r="O23" s="249">
        <v>25.333333333333332</v>
      </c>
      <c r="P23" s="251">
        <v>117.33333333333333</v>
      </c>
      <c r="Q23" s="248">
        <f t="shared" si="3"/>
        <v>17</v>
      </c>
      <c r="R23" s="249">
        <f t="shared" si="3"/>
        <v>11</v>
      </c>
      <c r="S23" s="249">
        <f t="shared" si="3"/>
        <v>-10.666666666666668</v>
      </c>
      <c r="T23" s="242">
        <f t="shared" si="3"/>
        <v>17.333333333333329</v>
      </c>
      <c r="XEU23" s="250" t="s">
        <v>564</v>
      </c>
    </row>
    <row r="24" spans="1:24 16375:16375" ht="29">
      <c r="A24" s="1457"/>
      <c r="B24" s="268" t="s">
        <v>31</v>
      </c>
      <c r="C24" s="264" t="s">
        <v>538</v>
      </c>
      <c r="D24" s="269" t="s">
        <v>539</v>
      </c>
      <c r="E24" s="248">
        <v>21</v>
      </c>
      <c r="F24" s="249">
        <v>10</v>
      </c>
      <c r="G24" s="249">
        <v>0</v>
      </c>
      <c r="H24" s="242">
        <f>SUM(E24:G24)</f>
        <v>31</v>
      </c>
      <c r="I24" s="270">
        <v>29.008851474533405</v>
      </c>
      <c r="J24" s="271">
        <v>7.2047676430601904</v>
      </c>
      <c r="K24" s="271">
        <v>0.35418984056358921</v>
      </c>
      <c r="L24" s="306">
        <v>36.567808958157187</v>
      </c>
      <c r="M24" s="248">
        <v>21</v>
      </c>
      <c r="N24" s="249">
        <v>15.166666666666666</v>
      </c>
      <c r="O24" s="249">
        <v>1.5</v>
      </c>
      <c r="P24" s="251">
        <v>37.666666666666664</v>
      </c>
      <c r="Q24" s="248">
        <f t="shared" si="3"/>
        <v>0</v>
      </c>
      <c r="R24" s="249">
        <f t="shared" si="3"/>
        <v>5.1666666666666661</v>
      </c>
      <c r="S24" s="249">
        <f t="shared" si="3"/>
        <v>1.5</v>
      </c>
      <c r="T24" s="242">
        <f t="shared" si="3"/>
        <v>6.6666666666666643</v>
      </c>
      <c r="XEU24" s="272" t="s">
        <v>565</v>
      </c>
    </row>
    <row r="25" spans="1:24 16375:16375">
      <c r="A25" s="1457"/>
      <c r="B25" s="268" t="s">
        <v>367</v>
      </c>
      <c r="C25" s="264" t="s">
        <v>538</v>
      </c>
      <c r="D25" s="269" t="s">
        <v>539</v>
      </c>
      <c r="E25" s="248">
        <v>23</v>
      </c>
      <c r="F25" s="249">
        <v>6</v>
      </c>
      <c r="G25" s="249">
        <v>269.33333333333337</v>
      </c>
      <c r="H25" s="242">
        <f>SUM(E25:G25)</f>
        <v>298.33333333333337</v>
      </c>
      <c r="I25" s="270">
        <v>31.565853989674039</v>
      </c>
      <c r="J25" s="271">
        <v>10.451572735137807</v>
      </c>
      <c r="K25" s="271">
        <v>166.63252245293123</v>
      </c>
      <c r="L25" s="306">
        <v>208.64994917774308</v>
      </c>
      <c r="M25" s="248">
        <v>33</v>
      </c>
      <c r="N25" s="249">
        <v>18</v>
      </c>
      <c r="O25" s="249">
        <v>207.00000000000028</v>
      </c>
      <c r="P25" s="251">
        <v>258.00000000000028</v>
      </c>
      <c r="Q25" s="248">
        <f t="shared" si="3"/>
        <v>10</v>
      </c>
      <c r="R25" s="249">
        <f t="shared" si="3"/>
        <v>12</v>
      </c>
      <c r="S25" s="249">
        <f t="shared" si="3"/>
        <v>-62.333333333333087</v>
      </c>
      <c r="T25" s="242">
        <f t="shared" si="3"/>
        <v>-40.333333333333087</v>
      </c>
      <c r="XEU25" s="250"/>
    </row>
    <row r="26" spans="1:24 16375:16375">
      <c r="A26" s="1457"/>
      <c r="B26" s="254" t="s">
        <v>561</v>
      </c>
      <c r="C26" s="273"/>
      <c r="D26" s="274" t="s">
        <v>539</v>
      </c>
      <c r="E26" s="257">
        <f>SUM(E22:E25)</f>
        <v>137.125</v>
      </c>
      <c r="F26" s="258">
        <f>SUM(F22:F25)</f>
        <v>83.125</v>
      </c>
      <c r="G26" s="258">
        <f>SUM(G22:G25)</f>
        <v>391.33333333333337</v>
      </c>
      <c r="H26" s="259">
        <f>SUM(H22:H25)</f>
        <v>611.58333333333337</v>
      </c>
      <c r="I26" s="260">
        <f>SUM(I22:I25)</f>
        <v>177.74797540766269</v>
      </c>
      <c r="J26" s="261">
        <f t="shared" ref="J26:L26" si="4">SUM(J22:J25)</f>
        <v>74.671329254727468</v>
      </c>
      <c r="K26" s="261">
        <f t="shared" si="4"/>
        <v>236.07740565649075</v>
      </c>
      <c r="L26" s="305">
        <f t="shared" si="4"/>
        <v>488.4967103188809</v>
      </c>
      <c r="M26" s="257">
        <v>167</v>
      </c>
      <c r="N26" s="258">
        <v>115.16666666666667</v>
      </c>
      <c r="O26" s="258">
        <v>321.03333333333364</v>
      </c>
      <c r="P26" s="259">
        <v>603.20000000000027</v>
      </c>
      <c r="Q26" s="257">
        <f t="shared" ref="Q26:T26" si="5">SUM(Q22:Q25)</f>
        <v>29.875</v>
      </c>
      <c r="R26" s="258">
        <f t="shared" si="5"/>
        <v>32.041666666666664</v>
      </c>
      <c r="S26" s="258">
        <f t="shared" si="5"/>
        <v>-70.299999999999756</v>
      </c>
      <c r="T26" s="259">
        <f t="shared" si="5"/>
        <v>-8.3833333333331055</v>
      </c>
      <c r="XEU26" s="250"/>
    </row>
    <row r="27" spans="1:24 16375:16375">
      <c r="A27" s="1457" t="s">
        <v>295</v>
      </c>
      <c r="B27" s="268" t="s">
        <v>566</v>
      </c>
      <c r="C27" s="275" t="s">
        <v>567</v>
      </c>
      <c r="D27" s="269" t="s">
        <v>539</v>
      </c>
      <c r="E27" s="248">
        <v>25</v>
      </c>
      <c r="F27" s="249">
        <v>11</v>
      </c>
      <c r="G27" s="249">
        <v>13.875</v>
      </c>
      <c r="H27" s="242">
        <f t="shared" ref="H27:H44" si="6">SUM(E27:G27)</f>
        <v>49.875</v>
      </c>
      <c r="I27" s="270">
        <v>17.523495401965601</v>
      </c>
      <c r="J27" s="271">
        <v>4.6224740452354478</v>
      </c>
      <c r="K27" s="271">
        <v>4.9885737238907435</v>
      </c>
      <c r="L27" s="306">
        <v>27.134543171091792</v>
      </c>
      <c r="M27" s="248">
        <v>13</v>
      </c>
      <c r="N27" s="249">
        <v>3</v>
      </c>
      <c r="O27" s="249">
        <v>8</v>
      </c>
      <c r="P27" s="242">
        <v>24</v>
      </c>
      <c r="Q27" s="245">
        <f t="shared" ref="Q27:T49" si="7">M27-E27</f>
        <v>-12</v>
      </c>
      <c r="R27" s="246">
        <f t="shared" si="7"/>
        <v>-8</v>
      </c>
      <c r="S27" s="246">
        <f t="shared" si="7"/>
        <v>-5.875</v>
      </c>
      <c r="T27" s="251">
        <f t="shared" si="7"/>
        <v>-25.875</v>
      </c>
      <c r="XEU27" s="250"/>
    </row>
    <row r="28" spans="1:24 16375:16375">
      <c r="A28" s="1457"/>
      <c r="B28" s="276" t="s">
        <v>568</v>
      </c>
      <c r="C28" s="275" t="s">
        <v>567</v>
      </c>
      <c r="D28" s="277" t="s">
        <v>539</v>
      </c>
      <c r="E28" s="248">
        <v>8.375</v>
      </c>
      <c r="F28" s="249">
        <v>0</v>
      </c>
      <c r="G28" s="249">
        <v>4.1875</v>
      </c>
      <c r="H28" s="242">
        <f t="shared" si="6"/>
        <v>12.5625</v>
      </c>
      <c r="I28" s="278">
        <v>3.1754530897696105</v>
      </c>
      <c r="J28" s="279">
        <v>3.5528488443950073</v>
      </c>
      <c r="K28" s="279">
        <v>4.152675812631319</v>
      </c>
      <c r="L28" s="305">
        <v>10.880977746795937</v>
      </c>
      <c r="M28" s="248">
        <v>4</v>
      </c>
      <c r="N28" s="249">
        <v>0</v>
      </c>
      <c r="O28" s="249">
        <v>2</v>
      </c>
      <c r="P28" s="242">
        <v>6</v>
      </c>
      <c r="Q28" s="245">
        <f t="shared" si="7"/>
        <v>-4.375</v>
      </c>
      <c r="R28" s="246">
        <f t="shared" si="7"/>
        <v>0</v>
      </c>
      <c r="S28" s="246">
        <f t="shared" si="7"/>
        <v>-2.1875</v>
      </c>
      <c r="T28" s="251">
        <f t="shared" si="7"/>
        <v>-6.5625</v>
      </c>
      <c r="XEU28" s="250"/>
    </row>
    <row r="29" spans="1:24 16375:16375">
      <c r="A29" s="1457"/>
      <c r="B29" s="268" t="s">
        <v>569</v>
      </c>
      <c r="C29" s="275" t="s">
        <v>567</v>
      </c>
      <c r="D29" s="269" t="s">
        <v>539</v>
      </c>
      <c r="E29" s="248">
        <v>6</v>
      </c>
      <c r="F29" s="249">
        <v>0</v>
      </c>
      <c r="G29" s="249">
        <v>3</v>
      </c>
      <c r="H29" s="242">
        <f t="shared" si="6"/>
        <v>9</v>
      </c>
      <c r="I29" s="270">
        <v>2.8827156469596602</v>
      </c>
      <c r="J29" s="271">
        <v>2.3819552589296755</v>
      </c>
      <c r="K29" s="271">
        <v>2.0161290322580645E-2</v>
      </c>
      <c r="L29" s="306">
        <v>5.2848321962119167</v>
      </c>
      <c r="M29" s="248">
        <v>4</v>
      </c>
      <c r="N29" s="249">
        <v>1</v>
      </c>
      <c r="O29" s="249">
        <v>0</v>
      </c>
      <c r="P29" s="242">
        <v>5</v>
      </c>
      <c r="Q29" s="245">
        <f t="shared" si="7"/>
        <v>-2</v>
      </c>
      <c r="R29" s="246">
        <f t="shared" si="7"/>
        <v>1</v>
      </c>
      <c r="S29" s="246">
        <f t="shared" si="7"/>
        <v>-3</v>
      </c>
      <c r="T29" s="251">
        <f t="shared" si="7"/>
        <v>-4</v>
      </c>
      <c r="XEU29" s="250"/>
    </row>
    <row r="30" spans="1:24 16375:16375">
      <c r="A30" s="1457"/>
      <c r="B30" s="268" t="s">
        <v>570</v>
      </c>
      <c r="C30" s="275" t="s">
        <v>567</v>
      </c>
      <c r="D30" s="269" t="s">
        <v>539</v>
      </c>
      <c r="E30" s="248">
        <v>0</v>
      </c>
      <c r="F30" s="249">
        <v>0</v>
      </c>
      <c r="G30" s="249">
        <v>0</v>
      </c>
      <c r="H30" s="242">
        <f t="shared" si="6"/>
        <v>0</v>
      </c>
      <c r="I30" s="270">
        <v>4.8827184526016554</v>
      </c>
      <c r="J30" s="271">
        <v>1.0880546285996788</v>
      </c>
      <c r="K30" s="271">
        <v>0.35474137931034483</v>
      </c>
      <c r="L30" s="306">
        <v>6.3255144605116786</v>
      </c>
      <c r="M30" s="248">
        <v>0</v>
      </c>
      <c r="N30" s="249">
        <v>0</v>
      </c>
      <c r="O30" s="249">
        <v>0</v>
      </c>
      <c r="P30" s="242">
        <v>0</v>
      </c>
      <c r="Q30" s="245">
        <f t="shared" si="7"/>
        <v>0</v>
      </c>
      <c r="R30" s="246">
        <f t="shared" si="7"/>
        <v>0</v>
      </c>
      <c r="S30" s="246">
        <f t="shared" si="7"/>
        <v>0</v>
      </c>
      <c r="T30" s="251">
        <f t="shared" si="7"/>
        <v>0</v>
      </c>
      <c r="XEU30" s="250"/>
    </row>
    <row r="31" spans="1:24 16375:16375">
      <c r="A31" s="1457"/>
      <c r="B31" s="268" t="s">
        <v>571</v>
      </c>
      <c r="C31" s="275" t="s">
        <v>567</v>
      </c>
      <c r="D31" s="269" t="s">
        <v>539</v>
      </c>
      <c r="E31" s="248">
        <v>24</v>
      </c>
      <c r="F31" s="249">
        <v>3</v>
      </c>
      <c r="G31" s="249">
        <v>0</v>
      </c>
      <c r="H31" s="242">
        <f t="shared" si="6"/>
        <v>27</v>
      </c>
      <c r="I31" s="270">
        <v>13.366255258750707</v>
      </c>
      <c r="J31" s="271">
        <v>3.8916882956371279</v>
      </c>
      <c r="K31" s="271">
        <v>3.2957545420837966</v>
      </c>
      <c r="L31" s="306">
        <v>20.553698096471631</v>
      </c>
      <c r="M31" s="248">
        <v>18</v>
      </c>
      <c r="N31" s="249">
        <v>2</v>
      </c>
      <c r="O31" s="249">
        <v>0</v>
      </c>
      <c r="P31" s="242">
        <v>20</v>
      </c>
      <c r="Q31" s="245">
        <f t="shared" si="7"/>
        <v>-6</v>
      </c>
      <c r="R31" s="246">
        <f t="shared" si="7"/>
        <v>-1</v>
      </c>
      <c r="S31" s="246">
        <f t="shared" si="7"/>
        <v>0</v>
      </c>
      <c r="T31" s="251">
        <f t="shared" si="7"/>
        <v>-7</v>
      </c>
      <c r="XEU31" s="250"/>
    </row>
    <row r="32" spans="1:24 16375:16375">
      <c r="A32" s="1457"/>
      <c r="B32" s="268" t="s">
        <v>572</v>
      </c>
      <c r="C32" s="280" t="s">
        <v>567</v>
      </c>
      <c r="D32" s="277" t="s">
        <v>539</v>
      </c>
      <c r="E32" s="248">
        <v>16</v>
      </c>
      <c r="F32" s="249">
        <v>5.5</v>
      </c>
      <c r="G32" s="249">
        <v>3</v>
      </c>
      <c r="H32" s="242">
        <f t="shared" si="6"/>
        <v>24.5</v>
      </c>
      <c r="I32" s="266">
        <v>14.246569570961789</v>
      </c>
      <c r="J32" s="267">
        <v>3.1988722036831048</v>
      </c>
      <c r="K32" s="267">
        <v>3.7965022864911626</v>
      </c>
      <c r="L32" s="306">
        <v>21.241944061136056</v>
      </c>
      <c r="M32" s="248">
        <v>7</v>
      </c>
      <c r="N32" s="249">
        <v>2</v>
      </c>
      <c r="O32" s="249">
        <v>3</v>
      </c>
      <c r="P32" s="242">
        <v>12</v>
      </c>
      <c r="Q32" s="245">
        <f t="shared" si="7"/>
        <v>-9</v>
      </c>
      <c r="R32" s="246">
        <f t="shared" si="7"/>
        <v>-3.5</v>
      </c>
      <c r="S32" s="246">
        <f t="shared" si="7"/>
        <v>0</v>
      </c>
      <c r="T32" s="251">
        <f t="shared" si="7"/>
        <v>-12.5</v>
      </c>
      <c r="XEU32" s="250"/>
    </row>
    <row r="33" spans="1:20 16375:16375">
      <c r="A33" s="1457"/>
      <c r="B33" s="281" t="s">
        <v>573</v>
      </c>
      <c r="C33" s="280" t="s">
        <v>567</v>
      </c>
      <c r="D33" s="265" t="s">
        <v>539</v>
      </c>
      <c r="E33" s="248">
        <v>6</v>
      </c>
      <c r="F33" s="249">
        <v>0</v>
      </c>
      <c r="G33" s="249">
        <v>55.1945670654911</v>
      </c>
      <c r="H33" s="242">
        <f t="shared" si="6"/>
        <v>61.1945670654911</v>
      </c>
      <c r="I33" s="266">
        <v>4.3420504877956265</v>
      </c>
      <c r="J33" s="267">
        <v>2.5783370411568409</v>
      </c>
      <c r="K33" s="267">
        <v>29.489048016314428</v>
      </c>
      <c r="L33" s="306">
        <v>36.409435545266895</v>
      </c>
      <c r="M33" s="248">
        <v>3</v>
      </c>
      <c r="N33" s="249">
        <v>0</v>
      </c>
      <c r="O33" s="249">
        <v>16</v>
      </c>
      <c r="P33" s="242">
        <v>19</v>
      </c>
      <c r="Q33" s="245">
        <f t="shared" si="7"/>
        <v>-3</v>
      </c>
      <c r="R33" s="246">
        <f t="shared" si="7"/>
        <v>0</v>
      </c>
      <c r="S33" s="246">
        <f t="shared" si="7"/>
        <v>-39.1945670654911</v>
      </c>
      <c r="T33" s="251">
        <f t="shared" si="7"/>
        <v>-42.1945670654911</v>
      </c>
      <c r="XEU33" s="250"/>
    </row>
    <row r="34" spans="1:20 16375:16375">
      <c r="A34" s="1457"/>
      <c r="B34" s="276" t="s">
        <v>574</v>
      </c>
      <c r="C34" s="280" t="s">
        <v>567</v>
      </c>
      <c r="D34" s="277" t="s">
        <v>539</v>
      </c>
      <c r="E34" s="248">
        <v>4</v>
      </c>
      <c r="F34" s="249">
        <v>0</v>
      </c>
      <c r="G34" s="249">
        <v>9</v>
      </c>
      <c r="H34" s="242">
        <f t="shared" si="6"/>
        <v>13</v>
      </c>
      <c r="I34" s="278">
        <v>2.6199442095353951</v>
      </c>
      <c r="J34" s="279">
        <v>0</v>
      </c>
      <c r="K34" s="279">
        <v>0</v>
      </c>
      <c r="L34" s="305">
        <v>2.6199442095353951</v>
      </c>
      <c r="M34" s="248">
        <v>3</v>
      </c>
      <c r="N34" s="249">
        <v>3</v>
      </c>
      <c r="O34" s="249">
        <v>2</v>
      </c>
      <c r="P34" s="242">
        <v>8</v>
      </c>
      <c r="Q34" s="245">
        <f t="shared" si="7"/>
        <v>-1</v>
      </c>
      <c r="R34" s="246">
        <f t="shared" si="7"/>
        <v>3</v>
      </c>
      <c r="S34" s="246">
        <f t="shared" si="7"/>
        <v>-7</v>
      </c>
      <c r="T34" s="251">
        <f t="shared" si="7"/>
        <v>-5</v>
      </c>
      <c r="XEU34" s="250"/>
    </row>
    <row r="35" spans="1:20 16375:16375">
      <c r="A35" s="1457"/>
      <c r="B35" s="276" t="s">
        <v>575</v>
      </c>
      <c r="C35" s="280" t="s">
        <v>567</v>
      </c>
      <c r="D35" s="277" t="s">
        <v>539</v>
      </c>
      <c r="E35" s="248">
        <v>6</v>
      </c>
      <c r="F35" s="249">
        <v>0</v>
      </c>
      <c r="G35" s="249">
        <v>2</v>
      </c>
      <c r="H35" s="242">
        <f t="shared" si="6"/>
        <v>8</v>
      </c>
      <c r="I35" s="278">
        <v>1.5237850821407175</v>
      </c>
      <c r="J35" s="279">
        <v>0</v>
      </c>
      <c r="K35" s="279">
        <v>0.17499999999999999</v>
      </c>
      <c r="L35" s="305">
        <v>1.6987850821407176</v>
      </c>
      <c r="M35" s="248">
        <v>2</v>
      </c>
      <c r="N35" s="249">
        <v>1</v>
      </c>
      <c r="O35" s="249">
        <v>0</v>
      </c>
      <c r="P35" s="242">
        <v>3</v>
      </c>
      <c r="Q35" s="245">
        <f t="shared" si="7"/>
        <v>-4</v>
      </c>
      <c r="R35" s="246">
        <f t="shared" si="7"/>
        <v>1</v>
      </c>
      <c r="S35" s="246">
        <f t="shared" si="7"/>
        <v>-2</v>
      </c>
      <c r="T35" s="251">
        <f t="shared" si="7"/>
        <v>-5</v>
      </c>
      <c r="XEU35" s="250"/>
    </row>
    <row r="36" spans="1:20 16375:16375">
      <c r="A36" s="1457"/>
      <c r="B36" s="282" t="s">
        <v>576</v>
      </c>
      <c r="C36" s="280" t="s">
        <v>567</v>
      </c>
      <c r="D36" s="277" t="s">
        <v>539</v>
      </c>
      <c r="E36" s="248">
        <v>0</v>
      </c>
      <c r="F36" s="249">
        <v>0</v>
      </c>
      <c r="G36" s="249">
        <v>10.732276929401047</v>
      </c>
      <c r="H36" s="242">
        <f t="shared" si="6"/>
        <v>10.732276929401047</v>
      </c>
      <c r="I36" s="278">
        <v>2.3186038229603623E-2</v>
      </c>
      <c r="J36" s="279">
        <v>5.8422939068100359E-2</v>
      </c>
      <c r="K36" s="279">
        <v>4.072259300457298</v>
      </c>
      <c r="L36" s="305">
        <v>4.1538682777550022</v>
      </c>
      <c r="M36" s="248">
        <v>0</v>
      </c>
      <c r="N36" s="249">
        <v>0</v>
      </c>
      <c r="O36" s="249">
        <v>6</v>
      </c>
      <c r="P36" s="242">
        <v>6</v>
      </c>
      <c r="Q36" s="245">
        <f t="shared" si="7"/>
        <v>0</v>
      </c>
      <c r="R36" s="246">
        <f t="shared" si="7"/>
        <v>0</v>
      </c>
      <c r="S36" s="246">
        <f t="shared" si="7"/>
        <v>-4.7322769294010474</v>
      </c>
      <c r="T36" s="251">
        <f t="shared" si="7"/>
        <v>-4.7322769294010474</v>
      </c>
      <c r="XEU36" s="250"/>
    </row>
    <row r="37" spans="1:20 16375:16375">
      <c r="A37" s="1457"/>
      <c r="B37" s="283" t="s">
        <v>577</v>
      </c>
      <c r="C37" s="280" t="s">
        <v>567</v>
      </c>
      <c r="D37" s="277" t="s">
        <v>539</v>
      </c>
      <c r="E37" s="248">
        <v>0</v>
      </c>
      <c r="F37" s="249">
        <v>0</v>
      </c>
      <c r="G37" s="249">
        <v>6</v>
      </c>
      <c r="H37" s="242">
        <f t="shared" si="6"/>
        <v>6</v>
      </c>
      <c r="I37" s="278">
        <v>1.0804375194711174E-2</v>
      </c>
      <c r="J37" s="279">
        <v>9.3055555555555558E-2</v>
      </c>
      <c r="K37" s="279">
        <v>0.39583333333333337</v>
      </c>
      <c r="L37" s="305">
        <v>0.4996932640836001</v>
      </c>
      <c r="M37" s="248">
        <v>0</v>
      </c>
      <c r="N37" s="249">
        <v>4</v>
      </c>
      <c r="O37" s="249">
        <v>2</v>
      </c>
      <c r="P37" s="242">
        <v>6</v>
      </c>
      <c r="Q37" s="245">
        <f t="shared" si="7"/>
        <v>0</v>
      </c>
      <c r="R37" s="246">
        <f t="shared" si="7"/>
        <v>4</v>
      </c>
      <c r="S37" s="246">
        <f t="shared" si="7"/>
        <v>-4</v>
      </c>
      <c r="T37" s="251">
        <f t="shared" si="7"/>
        <v>0</v>
      </c>
      <c r="XEU37" s="250"/>
    </row>
    <row r="38" spans="1:20 16375:16375">
      <c r="A38" s="1457"/>
      <c r="B38" s="283" t="s">
        <v>578</v>
      </c>
      <c r="C38" s="280" t="s">
        <v>567</v>
      </c>
      <c r="D38" s="277" t="s">
        <v>539</v>
      </c>
      <c r="E38" s="248">
        <v>9</v>
      </c>
      <c r="F38" s="249">
        <v>0</v>
      </c>
      <c r="G38" s="249">
        <v>6</v>
      </c>
      <c r="H38" s="242">
        <f t="shared" si="6"/>
        <v>15</v>
      </c>
      <c r="I38" s="284">
        <v>0.18936725982585839</v>
      </c>
      <c r="J38" s="285">
        <v>1.409818007662835</v>
      </c>
      <c r="K38" s="285">
        <v>2.6908895686565319</v>
      </c>
      <c r="L38" s="305">
        <v>4.2900748361452257</v>
      </c>
      <c r="M38" s="248">
        <v>7</v>
      </c>
      <c r="N38" s="249">
        <v>2</v>
      </c>
      <c r="O38" s="249">
        <v>2</v>
      </c>
      <c r="P38" s="242">
        <v>11</v>
      </c>
      <c r="Q38" s="245">
        <f t="shared" si="7"/>
        <v>-2</v>
      </c>
      <c r="R38" s="246">
        <f t="shared" si="7"/>
        <v>2</v>
      </c>
      <c r="S38" s="246">
        <f t="shared" si="7"/>
        <v>-4</v>
      </c>
      <c r="T38" s="251">
        <f t="shared" si="7"/>
        <v>-4</v>
      </c>
      <c r="XEU38" s="250"/>
    </row>
    <row r="39" spans="1:20 16375:16375">
      <c r="A39" s="1457"/>
      <c r="B39" s="283" t="s">
        <v>579</v>
      </c>
      <c r="C39" s="275" t="s">
        <v>567</v>
      </c>
      <c r="D39" s="286" t="s">
        <v>539</v>
      </c>
      <c r="E39" s="248">
        <v>0</v>
      </c>
      <c r="F39" s="249">
        <v>0</v>
      </c>
      <c r="G39" s="249">
        <v>21</v>
      </c>
      <c r="H39" s="242">
        <f t="shared" si="6"/>
        <v>21</v>
      </c>
      <c r="I39" s="284">
        <v>3.7815313181489105E-2</v>
      </c>
      <c r="J39" s="285">
        <v>0</v>
      </c>
      <c r="K39" s="285">
        <v>12.06554813990854</v>
      </c>
      <c r="L39" s="305">
        <v>12.103363453090029</v>
      </c>
      <c r="M39" s="248">
        <v>0</v>
      </c>
      <c r="N39" s="249">
        <v>0</v>
      </c>
      <c r="O39" s="249">
        <v>14</v>
      </c>
      <c r="P39" s="242">
        <v>14</v>
      </c>
      <c r="Q39" s="245">
        <f t="shared" si="7"/>
        <v>0</v>
      </c>
      <c r="R39" s="246">
        <f t="shared" si="7"/>
        <v>0</v>
      </c>
      <c r="S39" s="246">
        <f t="shared" si="7"/>
        <v>-7</v>
      </c>
      <c r="T39" s="251">
        <f t="shared" si="7"/>
        <v>-7</v>
      </c>
      <c r="XEU39" s="250"/>
    </row>
    <row r="40" spans="1:20 16375:16375">
      <c r="A40" s="1457"/>
      <c r="B40" s="283" t="s">
        <v>580</v>
      </c>
      <c r="C40" s="275" t="s">
        <v>567</v>
      </c>
      <c r="D40" s="286" t="s">
        <v>539</v>
      </c>
      <c r="E40" s="248">
        <v>0</v>
      </c>
      <c r="F40" s="249">
        <v>0</v>
      </c>
      <c r="G40" s="249">
        <v>10.309774185670173</v>
      </c>
      <c r="H40" s="242">
        <f t="shared" si="6"/>
        <v>10.309774185670173</v>
      </c>
      <c r="I40" s="284">
        <v>1.978438628802457E-2</v>
      </c>
      <c r="J40" s="285">
        <v>0</v>
      </c>
      <c r="K40" s="285">
        <v>1.9269002595476452</v>
      </c>
      <c r="L40" s="305">
        <v>1.9466846458356697</v>
      </c>
      <c r="M40" s="248">
        <v>0</v>
      </c>
      <c r="N40" s="249">
        <v>0</v>
      </c>
      <c r="O40" s="249">
        <v>6</v>
      </c>
      <c r="P40" s="242">
        <v>6</v>
      </c>
      <c r="Q40" s="245">
        <f t="shared" si="7"/>
        <v>0</v>
      </c>
      <c r="R40" s="246">
        <f t="shared" si="7"/>
        <v>0</v>
      </c>
      <c r="S40" s="246">
        <f t="shared" si="7"/>
        <v>-4.3097741856701735</v>
      </c>
      <c r="T40" s="251">
        <f t="shared" si="7"/>
        <v>-4.3097741856701735</v>
      </c>
      <c r="XEU40" s="250"/>
    </row>
    <row r="41" spans="1:20 16375:16375">
      <c r="A41" s="1457"/>
      <c r="B41" s="283" t="s">
        <v>581</v>
      </c>
      <c r="C41" s="275" t="s">
        <v>567</v>
      </c>
      <c r="D41" s="286" t="s">
        <v>539</v>
      </c>
      <c r="E41" s="248">
        <v>0</v>
      </c>
      <c r="F41" s="249">
        <v>0</v>
      </c>
      <c r="G41" s="249">
        <v>12</v>
      </c>
      <c r="H41" s="242">
        <f t="shared" si="6"/>
        <v>12</v>
      </c>
      <c r="I41" s="284">
        <v>0.1410531948338668</v>
      </c>
      <c r="J41" s="285">
        <v>5.5555555555555558E-3</v>
      </c>
      <c r="K41" s="285">
        <v>9.3115483252997162</v>
      </c>
      <c r="L41" s="305">
        <v>9.4581570756891384</v>
      </c>
      <c r="M41" s="248">
        <v>0</v>
      </c>
      <c r="N41" s="249">
        <v>0</v>
      </c>
      <c r="O41" s="249">
        <v>9</v>
      </c>
      <c r="P41" s="242">
        <v>9</v>
      </c>
      <c r="Q41" s="245">
        <f t="shared" si="7"/>
        <v>0</v>
      </c>
      <c r="R41" s="246">
        <f t="shared" si="7"/>
        <v>0</v>
      </c>
      <c r="S41" s="246">
        <f t="shared" si="7"/>
        <v>-3</v>
      </c>
      <c r="T41" s="251">
        <f t="shared" si="7"/>
        <v>-3</v>
      </c>
      <c r="XEU41" s="250"/>
    </row>
    <row r="42" spans="1:20 16375:16375">
      <c r="A42" s="1457"/>
      <c r="B42" s="283" t="s">
        <v>582</v>
      </c>
      <c r="C42" s="275" t="s">
        <v>567</v>
      </c>
      <c r="D42" s="286" t="s">
        <v>539</v>
      </c>
      <c r="E42" s="248">
        <v>4</v>
      </c>
      <c r="F42" s="249">
        <v>0</v>
      </c>
      <c r="G42" s="249">
        <v>3</v>
      </c>
      <c r="H42" s="242">
        <f t="shared" si="6"/>
        <v>7</v>
      </c>
      <c r="I42" s="284">
        <v>2.6042887652515727</v>
      </c>
      <c r="J42" s="285">
        <v>0.76094271412680758</v>
      </c>
      <c r="K42" s="285">
        <v>6.1111111111111109E-2</v>
      </c>
      <c r="L42" s="305">
        <v>3.4263425904894911</v>
      </c>
      <c r="M42" s="248">
        <v>2</v>
      </c>
      <c r="N42" s="249">
        <v>1</v>
      </c>
      <c r="O42" s="249">
        <v>0</v>
      </c>
      <c r="P42" s="242">
        <v>3</v>
      </c>
      <c r="Q42" s="245">
        <f t="shared" si="7"/>
        <v>-2</v>
      </c>
      <c r="R42" s="246">
        <f t="shared" si="7"/>
        <v>1</v>
      </c>
      <c r="S42" s="246">
        <f t="shared" si="7"/>
        <v>-3</v>
      </c>
      <c r="T42" s="251">
        <f t="shared" si="7"/>
        <v>-4</v>
      </c>
      <c r="XEU42" s="250"/>
    </row>
    <row r="43" spans="1:20 16375:16375">
      <c r="A43" s="1457"/>
      <c r="B43" s="283" t="s">
        <v>583</v>
      </c>
      <c r="C43" s="275" t="s">
        <v>567</v>
      </c>
      <c r="D43" s="286" t="s">
        <v>539</v>
      </c>
      <c r="E43" s="248">
        <v>0</v>
      </c>
      <c r="F43" s="249">
        <v>0</v>
      </c>
      <c r="G43" s="249">
        <v>15</v>
      </c>
      <c r="H43" s="242">
        <f t="shared" si="6"/>
        <v>15</v>
      </c>
      <c r="I43" s="284">
        <v>2.7010937986777932E-2</v>
      </c>
      <c r="J43" s="285">
        <v>0</v>
      </c>
      <c r="K43" s="285">
        <v>2.3851702508960573</v>
      </c>
      <c r="L43" s="305">
        <v>2.4121811888828351</v>
      </c>
      <c r="M43" s="248">
        <v>0</v>
      </c>
      <c r="N43" s="249">
        <v>0</v>
      </c>
      <c r="O43" s="249">
        <v>3</v>
      </c>
      <c r="P43" s="242">
        <v>3</v>
      </c>
      <c r="Q43" s="245">
        <f t="shared" si="7"/>
        <v>0</v>
      </c>
      <c r="R43" s="246">
        <f t="shared" si="7"/>
        <v>0</v>
      </c>
      <c r="S43" s="246">
        <f t="shared" si="7"/>
        <v>-12</v>
      </c>
      <c r="T43" s="251">
        <f t="shared" si="7"/>
        <v>-12</v>
      </c>
      <c r="XEU43" s="250"/>
    </row>
    <row r="44" spans="1:20 16375:16375">
      <c r="A44" s="1457"/>
      <c r="B44" s="283" t="s">
        <v>584</v>
      </c>
      <c r="C44" s="275" t="s">
        <v>567</v>
      </c>
      <c r="D44" s="286" t="s">
        <v>539</v>
      </c>
      <c r="E44" s="248">
        <v>0</v>
      </c>
      <c r="F44" s="249">
        <v>0</v>
      </c>
      <c r="G44" s="249">
        <v>9</v>
      </c>
      <c r="H44" s="242">
        <f t="shared" si="6"/>
        <v>9</v>
      </c>
      <c r="I44" s="284">
        <v>0.26736680256465362</v>
      </c>
      <c r="J44" s="285">
        <v>0.30555555555555552</v>
      </c>
      <c r="K44" s="285">
        <v>1.0543010752688171</v>
      </c>
      <c r="L44" s="305">
        <v>1.6272234333890263</v>
      </c>
      <c r="M44" s="248">
        <v>0</v>
      </c>
      <c r="N44" s="249">
        <v>0</v>
      </c>
      <c r="O44" s="249">
        <v>6</v>
      </c>
      <c r="P44" s="242">
        <v>6</v>
      </c>
      <c r="Q44" s="245">
        <f t="shared" si="7"/>
        <v>0</v>
      </c>
      <c r="R44" s="246">
        <f t="shared" si="7"/>
        <v>0</v>
      </c>
      <c r="S44" s="246">
        <f t="shared" si="7"/>
        <v>-3</v>
      </c>
      <c r="T44" s="251">
        <f t="shared" si="7"/>
        <v>-3</v>
      </c>
      <c r="XEU44" s="250"/>
    </row>
    <row r="45" spans="1:20 16375:16375">
      <c r="A45" s="1457"/>
      <c r="B45" s="283" t="s">
        <v>31</v>
      </c>
      <c r="C45" s="275" t="s">
        <v>567</v>
      </c>
      <c r="D45" s="286" t="s">
        <v>539</v>
      </c>
      <c r="E45" s="248">
        <v>0</v>
      </c>
      <c r="F45" s="249">
        <v>0</v>
      </c>
      <c r="G45" s="249">
        <v>0</v>
      </c>
      <c r="H45" s="242">
        <f>SUM(E45:G45)</f>
        <v>0</v>
      </c>
      <c r="I45" s="284">
        <v>0</v>
      </c>
      <c r="J45" s="285">
        <v>0</v>
      </c>
      <c r="K45" s="285">
        <v>0</v>
      </c>
      <c r="L45" s="305">
        <v>0</v>
      </c>
      <c r="M45" s="248">
        <v>7</v>
      </c>
      <c r="N45" s="249">
        <v>5</v>
      </c>
      <c r="O45" s="249">
        <v>0</v>
      </c>
      <c r="P45" s="242">
        <v>12</v>
      </c>
      <c r="Q45" s="245">
        <f t="shared" si="7"/>
        <v>7</v>
      </c>
      <c r="R45" s="246">
        <f t="shared" si="7"/>
        <v>5</v>
      </c>
      <c r="S45" s="246">
        <f t="shared" si="7"/>
        <v>0</v>
      </c>
      <c r="T45" s="251">
        <f t="shared" si="7"/>
        <v>12</v>
      </c>
      <c r="XEU45" s="250" t="s">
        <v>585</v>
      </c>
    </row>
    <row r="46" spans="1:20 16375:16375">
      <c r="A46" s="1457"/>
      <c r="B46" s="283" t="s">
        <v>586</v>
      </c>
      <c r="C46" s="275" t="s">
        <v>567</v>
      </c>
      <c r="D46" s="286" t="s">
        <v>539</v>
      </c>
      <c r="E46" s="248">
        <v>2</v>
      </c>
      <c r="F46" s="249">
        <v>0</v>
      </c>
      <c r="G46" s="249">
        <v>0</v>
      </c>
      <c r="H46" s="242">
        <f>SUM(E46:G46)</f>
        <v>2</v>
      </c>
      <c r="I46" s="284">
        <v>0</v>
      </c>
      <c r="J46" s="285">
        <v>0</v>
      </c>
      <c r="K46" s="285">
        <v>0</v>
      </c>
      <c r="L46" s="305">
        <v>0</v>
      </c>
      <c r="M46" s="248">
        <v>0</v>
      </c>
      <c r="N46" s="249">
        <v>1</v>
      </c>
      <c r="O46" s="249">
        <v>0</v>
      </c>
      <c r="P46" s="242">
        <v>1</v>
      </c>
      <c r="Q46" s="245">
        <f t="shared" si="7"/>
        <v>-2</v>
      </c>
      <c r="R46" s="246">
        <f t="shared" si="7"/>
        <v>1</v>
      </c>
      <c r="S46" s="246">
        <f t="shared" si="7"/>
        <v>0</v>
      </c>
      <c r="T46" s="251">
        <f t="shared" si="7"/>
        <v>-1</v>
      </c>
      <c r="XEU46" s="250"/>
    </row>
    <row r="47" spans="1:20 16375:16375">
      <c r="A47" s="1457"/>
      <c r="B47" s="283" t="s">
        <v>587</v>
      </c>
      <c r="C47" s="275" t="s">
        <v>567</v>
      </c>
      <c r="D47" s="286" t="s">
        <v>539</v>
      </c>
      <c r="E47" s="248">
        <v>0</v>
      </c>
      <c r="F47" s="249">
        <v>0</v>
      </c>
      <c r="G47" s="249">
        <v>0</v>
      </c>
      <c r="H47" s="242">
        <f>SUM(E47:G47)</f>
        <v>0</v>
      </c>
      <c r="I47" s="284">
        <v>0</v>
      </c>
      <c r="J47" s="285">
        <v>0</v>
      </c>
      <c r="K47" s="285">
        <v>0</v>
      </c>
      <c r="L47" s="305">
        <v>0</v>
      </c>
      <c r="M47" s="248">
        <v>3</v>
      </c>
      <c r="N47" s="249">
        <v>3</v>
      </c>
      <c r="O47" s="249">
        <v>0</v>
      </c>
      <c r="P47" s="242">
        <v>6</v>
      </c>
      <c r="Q47" s="245">
        <f t="shared" si="7"/>
        <v>3</v>
      </c>
      <c r="R47" s="246">
        <f t="shared" si="7"/>
        <v>3</v>
      </c>
      <c r="S47" s="246">
        <f t="shared" si="7"/>
        <v>0</v>
      </c>
      <c r="T47" s="251">
        <f t="shared" si="7"/>
        <v>6</v>
      </c>
      <c r="XEU47" s="250" t="s">
        <v>588</v>
      </c>
    </row>
    <row r="48" spans="1:20 16375:16375">
      <c r="A48" s="1457"/>
      <c r="B48" s="283" t="s">
        <v>589</v>
      </c>
      <c r="C48" s="275" t="s">
        <v>567</v>
      </c>
      <c r="D48" s="286" t="s">
        <v>539</v>
      </c>
      <c r="E48" s="248">
        <v>11</v>
      </c>
      <c r="F48" s="249">
        <v>10</v>
      </c>
      <c r="G48" s="249">
        <v>0</v>
      </c>
      <c r="H48" s="242">
        <f>SUM(E48:G48)</f>
        <v>21</v>
      </c>
      <c r="I48" s="284">
        <v>0.8197608369713556</v>
      </c>
      <c r="J48" s="285">
        <v>6.1929304165121728</v>
      </c>
      <c r="K48" s="285">
        <v>0.49757343550446997</v>
      </c>
      <c r="L48" s="305">
        <v>7.5102646889879985</v>
      </c>
      <c r="M48" s="248">
        <v>7</v>
      </c>
      <c r="N48" s="249">
        <v>5</v>
      </c>
      <c r="O48" s="249">
        <v>0</v>
      </c>
      <c r="P48" s="242">
        <v>12</v>
      </c>
      <c r="Q48" s="245">
        <f t="shared" si="7"/>
        <v>-4</v>
      </c>
      <c r="R48" s="246">
        <f t="shared" si="7"/>
        <v>-5</v>
      </c>
      <c r="S48" s="246">
        <f t="shared" si="7"/>
        <v>0</v>
      </c>
      <c r="T48" s="251">
        <f t="shared" si="7"/>
        <v>-9</v>
      </c>
      <c r="XEU48" s="250"/>
    </row>
    <row r="49" spans="1:20 16375:16375">
      <c r="A49" s="1457"/>
      <c r="B49" s="283" t="s">
        <v>590</v>
      </c>
      <c r="C49" s="275" t="s">
        <v>567</v>
      </c>
      <c r="D49" s="286" t="s">
        <v>539</v>
      </c>
      <c r="E49" s="248">
        <v>3</v>
      </c>
      <c r="F49" s="249">
        <v>2</v>
      </c>
      <c r="G49" s="249">
        <v>4</v>
      </c>
      <c r="H49" s="242">
        <f>SUM(E49:G49)</f>
        <v>9</v>
      </c>
      <c r="I49" s="284">
        <v>5.2221175461707432</v>
      </c>
      <c r="J49" s="285">
        <v>2.0708441478185637</v>
      </c>
      <c r="K49" s="285">
        <v>6.3759259259259258</v>
      </c>
      <c r="L49" s="305">
        <v>13.668887619915232</v>
      </c>
      <c r="M49" s="248">
        <v>4</v>
      </c>
      <c r="N49" s="249">
        <v>2</v>
      </c>
      <c r="O49" s="249">
        <v>0</v>
      </c>
      <c r="P49" s="242">
        <v>6</v>
      </c>
      <c r="Q49" s="245">
        <f t="shared" si="7"/>
        <v>1</v>
      </c>
      <c r="R49" s="246">
        <f t="shared" si="7"/>
        <v>0</v>
      </c>
      <c r="S49" s="246">
        <f t="shared" si="7"/>
        <v>-4</v>
      </c>
      <c r="T49" s="251">
        <f t="shared" si="7"/>
        <v>-3</v>
      </c>
      <c r="XEU49" s="250"/>
    </row>
    <row r="50" spans="1:20 16375:16375">
      <c r="A50" s="1457"/>
      <c r="B50" s="254" t="s">
        <v>561</v>
      </c>
      <c r="C50" s="273"/>
      <c r="D50" s="274"/>
      <c r="E50" s="257">
        <f t="shared" ref="E50:H50" si="8">SUM(E27:E49)</f>
        <v>124.375</v>
      </c>
      <c r="F50" s="258">
        <f t="shared" si="8"/>
        <v>31.5</v>
      </c>
      <c r="G50" s="258">
        <f t="shared" si="8"/>
        <v>187.29911818056232</v>
      </c>
      <c r="H50" s="259">
        <f t="shared" si="8"/>
        <v>343.17411818056229</v>
      </c>
      <c r="I50" s="260">
        <f>SUM(I27:I49)</f>
        <v>73.925542656979417</v>
      </c>
      <c r="J50" s="261">
        <f t="shared" ref="J50:L50" si="9">SUM(J27:J49)</f>
        <v>32.211355209492034</v>
      </c>
      <c r="K50" s="261">
        <f t="shared" si="9"/>
        <v>87.109517776953808</v>
      </c>
      <c r="L50" s="305">
        <f t="shared" si="9"/>
        <v>193.24641564342528</v>
      </c>
      <c r="M50" s="257">
        <v>84</v>
      </c>
      <c r="N50" s="258">
        <v>35</v>
      </c>
      <c r="O50" s="258">
        <v>79</v>
      </c>
      <c r="P50" s="259">
        <v>198</v>
      </c>
      <c r="Q50" s="257">
        <f>SUM(Q27:Q49)</f>
        <v>-40.375</v>
      </c>
      <c r="R50" s="258">
        <f>SUM(R27:R49)</f>
        <v>3.5</v>
      </c>
      <c r="S50" s="258">
        <f>SUM(S27:S49)</f>
        <v>-108.29911818056233</v>
      </c>
      <c r="T50" s="259">
        <f>SUM(T27:T49)</f>
        <v>-145.17411818056232</v>
      </c>
      <c r="XEU50" s="262"/>
    </row>
    <row r="51" spans="1:20 16375:16375">
      <c r="A51" s="1457" t="s">
        <v>308</v>
      </c>
      <c r="B51" s="263" t="s">
        <v>301</v>
      </c>
      <c r="C51" s="280" t="s">
        <v>538</v>
      </c>
      <c r="D51" s="265" t="s">
        <v>591</v>
      </c>
      <c r="E51" s="248">
        <v>20</v>
      </c>
      <c r="F51" s="249">
        <v>25</v>
      </c>
      <c r="G51" s="249">
        <v>0</v>
      </c>
      <c r="H51" s="242">
        <f>SUM(E51:G51)</f>
        <v>45</v>
      </c>
      <c r="I51" s="266">
        <v>26.843573105920161</v>
      </c>
      <c r="J51" s="267">
        <v>11.822029106414533</v>
      </c>
      <c r="K51" s="267">
        <v>0</v>
      </c>
      <c r="L51" s="306">
        <v>38.66560221233469</v>
      </c>
      <c r="M51" s="248">
        <v>20</v>
      </c>
      <c r="N51" s="249">
        <v>24</v>
      </c>
      <c r="O51" s="249">
        <v>0</v>
      </c>
      <c r="P51" s="242">
        <v>44</v>
      </c>
      <c r="Q51" s="248">
        <f t="shared" ref="Q51:T54" si="10">M51-E51</f>
        <v>0</v>
      </c>
      <c r="R51" s="249">
        <f t="shared" si="10"/>
        <v>-1</v>
      </c>
      <c r="S51" s="249">
        <f t="shared" si="10"/>
        <v>0</v>
      </c>
      <c r="T51" s="242">
        <f t="shared" si="10"/>
        <v>-1</v>
      </c>
      <c r="XEU51" s="250"/>
    </row>
    <row r="52" spans="1:20 16375:16375">
      <c r="A52" s="1457"/>
      <c r="B52" s="276" t="s">
        <v>592</v>
      </c>
      <c r="C52" s="287" t="s">
        <v>538</v>
      </c>
      <c r="D52" s="277" t="s">
        <v>591</v>
      </c>
      <c r="E52" s="248">
        <v>6</v>
      </c>
      <c r="F52" s="249">
        <v>18</v>
      </c>
      <c r="G52" s="249">
        <v>0</v>
      </c>
      <c r="H52" s="242">
        <f>SUM(E52:G52)</f>
        <v>24</v>
      </c>
      <c r="I52" s="278">
        <v>27.737850698306758</v>
      </c>
      <c r="J52" s="279">
        <v>4.4065860215053769</v>
      </c>
      <c r="K52" s="279">
        <v>1.1504310344827586</v>
      </c>
      <c r="L52" s="305">
        <v>33.294867754294891</v>
      </c>
      <c r="M52" s="248">
        <v>6</v>
      </c>
      <c r="N52" s="249">
        <v>16</v>
      </c>
      <c r="O52" s="249">
        <v>0</v>
      </c>
      <c r="P52" s="242">
        <v>22</v>
      </c>
      <c r="Q52" s="248">
        <f t="shared" si="10"/>
        <v>0</v>
      </c>
      <c r="R52" s="249">
        <f t="shared" si="10"/>
        <v>-2</v>
      </c>
      <c r="S52" s="249">
        <f t="shared" si="10"/>
        <v>0</v>
      </c>
      <c r="T52" s="242">
        <f t="shared" si="10"/>
        <v>-2</v>
      </c>
      <c r="XEU52" s="288"/>
    </row>
    <row r="53" spans="1:20 16375:16375">
      <c r="A53" s="1457"/>
      <c r="B53" s="276" t="s">
        <v>593</v>
      </c>
      <c r="C53" s="287" t="s">
        <v>538</v>
      </c>
      <c r="D53" s="277" t="s">
        <v>591</v>
      </c>
      <c r="E53" s="248">
        <v>10</v>
      </c>
      <c r="F53" s="249">
        <v>11</v>
      </c>
      <c r="G53" s="249">
        <v>0</v>
      </c>
      <c r="H53" s="242">
        <f>SUM(E53:G53)</f>
        <v>21</v>
      </c>
      <c r="I53" s="278">
        <v>10.225213199851687</v>
      </c>
      <c r="J53" s="279">
        <v>0.35838122605363987</v>
      </c>
      <c r="K53" s="279">
        <v>0</v>
      </c>
      <c r="L53" s="305">
        <v>10.583594425905327</v>
      </c>
      <c r="M53" s="248">
        <v>19</v>
      </c>
      <c r="N53" s="249">
        <v>4</v>
      </c>
      <c r="O53" s="249">
        <v>0</v>
      </c>
      <c r="P53" s="242">
        <v>23</v>
      </c>
      <c r="Q53" s="248">
        <f t="shared" si="10"/>
        <v>9</v>
      </c>
      <c r="R53" s="249">
        <f t="shared" si="10"/>
        <v>-7</v>
      </c>
      <c r="S53" s="249">
        <f t="shared" si="10"/>
        <v>0</v>
      </c>
      <c r="T53" s="242">
        <f t="shared" si="10"/>
        <v>2</v>
      </c>
      <c r="XEU53" s="288" t="s">
        <v>594</v>
      </c>
    </row>
    <row r="54" spans="1:20 16375:16375">
      <c r="A54" s="1457"/>
      <c r="B54" s="263" t="s">
        <v>295</v>
      </c>
      <c r="C54" s="280" t="s">
        <v>567</v>
      </c>
      <c r="D54" s="265" t="s">
        <v>591</v>
      </c>
      <c r="E54" s="248">
        <v>42</v>
      </c>
      <c r="F54" s="249">
        <v>17.75</v>
      </c>
      <c r="G54" s="249">
        <v>0.33333333333333331</v>
      </c>
      <c r="H54" s="242">
        <f>SUM(E54:G54)</f>
        <v>60.083333333333336</v>
      </c>
      <c r="I54" s="266">
        <v>33.052331294030402</v>
      </c>
      <c r="J54" s="267">
        <v>3.9876699419107653</v>
      </c>
      <c r="K54" s="267">
        <v>0.15488505747126435</v>
      </c>
      <c r="L54" s="306">
        <v>37.194886293412431</v>
      </c>
      <c r="M54" s="248">
        <v>33</v>
      </c>
      <c r="N54" s="249">
        <v>3</v>
      </c>
      <c r="O54" s="249">
        <v>0</v>
      </c>
      <c r="P54" s="242">
        <v>36</v>
      </c>
      <c r="Q54" s="248">
        <f t="shared" si="10"/>
        <v>-9</v>
      </c>
      <c r="R54" s="249">
        <f t="shared" si="10"/>
        <v>-14.75</v>
      </c>
      <c r="S54" s="249">
        <f t="shared" si="10"/>
        <v>-0.33333333333333331</v>
      </c>
      <c r="T54" s="242">
        <f t="shared" si="10"/>
        <v>-24.083333333333336</v>
      </c>
      <c r="XEU54" s="250"/>
    </row>
    <row r="55" spans="1:20 16375:16375">
      <c r="A55" s="1457"/>
      <c r="B55" s="254" t="s">
        <v>561</v>
      </c>
      <c r="C55" s="273"/>
      <c r="D55" s="274"/>
      <c r="E55" s="257">
        <f t="shared" ref="E55:H55" si="11">SUM(E51:E54)</f>
        <v>78</v>
      </c>
      <c r="F55" s="258">
        <f t="shared" si="11"/>
        <v>71.75</v>
      </c>
      <c r="G55" s="258">
        <f t="shared" si="11"/>
        <v>0.33333333333333331</v>
      </c>
      <c r="H55" s="259">
        <f t="shared" si="11"/>
        <v>150.08333333333334</v>
      </c>
      <c r="I55" s="260">
        <f>SUM(I51:I54)</f>
        <v>97.858968298109005</v>
      </c>
      <c r="J55" s="261">
        <f t="shared" ref="J55:L55" si="12">SUM(J51:J54)</f>
        <v>20.574666295884317</v>
      </c>
      <c r="K55" s="261">
        <f t="shared" si="12"/>
        <v>1.305316091954023</v>
      </c>
      <c r="L55" s="305">
        <f t="shared" si="12"/>
        <v>119.73895068594734</v>
      </c>
      <c r="M55" s="257">
        <v>78</v>
      </c>
      <c r="N55" s="258">
        <v>47</v>
      </c>
      <c r="O55" s="258">
        <v>0</v>
      </c>
      <c r="P55" s="259">
        <v>125</v>
      </c>
      <c r="Q55" s="257">
        <f>SUM(Q51:Q54)</f>
        <v>0</v>
      </c>
      <c r="R55" s="258">
        <f>SUM(R51:R54)</f>
        <v>-24.75</v>
      </c>
      <c r="S55" s="258">
        <f>SUM(S51:S54)</f>
        <v>-0.33333333333333331</v>
      </c>
      <c r="T55" s="259">
        <f>SUM(T51:T54)</f>
        <v>-25.083333333333336</v>
      </c>
      <c r="XEU55" s="250"/>
    </row>
    <row r="56" spans="1:20 16375:16375">
      <c r="A56" s="1450" t="s">
        <v>522</v>
      </c>
      <c r="B56" s="263" t="s">
        <v>301</v>
      </c>
      <c r="C56" s="280" t="s">
        <v>538</v>
      </c>
      <c r="D56" s="265" t="s">
        <v>591</v>
      </c>
      <c r="E56" s="248">
        <v>31</v>
      </c>
      <c r="F56" s="249">
        <v>0</v>
      </c>
      <c r="G56" s="249">
        <v>0</v>
      </c>
      <c r="H56" s="242">
        <f>SUM(E56:G56)</f>
        <v>31</v>
      </c>
      <c r="I56" s="266">
        <v>27.305515387467551</v>
      </c>
      <c r="J56" s="267">
        <v>2.1360307749351128</v>
      </c>
      <c r="K56" s="267">
        <v>0</v>
      </c>
      <c r="L56" s="306">
        <v>29.441546162402663</v>
      </c>
      <c r="M56" s="248">
        <v>27</v>
      </c>
      <c r="N56" s="249">
        <v>1</v>
      </c>
      <c r="O56" s="249">
        <v>0</v>
      </c>
      <c r="P56" s="242">
        <v>28</v>
      </c>
      <c r="Q56" s="248">
        <f t="shared" ref="Q56:T66" si="13">M56-E56</f>
        <v>-4</v>
      </c>
      <c r="R56" s="249">
        <f t="shared" si="13"/>
        <v>1</v>
      </c>
      <c r="S56" s="249">
        <f t="shared" si="13"/>
        <v>0</v>
      </c>
      <c r="T56" s="242">
        <f t="shared" si="13"/>
        <v>-3</v>
      </c>
      <c r="XEU56" s="250"/>
    </row>
    <row r="57" spans="1:20 16375:16375">
      <c r="A57" s="1450"/>
      <c r="B57" s="276" t="s">
        <v>595</v>
      </c>
      <c r="C57" s="287" t="s">
        <v>538</v>
      </c>
      <c r="D57" s="277" t="s">
        <v>591</v>
      </c>
      <c r="E57" s="248">
        <v>27</v>
      </c>
      <c r="F57" s="249">
        <v>0</v>
      </c>
      <c r="G57" s="249">
        <v>0</v>
      </c>
      <c r="H57" s="242">
        <f>SUM(E57:G57)</f>
        <v>27</v>
      </c>
      <c r="I57" s="278">
        <v>20.125165307131383</v>
      </c>
      <c r="J57" s="279">
        <v>8.8888888888888906E-2</v>
      </c>
      <c r="K57" s="279">
        <v>0</v>
      </c>
      <c r="L57" s="305">
        <v>20.214054196020271</v>
      </c>
      <c r="M57" s="248">
        <v>21</v>
      </c>
      <c r="N57" s="249">
        <v>1</v>
      </c>
      <c r="O57" s="249">
        <v>0</v>
      </c>
      <c r="P57" s="242">
        <v>22</v>
      </c>
      <c r="Q57" s="248">
        <f t="shared" si="13"/>
        <v>-6</v>
      </c>
      <c r="R57" s="249">
        <f t="shared" si="13"/>
        <v>1</v>
      </c>
      <c r="S57" s="249">
        <f t="shared" si="13"/>
        <v>0</v>
      </c>
      <c r="T57" s="242">
        <f t="shared" si="13"/>
        <v>-5</v>
      </c>
      <c r="XEU57" s="250"/>
    </row>
    <row r="58" spans="1:20 16375:16375">
      <c r="A58" s="1450"/>
      <c r="B58" s="263" t="s">
        <v>295</v>
      </c>
      <c r="C58" s="280" t="s">
        <v>567</v>
      </c>
      <c r="D58" s="265" t="s">
        <v>591</v>
      </c>
      <c r="E58" s="248">
        <v>26</v>
      </c>
      <c r="F58" s="249">
        <v>2</v>
      </c>
      <c r="G58" s="249">
        <v>0</v>
      </c>
      <c r="H58" s="242">
        <f>SUM(E58:G58)</f>
        <v>28</v>
      </c>
      <c r="I58" s="266">
        <v>16.811642565813866</v>
      </c>
      <c r="J58" s="267">
        <v>2.8324990730441231</v>
      </c>
      <c r="K58" s="267">
        <v>2.7607217896428127</v>
      </c>
      <c r="L58" s="306">
        <v>22.4048634285008</v>
      </c>
      <c r="M58" s="248">
        <v>25</v>
      </c>
      <c r="N58" s="249">
        <v>0</v>
      </c>
      <c r="O58" s="249">
        <v>0</v>
      </c>
      <c r="P58" s="242">
        <v>25</v>
      </c>
      <c r="Q58" s="248">
        <f t="shared" si="13"/>
        <v>-1</v>
      </c>
      <c r="R58" s="249">
        <f t="shared" si="13"/>
        <v>-2</v>
      </c>
      <c r="S58" s="249">
        <f t="shared" si="13"/>
        <v>0</v>
      </c>
      <c r="T58" s="242">
        <f t="shared" si="13"/>
        <v>-3</v>
      </c>
      <c r="XEU58" s="250"/>
    </row>
    <row r="59" spans="1:20 16375:16375" ht="25.5" customHeight="1">
      <c r="A59" s="1450"/>
      <c r="B59" s="263" t="s">
        <v>307</v>
      </c>
      <c r="C59" s="280" t="s">
        <v>596</v>
      </c>
      <c r="D59" s="265" t="s">
        <v>597</v>
      </c>
      <c r="E59" s="248">
        <v>50</v>
      </c>
      <c r="F59" s="249">
        <v>6</v>
      </c>
      <c r="G59" s="249">
        <v>28</v>
      </c>
      <c r="H59" s="242">
        <f>SUM(E59:G59)</f>
        <v>84</v>
      </c>
      <c r="I59" s="266">
        <v>49.381494870844158</v>
      </c>
      <c r="J59" s="267">
        <v>1.0359272648621924</v>
      </c>
      <c r="K59" s="267">
        <v>26.930645161290322</v>
      </c>
      <c r="L59" s="306">
        <v>77.348067296996675</v>
      </c>
      <c r="M59" s="248">
        <v>31</v>
      </c>
      <c r="N59" s="249">
        <v>2</v>
      </c>
      <c r="O59" s="249">
        <v>13</v>
      </c>
      <c r="P59" s="242">
        <v>46</v>
      </c>
      <c r="Q59" s="248">
        <f t="shared" si="13"/>
        <v>-19</v>
      </c>
      <c r="R59" s="249">
        <f t="shared" si="13"/>
        <v>-4</v>
      </c>
      <c r="S59" s="249">
        <f t="shared" si="13"/>
        <v>-15</v>
      </c>
      <c r="T59" s="242">
        <f t="shared" si="13"/>
        <v>-38</v>
      </c>
      <c r="XEU59" s="250"/>
    </row>
    <row r="60" spans="1:20 16375:16375">
      <c r="A60" s="1450"/>
      <c r="B60" s="254" t="s">
        <v>561</v>
      </c>
      <c r="C60" s="273"/>
      <c r="D60" s="274"/>
      <c r="E60" s="257">
        <f t="shared" ref="E60:H60" si="14">SUM(E56:E59)</f>
        <v>134</v>
      </c>
      <c r="F60" s="258">
        <f t="shared" si="14"/>
        <v>8</v>
      </c>
      <c r="G60" s="258">
        <f t="shared" si="14"/>
        <v>28</v>
      </c>
      <c r="H60" s="259">
        <f t="shared" si="14"/>
        <v>170</v>
      </c>
      <c r="I60" s="260">
        <f>SUM(I56:I59)</f>
        <v>113.62381813125697</v>
      </c>
      <c r="J60" s="261">
        <f t="shared" ref="J60:L60" si="15">SUM(J56:J59)</f>
        <v>6.0933460017303176</v>
      </c>
      <c r="K60" s="261">
        <f t="shared" si="15"/>
        <v>29.691366950933133</v>
      </c>
      <c r="L60" s="305">
        <f t="shared" si="15"/>
        <v>149.40853108392042</v>
      </c>
      <c r="M60" s="257">
        <v>104</v>
      </c>
      <c r="N60" s="258">
        <v>4</v>
      </c>
      <c r="O60" s="258">
        <v>13</v>
      </c>
      <c r="P60" s="259">
        <v>121</v>
      </c>
      <c r="Q60" s="257">
        <f t="shared" si="13"/>
        <v>-30</v>
      </c>
      <c r="R60" s="258">
        <f t="shared" si="13"/>
        <v>-4</v>
      </c>
      <c r="S60" s="258">
        <f t="shared" si="13"/>
        <v>-15</v>
      </c>
      <c r="T60" s="259">
        <f t="shared" si="13"/>
        <v>-49</v>
      </c>
      <c r="XEU60" s="250"/>
    </row>
    <row r="61" spans="1:20 16375:16375">
      <c r="A61" s="1457" t="s">
        <v>297</v>
      </c>
      <c r="B61" s="263" t="s">
        <v>302</v>
      </c>
      <c r="C61" s="280" t="s">
        <v>538</v>
      </c>
      <c r="D61" s="265" t="s">
        <v>597</v>
      </c>
      <c r="E61" s="248">
        <v>4</v>
      </c>
      <c r="F61" s="249">
        <v>0</v>
      </c>
      <c r="G61" s="249">
        <v>10</v>
      </c>
      <c r="H61" s="242">
        <f t="shared" ref="H61:H66" si="16">SUM(E61:G61)</f>
        <v>14</v>
      </c>
      <c r="I61" s="266">
        <v>6.5476349107032501</v>
      </c>
      <c r="J61" s="267">
        <v>8.0645161290322578E-3</v>
      </c>
      <c r="K61" s="267">
        <v>8.472416882956372</v>
      </c>
      <c r="L61" s="306">
        <v>15.028116309788654</v>
      </c>
      <c r="M61" s="245">
        <v>7</v>
      </c>
      <c r="N61" s="246">
        <v>0</v>
      </c>
      <c r="O61" s="246">
        <v>4</v>
      </c>
      <c r="P61" s="251">
        <v>11</v>
      </c>
      <c r="Q61" s="248">
        <f t="shared" si="13"/>
        <v>3</v>
      </c>
      <c r="R61" s="249">
        <f t="shared" si="13"/>
        <v>0</v>
      </c>
      <c r="S61" s="249">
        <f t="shared" si="13"/>
        <v>-6</v>
      </c>
      <c r="T61" s="242">
        <f t="shared" si="13"/>
        <v>-3</v>
      </c>
      <c r="XEU61" s="250"/>
    </row>
    <row r="62" spans="1:20 16375:16375">
      <c r="A62" s="1457"/>
      <c r="B62" s="282" t="s">
        <v>303</v>
      </c>
      <c r="C62" s="287" t="s">
        <v>538</v>
      </c>
      <c r="D62" s="277" t="s">
        <v>597</v>
      </c>
      <c r="E62" s="248">
        <v>0</v>
      </c>
      <c r="F62" s="249">
        <v>0</v>
      </c>
      <c r="G62" s="249">
        <v>10</v>
      </c>
      <c r="H62" s="242">
        <f t="shared" si="16"/>
        <v>10</v>
      </c>
      <c r="I62" s="278">
        <v>2.8735632183908049E-2</v>
      </c>
      <c r="J62" s="279">
        <v>0</v>
      </c>
      <c r="K62" s="279">
        <v>19.643948523050302</v>
      </c>
      <c r="L62" s="305">
        <v>19.672684155234208</v>
      </c>
      <c r="M62" s="245">
        <v>0</v>
      </c>
      <c r="N62" s="246">
        <v>0</v>
      </c>
      <c r="O62" s="246">
        <v>0</v>
      </c>
      <c r="P62" s="251">
        <v>0</v>
      </c>
      <c r="Q62" s="248">
        <f t="shared" si="13"/>
        <v>0</v>
      </c>
      <c r="R62" s="249">
        <f t="shared" si="13"/>
        <v>0</v>
      </c>
      <c r="S62" s="249">
        <f t="shared" si="13"/>
        <v>-10</v>
      </c>
      <c r="T62" s="242">
        <f t="shared" si="13"/>
        <v>-10</v>
      </c>
      <c r="XEU62" s="250"/>
    </row>
    <row r="63" spans="1:20 16375:16375">
      <c r="A63" s="1457"/>
      <c r="B63" s="282" t="s">
        <v>305</v>
      </c>
      <c r="C63" s="280" t="s">
        <v>596</v>
      </c>
      <c r="D63" s="277" t="s">
        <v>597</v>
      </c>
      <c r="E63" s="248">
        <v>0</v>
      </c>
      <c r="F63" s="249">
        <v>0</v>
      </c>
      <c r="G63" s="249">
        <v>4</v>
      </c>
      <c r="H63" s="242">
        <f t="shared" si="16"/>
        <v>4</v>
      </c>
      <c r="I63" s="278">
        <v>0.42538314176245218</v>
      </c>
      <c r="J63" s="279">
        <v>0.30555555555555552</v>
      </c>
      <c r="K63" s="279">
        <v>11.439564021752565</v>
      </c>
      <c r="L63" s="305">
        <v>12.170502719070573</v>
      </c>
      <c r="M63" s="245">
        <v>0</v>
      </c>
      <c r="N63" s="246">
        <v>0</v>
      </c>
      <c r="O63" s="246">
        <v>0</v>
      </c>
      <c r="P63" s="251">
        <v>0</v>
      </c>
      <c r="Q63" s="248">
        <f t="shared" si="13"/>
        <v>0</v>
      </c>
      <c r="R63" s="249">
        <f t="shared" si="13"/>
        <v>0</v>
      </c>
      <c r="S63" s="249">
        <f t="shared" si="13"/>
        <v>-4</v>
      </c>
      <c r="T63" s="242">
        <f t="shared" si="13"/>
        <v>-4</v>
      </c>
      <c r="XEU63" s="250"/>
    </row>
    <row r="64" spans="1:20 16375:16375">
      <c r="A64" s="1457"/>
      <c r="B64" s="276" t="s">
        <v>306</v>
      </c>
      <c r="C64" s="287" t="s">
        <v>538</v>
      </c>
      <c r="D64" s="277" t="s">
        <v>597</v>
      </c>
      <c r="E64" s="248">
        <v>14.916666666666668</v>
      </c>
      <c r="F64" s="249">
        <v>12.083333333333332</v>
      </c>
      <c r="G64" s="249">
        <v>27</v>
      </c>
      <c r="H64" s="242">
        <f t="shared" si="16"/>
        <v>54</v>
      </c>
      <c r="I64" s="278">
        <v>9.0063403781979972</v>
      </c>
      <c r="J64" s="279">
        <v>3.087452107279693</v>
      </c>
      <c r="K64" s="279">
        <v>38.033106229143499</v>
      </c>
      <c r="L64" s="305">
        <v>50.126898714621191</v>
      </c>
      <c r="M64" s="245">
        <v>24</v>
      </c>
      <c r="N64" s="246">
        <v>5</v>
      </c>
      <c r="O64" s="246">
        <v>34</v>
      </c>
      <c r="P64" s="251">
        <v>63</v>
      </c>
      <c r="Q64" s="248">
        <f t="shared" si="13"/>
        <v>9.0833333333333321</v>
      </c>
      <c r="R64" s="249">
        <f t="shared" si="13"/>
        <v>-7.0833333333333321</v>
      </c>
      <c r="S64" s="249">
        <f t="shared" si="13"/>
        <v>7</v>
      </c>
      <c r="T64" s="242">
        <f t="shared" si="13"/>
        <v>9</v>
      </c>
      <c r="XEU64" s="288" t="s">
        <v>594</v>
      </c>
    </row>
    <row r="65" spans="1:20 16375:16375">
      <c r="A65" s="1457"/>
      <c r="B65" s="263" t="s">
        <v>295</v>
      </c>
      <c r="C65" s="280" t="s">
        <v>567</v>
      </c>
      <c r="D65" s="265" t="s">
        <v>597</v>
      </c>
      <c r="E65" s="248">
        <v>6</v>
      </c>
      <c r="F65" s="249">
        <v>0</v>
      </c>
      <c r="G65" s="249">
        <v>38</v>
      </c>
      <c r="H65" s="242">
        <f t="shared" si="16"/>
        <v>44</v>
      </c>
      <c r="I65" s="266">
        <v>5.6751205042639974</v>
      </c>
      <c r="J65" s="267">
        <v>0.383903411197627</v>
      </c>
      <c r="K65" s="267">
        <v>22.899088493387712</v>
      </c>
      <c r="L65" s="306">
        <v>28.958112408849338</v>
      </c>
      <c r="M65" s="248">
        <v>8</v>
      </c>
      <c r="N65" s="249">
        <v>0</v>
      </c>
      <c r="O65" s="249">
        <v>14</v>
      </c>
      <c r="P65" s="242">
        <v>22</v>
      </c>
      <c r="Q65" s="248">
        <f t="shared" si="13"/>
        <v>2</v>
      </c>
      <c r="R65" s="249">
        <f t="shared" si="13"/>
        <v>0</v>
      </c>
      <c r="S65" s="249">
        <f t="shared" si="13"/>
        <v>-24</v>
      </c>
      <c r="T65" s="242">
        <f t="shared" si="13"/>
        <v>-22</v>
      </c>
      <c r="XEU65" s="250"/>
    </row>
    <row r="66" spans="1:20 16375:16375">
      <c r="A66" s="1457"/>
      <c r="B66" s="276" t="s">
        <v>307</v>
      </c>
      <c r="C66" s="280" t="s">
        <v>596</v>
      </c>
      <c r="D66" s="277" t="s">
        <v>597</v>
      </c>
      <c r="E66" s="248">
        <v>6</v>
      </c>
      <c r="F66" s="249">
        <v>1</v>
      </c>
      <c r="G66" s="249">
        <v>16</v>
      </c>
      <c r="H66" s="242">
        <f t="shared" si="16"/>
        <v>23</v>
      </c>
      <c r="I66" s="278">
        <v>7.2052589296749465</v>
      </c>
      <c r="J66" s="279">
        <v>0.24722222222222223</v>
      </c>
      <c r="K66" s="279">
        <v>12.373017859349893</v>
      </c>
      <c r="L66" s="305">
        <v>19.825499011247061</v>
      </c>
      <c r="M66" s="248">
        <v>2</v>
      </c>
      <c r="N66" s="249">
        <v>0</v>
      </c>
      <c r="O66" s="249">
        <v>30</v>
      </c>
      <c r="P66" s="242">
        <v>32</v>
      </c>
      <c r="Q66" s="248">
        <f t="shared" si="13"/>
        <v>-4</v>
      </c>
      <c r="R66" s="249">
        <f t="shared" si="13"/>
        <v>-1</v>
      </c>
      <c r="S66" s="249">
        <f t="shared" si="13"/>
        <v>14</v>
      </c>
      <c r="T66" s="242">
        <f t="shared" si="13"/>
        <v>9</v>
      </c>
      <c r="XEU66" s="288" t="s">
        <v>594</v>
      </c>
    </row>
    <row r="67" spans="1:20 16375:16375">
      <c r="A67" s="1457"/>
      <c r="B67" s="254" t="s">
        <v>561</v>
      </c>
      <c r="C67" s="273"/>
      <c r="D67" s="274"/>
      <c r="E67" s="257">
        <f t="shared" ref="E67:H67" si="17">SUM(E61:E66)</f>
        <v>30.916666666666668</v>
      </c>
      <c r="F67" s="258">
        <f t="shared" si="17"/>
        <v>13.083333333333332</v>
      </c>
      <c r="G67" s="258">
        <f t="shared" si="17"/>
        <v>105</v>
      </c>
      <c r="H67" s="259">
        <f t="shared" si="17"/>
        <v>149</v>
      </c>
      <c r="I67" s="260">
        <f>SUM(I61:I66)</f>
        <v>28.888473496786553</v>
      </c>
      <c r="J67" s="261">
        <f t="shared" ref="J67:L67" si="18">SUM(J61:J66)</f>
        <v>4.0321978123841298</v>
      </c>
      <c r="K67" s="261">
        <f t="shared" si="18"/>
        <v>112.86114200964033</v>
      </c>
      <c r="L67" s="305">
        <f t="shared" si="18"/>
        <v>145.78181331881103</v>
      </c>
      <c r="M67" s="257">
        <v>41</v>
      </c>
      <c r="N67" s="258">
        <v>5</v>
      </c>
      <c r="O67" s="258">
        <v>82</v>
      </c>
      <c r="P67" s="259">
        <v>128</v>
      </c>
      <c r="Q67" s="257">
        <f>SUM(Q61:Q66)</f>
        <v>10.083333333333332</v>
      </c>
      <c r="R67" s="258">
        <f>SUM(R61:R66)</f>
        <v>-8.0833333333333321</v>
      </c>
      <c r="S67" s="258">
        <f>SUM(S61:S66)</f>
        <v>-23</v>
      </c>
      <c r="T67" s="259">
        <f>SUM(T61:T66)</f>
        <v>-21</v>
      </c>
      <c r="XEU67" s="262"/>
    </row>
    <row r="68" spans="1:20 16375:16375">
      <c r="A68" s="1457" t="s">
        <v>307</v>
      </c>
      <c r="B68" s="276" t="s">
        <v>309</v>
      </c>
      <c r="C68" s="287" t="s">
        <v>538</v>
      </c>
      <c r="D68" s="289" t="s">
        <v>598</v>
      </c>
      <c r="E68" s="248">
        <v>5</v>
      </c>
      <c r="F68" s="249">
        <v>1</v>
      </c>
      <c r="G68" s="249">
        <v>0</v>
      </c>
      <c r="H68" s="242">
        <f>SUM(E68:G68)</f>
        <v>6</v>
      </c>
      <c r="I68" s="278">
        <v>4.4411243974786796</v>
      </c>
      <c r="J68" s="279">
        <v>3.4482758620689655E-2</v>
      </c>
      <c r="K68" s="279">
        <v>0</v>
      </c>
      <c r="L68" s="305">
        <v>4.4756071560993691</v>
      </c>
      <c r="M68" s="248">
        <v>5</v>
      </c>
      <c r="N68" s="249">
        <v>1</v>
      </c>
      <c r="O68" s="249">
        <v>0</v>
      </c>
      <c r="P68" s="242">
        <v>6</v>
      </c>
      <c r="Q68" s="248">
        <f t="shared" ref="Q68:T72" si="19">M68-E68</f>
        <v>0</v>
      </c>
      <c r="R68" s="249">
        <f t="shared" si="19"/>
        <v>0</v>
      </c>
      <c r="S68" s="249">
        <f t="shared" si="19"/>
        <v>0</v>
      </c>
      <c r="T68" s="242">
        <f t="shared" si="19"/>
        <v>0</v>
      </c>
      <c r="XEU68" s="250"/>
    </row>
    <row r="69" spans="1:20 16375:16375">
      <c r="A69" s="1457"/>
      <c r="B69" s="276" t="s">
        <v>310</v>
      </c>
      <c r="C69" s="280" t="s">
        <v>596</v>
      </c>
      <c r="D69" s="289" t="s">
        <v>597</v>
      </c>
      <c r="E69" s="248">
        <v>9</v>
      </c>
      <c r="F69" s="249">
        <v>0</v>
      </c>
      <c r="G69" s="249">
        <v>0</v>
      </c>
      <c r="H69" s="242">
        <f>SUM(E69:G69)</f>
        <v>9</v>
      </c>
      <c r="I69" s="278">
        <v>6.2059819552589293</v>
      </c>
      <c r="J69" s="279">
        <v>0.10250896057347669</v>
      </c>
      <c r="K69" s="279">
        <v>0</v>
      </c>
      <c r="L69" s="305">
        <v>6.3084909158324063</v>
      </c>
      <c r="M69" s="248">
        <v>9</v>
      </c>
      <c r="N69" s="249">
        <v>0</v>
      </c>
      <c r="O69" s="249">
        <v>0</v>
      </c>
      <c r="P69" s="242">
        <v>9</v>
      </c>
      <c r="Q69" s="248">
        <f t="shared" si="19"/>
        <v>0</v>
      </c>
      <c r="R69" s="249">
        <f t="shared" si="19"/>
        <v>0</v>
      </c>
      <c r="S69" s="249">
        <f t="shared" si="19"/>
        <v>0</v>
      </c>
      <c r="T69" s="242">
        <f t="shared" si="19"/>
        <v>0</v>
      </c>
      <c r="XEU69" s="250"/>
    </row>
    <row r="70" spans="1:20 16375:16375" ht="51.75" customHeight="1">
      <c r="A70" s="1457"/>
      <c r="B70" s="276" t="s">
        <v>311</v>
      </c>
      <c r="C70" s="280" t="s">
        <v>596</v>
      </c>
      <c r="D70" s="277" t="s">
        <v>597</v>
      </c>
      <c r="E70" s="248">
        <v>6</v>
      </c>
      <c r="F70" s="249">
        <v>5</v>
      </c>
      <c r="G70" s="249">
        <v>4</v>
      </c>
      <c r="H70" s="242">
        <f>SUM(E70:G70)</f>
        <v>15</v>
      </c>
      <c r="I70" s="278">
        <v>4.4665631565937467</v>
      </c>
      <c r="J70" s="279">
        <v>0.96530095167470031</v>
      </c>
      <c r="K70" s="279">
        <v>8.5407659745396138</v>
      </c>
      <c r="L70" s="305">
        <v>13.97263008280806</v>
      </c>
      <c r="M70" s="248">
        <v>4</v>
      </c>
      <c r="N70" s="249">
        <v>3</v>
      </c>
      <c r="O70" s="249">
        <v>4</v>
      </c>
      <c r="P70" s="242">
        <v>11</v>
      </c>
      <c r="Q70" s="248">
        <f t="shared" si="19"/>
        <v>-2</v>
      </c>
      <c r="R70" s="249">
        <f t="shared" si="19"/>
        <v>-2</v>
      </c>
      <c r="S70" s="249">
        <f t="shared" si="19"/>
        <v>0</v>
      </c>
      <c r="T70" s="242">
        <f t="shared" si="19"/>
        <v>-4</v>
      </c>
      <c r="XEU70" s="250"/>
    </row>
    <row r="71" spans="1:20 16375:16375" ht="58">
      <c r="A71" s="1457"/>
      <c r="B71" s="276" t="s">
        <v>313</v>
      </c>
      <c r="C71" s="280" t="s">
        <v>596</v>
      </c>
      <c r="D71" s="289" t="s">
        <v>597</v>
      </c>
      <c r="E71" s="248">
        <v>2</v>
      </c>
      <c r="F71" s="249">
        <v>0</v>
      </c>
      <c r="G71" s="249">
        <v>168</v>
      </c>
      <c r="H71" s="242">
        <f>SUM(E71:G71)</f>
        <v>170</v>
      </c>
      <c r="I71" s="278">
        <v>5.8913932146829824</v>
      </c>
      <c r="J71" s="279">
        <v>3.9272030651340994E-2</v>
      </c>
      <c r="K71" s="279">
        <v>135.14982233345691</v>
      </c>
      <c r="L71" s="305">
        <v>141.08048757879124</v>
      </c>
      <c r="M71" s="248">
        <v>7</v>
      </c>
      <c r="N71" s="249">
        <v>0</v>
      </c>
      <c r="O71" s="249">
        <v>182</v>
      </c>
      <c r="P71" s="242">
        <v>189</v>
      </c>
      <c r="Q71" s="248">
        <f t="shared" si="19"/>
        <v>5</v>
      </c>
      <c r="R71" s="249">
        <f t="shared" si="19"/>
        <v>0</v>
      </c>
      <c r="S71" s="249">
        <f t="shared" si="19"/>
        <v>14</v>
      </c>
      <c r="T71" s="242">
        <f t="shared" si="19"/>
        <v>19</v>
      </c>
      <c r="XEU71" s="272" t="s">
        <v>599</v>
      </c>
    </row>
    <row r="72" spans="1:20 16375:16375">
      <c r="A72" s="1457"/>
      <c r="B72" s="276" t="s">
        <v>314</v>
      </c>
      <c r="C72" s="280" t="s">
        <v>596</v>
      </c>
      <c r="D72" s="277" t="s">
        <v>597</v>
      </c>
      <c r="E72" s="248">
        <v>3</v>
      </c>
      <c r="F72" s="249">
        <v>5</v>
      </c>
      <c r="G72" s="249">
        <v>0</v>
      </c>
      <c r="H72" s="242">
        <f>SUM(E72:G72)</f>
        <v>8</v>
      </c>
      <c r="I72" s="278">
        <v>4.4122589914720054</v>
      </c>
      <c r="J72" s="279">
        <v>0.20306513409961688</v>
      </c>
      <c r="K72" s="279">
        <v>6.302777777777778</v>
      </c>
      <c r="L72" s="305">
        <v>10.918101903349401</v>
      </c>
      <c r="M72" s="248">
        <v>3</v>
      </c>
      <c r="N72" s="249">
        <v>5</v>
      </c>
      <c r="O72" s="249">
        <v>0</v>
      </c>
      <c r="P72" s="242">
        <v>8</v>
      </c>
      <c r="Q72" s="248">
        <f t="shared" si="19"/>
        <v>0</v>
      </c>
      <c r="R72" s="249">
        <f t="shared" si="19"/>
        <v>0</v>
      </c>
      <c r="S72" s="249">
        <f t="shared" si="19"/>
        <v>0</v>
      </c>
      <c r="T72" s="242">
        <f t="shared" si="19"/>
        <v>0</v>
      </c>
      <c r="XEU72" s="250"/>
    </row>
    <row r="73" spans="1:20 16375:16375">
      <c r="A73" s="1457"/>
      <c r="B73" s="254" t="s">
        <v>561</v>
      </c>
      <c r="C73" s="273"/>
      <c r="D73" s="274"/>
      <c r="E73" s="257">
        <f>SUM(E68:E72)</f>
        <v>25</v>
      </c>
      <c r="F73" s="258">
        <f>SUM(F68:F72)</f>
        <v>11</v>
      </c>
      <c r="G73" s="258">
        <f>SUM(G68:G72)</f>
        <v>172</v>
      </c>
      <c r="H73" s="259">
        <f>SUM(H68:H72)</f>
        <v>208</v>
      </c>
      <c r="I73" s="260">
        <f>SUM(I68:I72)</f>
        <v>25.417321715486342</v>
      </c>
      <c r="J73" s="261">
        <f t="shared" ref="J73:L73" si="20">SUM(J68:J72)</f>
        <v>1.3446298356198245</v>
      </c>
      <c r="K73" s="261">
        <f t="shared" si="20"/>
        <v>149.99336608577431</v>
      </c>
      <c r="L73" s="305">
        <f t="shared" si="20"/>
        <v>176.75531763688048</v>
      </c>
      <c r="M73" s="257">
        <v>28</v>
      </c>
      <c r="N73" s="258">
        <v>9</v>
      </c>
      <c r="O73" s="258">
        <v>186</v>
      </c>
      <c r="P73" s="259">
        <v>223</v>
      </c>
      <c r="Q73" s="257">
        <f t="shared" ref="Q73:T73" si="21">SUM(Q68:Q72)</f>
        <v>3</v>
      </c>
      <c r="R73" s="258">
        <f t="shared" si="21"/>
        <v>-2</v>
      </c>
      <c r="S73" s="258">
        <f t="shared" si="21"/>
        <v>14</v>
      </c>
      <c r="T73" s="259">
        <f t="shared" si="21"/>
        <v>15</v>
      </c>
      <c r="XEU73" s="250"/>
    </row>
    <row r="74" spans="1:20 16375:16375">
      <c r="A74" s="1450" t="s">
        <v>296</v>
      </c>
      <c r="B74" s="263" t="s">
        <v>600</v>
      </c>
      <c r="C74" s="280" t="s">
        <v>567</v>
      </c>
      <c r="D74" s="265" t="s">
        <v>591</v>
      </c>
      <c r="E74" s="248">
        <v>8</v>
      </c>
      <c r="F74" s="249">
        <v>3</v>
      </c>
      <c r="G74" s="249">
        <v>0</v>
      </c>
      <c r="H74" s="242">
        <f>SUM(E74:G74)</f>
        <v>11</v>
      </c>
      <c r="I74" s="266">
        <v>6.843336732171549</v>
      </c>
      <c r="J74" s="267">
        <v>2.810700160672353</v>
      </c>
      <c r="K74" s="267">
        <v>0.82777777777777783</v>
      </c>
      <c r="L74" s="306">
        <v>10.481814670621679</v>
      </c>
      <c r="M74" s="248">
        <v>8</v>
      </c>
      <c r="N74" s="249">
        <v>3</v>
      </c>
      <c r="O74" s="249">
        <v>0</v>
      </c>
      <c r="P74" s="242">
        <v>11</v>
      </c>
      <c r="Q74" s="248">
        <f t="shared" ref="Q74:T75" si="22">M74-E74</f>
        <v>0</v>
      </c>
      <c r="R74" s="249">
        <f t="shared" si="22"/>
        <v>0</v>
      </c>
      <c r="S74" s="249">
        <f t="shared" si="22"/>
        <v>0</v>
      </c>
      <c r="T74" s="242">
        <f t="shared" si="22"/>
        <v>0</v>
      </c>
      <c r="XEU74" s="290"/>
    </row>
    <row r="75" spans="1:20 16375:16375">
      <c r="A75" s="1450"/>
      <c r="B75" s="276" t="s">
        <v>601</v>
      </c>
      <c r="C75" s="287" t="s">
        <v>538</v>
      </c>
      <c r="D75" s="277" t="s">
        <v>591</v>
      </c>
      <c r="E75" s="248">
        <v>12</v>
      </c>
      <c r="F75" s="249">
        <v>6</v>
      </c>
      <c r="G75" s="249">
        <v>27</v>
      </c>
      <c r="H75" s="242">
        <f>SUM(E75:G75)</f>
        <v>45</v>
      </c>
      <c r="I75" s="278">
        <v>20.759342170312692</v>
      </c>
      <c r="J75" s="279">
        <v>3.1368341366950938</v>
      </c>
      <c r="K75" s="279">
        <v>21.394075207020148</v>
      </c>
      <c r="L75" s="305">
        <v>45.290251514027929</v>
      </c>
      <c r="M75" s="248">
        <v>21</v>
      </c>
      <c r="N75" s="249">
        <v>5</v>
      </c>
      <c r="O75" s="249">
        <v>19</v>
      </c>
      <c r="P75" s="242">
        <v>45</v>
      </c>
      <c r="Q75" s="248">
        <f t="shared" si="22"/>
        <v>9</v>
      </c>
      <c r="R75" s="249">
        <f t="shared" si="22"/>
        <v>-1</v>
      </c>
      <c r="S75" s="249">
        <f t="shared" si="22"/>
        <v>-8</v>
      </c>
      <c r="T75" s="242">
        <f t="shared" si="22"/>
        <v>0</v>
      </c>
      <c r="XEU75" s="290"/>
    </row>
    <row r="76" spans="1:20 16375:16375">
      <c r="A76" s="1450"/>
      <c r="B76" s="254" t="s">
        <v>561</v>
      </c>
      <c r="C76" s="273"/>
      <c r="D76" s="274"/>
      <c r="E76" s="257">
        <f>SUM(E74:E75)</f>
        <v>20</v>
      </c>
      <c r="F76" s="258">
        <f>SUM(F74:F75)</f>
        <v>9</v>
      </c>
      <c r="G76" s="258">
        <f>SUM(G74:G75)</f>
        <v>27</v>
      </c>
      <c r="H76" s="259">
        <f>SUM(H74:H75)</f>
        <v>56</v>
      </c>
      <c r="I76" s="260">
        <f>SUM(I74:I75)</f>
        <v>27.602678902484243</v>
      </c>
      <c r="J76" s="261">
        <f t="shared" ref="J76:L76" si="23">SUM(J74:J75)</f>
        <v>5.9475342973674472</v>
      </c>
      <c r="K76" s="261">
        <f t="shared" si="23"/>
        <v>22.221852984797927</v>
      </c>
      <c r="L76" s="305">
        <f t="shared" si="23"/>
        <v>55.77206618464961</v>
      </c>
      <c r="M76" s="257">
        <v>29</v>
      </c>
      <c r="N76" s="258">
        <v>8</v>
      </c>
      <c r="O76" s="258">
        <v>19</v>
      </c>
      <c r="P76" s="259">
        <v>56</v>
      </c>
      <c r="Q76" s="257">
        <f t="shared" ref="Q76:T76" si="24">SUM(Q74:Q75)</f>
        <v>9</v>
      </c>
      <c r="R76" s="258">
        <f t="shared" si="24"/>
        <v>-1</v>
      </c>
      <c r="S76" s="258">
        <f t="shared" si="24"/>
        <v>-8</v>
      </c>
      <c r="T76" s="259">
        <f t="shared" si="24"/>
        <v>0</v>
      </c>
      <c r="XEU76" s="250"/>
    </row>
    <row r="77" spans="1:20 16375:16375" ht="15" thickBot="1">
      <c r="A77" s="291" t="s">
        <v>602</v>
      </c>
      <c r="B77" s="292" t="s">
        <v>603</v>
      </c>
      <c r="C77" s="293"/>
      <c r="D77" s="294"/>
      <c r="E77" s="295">
        <f t="shared" ref="E77:H77" si="25">SUM(E76,E73,E67,E60,E55,E50,E26,E21)</f>
        <v>709.83333333333337</v>
      </c>
      <c r="F77" s="296">
        <f t="shared" si="25"/>
        <v>350.625</v>
      </c>
      <c r="G77" s="296">
        <f t="shared" si="25"/>
        <v>1241.0491181805623</v>
      </c>
      <c r="H77" s="297">
        <f t="shared" si="25"/>
        <v>2301.5074515138958</v>
      </c>
      <c r="I77" s="298">
        <f>SUM(I76,I73,I67,I60,I55,I50,I26,I21)</f>
        <v>832.31677692703533</v>
      </c>
      <c r="J77" s="299">
        <f t="shared" ref="J77:L77" si="26">SUM(J76,J73,J67,J60,J55,J50,J26,J21)</f>
        <v>185.71969935731059</v>
      </c>
      <c r="K77" s="299">
        <f t="shared" si="26"/>
        <v>928.73777159807184</v>
      </c>
      <c r="L77" s="300">
        <f t="shared" si="26"/>
        <v>1946.7742478824177</v>
      </c>
      <c r="M77" s="295">
        <v>716.5</v>
      </c>
      <c r="N77" s="296">
        <v>380.08333333333337</v>
      </c>
      <c r="O77" s="296">
        <v>1005.2061043743183</v>
      </c>
      <c r="P77" s="297">
        <v>2101.7894377076518</v>
      </c>
      <c r="Q77" s="295">
        <f>SUM(Q76,Q73,Q67,Q60,Q55,Q50,Q26,Q21)</f>
        <v>6.6666666666666643</v>
      </c>
      <c r="R77" s="296">
        <f>SUM(R76,R73,R67,R60,R55,R50,R26,R21)</f>
        <v>29.458333333333336</v>
      </c>
      <c r="S77" s="296">
        <f>SUM(S76,S73,S67,S60,S55,S50,S26,S21)</f>
        <v>-235.84301380624407</v>
      </c>
      <c r="T77" s="301">
        <f>SUM(T76,T73,T67,T60,T55,T50,T26,T21)</f>
        <v>-199.71801380624413</v>
      </c>
      <c r="XEU77" s="250"/>
    </row>
    <row r="78" spans="1:20 16375:16375">
      <c r="A78" s="132"/>
      <c r="B78" s="302"/>
      <c r="C78" s="13"/>
      <c r="D78" s="13"/>
      <c r="E78" s="302"/>
      <c r="F78" s="302"/>
      <c r="G78" s="302"/>
      <c r="H78" s="302"/>
      <c r="I78" s="302"/>
      <c r="J78" s="302"/>
      <c r="K78" s="302"/>
      <c r="L78" s="307"/>
      <c r="M78" s="302"/>
      <c r="N78" s="141"/>
      <c r="O78" s="302"/>
      <c r="P78" s="302"/>
      <c r="Q78" s="302"/>
      <c r="R78" s="302"/>
      <c r="S78" s="302"/>
      <c r="T78" s="302"/>
    </row>
    <row r="79" spans="1:20 16375:16375">
      <c r="M79" s="40"/>
      <c r="N79" s="40"/>
      <c r="O79" s="40"/>
      <c r="P79" s="40"/>
    </row>
  </sheetData>
  <mergeCells count="12">
    <mergeCell ref="A74:A76"/>
    <mergeCell ref="E1:H1"/>
    <mergeCell ref="I1:L1"/>
    <mergeCell ref="M1:P1"/>
    <mergeCell ref="Q1:T1"/>
    <mergeCell ref="A3:A21"/>
    <mergeCell ref="A22:A26"/>
    <mergeCell ref="A27:A50"/>
    <mergeCell ref="A51:A55"/>
    <mergeCell ref="A56:A60"/>
    <mergeCell ref="A61:A67"/>
    <mergeCell ref="A68:A7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55"/>
  <sheetViews>
    <sheetView topLeftCell="A28" workbookViewId="0">
      <selection activeCell="F15" sqref="F15"/>
    </sheetView>
  </sheetViews>
  <sheetFormatPr defaultRowHeight="14.5"/>
  <cols>
    <col min="2" max="2" width="21" bestFit="1" customWidth="1"/>
    <col min="3" max="3" width="24" bestFit="1" customWidth="1"/>
    <col min="5" max="11" width="12.54296875" bestFit="1" customWidth="1"/>
    <col min="12" max="12" width="11.54296875" bestFit="1" customWidth="1"/>
    <col min="13" max="15" width="12.54296875" bestFit="1" customWidth="1"/>
    <col min="16" max="16" width="11.54296875" bestFit="1" customWidth="1"/>
  </cols>
  <sheetData>
    <row r="1" spans="2:16">
      <c r="B1" s="214" t="s">
        <v>494</v>
      </c>
      <c r="C1" s="214" t="s">
        <v>56</v>
      </c>
      <c r="D1" s="214" t="s">
        <v>495</v>
      </c>
      <c r="E1" s="215">
        <v>45383</v>
      </c>
      <c r="F1" s="215">
        <v>45413</v>
      </c>
      <c r="G1" s="215">
        <v>45444</v>
      </c>
      <c r="H1" s="215">
        <v>45475</v>
      </c>
      <c r="I1" s="215">
        <v>45506</v>
      </c>
      <c r="J1" s="215">
        <v>45537</v>
      </c>
      <c r="K1" s="215">
        <v>45568</v>
      </c>
      <c r="L1" s="215">
        <v>45599</v>
      </c>
      <c r="M1" s="215">
        <v>45630</v>
      </c>
      <c r="N1" s="215">
        <v>45661</v>
      </c>
      <c r="O1" s="215">
        <v>45692</v>
      </c>
    </row>
    <row r="2" spans="2:16">
      <c r="B2" s="13" t="s">
        <v>496</v>
      </c>
      <c r="C2" s="13" t="s">
        <v>497</v>
      </c>
      <c r="D2" s="13" t="s">
        <v>498</v>
      </c>
      <c r="E2" s="216">
        <v>344.83958999999999</v>
      </c>
      <c r="F2" s="216">
        <v>326.24651999999998</v>
      </c>
      <c r="G2" s="216">
        <v>339.21100000000001</v>
      </c>
      <c r="H2" s="216">
        <v>365.84775000000002</v>
      </c>
      <c r="I2" s="216">
        <v>344.18049999999999</v>
      </c>
      <c r="J2" s="216">
        <v>260.245</v>
      </c>
      <c r="K2" s="216">
        <v>326.45999999999998</v>
      </c>
      <c r="L2" s="216">
        <v>602.69884999999999</v>
      </c>
      <c r="M2" s="216">
        <v>334.87563</v>
      </c>
      <c r="N2" s="216">
        <v>356.11110000000002</v>
      </c>
      <c r="O2" s="216">
        <v>377.50420000000003</v>
      </c>
    </row>
    <row r="3" spans="2:16">
      <c r="B3" s="13" t="s">
        <v>496</v>
      </c>
      <c r="C3" s="13" t="s">
        <v>499</v>
      </c>
      <c r="D3" s="13" t="s">
        <v>498</v>
      </c>
      <c r="E3" s="216">
        <v>12.843</v>
      </c>
      <c r="F3" s="216">
        <v>18.864000000000001</v>
      </c>
      <c r="G3" s="216">
        <v>13.191000000000001</v>
      </c>
      <c r="H3" s="216">
        <v>14.079000000000001</v>
      </c>
      <c r="I3" s="216">
        <v>14.553000000000001</v>
      </c>
      <c r="J3" s="216">
        <v>23.773</v>
      </c>
      <c r="K3" s="216">
        <v>20.45</v>
      </c>
      <c r="L3" s="216">
        <v>11.451000000000001</v>
      </c>
      <c r="M3" s="216">
        <v>15.999000000000001</v>
      </c>
      <c r="N3" s="216">
        <v>11.25</v>
      </c>
      <c r="O3" s="216">
        <v>1.659</v>
      </c>
    </row>
    <row r="4" spans="2:16">
      <c r="B4" s="13" t="str">
        <f>'Sectionwise Working'!B4</f>
        <v>2. BCF</v>
      </c>
      <c r="C4" s="13"/>
      <c r="D4" s="13"/>
      <c r="E4" s="221">
        <f>SUM(E2:E3)</f>
        <v>357.68259</v>
      </c>
      <c r="F4" s="221">
        <f t="shared" ref="F4:O4" si="0">SUM(F2:F3)</f>
        <v>345.11051999999995</v>
      </c>
      <c r="G4" s="221">
        <f t="shared" si="0"/>
        <v>352.40199999999999</v>
      </c>
      <c r="H4" s="221">
        <f t="shared" si="0"/>
        <v>379.92675000000003</v>
      </c>
      <c r="I4" s="221">
        <f t="shared" si="0"/>
        <v>358.73349999999999</v>
      </c>
      <c r="J4" s="221">
        <f t="shared" si="0"/>
        <v>284.01800000000003</v>
      </c>
      <c r="K4" s="221">
        <f t="shared" si="0"/>
        <v>346.90999999999997</v>
      </c>
      <c r="L4" s="221">
        <f t="shared" si="0"/>
        <v>614.14985000000001</v>
      </c>
      <c r="M4" s="221">
        <f t="shared" si="0"/>
        <v>350.87463000000002</v>
      </c>
      <c r="N4" s="221">
        <f t="shared" si="0"/>
        <v>367.36110000000002</v>
      </c>
      <c r="O4" s="221">
        <f t="shared" si="0"/>
        <v>379.16320000000002</v>
      </c>
      <c r="P4" s="41">
        <f>AVERAGE(E4:O4)</f>
        <v>376.03019454545461</v>
      </c>
    </row>
    <row r="5" spans="2:16">
      <c r="B5" s="13" t="s">
        <v>500</v>
      </c>
      <c r="C5" s="13" t="s">
        <v>497</v>
      </c>
      <c r="D5" s="13" t="s">
        <v>498</v>
      </c>
      <c r="E5" s="216">
        <v>875.63656000000003</v>
      </c>
      <c r="F5" s="216">
        <v>830.53599999999994</v>
      </c>
      <c r="G5" s="216">
        <v>859.40644999999995</v>
      </c>
      <c r="H5" s="216">
        <v>801.09840999999892</v>
      </c>
      <c r="I5" s="216">
        <v>793.33861999999999</v>
      </c>
      <c r="J5" s="216">
        <v>697.38022999999998</v>
      </c>
      <c r="K5" s="216">
        <v>737.88423</v>
      </c>
      <c r="L5" s="216">
        <v>780.95001000000002</v>
      </c>
      <c r="M5" s="216">
        <v>773.92055000000005</v>
      </c>
      <c r="N5" s="216">
        <v>919.34866999999997</v>
      </c>
      <c r="O5" s="216">
        <v>851.88049000000001</v>
      </c>
    </row>
    <row r="6" spans="2:16">
      <c r="B6" s="13" t="s">
        <v>500</v>
      </c>
      <c r="C6" s="13" t="s">
        <v>499</v>
      </c>
      <c r="D6" s="13" t="s">
        <v>498</v>
      </c>
      <c r="E6" s="216">
        <v>19.26248</v>
      </c>
      <c r="F6" s="216">
        <v>8.6038999999999994</v>
      </c>
      <c r="G6" s="216">
        <v>19.973680000000002</v>
      </c>
      <c r="H6" s="216">
        <v>16.304130000000001</v>
      </c>
      <c r="I6" s="216">
        <v>21.000389999999999</v>
      </c>
      <c r="J6" s="216">
        <v>22.668030000000002</v>
      </c>
      <c r="K6" s="216">
        <v>15.457839999999999</v>
      </c>
      <c r="L6" s="216">
        <v>16.050619999999999</v>
      </c>
      <c r="M6" s="216">
        <v>31.00892</v>
      </c>
      <c r="N6" s="216">
        <v>13.37</v>
      </c>
      <c r="O6" s="216">
        <v>18.561070000000001</v>
      </c>
    </row>
    <row r="7" spans="2:16">
      <c r="B7" s="13" t="str">
        <f>'Sectionwise Working'!B28</f>
        <v>1. POY</v>
      </c>
      <c r="C7" s="13"/>
      <c r="D7" s="13"/>
      <c r="E7" s="221">
        <f>SUM(E5:E6)</f>
        <v>894.89904000000001</v>
      </c>
      <c r="F7" s="221">
        <f t="shared" ref="F7" si="1">SUM(F5:F6)</f>
        <v>839.1398999999999</v>
      </c>
      <c r="G7" s="221">
        <f t="shared" ref="G7" si="2">SUM(G5:G6)</f>
        <v>879.38013000000001</v>
      </c>
      <c r="H7" s="221">
        <f t="shared" ref="H7" si="3">SUM(H5:H6)</f>
        <v>817.40253999999891</v>
      </c>
      <c r="I7" s="221">
        <f t="shared" ref="I7" si="4">SUM(I5:I6)</f>
        <v>814.33901000000003</v>
      </c>
      <c r="J7" s="221">
        <f t="shared" ref="J7" si="5">SUM(J5:J6)</f>
        <v>720.04826000000003</v>
      </c>
      <c r="K7" s="221">
        <f t="shared" ref="K7" si="6">SUM(K5:K6)</f>
        <v>753.34207000000004</v>
      </c>
      <c r="L7" s="221">
        <f t="shared" ref="L7" si="7">SUM(L5:L6)</f>
        <v>797.00063</v>
      </c>
      <c r="M7" s="221">
        <f t="shared" ref="M7" si="8">SUM(M5:M6)</f>
        <v>804.92947000000004</v>
      </c>
      <c r="N7" s="221">
        <f t="shared" ref="N7" si="9">SUM(N5:N6)</f>
        <v>932.71866999999997</v>
      </c>
      <c r="O7" s="221">
        <f t="shared" ref="O7" si="10">SUM(O5:O6)</f>
        <v>870.44155999999998</v>
      </c>
      <c r="P7" s="41">
        <f>AVERAGE(E7:O7)</f>
        <v>829.42193454545418</v>
      </c>
    </row>
    <row r="8" spans="2:16">
      <c r="B8" s="13" t="s">
        <v>20</v>
      </c>
      <c r="C8" s="13" t="s">
        <v>497</v>
      </c>
      <c r="D8" s="13" t="s">
        <v>498</v>
      </c>
      <c r="E8" s="216">
        <v>843.88030900000001</v>
      </c>
      <c r="F8" s="216">
        <v>809.27683200000001</v>
      </c>
      <c r="G8" s="216">
        <v>784.347622</v>
      </c>
      <c r="H8" s="216">
        <v>750.02061800000001</v>
      </c>
      <c r="I8" s="216">
        <v>816.02387199999998</v>
      </c>
      <c r="J8" s="216">
        <v>737.39505899999995</v>
      </c>
      <c r="K8" s="216">
        <v>723.27725199999998</v>
      </c>
      <c r="L8" s="216">
        <v>749.39501700000005</v>
      </c>
      <c r="M8" s="216">
        <v>758.95530199999996</v>
      </c>
      <c r="N8" s="216">
        <v>853.84004000000004</v>
      </c>
      <c r="O8" s="216">
        <v>808.44534499999997</v>
      </c>
    </row>
    <row r="9" spans="2:16">
      <c r="B9" s="13" t="s">
        <v>20</v>
      </c>
      <c r="C9" s="13" t="s">
        <v>499</v>
      </c>
      <c r="D9" s="13" t="s">
        <v>498</v>
      </c>
      <c r="E9" s="216">
        <v>10.513030000000001</v>
      </c>
      <c r="F9" s="216">
        <v>12.272677</v>
      </c>
      <c r="G9" s="216">
        <v>17.773644999999998</v>
      </c>
      <c r="H9" s="216">
        <v>15.747453</v>
      </c>
      <c r="I9" s="216">
        <v>16.753418</v>
      </c>
      <c r="J9" s="216">
        <v>20.255607999999999</v>
      </c>
      <c r="K9" s="216">
        <v>15.25967</v>
      </c>
      <c r="L9" s="216">
        <v>16.113361999999999</v>
      </c>
      <c r="M9" s="216">
        <v>25.750720000000001</v>
      </c>
      <c r="N9" s="216">
        <v>18.18</v>
      </c>
      <c r="O9" s="216">
        <v>15.295745</v>
      </c>
    </row>
    <row r="10" spans="2:16">
      <c r="B10" s="13" t="str">
        <f>'Sectionwise Working'!B33</f>
        <v>3. Texturizing</v>
      </c>
      <c r="C10" s="13"/>
      <c r="D10" s="13"/>
      <c r="E10" s="221">
        <f>SUM(E8:E9)</f>
        <v>854.39333899999997</v>
      </c>
      <c r="F10" s="221">
        <f t="shared" ref="F10" si="11">SUM(F8:F9)</f>
        <v>821.54950900000006</v>
      </c>
      <c r="G10" s="221">
        <f t="shared" ref="G10" si="12">SUM(G8:G9)</f>
        <v>802.12126699999999</v>
      </c>
      <c r="H10" s="221">
        <f t="shared" ref="H10" si="13">SUM(H8:H9)</f>
        <v>765.76807099999996</v>
      </c>
      <c r="I10" s="221">
        <f t="shared" ref="I10" si="14">SUM(I8:I9)</f>
        <v>832.77728999999999</v>
      </c>
      <c r="J10" s="221">
        <f t="shared" ref="J10" si="15">SUM(J8:J9)</f>
        <v>757.650667</v>
      </c>
      <c r="K10" s="221">
        <f t="shared" ref="K10" si="16">SUM(K8:K9)</f>
        <v>738.536922</v>
      </c>
      <c r="L10" s="221">
        <f t="shared" ref="L10" si="17">SUM(L8:L9)</f>
        <v>765.5083790000001</v>
      </c>
      <c r="M10" s="221">
        <f t="shared" ref="M10" si="18">SUM(M8:M9)</f>
        <v>784.70602199999996</v>
      </c>
      <c r="N10" s="221">
        <f t="shared" ref="N10" si="19">SUM(N8:N9)</f>
        <v>872.02003999999999</v>
      </c>
      <c r="O10" s="221">
        <f t="shared" ref="O10" si="20">SUM(O8:O9)</f>
        <v>823.74108999999999</v>
      </c>
      <c r="P10" s="41">
        <f>AVERAGE(E10:O10)</f>
        <v>801.70659963636365</v>
      </c>
    </row>
    <row r="11" spans="2:16">
      <c r="B11" s="13" t="s">
        <v>501</v>
      </c>
      <c r="C11" s="13" t="s">
        <v>497</v>
      </c>
      <c r="D11" s="13" t="s">
        <v>498</v>
      </c>
      <c r="E11" s="216">
        <v>166.84060400000001</v>
      </c>
      <c r="F11" s="216">
        <v>217.11219500000001</v>
      </c>
      <c r="G11" s="216">
        <v>222.62146300000001</v>
      </c>
      <c r="H11" s="216">
        <v>262.55685499999998</v>
      </c>
      <c r="I11" s="216">
        <v>319.29283900000001</v>
      </c>
      <c r="J11" s="216">
        <v>449.443916</v>
      </c>
      <c r="K11" s="216">
        <v>445.442297</v>
      </c>
      <c r="L11" s="216">
        <v>419.74541900000003</v>
      </c>
      <c r="M11" s="216">
        <v>413.93703399999998</v>
      </c>
      <c r="N11" s="216">
        <v>407.61113499999999</v>
      </c>
      <c r="O11" s="216">
        <v>239.93736899999999</v>
      </c>
    </row>
    <row r="12" spans="2:16">
      <c r="B12" s="13" t="s">
        <v>501</v>
      </c>
      <c r="C12" s="13" t="s">
        <v>499</v>
      </c>
      <c r="D12" s="13" t="s">
        <v>498</v>
      </c>
      <c r="E12" s="216">
        <v>4.7839900000000002</v>
      </c>
      <c r="F12" s="216">
        <v>4.7496400000000003</v>
      </c>
      <c r="G12" s="216">
        <v>5.8225639999999999</v>
      </c>
      <c r="H12" s="216">
        <v>9.0050410000000003</v>
      </c>
      <c r="I12" s="216">
        <v>8.6125769999999999</v>
      </c>
      <c r="J12" s="216">
        <v>10.193249</v>
      </c>
      <c r="K12" s="216">
        <v>8.0938700000000008</v>
      </c>
      <c r="L12" s="216">
        <v>5.9115770000000003</v>
      </c>
      <c r="M12" s="216">
        <v>7.5419859999999996</v>
      </c>
      <c r="N12" s="216">
        <v>7.63</v>
      </c>
      <c r="O12" s="216">
        <v>4.2006480000000002</v>
      </c>
    </row>
    <row r="13" spans="2:16">
      <c r="B13" s="13" t="str">
        <f>'Sectionwise Working'!A49</f>
        <v>4. Parallel Winding</v>
      </c>
      <c r="C13" s="13"/>
      <c r="D13" s="13"/>
      <c r="E13" s="221">
        <f>SUM(E11:E12)</f>
        <v>171.624594</v>
      </c>
      <c r="F13" s="221">
        <f t="shared" ref="F13" si="21">SUM(F11:F12)</f>
        <v>221.86183500000001</v>
      </c>
      <c r="G13" s="221">
        <f t="shared" ref="G13" si="22">SUM(G11:G12)</f>
        <v>228.44402700000001</v>
      </c>
      <c r="H13" s="221">
        <f t="shared" ref="H13" si="23">SUM(H11:H12)</f>
        <v>271.56189599999999</v>
      </c>
      <c r="I13" s="221">
        <f t="shared" ref="I13" si="24">SUM(I11:I12)</f>
        <v>327.905416</v>
      </c>
      <c r="J13" s="221">
        <f t="shared" ref="J13" si="25">SUM(J11:J12)</f>
        <v>459.63716499999998</v>
      </c>
      <c r="K13" s="221">
        <f t="shared" ref="K13" si="26">SUM(K11:K12)</f>
        <v>453.53616699999998</v>
      </c>
      <c r="L13" s="221">
        <f t="shared" ref="L13" si="27">SUM(L11:L12)</f>
        <v>425.65699600000005</v>
      </c>
      <c r="M13" s="221">
        <f t="shared" ref="M13" si="28">SUM(M11:M12)</f>
        <v>421.47901999999999</v>
      </c>
      <c r="N13" s="221">
        <f t="shared" ref="N13" si="29">SUM(N11:N12)</f>
        <v>415.24113499999999</v>
      </c>
      <c r="O13" s="221">
        <f t="shared" ref="O13" si="30">SUM(O11:O12)</f>
        <v>244.13801699999999</v>
      </c>
      <c r="P13" s="41">
        <f>AVERAGE(E13:O13)</f>
        <v>331.00784254545465</v>
      </c>
    </row>
    <row r="14" spans="2:16">
      <c r="B14" s="13" t="s">
        <v>502</v>
      </c>
      <c r="C14" s="13" t="s">
        <v>497</v>
      </c>
      <c r="D14" s="13" t="s">
        <v>498</v>
      </c>
      <c r="E14" s="216">
        <v>263.67209100000002</v>
      </c>
      <c r="F14" s="216">
        <v>292.631215</v>
      </c>
      <c r="G14" s="216">
        <v>307.34729599999997</v>
      </c>
      <c r="H14" s="216">
        <v>267.10317900000001</v>
      </c>
      <c r="I14" s="216">
        <v>238.48111299999999</v>
      </c>
      <c r="J14" s="216">
        <v>232.491738</v>
      </c>
      <c r="K14" s="216">
        <v>180.38041000000001</v>
      </c>
      <c r="L14" s="216">
        <v>155.83584999999999</v>
      </c>
      <c r="M14" s="216">
        <v>175.81177</v>
      </c>
      <c r="N14" s="216">
        <v>148.05143799999999</v>
      </c>
      <c r="O14" s="216">
        <v>237.48315400000001</v>
      </c>
    </row>
    <row r="15" spans="2:16">
      <c r="B15" s="13" t="s">
        <v>502</v>
      </c>
      <c r="C15" s="13" t="s">
        <v>499</v>
      </c>
      <c r="D15" s="13" t="s">
        <v>498</v>
      </c>
      <c r="E15" s="216">
        <v>2.9689999999999999</v>
      </c>
      <c r="F15" s="216">
        <v>3.3738000000000001</v>
      </c>
      <c r="G15" s="216">
        <v>4.6277499999999998</v>
      </c>
      <c r="H15" s="216">
        <v>3.40964</v>
      </c>
      <c r="I15" s="216">
        <v>4.0446200000000001</v>
      </c>
      <c r="J15" s="216">
        <v>0.66200000000000003</v>
      </c>
      <c r="K15" s="216">
        <v>3.5683449999999999</v>
      </c>
      <c r="L15" s="216">
        <v>1.6850000000000001</v>
      </c>
      <c r="M15" s="216">
        <v>8.9353099999999994</v>
      </c>
      <c r="N15" s="216">
        <v>3.46</v>
      </c>
      <c r="O15" s="216">
        <v>6.2119999999999997</v>
      </c>
    </row>
    <row r="16" spans="2:16">
      <c r="B16" s="13" t="str">
        <f>'Monthly HC &amp; Prodn Working'!B8</f>
        <v>5. Multiply</v>
      </c>
      <c r="C16" s="13"/>
      <c r="D16" s="13"/>
      <c r="E16" s="221">
        <f>SUM(E14:E15)</f>
        <v>266.64109100000002</v>
      </c>
      <c r="F16" s="221">
        <f t="shared" ref="F16" si="31">SUM(F14:F15)</f>
        <v>296.00501500000001</v>
      </c>
      <c r="G16" s="221">
        <f t="shared" ref="G16" si="32">SUM(G14:G15)</f>
        <v>311.97504599999996</v>
      </c>
      <c r="H16" s="221">
        <f t="shared" ref="H16" si="33">SUM(H14:H15)</f>
        <v>270.51281900000004</v>
      </c>
      <c r="I16" s="221">
        <f t="shared" ref="I16" si="34">SUM(I14:I15)</f>
        <v>242.525733</v>
      </c>
      <c r="J16" s="221">
        <f t="shared" ref="J16" si="35">SUM(J14:J15)</f>
        <v>233.153738</v>
      </c>
      <c r="K16" s="221">
        <f t="shared" ref="K16" si="36">SUM(K14:K15)</f>
        <v>183.94875500000001</v>
      </c>
      <c r="L16" s="221">
        <f t="shared" ref="L16" si="37">SUM(L14:L15)</f>
        <v>157.52085</v>
      </c>
      <c r="M16" s="221">
        <f t="shared" ref="M16" si="38">SUM(M14:M15)</f>
        <v>184.74707999999998</v>
      </c>
      <c r="N16" s="221">
        <f t="shared" ref="N16" si="39">SUM(N14:N15)</f>
        <v>151.511438</v>
      </c>
      <c r="O16" s="221">
        <f t="shared" ref="O16" si="40">SUM(O14:O15)</f>
        <v>243.695154</v>
      </c>
      <c r="P16" s="41">
        <f>AVERAGE(E16:O16)</f>
        <v>231.11242899999999</v>
      </c>
    </row>
    <row r="17" spans="2:16">
      <c r="B17" s="13" t="s">
        <v>503</v>
      </c>
      <c r="C17" s="13" t="s">
        <v>497</v>
      </c>
      <c r="D17" s="13" t="s">
        <v>498</v>
      </c>
      <c r="E17" s="216">
        <v>134.68831</v>
      </c>
      <c r="F17" s="216">
        <v>141.632713</v>
      </c>
      <c r="G17" s="216">
        <v>179.23271500000001</v>
      </c>
      <c r="H17" s="216">
        <v>166.154</v>
      </c>
      <c r="I17" s="216">
        <v>183.02099999999999</v>
      </c>
      <c r="J17" s="216">
        <v>165.86699999999999</v>
      </c>
      <c r="K17" s="216">
        <v>129.18600000000001</v>
      </c>
      <c r="L17" s="216">
        <v>138.27699999999999</v>
      </c>
      <c r="M17" s="216">
        <v>129.83500000000001</v>
      </c>
      <c r="N17" s="216">
        <v>87.031999999999996</v>
      </c>
      <c r="O17" s="216">
        <v>152.37700000000001</v>
      </c>
    </row>
    <row r="18" spans="2:16">
      <c r="B18" s="13" t="s">
        <v>503</v>
      </c>
      <c r="C18" s="13" t="s">
        <v>499</v>
      </c>
      <c r="D18" s="13" t="s">
        <v>498</v>
      </c>
      <c r="E18" s="216">
        <v>1.9790000000000001</v>
      </c>
      <c r="F18" s="216">
        <v>2.0331679999999999</v>
      </c>
      <c r="G18" s="216">
        <v>3.742874</v>
      </c>
      <c r="H18" s="216">
        <v>3.165</v>
      </c>
      <c r="I18" s="216">
        <v>2.786</v>
      </c>
      <c r="J18" s="216">
        <v>0.40500000000000003</v>
      </c>
      <c r="K18" s="216">
        <v>1.081</v>
      </c>
      <c r="L18" s="216">
        <v>3.161</v>
      </c>
      <c r="M18" s="216">
        <v>6.48</v>
      </c>
      <c r="N18" s="216">
        <v>0.87</v>
      </c>
      <c r="O18" s="216">
        <v>3.3759999999999999</v>
      </c>
    </row>
    <row r="19" spans="2:16">
      <c r="B19" s="13"/>
      <c r="C19" s="13"/>
      <c r="D19" s="13"/>
      <c r="E19" s="221">
        <f>SUM(E17:E18)</f>
        <v>136.66731000000001</v>
      </c>
      <c r="F19" s="221">
        <f t="shared" ref="F19" si="41">SUM(F17:F18)</f>
        <v>143.66588099999998</v>
      </c>
      <c r="G19" s="221">
        <f t="shared" ref="G19" si="42">SUM(G17:G18)</f>
        <v>182.97558900000001</v>
      </c>
      <c r="H19" s="221">
        <f t="shared" ref="H19" si="43">SUM(H17:H18)</f>
        <v>169.31899999999999</v>
      </c>
      <c r="I19" s="221">
        <f t="shared" ref="I19" si="44">SUM(I17:I18)</f>
        <v>185.80699999999999</v>
      </c>
      <c r="J19" s="221">
        <f t="shared" ref="J19" si="45">SUM(J17:J18)</f>
        <v>166.27199999999999</v>
      </c>
      <c r="K19" s="221">
        <f t="shared" ref="K19" si="46">SUM(K17:K18)</f>
        <v>130.267</v>
      </c>
      <c r="L19" s="221">
        <f t="shared" ref="L19" si="47">SUM(L17:L18)</f>
        <v>141.43799999999999</v>
      </c>
      <c r="M19" s="221">
        <f t="shared" ref="M19" si="48">SUM(M17:M18)</f>
        <v>136.315</v>
      </c>
      <c r="N19" s="221">
        <f t="shared" ref="N19" si="49">SUM(N17:N18)</f>
        <v>87.902000000000001</v>
      </c>
      <c r="O19" s="221">
        <f t="shared" ref="O19" si="50">SUM(O17:O18)</f>
        <v>155.75300000000001</v>
      </c>
      <c r="P19" s="41">
        <f>AVERAGE(E19:O19)</f>
        <v>148.76197999999999</v>
      </c>
    </row>
    <row r="20" spans="2:16">
      <c r="B20" s="13" t="s">
        <v>504</v>
      </c>
      <c r="C20" s="13" t="s">
        <v>497</v>
      </c>
      <c r="D20" s="13" t="s">
        <v>498</v>
      </c>
      <c r="E20" s="216">
        <v>121.125843</v>
      </c>
      <c r="F20" s="216">
        <v>117.644317</v>
      </c>
      <c r="G20" s="216">
        <v>107.299385</v>
      </c>
      <c r="H20" s="216">
        <v>61.563169000000002</v>
      </c>
      <c r="I20" s="216">
        <v>65.029467999999994</v>
      </c>
      <c r="J20" s="216">
        <v>68.801293000000001</v>
      </c>
      <c r="K20" s="216">
        <v>47.99823</v>
      </c>
      <c r="L20" s="216">
        <v>32.808999999999997</v>
      </c>
      <c r="M20" s="216">
        <v>40.558509999999998</v>
      </c>
      <c r="N20" s="216">
        <v>46.195999999999998</v>
      </c>
      <c r="O20" s="216">
        <v>24.90138</v>
      </c>
    </row>
    <row r="21" spans="2:16">
      <c r="B21" s="13" t="s">
        <v>504</v>
      </c>
      <c r="C21" s="13" t="s">
        <v>499</v>
      </c>
      <c r="D21" s="13" t="s">
        <v>498</v>
      </c>
      <c r="E21" s="216">
        <v>0.47099999999999997</v>
      </c>
      <c r="F21" s="216">
        <v>0.87</v>
      </c>
      <c r="G21" s="216">
        <v>0.24</v>
      </c>
      <c r="H21" s="216">
        <v>0.45500000000000002</v>
      </c>
      <c r="I21" s="216">
        <v>0.89500000000000002</v>
      </c>
      <c r="J21" s="216">
        <v>0.315</v>
      </c>
      <c r="K21" s="216">
        <v>1.0269999999999999</v>
      </c>
      <c r="L21" s="216">
        <v>0.90100000000000002</v>
      </c>
      <c r="M21" s="216">
        <v>0.98599999999999999</v>
      </c>
      <c r="N21" s="216">
        <v>1.7</v>
      </c>
      <c r="O21" s="216">
        <v>1.8129999999999999</v>
      </c>
    </row>
    <row r="22" spans="2:16">
      <c r="E22" s="221">
        <f>SUM(E20:E21)</f>
        <v>121.59684300000001</v>
      </c>
      <c r="F22" s="221">
        <f t="shared" ref="F22" si="51">SUM(F20:F21)</f>
        <v>118.51431700000001</v>
      </c>
      <c r="G22" s="221">
        <f t="shared" ref="G22" si="52">SUM(G20:G21)</f>
        <v>107.539385</v>
      </c>
      <c r="H22" s="221">
        <f t="shared" ref="H22" si="53">SUM(H20:H21)</f>
        <v>62.018169</v>
      </c>
      <c r="I22" s="221">
        <f t="shared" ref="I22" si="54">SUM(I20:I21)</f>
        <v>65.92446799999999</v>
      </c>
      <c r="J22" s="221">
        <f t="shared" ref="J22" si="55">SUM(J20:J21)</f>
        <v>69.116292999999999</v>
      </c>
      <c r="K22" s="221">
        <f t="shared" ref="K22" si="56">SUM(K20:K21)</f>
        <v>49.025230000000001</v>
      </c>
      <c r="L22" s="221">
        <f t="shared" ref="L22" si="57">SUM(L20:L21)</f>
        <v>33.71</v>
      </c>
      <c r="M22" s="221">
        <f t="shared" ref="M22" si="58">SUM(M20:M21)</f>
        <v>41.544509999999995</v>
      </c>
      <c r="N22" s="221">
        <f t="shared" ref="N22" si="59">SUM(N20:N21)</f>
        <v>47.896000000000001</v>
      </c>
      <c r="O22" s="221">
        <f t="shared" ref="O22" si="60">SUM(O20:O21)</f>
        <v>26.714379999999998</v>
      </c>
      <c r="P22" s="41">
        <f>AVERAGE(E22:O22)</f>
        <v>67.599963181818168</v>
      </c>
    </row>
    <row r="23" spans="2:16">
      <c r="B23" s="13" t="s">
        <v>23</v>
      </c>
      <c r="C23" s="13" t="s">
        <v>497</v>
      </c>
      <c r="D23" s="13" t="s">
        <v>498</v>
      </c>
      <c r="E23" s="216">
        <v>710.67094199999997</v>
      </c>
      <c r="F23" s="216">
        <v>760.94340699999998</v>
      </c>
      <c r="G23" s="216">
        <v>802.00399200000004</v>
      </c>
      <c r="H23" s="216">
        <v>884.29931899999997</v>
      </c>
      <c r="I23" s="216">
        <v>826.02206899999999</v>
      </c>
      <c r="J23" s="216">
        <v>778.83724099999995</v>
      </c>
      <c r="K23" s="216">
        <v>612.87820299999998</v>
      </c>
      <c r="L23" s="216">
        <v>754.70104000000003</v>
      </c>
      <c r="M23" s="216">
        <v>758.68625699999996</v>
      </c>
      <c r="N23" s="216">
        <v>880.06743600000004</v>
      </c>
      <c r="O23" s="216">
        <v>827.53310599999998</v>
      </c>
    </row>
    <row r="24" spans="2:16">
      <c r="B24" s="13" t="s">
        <v>23</v>
      </c>
      <c r="C24" s="13" t="s">
        <v>499</v>
      </c>
      <c r="D24" s="13" t="s">
        <v>498</v>
      </c>
      <c r="E24" s="216">
        <v>17.420999999999999</v>
      </c>
      <c r="F24" s="216">
        <v>13.490112</v>
      </c>
      <c r="G24" s="216">
        <v>29.069701999999999</v>
      </c>
      <c r="H24" s="216">
        <v>13.073584</v>
      </c>
      <c r="I24" s="216">
        <v>22.826499999999996</v>
      </c>
      <c r="J24" s="216">
        <v>23.682372000000001</v>
      </c>
      <c r="K24" s="216">
        <v>26.419049999999999</v>
      </c>
      <c r="L24" s="216">
        <v>12.036783</v>
      </c>
      <c r="M24" s="216">
        <v>36.655451999999997</v>
      </c>
      <c r="N24" s="216">
        <v>24.17</v>
      </c>
      <c r="O24" s="216">
        <v>11.900776</v>
      </c>
    </row>
    <row r="25" spans="2:16">
      <c r="B25" s="13" t="str">
        <f>'Sectionwise Working'!B64</f>
        <v>6. Cabling</v>
      </c>
      <c r="C25" s="13"/>
      <c r="D25" s="13"/>
      <c r="E25" s="221">
        <f>SUM(E23:E24)</f>
        <v>728.09194200000002</v>
      </c>
      <c r="F25" s="221">
        <f t="shared" ref="F25" si="61">SUM(F23:F24)</f>
        <v>774.43351899999993</v>
      </c>
      <c r="G25" s="221">
        <f t="shared" ref="G25" si="62">SUM(G23:G24)</f>
        <v>831.07369400000005</v>
      </c>
      <c r="H25" s="221">
        <f t="shared" ref="H25" si="63">SUM(H23:H24)</f>
        <v>897.37290299999995</v>
      </c>
      <c r="I25" s="221">
        <f t="shared" ref="I25" si="64">SUM(I23:I24)</f>
        <v>848.848569</v>
      </c>
      <c r="J25" s="221">
        <f t="shared" ref="J25" si="65">SUM(J23:J24)</f>
        <v>802.51961299999994</v>
      </c>
      <c r="K25" s="221">
        <f t="shared" ref="K25" si="66">SUM(K23:K24)</f>
        <v>639.29725299999996</v>
      </c>
      <c r="L25" s="221">
        <f t="shared" ref="L25" si="67">SUM(L23:L24)</f>
        <v>766.73782300000005</v>
      </c>
      <c r="M25" s="221">
        <f t="shared" ref="M25" si="68">SUM(M23:M24)</f>
        <v>795.34170899999992</v>
      </c>
      <c r="N25" s="221">
        <f t="shared" ref="N25" si="69">SUM(N23:N24)</f>
        <v>904.237436</v>
      </c>
      <c r="O25" s="221">
        <f t="shared" ref="O25" si="70">SUM(O23:O24)</f>
        <v>839.43388199999993</v>
      </c>
      <c r="P25" s="41">
        <f>AVERAGE(E25:O25)</f>
        <v>802.48984936363638</v>
      </c>
    </row>
    <row r="26" spans="2:16">
      <c r="B26" s="13" t="s">
        <v>505</v>
      </c>
      <c r="C26" s="13" t="s">
        <v>497</v>
      </c>
      <c r="D26" s="13" t="s">
        <v>498</v>
      </c>
      <c r="E26" s="216">
        <v>154.05753999999999</v>
      </c>
      <c r="F26" s="216">
        <v>163.182683</v>
      </c>
      <c r="G26" s="216">
        <v>192.17753300000001</v>
      </c>
      <c r="H26" s="216">
        <v>187.26334700000001</v>
      </c>
      <c r="I26" s="216">
        <v>173.16147000000001</v>
      </c>
      <c r="J26" s="216">
        <v>130.122468</v>
      </c>
      <c r="K26" s="216">
        <v>22.84357</v>
      </c>
      <c r="L26" s="216">
        <v>175.803012</v>
      </c>
      <c r="M26" s="216">
        <v>176.06227999999999</v>
      </c>
      <c r="N26" s="216">
        <v>193.220665</v>
      </c>
      <c r="O26" s="216">
        <v>159.06455800000001</v>
      </c>
    </row>
    <row r="27" spans="2:16">
      <c r="B27" s="13" t="s">
        <v>505</v>
      </c>
      <c r="C27" s="13" t="s">
        <v>499</v>
      </c>
      <c r="D27" s="13" t="s">
        <v>498</v>
      </c>
      <c r="E27" s="216">
        <v>4.2329999999999997</v>
      </c>
      <c r="F27" s="216">
        <v>2.4710000000000001</v>
      </c>
      <c r="G27" s="216">
        <v>3.3410000000000002</v>
      </c>
      <c r="H27" s="216">
        <v>2.2010000000000001</v>
      </c>
      <c r="I27" s="216">
        <v>3.9780000000000002</v>
      </c>
      <c r="J27" s="216">
        <v>7.6193059999999999</v>
      </c>
      <c r="K27" s="216">
        <v>3.8167</v>
      </c>
      <c r="L27" s="216">
        <v>4.2751200000000003</v>
      </c>
      <c r="M27" s="216">
        <v>5.2446770000000003</v>
      </c>
      <c r="N27" s="216">
        <v>1.32</v>
      </c>
      <c r="O27" s="216">
        <v>1.445284</v>
      </c>
    </row>
    <row r="28" spans="2:16">
      <c r="B28" s="13" t="str">
        <f>'Sectionwise Working'!B79</f>
        <v>Superba Heat Set</v>
      </c>
      <c r="C28" s="13"/>
      <c r="D28" s="13"/>
      <c r="E28" s="221">
        <f>SUM(E26:E27,E29:E30)</f>
        <v>812.90573399999994</v>
      </c>
      <c r="F28" s="221">
        <f t="shared" ref="F28:O28" si="71">SUM(F26:F27,F29:F30)</f>
        <v>776.90155100000004</v>
      </c>
      <c r="G28" s="221">
        <f t="shared" si="71"/>
        <v>993.85125600000015</v>
      </c>
      <c r="H28" s="221">
        <f t="shared" si="71"/>
        <v>1110.5154869999999</v>
      </c>
      <c r="I28" s="221">
        <f t="shared" si="71"/>
        <v>1039.2043879999999</v>
      </c>
      <c r="J28" s="221">
        <f t="shared" si="71"/>
        <v>903.87420999999995</v>
      </c>
      <c r="K28" s="221">
        <f t="shared" si="71"/>
        <v>732.55005499999993</v>
      </c>
      <c r="L28" s="221">
        <f t="shared" si="71"/>
        <v>772.42666999999994</v>
      </c>
      <c r="M28" s="221">
        <f t="shared" si="71"/>
        <v>821.86656700000003</v>
      </c>
      <c r="N28" s="221">
        <f t="shared" si="71"/>
        <v>914.84629699999994</v>
      </c>
      <c r="O28" s="221">
        <f t="shared" si="71"/>
        <v>904.19458799999995</v>
      </c>
      <c r="P28" s="41">
        <f>AVERAGE(E28:O28)</f>
        <v>889.37607299999991</v>
      </c>
    </row>
    <row r="29" spans="2:16">
      <c r="B29" s="13" t="s">
        <v>506</v>
      </c>
      <c r="C29" s="13" t="s">
        <v>497</v>
      </c>
      <c r="D29" s="13" t="s">
        <v>498</v>
      </c>
      <c r="E29" s="216">
        <v>643.739194</v>
      </c>
      <c r="F29" s="216">
        <v>601.79416800000001</v>
      </c>
      <c r="G29" s="216">
        <v>786.04172300000005</v>
      </c>
      <c r="H29" s="216">
        <v>910.99383999999998</v>
      </c>
      <c r="I29" s="216">
        <v>851.56706999999983</v>
      </c>
      <c r="J29" s="216">
        <v>754.22250499999996</v>
      </c>
      <c r="K29" s="216">
        <v>689.28613499999994</v>
      </c>
      <c r="L29" s="216">
        <v>584.12883799999997</v>
      </c>
      <c r="M29" s="216">
        <v>615.25687100000005</v>
      </c>
      <c r="N29" s="216">
        <v>702.03563199999996</v>
      </c>
      <c r="O29" s="216">
        <v>731.71911799999998</v>
      </c>
    </row>
    <row r="30" spans="2:16">
      <c r="B30" s="13" t="s">
        <v>506</v>
      </c>
      <c r="C30" s="13" t="s">
        <v>499</v>
      </c>
      <c r="D30" s="13" t="s">
        <v>498</v>
      </c>
      <c r="E30" s="216">
        <v>10.875999999999999</v>
      </c>
      <c r="F30" s="216">
        <v>9.4536999999999995</v>
      </c>
      <c r="G30" s="216">
        <v>12.291</v>
      </c>
      <c r="H30" s="216">
        <v>10.0573</v>
      </c>
      <c r="I30" s="216">
        <v>10.497847999999999</v>
      </c>
      <c r="J30" s="216">
        <v>11.909931</v>
      </c>
      <c r="K30" s="216">
        <v>16.603649999999998</v>
      </c>
      <c r="L30" s="216">
        <v>8.2196999999999996</v>
      </c>
      <c r="M30" s="216">
        <v>25.302738999999999</v>
      </c>
      <c r="N30" s="216">
        <v>18.27</v>
      </c>
      <c r="O30" s="216">
        <v>11.965628000000001</v>
      </c>
    </row>
    <row r="32" spans="2:16">
      <c r="B32" s="217" t="s">
        <v>1</v>
      </c>
      <c r="C32" s="217" t="s">
        <v>56</v>
      </c>
      <c r="D32" s="217" t="s">
        <v>507</v>
      </c>
      <c r="E32" s="218" t="s">
        <v>508</v>
      </c>
      <c r="F32" s="218" t="s">
        <v>509</v>
      </c>
      <c r="G32" s="218">
        <v>45444</v>
      </c>
      <c r="H32" s="218">
        <v>45475</v>
      </c>
      <c r="I32" s="218">
        <v>45506</v>
      </c>
      <c r="J32" s="218">
        <v>45537</v>
      </c>
      <c r="K32" s="218">
        <v>45568</v>
      </c>
      <c r="L32" s="218">
        <v>45599</v>
      </c>
      <c r="M32" s="218">
        <v>45630</v>
      </c>
      <c r="N32" s="218">
        <v>45661</v>
      </c>
      <c r="O32" s="218">
        <v>45692</v>
      </c>
    </row>
    <row r="33" spans="2:16">
      <c r="B33" s="210" t="s">
        <v>517</v>
      </c>
      <c r="C33" s="210" t="s">
        <v>497</v>
      </c>
      <c r="D33" s="210" t="s">
        <v>511</v>
      </c>
      <c r="E33" s="219">
        <v>1192538.3130000001</v>
      </c>
      <c r="F33" s="219">
        <v>1345630.888</v>
      </c>
      <c r="G33" s="219">
        <v>1455353.523</v>
      </c>
      <c r="H33" s="219">
        <v>1525404.074</v>
      </c>
      <c r="I33" s="219">
        <v>1574401.6310000001</v>
      </c>
      <c r="J33" s="219">
        <v>1477752.4650000001</v>
      </c>
      <c r="K33" s="219">
        <v>1167177.703</v>
      </c>
      <c r="L33" s="219">
        <v>924775.26800000004</v>
      </c>
      <c r="M33" s="219">
        <v>1034242.647</v>
      </c>
      <c r="N33" s="219">
        <v>1237536.125</v>
      </c>
      <c r="O33" s="219">
        <v>1183616.514</v>
      </c>
    </row>
    <row r="34" spans="2:16">
      <c r="B34" s="210" t="s">
        <v>517</v>
      </c>
      <c r="C34" s="210" t="s">
        <v>499</v>
      </c>
      <c r="D34" s="210" t="s">
        <v>511</v>
      </c>
      <c r="E34" s="219">
        <v>14733.86</v>
      </c>
      <c r="F34" s="219">
        <v>16598.54</v>
      </c>
      <c r="G34" s="219">
        <v>12598.57</v>
      </c>
      <c r="H34" s="219">
        <v>17426.87</v>
      </c>
      <c r="I34" s="219">
        <v>15703.18</v>
      </c>
      <c r="J34" s="219">
        <v>18269.810000000001</v>
      </c>
      <c r="K34" s="219">
        <v>26170.92</v>
      </c>
      <c r="L34" s="219">
        <v>30318.829999999998</v>
      </c>
      <c r="M34" s="219">
        <v>14447.68</v>
      </c>
      <c r="N34" s="219">
        <v>17123.14</v>
      </c>
      <c r="O34" s="219">
        <v>10970.07</v>
      </c>
    </row>
    <row r="35" spans="2:16">
      <c r="B35" t="str">
        <f>'Monthly HC &amp; Prodn Working'!B15</f>
        <v>8. Tufting</v>
      </c>
      <c r="E35" s="221">
        <f>SUM(E33:E34)</f>
        <v>1207272.1730000002</v>
      </c>
      <c r="F35" s="221">
        <f t="shared" ref="F35:O35" si="72">SUM(F33:F34)</f>
        <v>1362229.4280000001</v>
      </c>
      <c r="G35" s="221">
        <f t="shared" si="72"/>
        <v>1467952.0930000001</v>
      </c>
      <c r="H35" s="221">
        <f t="shared" si="72"/>
        <v>1542830.9440000001</v>
      </c>
      <c r="I35" s="221">
        <f t="shared" si="72"/>
        <v>1590104.811</v>
      </c>
      <c r="J35" s="221">
        <f t="shared" si="72"/>
        <v>1496022.2750000001</v>
      </c>
      <c r="K35" s="221">
        <f t="shared" si="72"/>
        <v>1193348.6229999999</v>
      </c>
      <c r="L35" s="221">
        <f t="shared" si="72"/>
        <v>955094.098</v>
      </c>
      <c r="M35" s="221">
        <f t="shared" si="72"/>
        <v>1048690.327</v>
      </c>
      <c r="N35" s="221">
        <f t="shared" si="72"/>
        <v>1254659.2649999999</v>
      </c>
      <c r="O35" s="221">
        <f t="shared" si="72"/>
        <v>1194586.584</v>
      </c>
      <c r="P35" s="41">
        <f>AVERAGE(E35:O35)</f>
        <v>1301162.7837272726</v>
      </c>
    </row>
    <row r="37" spans="2:16">
      <c r="B37" s="217" t="s">
        <v>494</v>
      </c>
      <c r="C37" s="217" t="s">
        <v>56</v>
      </c>
      <c r="D37" s="217" t="s">
        <v>507</v>
      </c>
      <c r="E37" s="218" t="s">
        <v>508</v>
      </c>
      <c r="F37" s="218" t="s">
        <v>509</v>
      </c>
      <c r="G37" s="218">
        <v>45444</v>
      </c>
      <c r="H37" s="218">
        <v>45475</v>
      </c>
      <c r="I37" s="218">
        <v>45506</v>
      </c>
      <c r="J37" s="218">
        <v>45537</v>
      </c>
      <c r="K37" s="218">
        <v>45568</v>
      </c>
      <c r="L37" s="218">
        <v>45599</v>
      </c>
      <c r="M37" s="218">
        <v>45630</v>
      </c>
      <c r="N37" s="218">
        <v>45661</v>
      </c>
      <c r="O37" s="218">
        <v>45692</v>
      </c>
      <c r="P37" t="s">
        <v>518</v>
      </c>
    </row>
    <row r="38" spans="2:16">
      <c r="B38" s="210" t="s">
        <v>510</v>
      </c>
      <c r="C38" s="210" t="s">
        <v>497</v>
      </c>
      <c r="D38" s="210" t="s">
        <v>511</v>
      </c>
      <c r="E38" s="219">
        <v>86988.84</v>
      </c>
      <c r="F38" s="219">
        <v>105755.61</v>
      </c>
      <c r="G38" s="219">
        <v>58789.88</v>
      </c>
      <c r="H38" s="219">
        <v>63098.59</v>
      </c>
      <c r="I38" s="219">
        <v>109410.715</v>
      </c>
      <c r="J38" s="219">
        <v>81372.12</v>
      </c>
      <c r="K38" s="219">
        <v>122361.73</v>
      </c>
      <c r="L38" s="219">
        <v>85621.98</v>
      </c>
      <c r="M38" s="219">
        <v>153444.79999999999</v>
      </c>
      <c r="N38" s="219">
        <v>124820.36</v>
      </c>
      <c r="O38" s="219">
        <v>129976.38</v>
      </c>
    </row>
    <row r="39" spans="2:16">
      <c r="B39" s="210" t="s">
        <v>510</v>
      </c>
      <c r="C39" s="210" t="s">
        <v>499</v>
      </c>
      <c r="D39" s="210" t="s">
        <v>511</v>
      </c>
      <c r="E39" s="219">
        <v>3435.2649999999999</v>
      </c>
      <c r="F39" s="219">
        <v>4658.9560000000001</v>
      </c>
      <c r="G39" s="219">
        <v>5476.97</v>
      </c>
      <c r="H39" s="219">
        <v>3367.33</v>
      </c>
      <c r="I39" s="219">
        <v>2589.75</v>
      </c>
      <c r="J39" s="219">
        <v>6169.42</v>
      </c>
      <c r="K39" s="219">
        <v>3256.63</v>
      </c>
      <c r="L39" s="219">
        <v>761</v>
      </c>
      <c r="M39" s="219">
        <v>2225.7199999999998</v>
      </c>
      <c r="N39" s="219">
        <v>941.17</v>
      </c>
      <c r="O39" s="219">
        <v>1.1683399999999999</v>
      </c>
    </row>
    <row r="40" spans="2:16">
      <c r="B40" s="210" t="str">
        <f>'Monthly HC &amp; Prodn Working'!B18</f>
        <v>10.1 Carpet Tiles</v>
      </c>
      <c r="C40" s="210"/>
      <c r="D40" s="210"/>
      <c r="E40" s="221">
        <f>SUM(E38:E39)</f>
        <v>90424.104999999996</v>
      </c>
      <c r="F40" s="221">
        <f t="shared" ref="F40:O40" si="73">SUM(F38:F39)</f>
        <v>110414.56600000001</v>
      </c>
      <c r="G40" s="221">
        <f t="shared" si="73"/>
        <v>64266.85</v>
      </c>
      <c r="H40" s="221">
        <f t="shared" si="73"/>
        <v>66465.919999999998</v>
      </c>
      <c r="I40" s="221">
        <f t="shared" si="73"/>
        <v>112000.465</v>
      </c>
      <c r="J40" s="221">
        <f t="shared" si="73"/>
        <v>87541.54</v>
      </c>
      <c r="K40" s="221">
        <f t="shared" si="73"/>
        <v>125618.36</v>
      </c>
      <c r="L40" s="221">
        <f t="shared" si="73"/>
        <v>86382.98</v>
      </c>
      <c r="M40" s="221">
        <f t="shared" si="73"/>
        <v>155670.51999999999</v>
      </c>
      <c r="N40" s="221">
        <f t="shared" si="73"/>
        <v>125761.53</v>
      </c>
      <c r="O40" s="221">
        <f t="shared" si="73"/>
        <v>129977.54834000001</v>
      </c>
      <c r="P40" s="41">
        <f>AVERAGE(E40:O40)</f>
        <v>104956.76221272728</v>
      </c>
    </row>
    <row r="41" spans="2:16">
      <c r="B41" s="210" t="s">
        <v>512</v>
      </c>
      <c r="C41" s="210" t="s">
        <v>497</v>
      </c>
      <c r="D41" s="210" t="s">
        <v>511</v>
      </c>
      <c r="E41" s="219">
        <v>240798.12299999999</v>
      </c>
      <c r="F41" s="219">
        <v>396689.99099999998</v>
      </c>
      <c r="G41" s="219">
        <v>486637.22100000002</v>
      </c>
      <c r="H41" s="219">
        <v>501124.79599999997</v>
      </c>
      <c r="I41" s="219">
        <v>399619.27399999998</v>
      </c>
      <c r="J41" s="219">
        <v>407115.98100000003</v>
      </c>
      <c r="K41" s="219">
        <v>250577.201</v>
      </c>
      <c r="L41" s="219">
        <v>177958.88400000002</v>
      </c>
      <c r="M41" s="219">
        <v>292296.68</v>
      </c>
      <c r="N41" s="219">
        <v>324588.63099999999</v>
      </c>
      <c r="O41" s="219">
        <v>406146.90899999999</v>
      </c>
    </row>
    <row r="42" spans="2:16">
      <c r="B42" s="210" t="str">
        <f>'Monthly HC &amp; Prodn Working'!B19</f>
        <v>10.2 W2W</v>
      </c>
      <c r="C42" s="210"/>
      <c r="D42" s="210"/>
      <c r="E42" s="222">
        <f>E41</f>
        <v>240798.12299999999</v>
      </c>
      <c r="F42" s="222">
        <f t="shared" ref="F42:O42" si="74">F41</f>
        <v>396689.99099999998</v>
      </c>
      <c r="G42" s="222">
        <f t="shared" si="74"/>
        <v>486637.22100000002</v>
      </c>
      <c r="H42" s="222">
        <f t="shared" si="74"/>
        <v>501124.79599999997</v>
      </c>
      <c r="I42" s="222">
        <f t="shared" si="74"/>
        <v>399619.27399999998</v>
      </c>
      <c r="J42" s="222">
        <f t="shared" si="74"/>
        <v>407115.98100000003</v>
      </c>
      <c r="K42" s="222">
        <f t="shared" si="74"/>
        <v>250577.201</v>
      </c>
      <c r="L42" s="222">
        <f t="shared" si="74"/>
        <v>177958.88400000002</v>
      </c>
      <c r="M42" s="222">
        <f t="shared" si="74"/>
        <v>292296.68</v>
      </c>
      <c r="N42" s="222">
        <f t="shared" si="74"/>
        <v>324588.63099999999</v>
      </c>
      <c r="O42" s="222">
        <f t="shared" si="74"/>
        <v>406146.90899999999</v>
      </c>
      <c r="P42" s="41">
        <f>AVERAGE(E42:O42)</f>
        <v>353050.33554545458</v>
      </c>
    </row>
    <row r="43" spans="2:16">
      <c r="B43" s="210" t="s">
        <v>512</v>
      </c>
      <c r="C43" s="210" t="s">
        <v>513</v>
      </c>
      <c r="D43" s="210" t="s">
        <v>511</v>
      </c>
      <c r="E43" s="219">
        <v>75301.318000000276</v>
      </c>
      <c r="F43" s="219">
        <v>96253.330000000511</v>
      </c>
      <c r="G43" s="219">
        <v>134864.26100000157</v>
      </c>
      <c r="H43" s="219">
        <v>174739.89000000054</v>
      </c>
      <c r="I43" s="219">
        <v>118610.16600000083</v>
      </c>
      <c r="J43" s="219">
        <v>127566.04000000113</v>
      </c>
      <c r="K43" s="219">
        <v>43841.084000000024</v>
      </c>
      <c r="L43" s="219">
        <v>76668.033000000098</v>
      </c>
      <c r="M43" s="219">
        <v>143894.35800000167</v>
      </c>
      <c r="N43" s="219">
        <v>77571.160999999847</v>
      </c>
      <c r="O43" s="219">
        <v>78510.233999999895</v>
      </c>
    </row>
    <row r="44" spans="2:16">
      <c r="B44" s="210" t="s">
        <v>512</v>
      </c>
      <c r="C44" s="210" t="s">
        <v>45</v>
      </c>
      <c r="D44" s="210" t="s">
        <v>511</v>
      </c>
      <c r="E44" s="219">
        <v>13824.07</v>
      </c>
      <c r="F44" s="219">
        <v>11595.36</v>
      </c>
      <c r="G44" s="219">
        <v>23194.78</v>
      </c>
      <c r="H44" s="219">
        <v>35726.22</v>
      </c>
      <c r="I44" s="219">
        <v>18005.044000000002</v>
      </c>
      <c r="J44" s="219">
        <v>21873.88</v>
      </c>
      <c r="K44" s="219">
        <v>26605.18</v>
      </c>
      <c r="L44" s="219">
        <v>13889.26</v>
      </c>
      <c r="M44" s="219">
        <v>15034.179999999998</v>
      </c>
      <c r="N44" s="220">
        <v>0</v>
      </c>
      <c r="O44" s="219">
        <v>0</v>
      </c>
    </row>
    <row r="45" spans="2:16">
      <c r="B45" s="210" t="s">
        <v>512</v>
      </c>
      <c r="C45" s="210" t="s">
        <v>514</v>
      </c>
      <c r="D45" s="210" t="s">
        <v>511</v>
      </c>
      <c r="E45" s="219">
        <v>151697.23499999999</v>
      </c>
      <c r="F45" s="219">
        <v>258646.90100000001</v>
      </c>
      <c r="G45" s="219">
        <v>307369.61</v>
      </c>
      <c r="H45" s="219">
        <v>264039.61599999998</v>
      </c>
      <c r="I45" s="219">
        <v>237320.614</v>
      </c>
      <c r="J45" s="219">
        <v>227511.291</v>
      </c>
      <c r="K45" s="219">
        <v>180130.93700000001</v>
      </c>
      <c r="L45" s="219">
        <v>78090.641000000003</v>
      </c>
      <c r="M45" s="219">
        <v>133368.14199999999</v>
      </c>
      <c r="N45" s="220">
        <v>0</v>
      </c>
      <c r="O45" s="219">
        <v>0</v>
      </c>
    </row>
    <row r="46" spans="2:16">
      <c r="B46" s="210" t="s">
        <v>512</v>
      </c>
      <c r="C46" s="210" t="s">
        <v>499</v>
      </c>
      <c r="D46" s="210" t="s">
        <v>511</v>
      </c>
      <c r="E46" s="219">
        <v>3200.13</v>
      </c>
      <c r="F46" s="219">
        <v>5962.02</v>
      </c>
      <c r="G46" s="219">
        <v>6276.61</v>
      </c>
      <c r="H46" s="219">
        <v>7023.42</v>
      </c>
      <c r="I46" s="219">
        <v>3960.9189999999999</v>
      </c>
      <c r="J46" s="219">
        <v>7156.06</v>
      </c>
      <c r="K46" s="219">
        <v>5278.2820000000002</v>
      </c>
      <c r="L46" s="219">
        <v>8914.6629999999986</v>
      </c>
      <c r="M46" s="219">
        <v>6033.3940000000002</v>
      </c>
      <c r="N46" s="219">
        <v>12328.749</v>
      </c>
      <c r="O46" s="219">
        <v>7434.51</v>
      </c>
    </row>
    <row r="47" spans="2:16">
      <c r="B47" s="210" t="s">
        <v>272</v>
      </c>
      <c r="C47" s="210" t="s">
        <v>497</v>
      </c>
      <c r="D47" s="210" t="s">
        <v>511</v>
      </c>
      <c r="E47" s="219">
        <v>5952</v>
      </c>
      <c r="F47" s="219">
        <v>0</v>
      </c>
      <c r="G47" s="219">
        <v>13332</v>
      </c>
      <c r="H47" s="219">
        <v>9578</v>
      </c>
      <c r="I47" s="219">
        <v>16543</v>
      </c>
      <c r="J47" s="219">
        <v>10351.32</v>
      </c>
      <c r="K47" s="219">
        <v>28426</v>
      </c>
      <c r="L47" s="219">
        <v>4.0000000000000001E-3</v>
      </c>
      <c r="M47" s="219">
        <v>20074</v>
      </c>
      <c r="N47" s="219"/>
      <c r="O47" s="219"/>
    </row>
    <row r="48" spans="2:16">
      <c r="B48" s="210" t="s">
        <v>92</v>
      </c>
      <c r="C48" s="210" t="s">
        <v>497</v>
      </c>
      <c r="D48" s="210" t="s">
        <v>511</v>
      </c>
      <c r="E48" s="219">
        <v>131712</v>
      </c>
      <c r="F48" s="219">
        <v>173256.0800000001</v>
      </c>
      <c r="G48" s="219">
        <v>220627.58999999994</v>
      </c>
      <c r="H48" s="219">
        <v>191673.34000000003</v>
      </c>
      <c r="I48" s="219">
        <v>172540.49299999999</v>
      </c>
      <c r="J48" s="219">
        <v>190256.06</v>
      </c>
      <c r="K48" s="219">
        <v>200236.46100000001</v>
      </c>
      <c r="L48" s="219">
        <v>108663.41</v>
      </c>
      <c r="M48" s="219">
        <v>106105.211</v>
      </c>
      <c r="N48" s="219">
        <v>171743.62400000001</v>
      </c>
      <c r="O48" s="219">
        <v>262488.90000000002</v>
      </c>
    </row>
    <row r="49" spans="2:16">
      <c r="B49" s="210" t="str">
        <f>'Monthly HC &amp; Prodn Working'!B20</f>
        <v>CSP</v>
      </c>
      <c r="C49" s="210"/>
      <c r="D49" s="210"/>
      <c r="E49" s="222">
        <f>E48</f>
        <v>131712</v>
      </c>
      <c r="F49" s="222">
        <f t="shared" ref="F49" si="75">F48</f>
        <v>173256.0800000001</v>
      </c>
      <c r="G49" s="222">
        <f t="shared" ref="G49" si="76">G48</f>
        <v>220627.58999999994</v>
      </c>
      <c r="H49" s="222">
        <f t="shared" ref="H49" si="77">H48</f>
        <v>191673.34000000003</v>
      </c>
      <c r="I49" s="222">
        <f t="shared" ref="I49" si="78">I48</f>
        <v>172540.49299999999</v>
      </c>
      <c r="J49" s="222">
        <f t="shared" ref="J49" si="79">J48</f>
        <v>190256.06</v>
      </c>
      <c r="K49" s="222">
        <f t="shared" ref="K49" si="80">K48</f>
        <v>200236.46100000001</v>
      </c>
      <c r="L49" s="222">
        <f t="shared" ref="L49" si="81">L48</f>
        <v>108663.41</v>
      </c>
      <c r="M49" s="222">
        <f t="shared" ref="M49" si="82">M48</f>
        <v>106105.211</v>
      </c>
      <c r="N49" s="222">
        <f t="shared" ref="N49" si="83">N48</f>
        <v>171743.62400000001</v>
      </c>
      <c r="O49" s="222">
        <f t="shared" ref="O49" si="84">O48</f>
        <v>262488.90000000002</v>
      </c>
      <c r="P49" s="41">
        <f>AVERAGE(E49:O49)</f>
        <v>175391.19718181819</v>
      </c>
    </row>
    <row r="50" spans="2:16">
      <c r="B50" s="210" t="s">
        <v>515</v>
      </c>
      <c r="C50" s="210" t="s">
        <v>497</v>
      </c>
      <c r="D50" s="210" t="s">
        <v>511</v>
      </c>
      <c r="E50" s="219">
        <v>114172.448</v>
      </c>
      <c r="F50" s="219">
        <v>145844.57500000001</v>
      </c>
      <c r="G50" s="219">
        <v>120291.20299999999</v>
      </c>
      <c r="H50" s="219">
        <v>126411.66499999999</v>
      </c>
      <c r="I50" s="219">
        <v>113003.63</v>
      </c>
      <c r="J50" s="219">
        <v>126417.21</v>
      </c>
      <c r="K50" s="219">
        <v>101025.03</v>
      </c>
      <c r="L50" s="219">
        <v>77106.115000000005</v>
      </c>
      <c r="M50" s="219">
        <v>81977.271999999997</v>
      </c>
      <c r="N50" s="219">
        <v>81648.86</v>
      </c>
      <c r="O50" s="219">
        <v>84627.566000000006</v>
      </c>
    </row>
    <row r="51" spans="2:16">
      <c r="B51" s="210" t="s">
        <v>515</v>
      </c>
      <c r="C51" s="210" t="s">
        <v>499</v>
      </c>
      <c r="D51" s="210" t="s">
        <v>511</v>
      </c>
      <c r="E51" s="219">
        <v>2815.45</v>
      </c>
      <c r="F51" s="219">
        <v>2159.2800000000002</v>
      </c>
      <c r="G51" s="219">
        <v>2566.88</v>
      </c>
      <c r="H51" s="219">
        <v>3234.22</v>
      </c>
      <c r="I51" s="219">
        <v>3404.82</v>
      </c>
      <c r="J51" s="219">
        <v>1458.2</v>
      </c>
      <c r="K51" s="219">
        <v>2464.0700000000002</v>
      </c>
      <c r="L51" s="219">
        <v>3703.62</v>
      </c>
      <c r="M51" s="219">
        <v>10002.02</v>
      </c>
      <c r="N51" s="219"/>
      <c r="O51" s="219">
        <v>0</v>
      </c>
    </row>
    <row r="52" spans="2:16">
      <c r="B52" s="210" t="str">
        <f>'Monthly HC &amp; Prodn Working'!B16</f>
        <v>9.1 Printing - Chromojet</v>
      </c>
      <c r="C52" s="210"/>
      <c r="D52" s="210"/>
      <c r="E52" s="222">
        <f>SUM(E50:E51)</f>
        <v>116987.898</v>
      </c>
      <c r="F52" s="222">
        <f t="shared" ref="F52:O52" si="85">SUM(F50:F51)</f>
        <v>148003.85500000001</v>
      </c>
      <c r="G52" s="222">
        <f t="shared" si="85"/>
        <v>122858.083</v>
      </c>
      <c r="H52" s="222">
        <f t="shared" si="85"/>
        <v>129645.88499999999</v>
      </c>
      <c r="I52" s="222">
        <f t="shared" si="85"/>
        <v>116408.45000000001</v>
      </c>
      <c r="J52" s="222">
        <f t="shared" si="85"/>
        <v>127875.41</v>
      </c>
      <c r="K52" s="222">
        <f t="shared" si="85"/>
        <v>103489.1</v>
      </c>
      <c r="L52" s="222">
        <f t="shared" si="85"/>
        <v>80809.735000000001</v>
      </c>
      <c r="M52" s="222">
        <f t="shared" si="85"/>
        <v>91979.292000000001</v>
      </c>
      <c r="N52" s="222">
        <f t="shared" si="85"/>
        <v>81648.86</v>
      </c>
      <c r="O52" s="222">
        <f t="shared" si="85"/>
        <v>84627.566000000006</v>
      </c>
      <c r="P52" s="41">
        <f>AVERAGE(E52:O52)</f>
        <v>109484.9212727273</v>
      </c>
    </row>
    <row r="53" spans="2:16">
      <c r="B53" s="210" t="s">
        <v>516</v>
      </c>
      <c r="C53" s="210" t="s">
        <v>497</v>
      </c>
      <c r="D53" s="210" t="s">
        <v>511</v>
      </c>
      <c r="E53" s="219">
        <v>6513.4340000000002</v>
      </c>
      <c r="F53" s="219">
        <v>16792.207999999999</v>
      </c>
      <c r="G53" s="219">
        <v>14700.588</v>
      </c>
      <c r="H53" s="219">
        <v>18076.460999999999</v>
      </c>
      <c r="I53" s="219">
        <v>39617.928999999996</v>
      </c>
      <c r="J53" s="219">
        <v>24878.137999999999</v>
      </c>
      <c r="K53" s="219">
        <v>19581.3</v>
      </c>
      <c r="L53" s="219">
        <v>36817.549999999996</v>
      </c>
      <c r="M53" s="219">
        <v>34213.597999999998</v>
      </c>
      <c r="N53" s="219">
        <v>17979.945</v>
      </c>
      <c r="O53" s="219">
        <v>29592.396999999997</v>
      </c>
    </row>
    <row r="54" spans="2:16">
      <c r="B54" s="210" t="s">
        <v>516</v>
      </c>
      <c r="C54" s="210" t="s">
        <v>499</v>
      </c>
      <c r="D54" s="210" t="s">
        <v>511</v>
      </c>
      <c r="E54" s="219">
        <v>1500.4649999999999</v>
      </c>
      <c r="F54" s="219">
        <v>899.92</v>
      </c>
      <c r="G54" s="219">
        <v>1253.3599999999999</v>
      </c>
      <c r="H54" s="219">
        <v>739.48</v>
      </c>
      <c r="I54" s="219">
        <v>1143.82</v>
      </c>
      <c r="J54" s="219">
        <v>2982.34</v>
      </c>
      <c r="K54" s="219">
        <v>3860.8040000000001</v>
      </c>
      <c r="L54" s="219">
        <v>1014.6599999999999</v>
      </c>
      <c r="M54" s="219">
        <v>4476.93</v>
      </c>
      <c r="N54" s="219">
        <v>2789.34</v>
      </c>
      <c r="O54" s="219">
        <v>5492.3</v>
      </c>
    </row>
    <row r="55" spans="2:16">
      <c r="B55" t="str">
        <f>'Monthly HC &amp; Prodn Working'!B17</f>
        <v>9.2 Printing - Digital</v>
      </c>
      <c r="E55" s="222">
        <f>SUM(E53:E54)</f>
        <v>8013.8990000000003</v>
      </c>
      <c r="F55" s="222">
        <f t="shared" ref="F55" si="86">SUM(F53:F54)</f>
        <v>17692.127999999997</v>
      </c>
      <c r="G55" s="222">
        <f t="shared" ref="G55" si="87">SUM(G53:G54)</f>
        <v>15953.948</v>
      </c>
      <c r="H55" s="222">
        <f t="shared" ref="H55" si="88">SUM(H53:H54)</f>
        <v>18815.940999999999</v>
      </c>
      <c r="I55" s="222">
        <f t="shared" ref="I55" si="89">SUM(I53:I54)</f>
        <v>40761.748999999996</v>
      </c>
      <c r="J55" s="222">
        <f t="shared" ref="J55" si="90">SUM(J53:J54)</f>
        <v>27860.477999999999</v>
      </c>
      <c r="K55" s="222">
        <f t="shared" ref="K55" si="91">SUM(K53:K54)</f>
        <v>23442.103999999999</v>
      </c>
      <c r="L55" s="222">
        <f t="shared" ref="L55" si="92">SUM(L53:L54)</f>
        <v>37832.209999999992</v>
      </c>
      <c r="M55" s="222">
        <f t="shared" ref="M55" si="93">SUM(M53:M54)</f>
        <v>38690.527999999998</v>
      </c>
      <c r="N55" s="222">
        <f t="shared" ref="N55" si="94">SUM(N53:N54)</f>
        <v>20769.285</v>
      </c>
      <c r="O55" s="222">
        <f t="shared" ref="O55" si="95">SUM(O53:O54)</f>
        <v>35084.697</v>
      </c>
      <c r="P55" s="41">
        <f>AVERAGE(E55:O55)</f>
        <v>25901.542454545455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P39"/>
  <sheetViews>
    <sheetView topLeftCell="A15" workbookViewId="0">
      <selection activeCell="F26" sqref="F26"/>
    </sheetView>
  </sheetViews>
  <sheetFormatPr defaultRowHeight="14.5"/>
  <cols>
    <col min="2" max="2" width="14.453125" bestFit="1" customWidth="1"/>
  </cols>
  <sheetData>
    <row r="4" spans="1:16" ht="131">
      <c r="B4" s="165" t="s">
        <v>0</v>
      </c>
      <c r="C4" s="165" t="s">
        <v>324</v>
      </c>
      <c r="D4" s="165" t="s">
        <v>325</v>
      </c>
      <c r="E4" s="165" t="s">
        <v>326</v>
      </c>
      <c r="F4" s="165" t="s">
        <v>60</v>
      </c>
      <c r="G4" s="165" t="s">
        <v>327</v>
      </c>
      <c r="H4" s="165" t="s">
        <v>328</v>
      </c>
      <c r="I4" s="165" t="s">
        <v>329</v>
      </c>
      <c r="J4" s="165" t="s">
        <v>330</v>
      </c>
      <c r="K4" s="165" t="s">
        <v>331</v>
      </c>
      <c r="L4" s="165" t="s">
        <v>332</v>
      </c>
      <c r="M4" s="165" t="s">
        <v>333</v>
      </c>
      <c r="N4" s="179" t="s">
        <v>100</v>
      </c>
      <c r="O4" s="179" t="s">
        <v>9</v>
      </c>
    </row>
    <row r="5" spans="1:16">
      <c r="B5" s="166" t="s">
        <v>334</v>
      </c>
      <c r="C5" s="166">
        <v>4</v>
      </c>
      <c r="D5" s="166">
        <v>126</v>
      </c>
      <c r="E5" s="166">
        <v>126</v>
      </c>
      <c r="F5" s="166"/>
      <c r="G5" s="166"/>
      <c r="H5" s="166">
        <v>500</v>
      </c>
      <c r="I5" s="166">
        <v>180</v>
      </c>
      <c r="J5" s="166">
        <v>180</v>
      </c>
      <c r="K5" s="166">
        <v>480</v>
      </c>
      <c r="L5" s="166">
        <v>4.5</v>
      </c>
      <c r="M5" s="166">
        <v>1.1000000000000001</v>
      </c>
      <c r="N5">
        <f>H5*J5*E5*C5*0.00016*0.9</f>
        <v>6531.84</v>
      </c>
      <c r="P5">
        <f>N5*30</f>
        <v>195955.20000000001</v>
      </c>
    </row>
    <row r="6" spans="1:16">
      <c r="B6" s="167" t="s">
        <v>335</v>
      </c>
      <c r="C6" s="168">
        <v>17</v>
      </c>
      <c r="D6" s="167">
        <v>216</v>
      </c>
      <c r="E6" s="167">
        <v>108</v>
      </c>
      <c r="F6" s="167">
        <v>8000</v>
      </c>
      <c r="G6" s="167">
        <v>250</v>
      </c>
      <c r="H6" s="169">
        <v>64</v>
      </c>
      <c r="I6" s="167">
        <v>180</v>
      </c>
      <c r="J6" s="169">
        <v>360</v>
      </c>
      <c r="K6" s="167">
        <v>480</v>
      </c>
      <c r="L6" s="167">
        <v>1.1000000000000001</v>
      </c>
      <c r="M6" s="167">
        <v>2.2000000000000002</v>
      </c>
      <c r="N6">
        <f t="shared" ref="N6:N9" si="0">H6*J6*E6*C6*0.00016*0.9</f>
        <v>6091.4073600000002</v>
      </c>
      <c r="P6">
        <f t="shared" ref="P6:P10" si="1">N6*30</f>
        <v>182742.22080000001</v>
      </c>
    </row>
    <row r="7" spans="1:16">
      <c r="B7" s="170" t="s">
        <v>336</v>
      </c>
      <c r="C7" s="171">
        <v>15</v>
      </c>
      <c r="D7" s="170">
        <v>144</v>
      </c>
      <c r="E7" s="170">
        <v>144</v>
      </c>
      <c r="F7" s="170">
        <v>7000</v>
      </c>
      <c r="G7" s="170">
        <v>250</v>
      </c>
      <c r="H7" s="172">
        <v>56</v>
      </c>
      <c r="I7" s="172">
        <v>360</v>
      </c>
      <c r="J7" s="172">
        <v>360</v>
      </c>
      <c r="K7" s="170">
        <v>480</v>
      </c>
      <c r="L7" s="170">
        <v>2.2000000000000002</v>
      </c>
      <c r="M7" s="170">
        <v>2.2000000000000002</v>
      </c>
      <c r="N7">
        <f t="shared" si="0"/>
        <v>6270.5664000000006</v>
      </c>
      <c r="P7">
        <f t="shared" si="1"/>
        <v>188116.99200000003</v>
      </c>
    </row>
    <row r="8" spans="1:16">
      <c r="B8" s="173" t="s">
        <v>337</v>
      </c>
      <c r="C8" s="173">
        <v>3</v>
      </c>
      <c r="D8" s="173">
        <v>44</v>
      </c>
      <c r="E8" s="173">
        <v>44</v>
      </c>
      <c r="F8" s="173"/>
      <c r="G8" s="173"/>
      <c r="H8" s="173">
        <v>350</v>
      </c>
      <c r="I8" s="174">
        <v>360</v>
      </c>
      <c r="J8" s="173">
        <v>4320</v>
      </c>
      <c r="K8" s="173">
        <v>480</v>
      </c>
      <c r="L8" s="173">
        <v>26.400000000000002</v>
      </c>
      <c r="M8" s="175">
        <v>5</v>
      </c>
      <c r="N8">
        <f t="shared" si="0"/>
        <v>28740.096000000001</v>
      </c>
      <c r="P8">
        <f t="shared" si="1"/>
        <v>862202.88</v>
      </c>
    </row>
    <row r="9" spans="1:16">
      <c r="B9" s="176" t="s">
        <v>338</v>
      </c>
      <c r="C9" s="176">
        <v>6</v>
      </c>
      <c r="D9" s="176">
        <v>104</v>
      </c>
      <c r="E9" s="176">
        <v>104</v>
      </c>
      <c r="F9" s="176">
        <v>2600</v>
      </c>
      <c r="G9" s="176">
        <v>80</v>
      </c>
      <c r="H9" s="177">
        <v>65</v>
      </c>
      <c r="I9" s="176">
        <v>4320</v>
      </c>
      <c r="J9" s="176">
        <v>4320</v>
      </c>
      <c r="K9" s="176">
        <v>480</v>
      </c>
      <c r="L9" s="178">
        <v>5</v>
      </c>
      <c r="M9" s="178">
        <v>5</v>
      </c>
      <c r="N9">
        <f t="shared" si="0"/>
        <v>25231.564800000004</v>
      </c>
      <c r="P9">
        <f t="shared" si="1"/>
        <v>756946.94400000013</v>
      </c>
    </row>
    <row r="10" spans="1:16">
      <c r="B10" t="s">
        <v>339</v>
      </c>
      <c r="C10">
        <v>1</v>
      </c>
      <c r="N10">
        <f>(24/2.33)*294*2.5</f>
        <v>7570.8154506437768</v>
      </c>
      <c r="P10">
        <f t="shared" si="1"/>
        <v>227124.46351931331</v>
      </c>
    </row>
    <row r="13" spans="1:16">
      <c r="A13" t="s">
        <v>340</v>
      </c>
      <c r="B13" t="s">
        <v>252</v>
      </c>
      <c r="C13" t="s">
        <v>100</v>
      </c>
    </row>
    <row r="14" spans="1:16">
      <c r="B14" s="40">
        <f>BP!E124/H14</f>
        <v>3218.2216061105933</v>
      </c>
      <c r="C14" s="44">
        <f>$N$5</f>
        <v>6531.84</v>
      </c>
      <c r="D14" s="44">
        <f>B14/C14</f>
        <v>0.49269755629510109</v>
      </c>
      <c r="G14" s="127">
        <v>46113</v>
      </c>
      <c r="H14">
        <f>DAY(EOMONTH(G14,0))</f>
        <v>30</v>
      </c>
    </row>
    <row r="15" spans="1:16">
      <c r="B15" s="40">
        <f>BP!F124/31</f>
        <v>4320.049398760455</v>
      </c>
      <c r="C15" s="44">
        <f t="shared" ref="C15:C25" si="2">$N$5</f>
        <v>6531.84</v>
      </c>
      <c r="D15" s="44">
        <f t="shared" ref="D15:D25" si="3">B15/C15</f>
        <v>0.66138322413905648</v>
      </c>
      <c r="G15" s="127">
        <v>46143</v>
      </c>
      <c r="H15">
        <f t="shared" ref="H15:H25" si="4">DAY(EOMONTH(G15,0))</f>
        <v>31</v>
      </c>
    </row>
    <row r="16" spans="1:16">
      <c r="B16" s="40">
        <f>BP!G124/30</f>
        <v>4862.0170990663064</v>
      </c>
      <c r="C16" s="44">
        <f t="shared" si="2"/>
        <v>6531.84</v>
      </c>
      <c r="D16" s="44">
        <f t="shared" si="3"/>
        <v>0.74435642928582246</v>
      </c>
      <c r="G16" s="127">
        <v>46174</v>
      </c>
      <c r="H16">
        <f t="shared" si="4"/>
        <v>30</v>
      </c>
    </row>
    <row r="17" spans="2:9">
      <c r="B17" s="40">
        <f>BP!H124/31</f>
        <v>3418.4591657322826</v>
      </c>
      <c r="C17" s="44">
        <f t="shared" si="2"/>
        <v>6531.84</v>
      </c>
      <c r="D17" s="44">
        <f t="shared" si="3"/>
        <v>0.52335316935691667</v>
      </c>
      <c r="G17" s="127">
        <v>46204</v>
      </c>
      <c r="H17">
        <f t="shared" si="4"/>
        <v>31</v>
      </c>
    </row>
    <row r="18" spans="2:9">
      <c r="B18" s="40">
        <f>BP!I124/31</f>
        <v>4856.3500631805828</v>
      </c>
      <c r="C18" s="44">
        <f t="shared" si="2"/>
        <v>6531.84</v>
      </c>
      <c r="D18" s="44">
        <f t="shared" si="3"/>
        <v>0.74348882752495205</v>
      </c>
      <c r="G18" s="127">
        <v>46235</v>
      </c>
      <c r="H18">
        <f t="shared" si="4"/>
        <v>31</v>
      </c>
    </row>
    <row r="19" spans="2:9">
      <c r="B19" s="40">
        <f>BP!J124/30</f>
        <v>4531.8125959491354</v>
      </c>
      <c r="C19" s="44">
        <f t="shared" si="2"/>
        <v>6531.84</v>
      </c>
      <c r="D19" s="44">
        <f t="shared" si="3"/>
        <v>0.6938033687213917</v>
      </c>
      <c r="G19" s="127">
        <v>46266</v>
      </c>
      <c r="H19">
        <f t="shared" si="4"/>
        <v>30</v>
      </c>
    </row>
    <row r="20" spans="2:9">
      <c r="B20" s="40">
        <f>BP!K124/31</f>
        <v>4749.0641461475552</v>
      </c>
      <c r="C20" s="44">
        <f t="shared" si="2"/>
        <v>6531.84</v>
      </c>
      <c r="D20" s="44">
        <f t="shared" si="3"/>
        <v>0.72706375939207868</v>
      </c>
      <c r="G20" s="127">
        <v>46296</v>
      </c>
      <c r="H20">
        <f t="shared" si="4"/>
        <v>31</v>
      </c>
    </row>
    <row r="21" spans="2:9">
      <c r="B21" s="40">
        <f>BP!L124/30</f>
        <v>7080.4783695999158</v>
      </c>
      <c r="C21" s="44">
        <f t="shared" si="2"/>
        <v>6531.84</v>
      </c>
      <c r="D21" s="44">
        <f t="shared" si="3"/>
        <v>1.0839944593866224</v>
      </c>
      <c r="G21" s="127">
        <v>46327</v>
      </c>
      <c r="H21">
        <f t="shared" si="4"/>
        <v>30</v>
      </c>
    </row>
    <row r="22" spans="2:9">
      <c r="B22" s="40">
        <f>BP!M124/31</f>
        <v>7178.0635737465118</v>
      </c>
      <c r="C22" s="44">
        <f t="shared" si="2"/>
        <v>6531.84</v>
      </c>
      <c r="D22" s="44">
        <f t="shared" si="3"/>
        <v>1.0989343850655422</v>
      </c>
      <c r="G22" s="127">
        <v>46357</v>
      </c>
      <c r="H22">
        <f t="shared" si="4"/>
        <v>31</v>
      </c>
    </row>
    <row r="23" spans="2:9">
      <c r="B23" s="40">
        <f>BP!N124/31</f>
        <v>3850.7188914838234</v>
      </c>
      <c r="C23" s="44">
        <f t="shared" si="2"/>
        <v>6531.84</v>
      </c>
      <c r="D23" s="44">
        <f t="shared" si="3"/>
        <v>0.58953049852473782</v>
      </c>
      <c r="G23" s="127">
        <v>46388</v>
      </c>
      <c r="H23">
        <f t="shared" si="4"/>
        <v>31</v>
      </c>
    </row>
    <row r="24" spans="2:9">
      <c r="B24" s="40">
        <f>BP!O124/28</f>
        <v>5583.6617537484699</v>
      </c>
      <c r="C24" s="44">
        <f t="shared" si="2"/>
        <v>6531.84</v>
      </c>
      <c r="D24" s="44">
        <f t="shared" si="3"/>
        <v>0.85483749659337482</v>
      </c>
      <c r="G24" s="127">
        <v>46419</v>
      </c>
      <c r="H24">
        <f t="shared" si="4"/>
        <v>28</v>
      </c>
    </row>
    <row r="25" spans="2:9">
      <c r="B25" s="40">
        <f>BP!P124/31</f>
        <v>3556.445980971132</v>
      </c>
      <c r="C25" s="44">
        <f t="shared" si="2"/>
        <v>6531.84</v>
      </c>
      <c r="D25" s="44">
        <f t="shared" si="3"/>
        <v>0.54447842889157294</v>
      </c>
      <c r="G25" s="127">
        <v>46447</v>
      </c>
      <c r="H25">
        <f t="shared" si="4"/>
        <v>31</v>
      </c>
    </row>
    <row r="26" spans="2:9">
      <c r="F26" s="157">
        <v>101</v>
      </c>
    </row>
    <row r="27" spans="2:9">
      <c r="B27" t="s">
        <v>323</v>
      </c>
      <c r="D27" t="s">
        <v>256</v>
      </c>
      <c r="E27" t="s">
        <v>321</v>
      </c>
    </row>
    <row r="28" spans="2:9">
      <c r="B28" s="40">
        <f>BP!E145/30</f>
        <v>5622.564964599731</v>
      </c>
      <c r="D28" s="40">
        <f>(BP!E153+BP!E154)/30</f>
        <v>5622.564964599731</v>
      </c>
      <c r="E28" s="40">
        <f>(BP!E135)/30</f>
        <v>2404.3433584891382</v>
      </c>
      <c r="F28" s="40">
        <f>$F$26+E28</f>
        <v>2505.3433584891382</v>
      </c>
      <c r="H28" s="127">
        <v>46113</v>
      </c>
      <c r="I28">
        <f>DAY(EOMONTH(H28,0))</f>
        <v>30</v>
      </c>
    </row>
    <row r="29" spans="2:9">
      <c r="B29" s="40">
        <f>BP!F145/31</f>
        <v>6890.4034571148713</v>
      </c>
      <c r="D29" s="40">
        <f>(BP!F153+BP!F154)/31</f>
        <v>6890.4034571148713</v>
      </c>
      <c r="E29" s="40">
        <f>BP!F135/31</f>
        <v>2570.3540583544168</v>
      </c>
      <c r="F29" s="40">
        <f t="shared" ref="F29:F39" si="5">$F$26+E29</f>
        <v>2671.3540583544168</v>
      </c>
      <c r="H29" s="127">
        <v>46143</v>
      </c>
      <c r="I29">
        <f t="shared" ref="I29:I39" si="6">DAY(EOMONTH(H29,0))</f>
        <v>31</v>
      </c>
    </row>
    <row r="30" spans="2:9">
      <c r="B30" s="40">
        <f>BP!G145/30</f>
        <v>7301.7361695315067</v>
      </c>
      <c r="D30" s="40">
        <f>(BP!G153+BP!G154)/30</f>
        <v>7301.7361695315067</v>
      </c>
      <c r="E30" s="40">
        <f>BP!G135/30</f>
        <v>2439.7190704652007</v>
      </c>
      <c r="F30" s="40">
        <f t="shared" si="5"/>
        <v>2540.7190704652007</v>
      </c>
      <c r="H30" s="127">
        <v>46174</v>
      </c>
      <c r="I30">
        <f t="shared" si="6"/>
        <v>30</v>
      </c>
    </row>
    <row r="31" spans="2:9">
      <c r="B31" s="40">
        <f>BP!H145/31</f>
        <v>6087.6181532175024</v>
      </c>
      <c r="D31" s="40">
        <f>(BP!H153+BP!H154)/31</f>
        <v>6087.6181532175024</v>
      </c>
      <c r="E31" s="40">
        <f>BP!H135/31</f>
        <v>2669.1589874852198</v>
      </c>
      <c r="F31" s="40">
        <f t="shared" si="5"/>
        <v>2770.1589874852198</v>
      </c>
      <c r="H31" s="127">
        <v>46204</v>
      </c>
      <c r="I31">
        <f t="shared" si="6"/>
        <v>31</v>
      </c>
    </row>
    <row r="32" spans="2:9">
      <c r="B32" s="40">
        <f>BP!I145/31</f>
        <v>7138.41850740468</v>
      </c>
      <c r="D32" s="40">
        <f>(BP!I153+BP!I154)/31</f>
        <v>7138.41850740468</v>
      </c>
      <c r="E32" s="40">
        <f>BP!I135/31</f>
        <v>2282.0684442240977</v>
      </c>
      <c r="F32" s="40">
        <f t="shared" si="5"/>
        <v>2383.0684442240977</v>
      </c>
      <c r="H32" s="127">
        <v>46235</v>
      </c>
      <c r="I32">
        <f t="shared" si="6"/>
        <v>31</v>
      </c>
    </row>
    <row r="33" spans="2:9">
      <c r="B33" s="40">
        <f>BP!J145/30</f>
        <v>6981.954758677788</v>
      </c>
      <c r="D33" s="40">
        <f>(BP!J153+BP!J154)/30</f>
        <v>6981.954758677788</v>
      </c>
      <c r="E33" s="40">
        <f>BP!J135/30</f>
        <v>2450.1421627286522</v>
      </c>
      <c r="F33" s="40">
        <f t="shared" si="5"/>
        <v>2551.1421627286522</v>
      </c>
      <c r="H33" s="127">
        <v>46266</v>
      </c>
      <c r="I33">
        <f t="shared" si="6"/>
        <v>30</v>
      </c>
    </row>
    <row r="34" spans="2:9">
      <c r="B34" s="40">
        <f>BP!K145/31</f>
        <v>7277.1793683538617</v>
      </c>
      <c r="D34" s="40">
        <f>(BP!K153+BP!K154)/31</f>
        <v>7277.1793683538617</v>
      </c>
      <c r="E34" s="40">
        <f>BP!K135/31</f>
        <v>2528.115222206307</v>
      </c>
      <c r="F34" s="40">
        <f>+E34</f>
        <v>2528.115222206307</v>
      </c>
      <c r="H34" s="127">
        <v>46296</v>
      </c>
      <c r="I34">
        <f t="shared" si="6"/>
        <v>31</v>
      </c>
    </row>
    <row r="35" spans="2:9">
      <c r="B35" s="40">
        <f>BP!L145/30</f>
        <v>8173.2848880736401</v>
      </c>
      <c r="D35" s="40">
        <f>(BP!L153+BP!L154)/30</f>
        <v>8173.2848880736401</v>
      </c>
      <c r="E35" s="40">
        <f>BP!L135/30</f>
        <v>1092.8065184737245</v>
      </c>
      <c r="F35" s="40">
        <f>+E35</f>
        <v>1092.8065184737245</v>
      </c>
      <c r="H35" s="127">
        <v>46327</v>
      </c>
      <c r="I35">
        <f t="shared" si="6"/>
        <v>30</v>
      </c>
    </row>
    <row r="36" spans="2:9">
      <c r="B36" s="40">
        <f>BP!M145/31</f>
        <v>11712.603854551255</v>
      </c>
      <c r="D36" s="40">
        <f>(BP!M153+BP!M154)/31</f>
        <v>11712.603854551255</v>
      </c>
      <c r="E36" s="40">
        <f>BP!M135/31</f>
        <v>4534.5402808047429</v>
      </c>
      <c r="F36" s="40">
        <f t="shared" si="5"/>
        <v>4635.5402808047429</v>
      </c>
      <c r="H36" s="127">
        <v>46357</v>
      </c>
      <c r="I36">
        <f t="shared" si="6"/>
        <v>31</v>
      </c>
    </row>
    <row r="37" spans="2:9">
      <c r="B37" s="40">
        <f>BP!N145/31</f>
        <v>6657.2644062060244</v>
      </c>
      <c r="D37" s="40">
        <f>(BP!N153+BP!N154)/31</f>
        <v>6657.2644062060244</v>
      </c>
      <c r="E37" s="40">
        <f>BP!N135/31</f>
        <v>2806.5455147222001</v>
      </c>
      <c r="F37" s="40">
        <f t="shared" si="5"/>
        <v>2907.5455147222001</v>
      </c>
      <c r="H37" s="127">
        <v>46388</v>
      </c>
      <c r="I37">
        <f t="shared" si="6"/>
        <v>31</v>
      </c>
    </row>
    <row r="38" spans="2:9">
      <c r="B38" s="40">
        <f>BP!O145/28</f>
        <v>7963.8524180259901</v>
      </c>
      <c r="D38" s="40">
        <f>(BP!O153+BP!O154)/28</f>
        <v>7963.8524180259901</v>
      </c>
      <c r="E38" s="40">
        <f>BP!O135/28</f>
        <v>2380.1906642775202</v>
      </c>
      <c r="F38" s="40">
        <f t="shared" si="5"/>
        <v>2481.1906642775202</v>
      </c>
      <c r="H38" s="127">
        <v>46419</v>
      </c>
      <c r="I38">
        <f t="shared" si="6"/>
        <v>28</v>
      </c>
    </row>
    <row r="39" spans="2:9">
      <c r="B39" s="40">
        <f>BP!P145/31</f>
        <v>5910.8985164476026</v>
      </c>
      <c r="D39" s="40">
        <f>(BP!P153+BP!P154)/31</f>
        <v>5910.8985164476026</v>
      </c>
      <c r="E39" s="40">
        <f>BP!P135/31</f>
        <v>2354.4525354764696</v>
      </c>
      <c r="F39" s="40">
        <f t="shared" si="5"/>
        <v>2455.4525354764696</v>
      </c>
      <c r="H39" s="127">
        <v>46447</v>
      </c>
      <c r="I39">
        <f t="shared" si="6"/>
        <v>31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X31"/>
  <sheetViews>
    <sheetView topLeftCell="CB1" workbookViewId="0">
      <selection activeCell="CI5" sqref="CI5"/>
    </sheetView>
  </sheetViews>
  <sheetFormatPr defaultRowHeight="14.5"/>
  <cols>
    <col min="2" max="2" width="18.81640625" bestFit="1" customWidth="1"/>
    <col min="3" max="3" width="18.81640625" customWidth="1"/>
    <col min="4" max="4" width="11.453125" bestFit="1" customWidth="1"/>
    <col min="5" max="5" width="30" bestFit="1" customWidth="1"/>
    <col min="12" max="12" width="12" customWidth="1"/>
    <col min="14" max="14" width="0" hidden="1" customWidth="1"/>
    <col min="15" max="15" width="53.26953125" bestFit="1" customWidth="1"/>
    <col min="16" max="16" width="19.26953125" bestFit="1" customWidth="1"/>
    <col min="18" max="18" width="12.7265625" bestFit="1" customWidth="1"/>
    <col min="19" max="24" width="12.1796875" bestFit="1" customWidth="1"/>
    <col min="25" max="29" width="12.1796875" customWidth="1"/>
    <col min="30" max="30" width="10.54296875" bestFit="1" customWidth="1"/>
    <col min="31" max="31" width="10.54296875" customWidth="1"/>
    <col min="32" max="64" width="9.1796875" customWidth="1"/>
    <col min="85" max="85" width="15.453125" customWidth="1"/>
    <col min="86" max="86" width="16.26953125" bestFit="1" customWidth="1"/>
    <col min="89" max="89" width="14.26953125" bestFit="1" customWidth="1"/>
    <col min="90" max="90" width="12.54296875" bestFit="1" customWidth="1"/>
    <col min="91" max="91" width="10" bestFit="1" customWidth="1"/>
    <col min="92" max="92" width="14.26953125" bestFit="1" customWidth="1"/>
    <col min="93" max="93" width="12.54296875" bestFit="1" customWidth="1"/>
    <col min="94" max="94" width="10" bestFit="1" customWidth="1"/>
  </cols>
  <sheetData>
    <row r="1" spans="1:102" ht="22.5" customHeight="1" thickBot="1">
      <c r="R1" s="1458" t="s">
        <v>50</v>
      </c>
      <c r="S1" s="1458"/>
      <c r="T1" s="1458"/>
      <c r="U1" s="1458"/>
      <c r="V1" s="1458"/>
      <c r="W1" s="1458"/>
      <c r="X1" s="1458"/>
      <c r="Y1" s="1458"/>
      <c r="Z1" s="1458"/>
      <c r="AA1" s="1458"/>
      <c r="AB1" s="1458"/>
      <c r="AC1" s="1458"/>
      <c r="AF1" s="1458" t="s">
        <v>51</v>
      </c>
      <c r="AG1" s="1458"/>
      <c r="AH1" s="1458"/>
      <c r="AI1" s="1458"/>
      <c r="AJ1" s="1458"/>
      <c r="AK1" s="1458"/>
      <c r="AL1" s="1458"/>
      <c r="AM1" s="1458"/>
      <c r="AN1" s="1458"/>
      <c r="AO1" s="1458"/>
      <c r="AP1" s="1458"/>
      <c r="AQ1" s="1458"/>
      <c r="AS1" s="1458" t="s">
        <v>52</v>
      </c>
      <c r="AT1" s="1458"/>
      <c r="AU1" s="1458"/>
      <c r="AV1" s="1458"/>
      <c r="AW1" s="1458"/>
      <c r="AX1" s="1458"/>
      <c r="AY1" s="1458"/>
      <c r="AZ1" s="1458"/>
      <c r="BA1" s="1458"/>
      <c r="BB1" s="1458"/>
      <c r="BC1" s="1458"/>
      <c r="BD1" s="1458"/>
      <c r="BF1" s="1458" t="s">
        <v>1085</v>
      </c>
      <c r="BG1" s="1458"/>
      <c r="BH1" s="1458"/>
      <c r="BI1" s="1458"/>
      <c r="BJ1" s="1458"/>
      <c r="BK1" s="1458"/>
      <c r="BL1" s="1458"/>
      <c r="BM1" s="1458"/>
      <c r="BN1" s="1458"/>
      <c r="BO1" s="1458"/>
      <c r="BP1" s="1458"/>
      <c r="BQ1" s="1458"/>
      <c r="CG1" s="878" t="s">
        <v>1337</v>
      </c>
      <c r="CH1" s="990">
        <v>46054</v>
      </c>
      <c r="CI1" s="878"/>
      <c r="CJ1" s="878"/>
      <c r="CK1" s="1388" t="s">
        <v>1338</v>
      </c>
      <c r="CL1" s="1388"/>
      <c r="CM1" s="1388"/>
      <c r="CN1" s="1388" t="s">
        <v>1339</v>
      </c>
      <c r="CO1" s="1388"/>
      <c r="CP1" s="1388"/>
    </row>
    <row r="2" spans="1:102" s="66" customFormat="1" ht="44" thickBot="1">
      <c r="A2" s="63" t="s">
        <v>54</v>
      </c>
      <c r="B2" s="64" t="s">
        <v>55</v>
      </c>
      <c r="C2" s="64"/>
      <c r="D2" s="64" t="s">
        <v>56</v>
      </c>
      <c r="E2" s="65" t="s">
        <v>57</v>
      </c>
      <c r="F2" s="65" t="s">
        <v>58</v>
      </c>
      <c r="G2" s="65" t="s">
        <v>59</v>
      </c>
      <c r="H2" s="65" t="s">
        <v>60</v>
      </c>
      <c r="I2" s="65" t="s">
        <v>61</v>
      </c>
      <c r="J2" s="64" t="s">
        <v>62</v>
      </c>
      <c r="K2" s="64" t="s">
        <v>63</v>
      </c>
      <c r="L2" s="64" t="s">
        <v>64</v>
      </c>
      <c r="M2" s="64" t="s">
        <v>65</v>
      </c>
      <c r="P2" s="66" t="s">
        <v>492</v>
      </c>
      <c r="R2" s="787">
        <v>46113</v>
      </c>
      <c r="S2" s="787">
        <v>46143</v>
      </c>
      <c r="T2" s="787">
        <v>46174</v>
      </c>
      <c r="U2" s="787">
        <v>46204</v>
      </c>
      <c r="V2" s="787">
        <v>46235</v>
      </c>
      <c r="W2" s="787">
        <v>46266</v>
      </c>
      <c r="X2" s="787">
        <v>46296</v>
      </c>
      <c r="Y2" s="787">
        <v>46327</v>
      </c>
      <c r="Z2" s="787">
        <v>46357</v>
      </c>
      <c r="AA2" s="787">
        <v>46388</v>
      </c>
      <c r="AB2" s="787">
        <v>46419</v>
      </c>
      <c r="AC2" s="787">
        <v>46447</v>
      </c>
      <c r="AF2" s="787">
        <v>46113</v>
      </c>
      <c r="AG2" s="787">
        <v>46143</v>
      </c>
      <c r="AH2" s="787">
        <v>46174</v>
      </c>
      <c r="AI2" s="787">
        <v>46204</v>
      </c>
      <c r="AJ2" s="787">
        <v>46235</v>
      </c>
      <c r="AK2" s="788">
        <v>46266</v>
      </c>
      <c r="AL2" s="787">
        <v>46296</v>
      </c>
      <c r="AM2" s="787">
        <v>46327</v>
      </c>
      <c r="AN2" s="787">
        <v>46357</v>
      </c>
      <c r="AO2" s="787">
        <v>46388</v>
      </c>
      <c r="AP2" s="787">
        <v>46419</v>
      </c>
      <c r="AQ2" s="787">
        <v>46447</v>
      </c>
      <c r="AS2" s="787">
        <v>46113</v>
      </c>
      <c r="AT2" s="787">
        <v>46143</v>
      </c>
      <c r="AU2" s="787">
        <v>46174</v>
      </c>
      <c r="AV2" s="787">
        <v>46204</v>
      </c>
      <c r="AW2" s="787">
        <v>46235</v>
      </c>
      <c r="AX2" s="787">
        <v>46266</v>
      </c>
      <c r="AY2" s="787">
        <v>46296</v>
      </c>
      <c r="AZ2" s="787">
        <v>46327</v>
      </c>
      <c r="BA2" s="787">
        <v>46357</v>
      </c>
      <c r="BB2" s="787">
        <v>46388</v>
      </c>
      <c r="BC2" s="787">
        <v>46419</v>
      </c>
      <c r="BD2" s="787">
        <v>46447</v>
      </c>
      <c r="BF2" s="787">
        <v>46113</v>
      </c>
      <c r="BG2" s="787">
        <v>46143</v>
      </c>
      <c r="BH2" s="787">
        <v>46174</v>
      </c>
      <c r="BI2" s="787">
        <v>46204</v>
      </c>
      <c r="BJ2" s="787">
        <v>46235</v>
      </c>
      <c r="BK2" s="787">
        <v>46266</v>
      </c>
      <c r="BL2" s="787">
        <v>46296</v>
      </c>
      <c r="BM2" s="787">
        <v>46327</v>
      </c>
      <c r="BN2" s="787">
        <v>46357</v>
      </c>
      <c r="BO2" s="787">
        <v>46388</v>
      </c>
      <c r="BP2" s="787">
        <v>46419</v>
      </c>
      <c r="BQ2" s="787">
        <v>46447</v>
      </c>
      <c r="BS2" s="66" t="s">
        <v>624</v>
      </c>
      <c r="BT2" s="66" t="s">
        <v>625</v>
      </c>
      <c r="BU2" s="66" t="s">
        <v>626</v>
      </c>
      <c r="BV2" s="66" t="s">
        <v>627</v>
      </c>
      <c r="BW2" s="66" t="s">
        <v>37</v>
      </c>
      <c r="CG2" s="985" t="s">
        <v>1340</v>
      </c>
      <c r="CH2" s="985" t="s">
        <v>1341</v>
      </c>
      <c r="CI2" s="985" t="s">
        <v>1342</v>
      </c>
      <c r="CJ2" s="985" t="s">
        <v>220</v>
      </c>
      <c r="CK2" s="985" t="s">
        <v>1343</v>
      </c>
      <c r="CL2" s="985" t="s">
        <v>93</v>
      </c>
      <c r="CM2" s="985" t="s">
        <v>96</v>
      </c>
      <c r="CN2" s="985" t="s">
        <v>1343</v>
      </c>
      <c r="CO2" s="985" t="s">
        <v>93</v>
      </c>
      <c r="CP2" s="985" t="s">
        <v>96</v>
      </c>
      <c r="CQ2" s="985" t="s">
        <v>1345</v>
      </c>
      <c r="CR2" s="985" t="s">
        <v>1346</v>
      </c>
      <c r="CS2" s="985" t="s">
        <v>343</v>
      </c>
      <c r="CT2" s="985" t="s">
        <v>343</v>
      </c>
      <c r="CU2" s="985" t="s">
        <v>1344</v>
      </c>
    </row>
    <row r="3" spans="1:102">
      <c r="A3" s="210">
        <v>1</v>
      </c>
      <c r="B3" s="1459" t="s">
        <v>66</v>
      </c>
      <c r="C3" s="653" t="s">
        <v>1011</v>
      </c>
      <c r="D3" s="69" t="s">
        <v>67</v>
      </c>
      <c r="E3" s="70" t="s">
        <v>68</v>
      </c>
      <c r="F3" s="71">
        <v>0.6</v>
      </c>
      <c r="G3" s="71">
        <v>0.60821917808219184</v>
      </c>
      <c r="H3" s="69">
        <v>800</v>
      </c>
      <c r="I3" s="72">
        <v>11.71</v>
      </c>
      <c r="J3" s="72">
        <v>2</v>
      </c>
      <c r="K3" s="73">
        <f>H3*24*60*F3*G3*J3/I3/39.37</f>
        <v>1823.7761216114131</v>
      </c>
      <c r="L3" s="73">
        <v>1</v>
      </c>
      <c r="M3" s="73">
        <f>L3*K3</f>
        <v>1823.7761216114131</v>
      </c>
      <c r="N3">
        <f>H3*24*60*F3*G3*J3/I3/39.37</f>
        <v>1823.7761216114131</v>
      </c>
      <c r="O3" t="s">
        <v>484</v>
      </c>
      <c r="R3" s="783">
        <f>BP!B168</f>
        <v>65858.196909999984</v>
      </c>
      <c r="S3" s="783">
        <f>BP!C168</f>
        <v>60260.38175</v>
      </c>
      <c r="T3" s="783">
        <f>BP!D168</f>
        <v>58215.574250000005</v>
      </c>
      <c r="U3" s="783">
        <f>BP!E168</f>
        <v>47303.054364999996</v>
      </c>
      <c r="V3" s="783">
        <f>BP!F168</f>
        <v>50829.098685000004</v>
      </c>
      <c r="W3" s="783">
        <f>BP!G168</f>
        <v>22969</v>
      </c>
      <c r="X3" s="783">
        <f>BP!H168</f>
        <v>45114</v>
      </c>
      <c r="Y3" s="783">
        <f>BP!I168</f>
        <v>31724</v>
      </c>
      <c r="Z3" s="783">
        <f>BP!J168</f>
        <v>46297.212500000001</v>
      </c>
      <c r="AA3" s="783">
        <f>BP!K168</f>
        <v>43276.6345</v>
      </c>
      <c r="AB3" s="783">
        <f>BP!L168</f>
        <v>74182.757277777797</v>
      </c>
      <c r="AC3" s="783">
        <f>BP!M168</f>
        <v>67611.357277777803</v>
      </c>
      <c r="AD3" s="98">
        <f>AVERAGE(R3:AC3)</f>
        <v>51136.772292962974</v>
      </c>
      <c r="AE3" s="98"/>
      <c r="AF3" s="44">
        <f t="shared" ref="AF3:AQ3" si="0">(R3/(DAY(EOMONTH(AF$2,0)))/$N3)</f>
        <v>1.2036966622820351</v>
      </c>
      <c r="AG3" s="44">
        <f t="shared" si="0"/>
        <v>1.0658563072645835</v>
      </c>
      <c r="AH3" s="44">
        <f t="shared" si="0"/>
        <v>1.0640117055333</v>
      </c>
      <c r="AI3" s="44">
        <f t="shared" si="0"/>
        <v>0.83667340603620921</v>
      </c>
      <c r="AJ3" s="44">
        <f t="shared" si="0"/>
        <v>0.89904036205315274</v>
      </c>
      <c r="AK3" s="44">
        <f t="shared" si="0"/>
        <v>0.41980664417124364</v>
      </c>
      <c r="AL3" s="44">
        <f t="shared" si="0"/>
        <v>0.79795447771013184</v>
      </c>
      <c r="AM3" s="44">
        <f t="shared" si="0"/>
        <v>0.57982262961768183</v>
      </c>
      <c r="AN3" s="44">
        <f t="shared" si="0"/>
        <v>0.8188825646112623</v>
      </c>
      <c r="AO3" s="44">
        <f t="shared" si="0"/>
        <v>0.76545605088220459</v>
      </c>
      <c r="AP3" s="44">
        <f t="shared" si="0"/>
        <v>1.452691565098011</v>
      </c>
      <c r="AQ3" s="44">
        <f t="shared" si="0"/>
        <v>1.195876785119083</v>
      </c>
      <c r="AS3" s="75" t="str">
        <f t="shared" ref="AS3:BA3" si="1">IF(AF3&lt;=0.33,"1",(IF(AF3&gt;0.66,"3","2")))</f>
        <v>3</v>
      </c>
      <c r="AT3" s="75" t="str">
        <f t="shared" si="1"/>
        <v>3</v>
      </c>
      <c r="AU3" s="75" t="str">
        <f t="shared" si="1"/>
        <v>3</v>
      </c>
      <c r="AV3" s="75" t="str">
        <f t="shared" si="1"/>
        <v>3</v>
      </c>
      <c r="AW3" s="75" t="str">
        <f t="shared" si="1"/>
        <v>3</v>
      </c>
      <c r="AX3" s="75" t="str">
        <f t="shared" si="1"/>
        <v>2</v>
      </c>
      <c r="AY3" s="75" t="str">
        <f t="shared" si="1"/>
        <v>3</v>
      </c>
      <c r="AZ3" s="75" t="str">
        <f t="shared" si="1"/>
        <v>2</v>
      </c>
      <c r="BA3" s="75" t="str">
        <f t="shared" si="1"/>
        <v>3</v>
      </c>
      <c r="BB3" s="75" t="str">
        <f t="shared" ref="BB3:BD3" si="2">IF(AO3&lt;=0.33,"1",(IF(AO3&gt;0.66,"3","2")))</f>
        <v>3</v>
      </c>
      <c r="BC3" s="75" t="str">
        <f t="shared" si="2"/>
        <v>3</v>
      </c>
      <c r="BD3" s="75" t="str">
        <f t="shared" si="2"/>
        <v>3</v>
      </c>
      <c r="BF3" s="44">
        <f>AS3*2.5</f>
        <v>7.5</v>
      </c>
      <c r="BG3" s="44">
        <f t="shared" ref="BG3:BQ3" si="3">AT3*2.5</f>
        <v>7.5</v>
      </c>
      <c r="BH3" s="44">
        <f t="shared" si="3"/>
        <v>7.5</v>
      </c>
      <c r="BI3" s="44">
        <f t="shared" si="3"/>
        <v>7.5</v>
      </c>
      <c r="BJ3" s="44">
        <f t="shared" si="3"/>
        <v>7.5</v>
      </c>
      <c r="BK3" s="44">
        <f t="shared" si="3"/>
        <v>5</v>
      </c>
      <c r="BL3" s="44">
        <f t="shared" si="3"/>
        <v>7.5</v>
      </c>
      <c r="BM3" s="44">
        <f t="shared" si="3"/>
        <v>5</v>
      </c>
      <c r="BN3" s="44">
        <f t="shared" si="3"/>
        <v>7.5</v>
      </c>
      <c r="BO3" s="44">
        <f t="shared" si="3"/>
        <v>7.5</v>
      </c>
      <c r="BP3" s="44">
        <f t="shared" si="3"/>
        <v>7.5</v>
      </c>
      <c r="BQ3" s="44">
        <f t="shared" si="3"/>
        <v>7.5</v>
      </c>
      <c r="BS3" s="316">
        <v>12</v>
      </c>
      <c r="BT3" s="149">
        <v>6</v>
      </c>
      <c r="BU3" s="149">
        <f>(BS3/4)*2</f>
        <v>6</v>
      </c>
      <c r="BV3" s="40">
        <f>SUM(BS3:BU3)</f>
        <v>24</v>
      </c>
      <c r="BW3">
        <f>BV3*3</f>
        <v>72</v>
      </c>
      <c r="CD3" t="s">
        <v>258</v>
      </c>
      <c r="CG3" s="13" t="s">
        <v>26</v>
      </c>
      <c r="CH3" s="13" t="s">
        <v>258</v>
      </c>
      <c r="CI3" s="13">
        <v>1</v>
      </c>
      <c r="CJ3" s="13" t="s">
        <v>94</v>
      </c>
      <c r="CK3" s="10">
        <v>712289.34149999998</v>
      </c>
      <c r="CL3" s="10">
        <v>59357.445124999998</v>
      </c>
      <c r="CM3" s="10">
        <v>1978.5815041666667</v>
      </c>
      <c r="CN3" s="10">
        <v>1093149.0982981967</v>
      </c>
      <c r="CO3" s="10">
        <v>91095.75819151639</v>
      </c>
      <c r="CP3" s="10">
        <v>3036.5252730505499</v>
      </c>
      <c r="CQ3" s="41">
        <f>CP3/CI3</f>
        <v>3036.5252730505499</v>
      </c>
      <c r="CR3" s="558">
        <f>CM3/CQ3</f>
        <v>0.65159395237930851</v>
      </c>
      <c r="CS3" s="211">
        <f>CR3/0.33</f>
        <v>1.9745271284221468</v>
      </c>
      <c r="CT3" s="41">
        <f>ROUNDUP(CS3,0)</f>
        <v>2</v>
      </c>
      <c r="CU3">
        <f>CI3*3</f>
        <v>3</v>
      </c>
      <c r="CV3" s="41">
        <f>CT3*2.5</f>
        <v>5</v>
      </c>
      <c r="CW3" s="41">
        <f>CT3*2.5</f>
        <v>5</v>
      </c>
    </row>
    <row r="4" spans="1:102">
      <c r="A4" s="210"/>
      <c r="B4" s="1459"/>
      <c r="C4" s="653"/>
      <c r="D4" s="69" t="s">
        <v>67</v>
      </c>
      <c r="E4" s="70" t="s">
        <v>69</v>
      </c>
      <c r="F4" s="71">
        <v>0.55000000000000004</v>
      </c>
      <c r="G4" s="71">
        <v>0.60821917808219184</v>
      </c>
      <c r="H4" s="69">
        <v>900</v>
      </c>
      <c r="I4" s="72">
        <v>40</v>
      </c>
      <c r="J4" s="72">
        <v>2</v>
      </c>
      <c r="K4" s="73"/>
      <c r="L4" s="73">
        <v>0</v>
      </c>
      <c r="M4" s="73">
        <v>0</v>
      </c>
      <c r="R4" s="783"/>
      <c r="S4" s="783"/>
      <c r="T4" s="783"/>
      <c r="U4" s="783"/>
      <c r="V4" s="783"/>
      <c r="W4" s="783"/>
      <c r="X4" s="783"/>
      <c r="Y4" s="783"/>
      <c r="Z4" s="783"/>
      <c r="AA4" s="783"/>
      <c r="AB4" s="783"/>
      <c r="AC4" s="783"/>
      <c r="AD4" s="98"/>
      <c r="AE4" s="98"/>
      <c r="AK4" s="390"/>
      <c r="AS4" s="75"/>
      <c r="AT4" s="75"/>
      <c r="AU4" s="75"/>
      <c r="AV4" s="75"/>
      <c r="AW4" s="75"/>
      <c r="AX4" s="75"/>
      <c r="AY4" s="75"/>
      <c r="AZ4" s="75"/>
      <c r="BA4" s="75"/>
      <c r="BB4" s="75"/>
      <c r="BC4" s="75"/>
      <c r="BD4" s="75"/>
      <c r="CD4" t="s">
        <v>77</v>
      </c>
      <c r="CG4" s="13" t="s">
        <v>26</v>
      </c>
      <c r="CH4" s="132" t="s">
        <v>259</v>
      </c>
      <c r="CI4" s="13">
        <v>1</v>
      </c>
      <c r="CJ4" s="13" t="s">
        <v>94</v>
      </c>
      <c r="CK4" s="10">
        <v>1196197.4577404296</v>
      </c>
      <c r="CL4" s="10">
        <v>99683.121478369125</v>
      </c>
      <c r="CM4" s="10">
        <v>3322.7707159456377</v>
      </c>
      <c r="CN4" s="10">
        <v>1299158.5208976872</v>
      </c>
      <c r="CO4" s="10">
        <v>108263.21007480727</v>
      </c>
      <c r="CP4" s="10">
        <v>3608.7736691602422</v>
      </c>
      <c r="CQ4" s="41">
        <f>CP4/CI4</f>
        <v>3608.7736691602422</v>
      </c>
      <c r="CR4" s="558">
        <f t="shared" ref="CR4:CR14" si="4">CM4/CQ4</f>
        <v>0.92074788295571963</v>
      </c>
      <c r="CS4" s="211">
        <f t="shared" ref="CS4:CS15" si="5">CR4/0.33</f>
        <v>2.7901450998658168</v>
      </c>
      <c r="CT4" s="41">
        <f t="shared" ref="CT4:CT14" si="6">ROUNDUP(CS4,0)</f>
        <v>3</v>
      </c>
      <c r="CU4">
        <f t="shared" ref="CU4:CU14" si="7">CI4*3</f>
        <v>3</v>
      </c>
      <c r="CV4" s="41">
        <f>CT4*2.5</f>
        <v>7.5</v>
      </c>
      <c r="CW4" s="41">
        <f t="shared" ref="CW4:CW14" si="8">CT4*2.5</f>
        <v>7.5</v>
      </c>
    </row>
    <row r="5" spans="1:102">
      <c r="A5" s="367">
        <v>2</v>
      </c>
      <c r="B5" s="76" t="s">
        <v>70</v>
      </c>
      <c r="C5" s="76" t="s">
        <v>1014</v>
      </c>
      <c r="D5" s="69" t="s">
        <v>71</v>
      </c>
      <c r="E5" s="70" t="s">
        <v>72</v>
      </c>
      <c r="F5" s="71">
        <v>0.56999999999999995</v>
      </c>
      <c r="G5" s="71">
        <v>0.60821917808219184</v>
      </c>
      <c r="H5" s="69">
        <v>750</v>
      </c>
      <c r="I5" s="72">
        <v>10.5</v>
      </c>
      <c r="J5" s="72">
        <v>4</v>
      </c>
      <c r="K5" s="73">
        <f t="shared" ref="K5:K11" si="9">H5*24*60*F5*G5*J5/I5/39.37</f>
        <v>3622.9638330118155</v>
      </c>
      <c r="L5" s="73">
        <v>1</v>
      </c>
      <c r="M5" s="73">
        <f>L5*K5</f>
        <v>3622.9638330118155</v>
      </c>
      <c r="N5">
        <f t="shared" ref="N5:N22" si="10">H5*24*60*F5*G5*J5/I5/39.37</f>
        <v>3622.9638330118155</v>
      </c>
      <c r="R5" s="783">
        <f>BP!B165</f>
        <v>26826.053359999998</v>
      </c>
      <c r="S5" s="783">
        <f>BP!C165</f>
        <v>27120.91661</v>
      </c>
      <c r="T5" s="783">
        <f>BP!D165</f>
        <v>49234.105575000001</v>
      </c>
      <c r="U5" s="783">
        <f>BP!E165</f>
        <v>54830.435475000006</v>
      </c>
      <c r="V5" s="783">
        <f>BP!F165</f>
        <v>61014.95048</v>
      </c>
      <c r="W5" s="783">
        <f>BP!G165</f>
        <v>55105</v>
      </c>
      <c r="X5" s="783">
        <f>BP!H165</f>
        <v>69559.333333333343</v>
      </c>
      <c r="Y5" s="783">
        <f>BP!I165</f>
        <v>83773.333333333343</v>
      </c>
      <c r="Z5" s="783">
        <f>BP!J165</f>
        <v>64203.333333333336</v>
      </c>
      <c r="AA5" s="783">
        <f>BP!K165</f>
        <v>65851.333333333328</v>
      </c>
      <c r="AB5" s="783">
        <f>BP!L165</f>
        <v>91704.333333333328</v>
      </c>
      <c r="AC5" s="783">
        <f>BP!M165</f>
        <v>62967.333333333328</v>
      </c>
      <c r="AD5" s="98">
        <f t="shared" ref="AD5:AD22" si="11">AVERAGE(R5:AC5)</f>
        <v>59349.205125000008</v>
      </c>
      <c r="AE5" s="98"/>
      <c r="AF5" s="44">
        <f t="shared" ref="AF5:AQ5" si="12">(R5/(DAY(EOMONTH(AF$2,0)))/$N5)</f>
        <v>0.24681498902055157</v>
      </c>
      <c r="AG5" s="44">
        <f t="shared" si="12"/>
        <v>0.24147861200553206</v>
      </c>
      <c r="AH5" s="44">
        <f t="shared" si="12"/>
        <v>0.45298184805110303</v>
      </c>
      <c r="AI5" s="44">
        <f t="shared" si="12"/>
        <v>0.48819800763223131</v>
      </c>
      <c r="AJ5" s="44">
        <f t="shared" si="12"/>
        <v>0.54326355430273465</v>
      </c>
      <c r="AK5" s="44">
        <f t="shared" si="12"/>
        <v>0.50699742475937182</v>
      </c>
      <c r="AL5" s="44">
        <f t="shared" si="12"/>
        <v>0.61934083965178621</v>
      </c>
      <c r="AM5" s="44">
        <f t="shared" si="12"/>
        <v>0.77076244013262774</v>
      </c>
      <c r="AN5" s="44">
        <f t="shared" si="12"/>
        <v>0.57165220639133274</v>
      </c>
      <c r="AO5" s="44">
        <f t="shared" si="12"/>
        <v>0.58632563200993371</v>
      </c>
      <c r="AP5" s="44">
        <f t="shared" si="12"/>
        <v>0.90399874601620978</v>
      </c>
      <c r="AQ5" s="44">
        <f t="shared" si="12"/>
        <v>0.5606471371773819</v>
      </c>
      <c r="AS5" s="75" t="str">
        <f t="shared" ref="AS5:BA5" si="13">IF(AF5&lt;=0.33,"1",(IF(AF5&gt;0.66,"3","2")))</f>
        <v>1</v>
      </c>
      <c r="AT5" s="75" t="str">
        <f t="shared" si="13"/>
        <v>1</v>
      </c>
      <c r="AU5" s="75" t="str">
        <f t="shared" si="13"/>
        <v>2</v>
      </c>
      <c r="AV5" s="75" t="str">
        <f t="shared" si="13"/>
        <v>2</v>
      </c>
      <c r="AW5" s="75" t="str">
        <f t="shared" si="13"/>
        <v>2</v>
      </c>
      <c r="AX5" s="75" t="str">
        <f t="shared" si="13"/>
        <v>2</v>
      </c>
      <c r="AY5" s="75" t="str">
        <f t="shared" si="13"/>
        <v>2</v>
      </c>
      <c r="AZ5" s="75" t="str">
        <f t="shared" si="13"/>
        <v>3</v>
      </c>
      <c r="BA5" s="75" t="str">
        <f t="shared" si="13"/>
        <v>2</v>
      </c>
      <c r="BB5" s="75" t="str">
        <f t="shared" ref="BB5:BD5" si="14">IF(AO5&lt;=0.33,"1",(IF(AO5&gt;0.66,"3","2")))</f>
        <v>2</v>
      </c>
      <c r="BC5" s="75" t="str">
        <f t="shared" si="14"/>
        <v>3</v>
      </c>
      <c r="BD5" s="75" t="str">
        <f t="shared" si="14"/>
        <v>2</v>
      </c>
      <c r="BF5" s="44">
        <f t="shared" ref="BF5:BQ5" si="15">AS5*2.5</f>
        <v>2.5</v>
      </c>
      <c r="BG5" s="44">
        <f t="shared" si="15"/>
        <v>2.5</v>
      </c>
      <c r="BH5" s="44">
        <f t="shared" si="15"/>
        <v>5</v>
      </c>
      <c r="BI5" s="44">
        <f t="shared" si="15"/>
        <v>5</v>
      </c>
      <c r="BJ5" s="44">
        <f t="shared" si="15"/>
        <v>5</v>
      </c>
      <c r="BK5" s="44">
        <f t="shared" si="15"/>
        <v>5</v>
      </c>
      <c r="BL5" s="44">
        <f t="shared" si="15"/>
        <v>5</v>
      </c>
      <c r="BM5" s="44">
        <f t="shared" si="15"/>
        <v>7.5</v>
      </c>
      <c r="BN5" s="44">
        <f t="shared" si="15"/>
        <v>5</v>
      </c>
      <c r="BO5" s="44">
        <f t="shared" si="15"/>
        <v>5</v>
      </c>
      <c r="BP5" s="44">
        <f t="shared" si="15"/>
        <v>7.5</v>
      </c>
      <c r="BQ5" s="44">
        <f t="shared" si="15"/>
        <v>5</v>
      </c>
      <c r="CD5" t="s">
        <v>259</v>
      </c>
      <c r="CG5" s="13" t="s">
        <v>26</v>
      </c>
      <c r="CH5" s="132" t="s">
        <v>88</v>
      </c>
      <c r="CI5" s="13">
        <v>2</v>
      </c>
      <c r="CJ5" s="13" t="s">
        <v>94</v>
      </c>
      <c r="CK5" s="10">
        <v>2359681.9009185098</v>
      </c>
      <c r="CL5" s="10">
        <v>196640.15840987582</v>
      </c>
      <c r="CM5" s="10">
        <v>6554.6719469958607</v>
      </c>
      <c r="CN5" s="10">
        <v>1771885.8013716028</v>
      </c>
      <c r="CO5" s="10">
        <v>147657.15011430022</v>
      </c>
      <c r="CP5" s="10">
        <v>4921.9050038100077</v>
      </c>
      <c r="CQ5" s="41">
        <f t="shared" ref="CQ5:CQ14" si="16">CP5/CI5</f>
        <v>2460.9525019050038</v>
      </c>
      <c r="CR5" s="558">
        <f t="shared" si="4"/>
        <v>2.6634695069985872</v>
      </c>
      <c r="CS5" s="211">
        <f t="shared" si="5"/>
        <v>8.0711197181775365</v>
      </c>
      <c r="CT5" s="41">
        <f>ROUND(CS5,0)</f>
        <v>8</v>
      </c>
      <c r="CU5">
        <f t="shared" si="7"/>
        <v>6</v>
      </c>
      <c r="CV5" s="991">
        <f>CU5*3.5</f>
        <v>21</v>
      </c>
      <c r="CW5" s="41">
        <f t="shared" si="8"/>
        <v>20</v>
      </c>
    </row>
    <row r="6" spans="1:102">
      <c r="A6" s="1460">
        <v>3</v>
      </c>
      <c r="B6" s="1459" t="s">
        <v>73</v>
      </c>
      <c r="C6" s="653" t="s">
        <v>1013</v>
      </c>
      <c r="D6" s="69" t="s">
        <v>74</v>
      </c>
      <c r="E6" s="70" t="s">
        <v>75</v>
      </c>
      <c r="F6" s="71">
        <v>0.56999999999999995</v>
      </c>
      <c r="G6" s="71">
        <v>0.60821917808219184</v>
      </c>
      <c r="H6" s="69">
        <v>900</v>
      </c>
      <c r="I6" s="72">
        <v>40</v>
      </c>
      <c r="J6" s="72">
        <v>4</v>
      </c>
      <c r="K6" s="73"/>
      <c r="L6" s="73">
        <v>0</v>
      </c>
      <c r="M6" s="73">
        <v>0</v>
      </c>
      <c r="R6" s="783"/>
      <c r="S6" s="783"/>
      <c r="T6" s="783"/>
      <c r="U6" s="783"/>
      <c r="V6" s="783"/>
      <c r="W6" s="783"/>
      <c r="X6" s="783"/>
      <c r="Y6" s="783"/>
      <c r="Z6" s="783"/>
      <c r="AA6" s="783"/>
      <c r="AB6" s="783"/>
      <c r="AC6" s="783"/>
      <c r="AD6" s="98"/>
      <c r="AE6" s="98"/>
      <c r="AK6" s="390"/>
      <c r="AS6" s="75"/>
      <c r="AT6" s="75"/>
      <c r="AU6" s="75"/>
      <c r="AV6" s="75"/>
      <c r="AW6" s="75"/>
      <c r="AX6" s="75"/>
      <c r="AY6" s="75"/>
      <c r="AZ6" s="75"/>
      <c r="BA6" s="75"/>
      <c r="BB6" s="75"/>
      <c r="BC6" s="75"/>
      <c r="BD6" s="75"/>
      <c r="CD6" t="s">
        <v>260</v>
      </c>
      <c r="CG6" s="13" t="s">
        <v>26</v>
      </c>
      <c r="CH6" s="13" t="s">
        <v>77</v>
      </c>
      <c r="CI6" s="13">
        <v>1</v>
      </c>
      <c r="CJ6" s="13" t="s">
        <v>94</v>
      </c>
      <c r="CK6" s="10">
        <v>560109.43091999996</v>
      </c>
      <c r="CL6" s="10">
        <v>46675.785909999999</v>
      </c>
      <c r="CM6" s="10">
        <v>1555.8595303333334</v>
      </c>
      <c r="CN6" s="10">
        <v>1564626.0705564891</v>
      </c>
      <c r="CO6" s="10">
        <v>130385.50587970742</v>
      </c>
      <c r="CP6" s="10">
        <v>4346.1835293235808</v>
      </c>
      <c r="CQ6" s="41">
        <f t="shared" si="16"/>
        <v>4346.1835293235808</v>
      </c>
      <c r="CR6" s="558">
        <f t="shared" si="4"/>
        <v>0.35798293372472467</v>
      </c>
      <c r="CS6" s="211">
        <f t="shared" si="5"/>
        <v>1.084796768862802</v>
      </c>
      <c r="CT6" s="41">
        <f>ROUND(CS6,0)</f>
        <v>1</v>
      </c>
      <c r="CU6">
        <f t="shared" si="7"/>
        <v>3</v>
      </c>
      <c r="CV6" s="41">
        <f>CT6*2.5</f>
        <v>2.5</v>
      </c>
      <c r="CW6" s="41">
        <f t="shared" si="8"/>
        <v>2.5</v>
      </c>
    </row>
    <row r="7" spans="1:102">
      <c r="A7" s="1460"/>
      <c r="B7" s="1459"/>
      <c r="C7" s="653"/>
      <c r="D7" s="69" t="s">
        <v>74</v>
      </c>
      <c r="E7" s="70" t="s">
        <v>76</v>
      </c>
      <c r="F7" s="71">
        <v>0.56999999999999995</v>
      </c>
      <c r="G7" s="71">
        <v>0.60821917808219184</v>
      </c>
      <c r="H7" s="69">
        <v>800</v>
      </c>
      <c r="I7" s="72">
        <v>12.4</v>
      </c>
      <c r="J7" s="72">
        <v>4</v>
      </c>
      <c r="K7" s="622">
        <f>H7*60*((24-(1.5*1.5))*F7*J7*G7/I7/39.37)</f>
        <v>2965.5712020217679</v>
      </c>
      <c r="L7" s="73">
        <v>1</v>
      </c>
      <c r="M7" s="73">
        <f t="shared" ref="M7:M11" si="17">L7*K7</f>
        <v>2965.5712020217679</v>
      </c>
      <c r="N7">
        <f t="shared" si="10"/>
        <v>3272.3544298171232</v>
      </c>
      <c r="O7" t="s">
        <v>484</v>
      </c>
      <c r="R7" s="783">
        <f>BP!B166</f>
        <v>46908.96490376287</v>
      </c>
      <c r="S7" s="783">
        <f>BP!C166</f>
        <v>58138.941270000003</v>
      </c>
      <c r="T7" s="783">
        <f>BP!D166</f>
        <v>83133.500594999976</v>
      </c>
      <c r="U7" s="783">
        <f>BP!E166</f>
        <v>65898.457549999992</v>
      </c>
      <c r="V7" s="783">
        <f>BP!F166</f>
        <v>89477.78919999997</v>
      </c>
      <c r="W7" s="783">
        <f>BP!G166</f>
        <v>127085.45407999998</v>
      </c>
      <c r="X7" s="783">
        <f>BP!H166</f>
        <v>161945.95342999999</v>
      </c>
      <c r="Y7" s="783">
        <f>BP!I166</f>
        <v>109045.84198499999</v>
      </c>
      <c r="Z7" s="783">
        <f>BP!J166</f>
        <v>112379.77430999998</v>
      </c>
      <c r="AA7" s="783">
        <f>BP!K166</f>
        <v>127109.95675000004</v>
      </c>
      <c r="AB7" s="783">
        <f>BP!L166</f>
        <v>104528.8118333334</v>
      </c>
      <c r="AC7" s="783">
        <f>BP!M166</f>
        <v>110544.01183333341</v>
      </c>
      <c r="AD7" s="98">
        <f t="shared" si="11"/>
        <v>99683.121478369125</v>
      </c>
      <c r="AE7" s="98"/>
      <c r="AF7" s="44">
        <f t="shared" ref="AF7:AF22" si="18">(R7/(DAY(EOMONTH(AF$2,0)))/$N7)</f>
        <v>0.47783093090748929</v>
      </c>
      <c r="AG7" s="44">
        <f t="shared" ref="AG7:AG22" si="19">(S7/(DAY(EOMONTH(AG$2,0)))/$N7)</f>
        <v>0.57311937279725145</v>
      </c>
      <c r="AH7" s="44">
        <f t="shared" ref="AH7:AQ8" si="20">(T7/(DAY(EOMONTH(AH$2,0)))/$N7)</f>
        <v>0.84682657271170469</v>
      </c>
      <c r="AI7" s="44">
        <f t="shared" si="20"/>
        <v>0.649610774368377</v>
      </c>
      <c r="AJ7" s="44">
        <f t="shared" si="20"/>
        <v>0.88205002198844917</v>
      </c>
      <c r="AK7" s="44">
        <f t="shared" si="20"/>
        <v>1.2945363631968823</v>
      </c>
      <c r="AL7" s="44">
        <f t="shared" si="20"/>
        <v>1.5964233477493195</v>
      </c>
      <c r="AM7" s="44">
        <f t="shared" si="20"/>
        <v>1.1107786388845218</v>
      </c>
      <c r="AN7" s="44">
        <f t="shared" si="20"/>
        <v>1.1078121541383867</v>
      </c>
      <c r="AO7" s="44">
        <f t="shared" si="20"/>
        <v>1.2530186669642078</v>
      </c>
      <c r="AP7" s="44">
        <f t="shared" si="20"/>
        <v>1.1408213661620721</v>
      </c>
      <c r="AQ7" s="44">
        <f t="shared" si="20"/>
        <v>1.089715659495565</v>
      </c>
      <c r="AS7" s="75" t="str">
        <f t="shared" ref="AS7:BA7" si="21">IF(AF7&lt;=0.33,"1",(IF(AF7&gt;0.66,"3","2")))</f>
        <v>2</v>
      </c>
      <c r="AT7" s="75" t="str">
        <f t="shared" si="21"/>
        <v>2</v>
      </c>
      <c r="AU7" s="75" t="str">
        <f t="shared" si="21"/>
        <v>3</v>
      </c>
      <c r="AV7" s="75" t="str">
        <f t="shared" si="21"/>
        <v>2</v>
      </c>
      <c r="AW7" s="75" t="str">
        <f t="shared" si="21"/>
        <v>3</v>
      </c>
      <c r="AX7" s="75" t="str">
        <f t="shared" si="21"/>
        <v>3</v>
      </c>
      <c r="AY7" s="75" t="str">
        <f t="shared" si="21"/>
        <v>3</v>
      </c>
      <c r="AZ7" s="75" t="str">
        <f t="shared" si="21"/>
        <v>3</v>
      </c>
      <c r="BA7" s="75" t="str">
        <f t="shared" si="21"/>
        <v>3</v>
      </c>
      <c r="BB7" s="75" t="str">
        <f t="shared" ref="BB7:BD12" si="22">IF(AO7&lt;=0.33,"1",(IF(AO7&gt;0.66,"3","2")))</f>
        <v>3</v>
      </c>
      <c r="BC7" s="75" t="str">
        <f t="shared" si="22"/>
        <v>3</v>
      </c>
      <c r="BD7" s="75" t="str">
        <f t="shared" si="22"/>
        <v>3</v>
      </c>
      <c r="BF7" s="44">
        <f t="shared" ref="BF7:BF19" si="23">AS7*2.5</f>
        <v>5</v>
      </c>
      <c r="BG7" s="44">
        <f t="shared" ref="BG7:BG19" si="24">AT7*2.5</f>
        <v>5</v>
      </c>
      <c r="BH7" s="44">
        <f t="shared" ref="BH7:BH19" si="25">AU7*2.5</f>
        <v>7.5</v>
      </c>
      <c r="BI7" s="44">
        <f t="shared" ref="BI7:BI19" si="26">AV7*2.5</f>
        <v>5</v>
      </c>
      <c r="BJ7" s="44">
        <f t="shared" ref="BJ7:BJ19" si="27">AW7*2.5</f>
        <v>7.5</v>
      </c>
      <c r="BK7" s="44">
        <f t="shared" ref="BK7:BK19" si="28">AX7*2.5</f>
        <v>7.5</v>
      </c>
      <c r="BL7" s="44">
        <f t="shared" ref="BL7:BL19" si="29">AY7*2.5</f>
        <v>7.5</v>
      </c>
      <c r="BM7" s="44">
        <f t="shared" ref="BM7:BM19" si="30">AZ7*2.5</f>
        <v>7.5</v>
      </c>
      <c r="BN7" s="44">
        <f t="shared" ref="BN7:BN19" si="31">BA7*2.5</f>
        <v>7.5</v>
      </c>
      <c r="BO7" s="44">
        <f t="shared" ref="BO7:BO19" si="32">BB7*2.5</f>
        <v>7.5</v>
      </c>
      <c r="BP7" s="44">
        <f t="shared" ref="BP7:BP19" si="33">BC7*2.5</f>
        <v>7.5</v>
      </c>
      <c r="BQ7" s="44">
        <f t="shared" ref="BQ7:BQ19" si="34">BD7*2.5</f>
        <v>7.5</v>
      </c>
      <c r="CD7" t="s">
        <v>82</v>
      </c>
      <c r="CG7" s="13" t="s">
        <v>26</v>
      </c>
      <c r="CH7" s="13" t="s">
        <v>260</v>
      </c>
      <c r="CI7" s="13">
        <v>1</v>
      </c>
      <c r="CJ7" s="13" t="s">
        <v>94</v>
      </c>
      <c r="CK7" s="10">
        <v>613641.26751555549</v>
      </c>
      <c r="CL7" s="10">
        <v>51136.77229296296</v>
      </c>
      <c r="CM7" s="10">
        <v>1704.5590764320987</v>
      </c>
      <c r="CN7" s="10">
        <v>550284.05325811496</v>
      </c>
      <c r="CO7" s="10">
        <v>45857.004438176249</v>
      </c>
      <c r="CP7" s="10">
        <v>1528.5668146058749</v>
      </c>
      <c r="CQ7" s="41">
        <f t="shared" si="16"/>
        <v>1528.5668146058749</v>
      </c>
      <c r="CR7" s="558">
        <f t="shared" si="4"/>
        <v>1.1151354720935778</v>
      </c>
      <c r="CS7" s="211">
        <f t="shared" si="5"/>
        <v>3.3791984002835687</v>
      </c>
      <c r="CT7" s="41">
        <f t="shared" si="6"/>
        <v>4</v>
      </c>
      <c r="CU7">
        <f t="shared" si="7"/>
        <v>3</v>
      </c>
      <c r="CV7" s="991">
        <f>CU7*2.5</f>
        <v>7.5</v>
      </c>
      <c r="CW7" s="41">
        <f t="shared" si="8"/>
        <v>10</v>
      </c>
    </row>
    <row r="8" spans="1:102">
      <c r="A8" s="210">
        <v>4</v>
      </c>
      <c r="B8" s="600" t="s">
        <v>77</v>
      </c>
      <c r="C8" s="653" t="s">
        <v>1012</v>
      </c>
      <c r="D8" s="69" t="s">
        <v>33</v>
      </c>
      <c r="E8" s="70" t="s">
        <v>78</v>
      </c>
      <c r="F8" s="71">
        <v>0.49</v>
      </c>
      <c r="G8" s="71">
        <v>0.60821917808219184</v>
      </c>
      <c r="H8" s="69">
        <v>1000</v>
      </c>
      <c r="I8" s="72">
        <v>8.9435775085430276</v>
      </c>
      <c r="J8" s="72">
        <v>3.9</v>
      </c>
      <c r="K8" s="73">
        <f t="shared" si="9"/>
        <v>4753.4244887104751</v>
      </c>
      <c r="L8" s="73">
        <v>1</v>
      </c>
      <c r="M8" s="73">
        <f t="shared" si="17"/>
        <v>4753.4244887104751</v>
      </c>
      <c r="N8">
        <f t="shared" si="10"/>
        <v>4753.4244887104751</v>
      </c>
      <c r="R8" s="783">
        <f>BP!B167</f>
        <v>51126.935426198565</v>
      </c>
      <c r="S8" s="783">
        <f>BP!C167</f>
        <v>93157.181346198558</v>
      </c>
      <c r="T8" s="783">
        <f>BP!D167</f>
        <v>49963.608106198568</v>
      </c>
      <c r="U8" s="783">
        <f>BP!E167</f>
        <v>34926.111267974484</v>
      </c>
      <c r="V8" s="783">
        <f>BP!F167</f>
        <v>30215.514826146631</v>
      </c>
      <c r="W8" s="783">
        <f>BP!G167</f>
        <v>24896.496586435253</v>
      </c>
      <c r="X8" s="783">
        <f>BP!H167</f>
        <v>38368.479093101923</v>
      </c>
      <c r="Y8" s="783">
        <f>BP!I167</f>
        <v>27009.617852813295</v>
      </c>
      <c r="Z8" s="783">
        <f>BP!J167</f>
        <v>24662.761414641147</v>
      </c>
      <c r="AA8" s="783">
        <f>BP!K167</f>
        <v>46587.780502462811</v>
      </c>
      <c r="AB8" s="783">
        <f>BP!L167</f>
        <v>84131.280502462803</v>
      </c>
      <c r="AC8" s="783">
        <f>BP!M167</f>
        <v>114616.34010056836</v>
      </c>
      <c r="AD8" s="98">
        <f t="shared" si="11"/>
        <v>51638.508918766864</v>
      </c>
      <c r="AE8" s="98"/>
      <c r="AF8" s="44">
        <f t="shared" si="18"/>
        <v>0.3585270334936182</v>
      </c>
      <c r="AG8" s="44">
        <f t="shared" si="19"/>
        <v>0.63219061818348787</v>
      </c>
      <c r="AH8" s="44">
        <f t="shared" si="20"/>
        <v>0.35036921434125107</v>
      </c>
      <c r="AI8" s="44">
        <f t="shared" si="20"/>
        <v>0.23701833346793377</v>
      </c>
      <c r="AJ8" s="44">
        <f t="shared" si="20"/>
        <v>0.2050509120245454</v>
      </c>
      <c r="AK8" s="44">
        <f t="shared" si="20"/>
        <v>0.17458638956374278</v>
      </c>
      <c r="AL8" s="44">
        <f t="shared" si="20"/>
        <v>0.26037920175456392</v>
      </c>
      <c r="AM8" s="44">
        <f t="shared" si="20"/>
        <v>0.18940462759681254</v>
      </c>
      <c r="AN8" s="44">
        <f t="shared" si="20"/>
        <v>0.1673683784709111</v>
      </c>
      <c r="AO8" s="44">
        <f t="shared" si="20"/>
        <v>0.31615767383724586</v>
      </c>
      <c r="AP8" s="44">
        <f t="shared" si="20"/>
        <v>0.63211030205905172</v>
      </c>
      <c r="AQ8" s="44">
        <f t="shared" si="20"/>
        <v>0.77781845537841654</v>
      </c>
      <c r="AS8" s="75" t="str">
        <f t="shared" ref="AS8:AX11" si="35">IF(AF8&lt;=0.33,"1",(IF(AF8&gt;0.66,"3","2")))</f>
        <v>2</v>
      </c>
      <c r="AT8" s="75" t="str">
        <f t="shared" si="35"/>
        <v>2</v>
      </c>
      <c r="AU8" s="75" t="str">
        <f t="shared" si="35"/>
        <v>2</v>
      </c>
      <c r="AV8" s="75" t="str">
        <f t="shared" si="35"/>
        <v>1</v>
      </c>
      <c r="AW8" s="75" t="str">
        <f t="shared" si="35"/>
        <v>1</v>
      </c>
      <c r="AX8" s="75" t="str">
        <f t="shared" si="35"/>
        <v>1</v>
      </c>
      <c r="AY8" s="75" t="str">
        <f>IF(AL8&lt;=0.34,"1",(IF(AL8&gt;0.66,"3","2")))</f>
        <v>1</v>
      </c>
      <c r="AZ8" s="75" t="str">
        <f t="shared" ref="AZ8:AZ22" si="36">IF(AM8&lt;=0.33,"1",(IF(AM8&gt;0.66,"3","2")))</f>
        <v>1</v>
      </c>
      <c r="BA8" s="75" t="str">
        <f t="shared" ref="BA8:BA22" si="37">IF(AN8&lt;=0.33,"1",(IF(AN8&gt;0.66,"3","2")))</f>
        <v>1</v>
      </c>
      <c r="BB8" s="75" t="str">
        <f t="shared" si="22"/>
        <v>1</v>
      </c>
      <c r="BC8" s="75" t="str">
        <f t="shared" si="22"/>
        <v>2</v>
      </c>
      <c r="BD8" s="75" t="str">
        <f t="shared" si="22"/>
        <v>3</v>
      </c>
      <c r="BF8" s="44">
        <f t="shared" si="23"/>
        <v>5</v>
      </c>
      <c r="BG8" s="44">
        <f t="shared" si="24"/>
        <v>5</v>
      </c>
      <c r="BH8" s="44">
        <f t="shared" si="25"/>
        <v>5</v>
      </c>
      <c r="BI8" s="44">
        <f t="shared" si="26"/>
        <v>2.5</v>
      </c>
      <c r="BJ8" s="44">
        <f t="shared" si="27"/>
        <v>2.5</v>
      </c>
      <c r="BK8" s="44">
        <f t="shared" si="28"/>
        <v>2.5</v>
      </c>
      <c r="BL8" s="44">
        <f t="shared" si="29"/>
        <v>2.5</v>
      </c>
      <c r="BM8" s="44">
        <f t="shared" si="30"/>
        <v>2.5</v>
      </c>
      <c r="BN8" s="44">
        <f t="shared" si="31"/>
        <v>2.5</v>
      </c>
      <c r="BO8" s="44">
        <f t="shared" si="32"/>
        <v>2.5</v>
      </c>
      <c r="BP8" s="44">
        <f t="shared" si="33"/>
        <v>5</v>
      </c>
      <c r="BQ8" s="44">
        <f t="shared" si="34"/>
        <v>7.5</v>
      </c>
      <c r="CD8" t="s">
        <v>262</v>
      </c>
      <c r="CG8" s="13" t="s">
        <v>26</v>
      </c>
      <c r="CH8" s="13" t="s">
        <v>82</v>
      </c>
      <c r="CI8" s="13">
        <v>1</v>
      </c>
      <c r="CJ8" s="13" t="s">
        <v>94</v>
      </c>
      <c r="CK8" s="10">
        <v>416712.25</v>
      </c>
      <c r="CL8" s="10">
        <v>34726.020833333336</v>
      </c>
      <c r="CM8" s="10">
        <v>1157.534027777778</v>
      </c>
      <c r="CN8" s="10">
        <v>1254049.5496933854</v>
      </c>
      <c r="CO8" s="10">
        <v>104504.12914111545</v>
      </c>
      <c r="CP8" s="10">
        <v>3483.4709713705151</v>
      </c>
      <c r="CQ8" s="41">
        <f t="shared" si="16"/>
        <v>3483.4709713705151</v>
      </c>
      <c r="CR8" s="558">
        <f t="shared" si="4"/>
        <v>0.33229328944927738</v>
      </c>
      <c r="CS8" s="211">
        <f t="shared" si="5"/>
        <v>1.0069493619675072</v>
      </c>
      <c r="CT8" s="41">
        <f>ROUND(CS8,0)+1</f>
        <v>2</v>
      </c>
      <c r="CU8">
        <f t="shared" si="7"/>
        <v>3</v>
      </c>
      <c r="CV8" s="41">
        <f>CT8*2.5</f>
        <v>5</v>
      </c>
      <c r="CW8" s="41">
        <f t="shared" si="8"/>
        <v>5</v>
      </c>
    </row>
    <row r="9" spans="1:102">
      <c r="A9" s="367">
        <v>5</v>
      </c>
      <c r="B9" s="76" t="s">
        <v>79</v>
      </c>
      <c r="C9" s="76" t="s">
        <v>1015</v>
      </c>
      <c r="D9" s="69" t="s">
        <v>71</v>
      </c>
      <c r="E9" s="70" t="s">
        <v>80</v>
      </c>
      <c r="F9" s="71">
        <v>0.56999999999999995</v>
      </c>
      <c r="G9" s="71">
        <v>0.60821917808219184</v>
      </c>
      <c r="H9" s="69">
        <v>750</v>
      </c>
      <c r="I9" s="72">
        <v>10.199999999999999</v>
      </c>
      <c r="J9" s="72">
        <v>3.9</v>
      </c>
      <c r="K9" s="73">
        <f t="shared" si="9"/>
        <v>3636.2835529861236</v>
      </c>
      <c r="L9" s="73">
        <v>1</v>
      </c>
      <c r="M9" s="73">
        <f t="shared" si="17"/>
        <v>3636.2835529861236</v>
      </c>
      <c r="N9">
        <f t="shared" si="10"/>
        <v>3636.2835529861236</v>
      </c>
      <c r="R9" s="782">
        <f>BP!B170/4</f>
        <v>64415.481473548847</v>
      </c>
      <c r="S9" s="782">
        <f>BP!C170/4</f>
        <v>70523.876302715507</v>
      </c>
      <c r="T9" s="782">
        <f>BP!D170/4</f>
        <v>79594.655819937747</v>
      </c>
      <c r="U9" s="782">
        <f>BP!E170/4</f>
        <v>82800.544622529589</v>
      </c>
      <c r="V9" s="782">
        <f>BP!F170/4</f>
        <v>71394.5165037236</v>
      </c>
      <c r="W9" s="782">
        <f>BP!G170/4</f>
        <v>87791.434898154985</v>
      </c>
      <c r="X9" s="782">
        <f>BP!H170/4</f>
        <v>79458.849076411512</v>
      </c>
      <c r="Y9" s="782">
        <f>BP!I170/4</f>
        <v>82659.061367792674</v>
      </c>
      <c r="Z9" s="782">
        <f>BP!J170/4</f>
        <v>105282.65839285069</v>
      </c>
      <c r="AA9" s="782">
        <f>BP!K170/4</f>
        <v>91318.433050008767</v>
      </c>
      <c r="AB9" s="782">
        <f>BP!L170/4</f>
        <v>83604.339565508766</v>
      </c>
      <c r="AC9" s="782">
        <f>BP!M170/4</f>
        <v>87056.781859687326</v>
      </c>
      <c r="AD9" s="98">
        <f t="shared" si="11"/>
        <v>82158.386077739167</v>
      </c>
      <c r="AE9" s="98"/>
      <c r="AF9" s="44">
        <f t="shared" si="18"/>
        <v>0.59048825112158554</v>
      </c>
      <c r="AG9" s="44">
        <f t="shared" si="19"/>
        <v>0.62562880989638314</v>
      </c>
      <c r="AH9" s="44">
        <f t="shared" ref="AH9:AH22" si="38">(T9/(DAY(EOMONTH(AH$2,0)))/$N9)</f>
        <v>0.72963374702150174</v>
      </c>
      <c r="AI9" s="44">
        <f t="shared" ref="AI9:AI22" si="39">(U9/(DAY(EOMONTH(AI$2,0)))/$N9)</f>
        <v>0.73453713702023093</v>
      </c>
      <c r="AJ9" s="44">
        <f t="shared" ref="AJ9:AJ22" si="40">(V9/(DAY(EOMONTH(AJ$2,0)))/$N9)</f>
        <v>0.6333524011304581</v>
      </c>
      <c r="AK9" s="44">
        <f t="shared" ref="AK9:AK22" si="41">(W9/(DAY(EOMONTH(AK$2,0)))/$N9)</f>
        <v>0.80477254334818926</v>
      </c>
      <c r="AL9" s="44">
        <f t="shared" ref="AL9:AL22" si="42">(X9/(DAY(EOMONTH(AL$2,0)))/$N9)</f>
        <v>0.70489241076355191</v>
      </c>
      <c r="AM9" s="44">
        <f t="shared" ref="AM9:AM22" si="43">(Y9/(DAY(EOMONTH(AM$2,0)))/$N9)</f>
        <v>0.75772474985632776</v>
      </c>
      <c r="AN9" s="44">
        <f t="shared" ref="AN9:AN22" si="44">(Z9/(DAY(EOMONTH(AN$2,0)))/$N9)</f>
        <v>0.93397963535521666</v>
      </c>
      <c r="AO9" s="44">
        <f t="shared" ref="AO9:AO22" si="45">(AA9/(DAY(EOMONTH(AO$2,0)))/$N9)</f>
        <v>0.8101007146210949</v>
      </c>
      <c r="AP9" s="44">
        <f t="shared" ref="AP9:AP22" si="46">(AB9/(DAY(EOMONTH(AP$2,0)))/$N9)</f>
        <v>0.82113213303861843</v>
      </c>
      <c r="AQ9" s="44">
        <f t="shared" ref="AQ9:AQ22" si="47">(AC9/(DAY(EOMONTH(AQ$2,0)))/$N9)</f>
        <v>0.77229491178986776</v>
      </c>
      <c r="AS9" s="75" t="str">
        <f t="shared" si="35"/>
        <v>2</v>
      </c>
      <c r="AT9" s="75" t="str">
        <f t="shared" si="35"/>
        <v>2</v>
      </c>
      <c r="AU9" s="75" t="str">
        <f t="shared" si="35"/>
        <v>3</v>
      </c>
      <c r="AV9" s="75" t="str">
        <f t="shared" si="35"/>
        <v>3</v>
      </c>
      <c r="AW9" s="75" t="str">
        <f t="shared" si="35"/>
        <v>2</v>
      </c>
      <c r="AX9" s="75" t="str">
        <f t="shared" si="35"/>
        <v>3</v>
      </c>
      <c r="AY9" s="75" t="str">
        <f t="shared" ref="AY9:AY22" si="48">IF(AL9&lt;=0.33,"1",(IF(AL9&gt;0.66,"3","2")))</f>
        <v>3</v>
      </c>
      <c r="AZ9" s="75" t="str">
        <f t="shared" si="36"/>
        <v>3</v>
      </c>
      <c r="BA9" s="75" t="str">
        <f t="shared" si="37"/>
        <v>3</v>
      </c>
      <c r="BB9" s="75" t="str">
        <f t="shared" si="22"/>
        <v>3</v>
      </c>
      <c r="BC9" s="75" t="str">
        <f t="shared" si="22"/>
        <v>3</v>
      </c>
      <c r="BD9" s="75" t="str">
        <f t="shared" si="22"/>
        <v>3</v>
      </c>
      <c r="BF9" s="44">
        <f t="shared" si="23"/>
        <v>5</v>
      </c>
      <c r="BG9" s="44">
        <f t="shared" si="24"/>
        <v>5</v>
      </c>
      <c r="BH9" s="44">
        <f t="shared" si="25"/>
        <v>7.5</v>
      </c>
      <c r="BI9" s="44">
        <f t="shared" si="26"/>
        <v>7.5</v>
      </c>
      <c r="BJ9" s="44">
        <f t="shared" si="27"/>
        <v>5</v>
      </c>
      <c r="BK9" s="44">
        <f t="shared" si="28"/>
        <v>7.5</v>
      </c>
      <c r="BL9" s="44">
        <f t="shared" si="29"/>
        <v>7.5</v>
      </c>
      <c r="BM9" s="44">
        <f t="shared" si="30"/>
        <v>7.5</v>
      </c>
      <c r="BN9" s="44">
        <f t="shared" si="31"/>
        <v>7.5</v>
      </c>
      <c r="BO9" s="44">
        <f t="shared" si="32"/>
        <v>7.5</v>
      </c>
      <c r="BP9" s="44">
        <f t="shared" si="33"/>
        <v>7.5</v>
      </c>
      <c r="BQ9" s="44">
        <f t="shared" si="34"/>
        <v>7.5</v>
      </c>
      <c r="CD9" t="s">
        <v>261</v>
      </c>
      <c r="CG9" s="13" t="s">
        <v>26</v>
      </c>
      <c r="CH9" s="13" t="s">
        <v>262</v>
      </c>
      <c r="CI9" s="13">
        <v>1</v>
      </c>
      <c r="CJ9" s="13" t="s">
        <v>94</v>
      </c>
      <c r="CK9" s="10">
        <v>160478.18205708801</v>
      </c>
      <c r="CL9" s="10">
        <v>13373.181838090668</v>
      </c>
      <c r="CM9" s="10">
        <v>445.77272793635558</v>
      </c>
      <c r="CN9" s="10">
        <v>1254049.5496933854</v>
      </c>
      <c r="CO9" s="10">
        <v>104504.12914111545</v>
      </c>
      <c r="CP9" s="10">
        <v>3483.4709713705151</v>
      </c>
      <c r="CQ9" s="41">
        <f t="shared" si="16"/>
        <v>3483.4709713705151</v>
      </c>
      <c r="CR9" s="558">
        <f t="shared" si="4"/>
        <v>0.12796797550489519</v>
      </c>
      <c r="CS9" s="211">
        <f t="shared" si="5"/>
        <v>0.38778174395422782</v>
      </c>
      <c r="CT9" s="41">
        <f>ROUNDUP(CS9,0)+1</f>
        <v>2</v>
      </c>
      <c r="CU9">
        <f t="shared" si="7"/>
        <v>3</v>
      </c>
      <c r="CV9" s="41">
        <f t="shared" ref="CV9:CV14" si="49">CT9*2.5</f>
        <v>5</v>
      </c>
      <c r="CW9" s="41">
        <f t="shared" si="8"/>
        <v>5</v>
      </c>
    </row>
    <row r="10" spans="1:102">
      <c r="A10" s="367">
        <f>A9+1</f>
        <v>6</v>
      </c>
      <c r="B10" s="76" t="s">
        <v>79</v>
      </c>
      <c r="C10" s="76" t="s">
        <v>1016</v>
      </c>
      <c r="D10" s="69" t="s">
        <v>71</v>
      </c>
      <c r="E10" s="70" t="s">
        <v>81</v>
      </c>
      <c r="F10" s="71">
        <v>0.56999999999999995</v>
      </c>
      <c r="G10" s="71">
        <v>0.60821917808219184</v>
      </c>
      <c r="H10" s="69">
        <v>550</v>
      </c>
      <c r="I10" s="72">
        <v>10.199999999999999</v>
      </c>
      <c r="J10" s="72">
        <v>3.66</v>
      </c>
      <c r="K10" s="73">
        <f t="shared" si="9"/>
        <v>2502.5089887730137</v>
      </c>
      <c r="L10" s="73">
        <v>1</v>
      </c>
      <c r="M10" s="73">
        <f t="shared" si="17"/>
        <v>2502.5089887730137</v>
      </c>
      <c r="N10">
        <f t="shared" si="10"/>
        <v>2502.5089887730137</v>
      </c>
      <c r="R10" s="782">
        <f>BP!B170/4</f>
        <v>64415.481473548847</v>
      </c>
      <c r="S10" s="782">
        <f>BP!C170/4</f>
        <v>70523.876302715507</v>
      </c>
      <c r="T10" s="782">
        <f>BP!D170/4</f>
        <v>79594.655819937747</v>
      </c>
      <c r="U10" s="782">
        <f>BP!E170/4</f>
        <v>82800.544622529589</v>
      </c>
      <c r="V10" s="782">
        <f>BP!F170/4</f>
        <v>71394.5165037236</v>
      </c>
      <c r="W10" s="782">
        <f>BP!G170/4</f>
        <v>87791.434898154985</v>
      </c>
      <c r="X10" s="782">
        <f>BP!H170/4</f>
        <v>79458.849076411512</v>
      </c>
      <c r="Y10" s="782">
        <f>BP!I170/4</f>
        <v>82659.061367792674</v>
      </c>
      <c r="Z10" s="782">
        <f>BP!J170/4</f>
        <v>105282.65839285069</v>
      </c>
      <c r="AA10" s="782">
        <f>BP!K170/4</f>
        <v>91318.433050008767</v>
      </c>
      <c r="AB10" s="782">
        <f>BP!L170/4</f>
        <v>83604.339565508766</v>
      </c>
      <c r="AC10" s="782">
        <f>BP!M170/4</f>
        <v>87056.781859687326</v>
      </c>
      <c r="AD10" s="98">
        <f t="shared" si="11"/>
        <v>82158.386077739167</v>
      </c>
      <c r="AE10" s="98"/>
      <c r="AF10" s="44">
        <f t="shared" si="18"/>
        <v>0.85801198933464395</v>
      </c>
      <c r="AG10" s="44">
        <f t="shared" si="19"/>
        <v>0.90907315894034835</v>
      </c>
      <c r="AH10" s="44">
        <f t="shared" si="38"/>
        <v>1.0601980675796787</v>
      </c>
      <c r="AI10" s="44">
        <f t="shared" si="39"/>
        <v>1.0673229636285027</v>
      </c>
      <c r="AJ10" s="44">
        <f t="shared" si="40"/>
        <v>0.92029596289448112</v>
      </c>
      <c r="AK10" s="44">
        <f t="shared" si="41"/>
        <v>1.1693788819142843</v>
      </c>
      <c r="AL10" s="44">
        <f t="shared" si="42"/>
        <v>1.0242475417205115</v>
      </c>
      <c r="AM10" s="44">
        <f t="shared" si="43"/>
        <v>1.1010158436809534</v>
      </c>
      <c r="AN10" s="44">
        <f t="shared" si="44"/>
        <v>1.3571239112836608</v>
      </c>
      <c r="AO10" s="44">
        <f t="shared" si="45"/>
        <v>1.1771210085775972</v>
      </c>
      <c r="AP10" s="44">
        <f t="shared" si="46"/>
        <v>1.193150267828097</v>
      </c>
      <c r="AQ10" s="44">
        <f t="shared" si="47"/>
        <v>1.1221870923921331</v>
      </c>
      <c r="AS10" s="75" t="str">
        <f t="shared" si="35"/>
        <v>3</v>
      </c>
      <c r="AT10" s="75" t="str">
        <f t="shared" si="35"/>
        <v>3</v>
      </c>
      <c r="AU10" s="75" t="str">
        <f t="shared" si="35"/>
        <v>3</v>
      </c>
      <c r="AV10" s="75" t="str">
        <f t="shared" si="35"/>
        <v>3</v>
      </c>
      <c r="AW10" s="75" t="str">
        <f t="shared" si="35"/>
        <v>3</v>
      </c>
      <c r="AX10" s="75" t="str">
        <f t="shared" si="35"/>
        <v>3</v>
      </c>
      <c r="AY10" s="75" t="str">
        <f t="shared" si="48"/>
        <v>3</v>
      </c>
      <c r="AZ10" s="75" t="str">
        <f t="shared" si="36"/>
        <v>3</v>
      </c>
      <c r="BA10" s="75" t="str">
        <f t="shared" si="37"/>
        <v>3</v>
      </c>
      <c r="BB10" s="75" t="str">
        <f t="shared" si="22"/>
        <v>3</v>
      </c>
      <c r="BC10" s="75" t="str">
        <f t="shared" si="22"/>
        <v>3</v>
      </c>
      <c r="BD10" s="75" t="str">
        <f t="shared" si="22"/>
        <v>3</v>
      </c>
      <c r="BF10" s="44">
        <f t="shared" si="23"/>
        <v>7.5</v>
      </c>
      <c r="BG10" s="44">
        <f t="shared" si="24"/>
        <v>7.5</v>
      </c>
      <c r="BH10" s="44">
        <f t="shared" si="25"/>
        <v>7.5</v>
      </c>
      <c r="BI10" s="44">
        <f t="shared" si="26"/>
        <v>7.5</v>
      </c>
      <c r="BJ10" s="44">
        <f t="shared" si="27"/>
        <v>7.5</v>
      </c>
      <c r="BK10" s="44">
        <f t="shared" si="28"/>
        <v>7.5</v>
      </c>
      <c r="BL10" s="44">
        <f t="shared" si="29"/>
        <v>7.5</v>
      </c>
      <c r="BM10" s="44">
        <f t="shared" si="30"/>
        <v>7.5</v>
      </c>
      <c r="BN10" s="44">
        <f t="shared" si="31"/>
        <v>7.5</v>
      </c>
      <c r="BO10" s="44">
        <f t="shared" si="32"/>
        <v>7.5</v>
      </c>
      <c r="BP10" s="44">
        <f t="shared" si="33"/>
        <v>7.5</v>
      </c>
      <c r="BQ10" s="44">
        <f t="shared" si="34"/>
        <v>7.5</v>
      </c>
      <c r="CD10" t="s">
        <v>88</v>
      </c>
      <c r="CG10" s="13" t="s">
        <v>26</v>
      </c>
      <c r="CH10" s="13" t="s">
        <v>261</v>
      </c>
      <c r="CI10" s="13">
        <v>2</v>
      </c>
      <c r="CJ10" s="13" t="s">
        <v>94</v>
      </c>
      <c r="CK10" s="10">
        <v>2927381.1977457646</v>
      </c>
      <c r="CL10" s="10">
        <v>243948.43314548038</v>
      </c>
      <c r="CM10" s="10">
        <v>8131.6144381826789</v>
      </c>
      <c r="CN10" s="10">
        <v>2309827.4290666226</v>
      </c>
      <c r="CO10" s="10">
        <v>192485.61908888523</v>
      </c>
      <c r="CP10" s="10">
        <v>6416.1873029628414</v>
      </c>
      <c r="CQ10" s="41">
        <f t="shared" si="16"/>
        <v>3208.0936514814207</v>
      </c>
      <c r="CR10" s="558">
        <f t="shared" si="4"/>
        <v>2.5347185343007972</v>
      </c>
      <c r="CS10" s="211">
        <f t="shared" si="5"/>
        <v>7.680965255456961</v>
      </c>
      <c r="CT10" s="41">
        <f t="shared" si="6"/>
        <v>8</v>
      </c>
      <c r="CU10">
        <f t="shared" si="7"/>
        <v>6</v>
      </c>
      <c r="CV10" s="991">
        <f>CU10*2.5</f>
        <v>15</v>
      </c>
      <c r="CW10" s="41">
        <f t="shared" si="8"/>
        <v>20</v>
      </c>
    </row>
    <row r="11" spans="1:102">
      <c r="A11" s="367">
        <f t="shared" ref="A11:A22" si="50">A10+1</f>
        <v>7</v>
      </c>
      <c r="B11" s="76" t="s">
        <v>82</v>
      </c>
      <c r="C11" s="76" t="s">
        <v>1017</v>
      </c>
      <c r="D11" s="69" t="s">
        <v>71</v>
      </c>
      <c r="E11" s="70" t="s">
        <v>81</v>
      </c>
      <c r="F11" s="71">
        <v>0.56999999999999995</v>
      </c>
      <c r="G11" s="71">
        <v>0.60821917808219184</v>
      </c>
      <c r="H11" s="69">
        <v>550</v>
      </c>
      <c r="I11" s="72">
        <v>10.199999999999999</v>
      </c>
      <c r="J11" s="72">
        <v>3.66</v>
      </c>
      <c r="K11" s="73">
        <f t="shared" si="9"/>
        <v>2502.5089887730137</v>
      </c>
      <c r="L11" s="73">
        <v>1</v>
      </c>
      <c r="M11" s="73">
        <f t="shared" si="17"/>
        <v>2502.5089887730137</v>
      </c>
      <c r="N11">
        <f t="shared" si="10"/>
        <v>2502.5089887730137</v>
      </c>
      <c r="R11" s="782">
        <f>BP!B170/4</f>
        <v>64415.481473548847</v>
      </c>
      <c r="S11" s="782">
        <f>BP!C170/4</f>
        <v>70523.876302715507</v>
      </c>
      <c r="T11" s="782">
        <f>BP!D170/4</f>
        <v>79594.655819937747</v>
      </c>
      <c r="U11" s="782">
        <f>BP!E170/4</f>
        <v>82800.544622529589</v>
      </c>
      <c r="V11" s="782">
        <f>BP!F170/4</f>
        <v>71394.5165037236</v>
      </c>
      <c r="W11" s="782">
        <f>BP!G170/4</f>
        <v>87791.434898154985</v>
      </c>
      <c r="X11" s="782">
        <f>BP!H170/4</f>
        <v>79458.849076411512</v>
      </c>
      <c r="Y11" s="782">
        <f>BP!I170/4</f>
        <v>82659.061367792674</v>
      </c>
      <c r="Z11" s="782">
        <f>BP!J170/4</f>
        <v>105282.65839285069</v>
      </c>
      <c r="AA11" s="782">
        <f>BP!K170/4</f>
        <v>91318.433050008767</v>
      </c>
      <c r="AB11" s="782">
        <f>BP!L170/4</f>
        <v>83604.339565508766</v>
      </c>
      <c r="AC11" s="782">
        <f>BP!M170/4</f>
        <v>87056.781859687326</v>
      </c>
      <c r="AD11" s="98">
        <f t="shared" si="11"/>
        <v>82158.386077739167</v>
      </c>
      <c r="AE11" s="98"/>
      <c r="AF11" s="44">
        <f t="shared" si="18"/>
        <v>0.85801198933464395</v>
      </c>
      <c r="AG11" s="44">
        <f t="shared" si="19"/>
        <v>0.90907315894034835</v>
      </c>
      <c r="AH11" s="44">
        <f t="shared" si="38"/>
        <v>1.0601980675796787</v>
      </c>
      <c r="AI11" s="44">
        <f t="shared" si="39"/>
        <v>1.0673229636285027</v>
      </c>
      <c r="AJ11" s="44">
        <f t="shared" si="40"/>
        <v>0.92029596289448112</v>
      </c>
      <c r="AK11" s="44">
        <f t="shared" si="41"/>
        <v>1.1693788819142843</v>
      </c>
      <c r="AL11" s="44">
        <f t="shared" si="42"/>
        <v>1.0242475417205115</v>
      </c>
      <c r="AM11" s="44">
        <f t="shared" si="43"/>
        <v>1.1010158436809534</v>
      </c>
      <c r="AN11" s="44">
        <f t="shared" si="44"/>
        <v>1.3571239112836608</v>
      </c>
      <c r="AO11" s="44">
        <f t="shared" si="45"/>
        <v>1.1771210085775972</v>
      </c>
      <c r="AP11" s="44">
        <f t="shared" si="46"/>
        <v>1.193150267828097</v>
      </c>
      <c r="AQ11" s="44">
        <f t="shared" si="47"/>
        <v>1.1221870923921331</v>
      </c>
      <c r="AS11" s="75" t="str">
        <f t="shared" si="35"/>
        <v>3</v>
      </c>
      <c r="AT11" s="75" t="str">
        <f t="shared" si="35"/>
        <v>3</v>
      </c>
      <c r="AU11" s="75" t="str">
        <f t="shared" si="35"/>
        <v>3</v>
      </c>
      <c r="AV11" s="75" t="str">
        <f t="shared" si="35"/>
        <v>3</v>
      </c>
      <c r="AW11" s="75" t="str">
        <f t="shared" si="35"/>
        <v>3</v>
      </c>
      <c r="AX11" s="75" t="str">
        <f t="shared" si="35"/>
        <v>3</v>
      </c>
      <c r="AY11" s="75" t="str">
        <f t="shared" si="48"/>
        <v>3</v>
      </c>
      <c r="AZ11" s="75" t="str">
        <f t="shared" si="36"/>
        <v>3</v>
      </c>
      <c r="BA11" s="75" t="str">
        <f t="shared" si="37"/>
        <v>3</v>
      </c>
      <c r="BB11" s="75" t="str">
        <f t="shared" si="22"/>
        <v>3</v>
      </c>
      <c r="BC11" s="75" t="str">
        <f t="shared" si="22"/>
        <v>3</v>
      </c>
      <c r="BD11" s="75" t="str">
        <f t="shared" si="22"/>
        <v>3</v>
      </c>
      <c r="BF11" s="44">
        <f t="shared" si="23"/>
        <v>7.5</v>
      </c>
      <c r="BG11" s="44">
        <f t="shared" si="24"/>
        <v>7.5</v>
      </c>
      <c r="BH11" s="44">
        <f t="shared" si="25"/>
        <v>7.5</v>
      </c>
      <c r="BI11" s="44">
        <f t="shared" si="26"/>
        <v>7.5</v>
      </c>
      <c r="BJ11" s="44">
        <f t="shared" si="27"/>
        <v>7.5</v>
      </c>
      <c r="BK11" s="44">
        <f t="shared" si="28"/>
        <v>7.5</v>
      </c>
      <c r="BL11" s="44">
        <f t="shared" si="29"/>
        <v>7.5</v>
      </c>
      <c r="BM11" s="44">
        <f t="shared" si="30"/>
        <v>7.5</v>
      </c>
      <c r="BN11" s="44">
        <f t="shared" si="31"/>
        <v>7.5</v>
      </c>
      <c r="BO11" s="44">
        <f t="shared" si="32"/>
        <v>7.5</v>
      </c>
      <c r="BP11" s="44">
        <f t="shared" si="33"/>
        <v>7.5</v>
      </c>
      <c r="BQ11" s="44">
        <f t="shared" si="34"/>
        <v>7.5</v>
      </c>
      <c r="CD11" t="s">
        <v>263</v>
      </c>
      <c r="CG11" s="13" t="s">
        <v>26</v>
      </c>
      <c r="CH11" s="13" t="s">
        <v>1335</v>
      </c>
      <c r="CI11" s="13">
        <v>4</v>
      </c>
      <c r="CJ11" s="13" t="s">
        <v>94</v>
      </c>
      <c r="CK11" s="10">
        <v>6724016.1450423859</v>
      </c>
      <c r="CL11" s="10">
        <v>560334.67875353212</v>
      </c>
      <c r="CM11" s="10">
        <v>18677.822625117737</v>
      </c>
      <c r="CN11" s="10">
        <v>8144906.2738125483</v>
      </c>
      <c r="CO11" s="10">
        <v>678742.18948437902</v>
      </c>
      <c r="CP11" s="10">
        <v>22624.739649479299</v>
      </c>
      <c r="CQ11" s="41">
        <f t="shared" si="16"/>
        <v>5656.1849123698248</v>
      </c>
      <c r="CR11" s="558">
        <f t="shared" si="4"/>
        <v>3.3021944852386578</v>
      </c>
      <c r="CS11" s="211">
        <f t="shared" si="5"/>
        <v>10.00664995526866</v>
      </c>
      <c r="CT11" s="41">
        <f>ROUND(CS11,0)</f>
        <v>10</v>
      </c>
      <c r="CU11">
        <f t="shared" si="7"/>
        <v>12</v>
      </c>
      <c r="CV11" s="41">
        <f>CT11*2.5</f>
        <v>25</v>
      </c>
      <c r="CW11" s="41">
        <f t="shared" si="8"/>
        <v>25</v>
      </c>
    </row>
    <row r="12" spans="1:102">
      <c r="A12" s="621">
        <f t="shared" si="50"/>
        <v>8</v>
      </c>
      <c r="B12" s="78" t="s">
        <v>82</v>
      </c>
      <c r="C12" s="76" t="s">
        <v>1018</v>
      </c>
      <c r="D12" s="79" t="s">
        <v>71</v>
      </c>
      <c r="E12" s="80" t="s">
        <v>81</v>
      </c>
      <c r="F12" s="81">
        <v>0.56999999999999995</v>
      </c>
      <c r="G12" s="71">
        <v>0.60821917808219184</v>
      </c>
      <c r="H12" s="79">
        <v>550</v>
      </c>
      <c r="I12" s="82">
        <v>10.199999999999999</v>
      </c>
      <c r="J12" s="82">
        <v>3.66</v>
      </c>
      <c r="K12" s="83">
        <f>H12*24*60*F12*G12*J12/I12/39.37</f>
        <v>2502.5089887730137</v>
      </c>
      <c r="L12" s="83">
        <v>1</v>
      </c>
      <c r="M12" s="73">
        <f>L12*K12</f>
        <v>2502.5089887730137</v>
      </c>
      <c r="N12">
        <f t="shared" si="10"/>
        <v>2502.5089887730137</v>
      </c>
      <c r="R12" s="783">
        <f>BP!B170/4</f>
        <v>64415.481473548847</v>
      </c>
      <c r="S12" s="783">
        <f>BP!C170/4</f>
        <v>70523.876302715507</v>
      </c>
      <c r="T12" s="783">
        <f>BP!D170/4</f>
        <v>79594.655819937747</v>
      </c>
      <c r="U12" s="783">
        <f>BP!E170/4</f>
        <v>82800.544622529589</v>
      </c>
      <c r="V12" s="783">
        <f>BP!F170/4</f>
        <v>71394.5165037236</v>
      </c>
      <c r="W12" s="783">
        <f>BP!G170/4</f>
        <v>87791.434898154985</v>
      </c>
      <c r="X12" s="783">
        <f>BP!H170/4</f>
        <v>79458.849076411512</v>
      </c>
      <c r="Y12" s="783">
        <f>BP!I170/4</f>
        <v>82659.061367792674</v>
      </c>
      <c r="Z12" s="783">
        <f>BP!J170/4</f>
        <v>105282.65839285069</v>
      </c>
      <c r="AA12" s="783">
        <f>BP!K170/4</f>
        <v>91318.433050008767</v>
      </c>
      <c r="AB12" s="783">
        <f>BP!L170/4</f>
        <v>83604.339565508766</v>
      </c>
      <c r="AC12" s="783">
        <f>BP!M170/4</f>
        <v>87056.781859687326</v>
      </c>
      <c r="AD12" s="98">
        <f t="shared" si="11"/>
        <v>82158.386077739167</v>
      </c>
      <c r="AE12" s="98"/>
      <c r="AF12" s="44">
        <f t="shared" si="18"/>
        <v>0.85801198933464395</v>
      </c>
      <c r="AG12" s="44">
        <f t="shared" si="19"/>
        <v>0.90907315894034835</v>
      </c>
      <c r="AH12" s="44">
        <f t="shared" si="38"/>
        <v>1.0601980675796787</v>
      </c>
      <c r="AI12" s="44">
        <f t="shared" si="39"/>
        <v>1.0673229636285027</v>
      </c>
      <c r="AJ12" s="44">
        <f t="shared" si="40"/>
        <v>0.92029596289448112</v>
      </c>
      <c r="AK12" s="44">
        <f t="shared" si="41"/>
        <v>1.1693788819142843</v>
      </c>
      <c r="AL12" s="44">
        <f t="shared" si="42"/>
        <v>1.0242475417205115</v>
      </c>
      <c r="AM12" s="44">
        <f t="shared" si="43"/>
        <v>1.1010158436809534</v>
      </c>
      <c r="AN12" s="44">
        <f t="shared" si="44"/>
        <v>1.3571239112836608</v>
      </c>
      <c r="AO12" s="44">
        <f t="shared" si="45"/>
        <v>1.1771210085775972</v>
      </c>
      <c r="AP12" s="44">
        <f t="shared" si="46"/>
        <v>1.193150267828097</v>
      </c>
      <c r="AQ12" s="44">
        <f t="shared" si="47"/>
        <v>1.1221870923921331</v>
      </c>
      <c r="AS12" s="75" t="str">
        <f t="shared" ref="AS12:AU13" si="51">IF(AF12&lt;=0,0,(IF(AF12&lt;=0.33,"1",(IF(AF12&gt;0.66,"3","2")))))</f>
        <v>3</v>
      </c>
      <c r="AT12" s="75" t="str">
        <f t="shared" si="51"/>
        <v>3</v>
      </c>
      <c r="AU12" s="75" t="str">
        <f t="shared" si="51"/>
        <v>3</v>
      </c>
      <c r="AV12" s="75" t="str">
        <f t="shared" ref="AV12:AX17" si="52">IF(AI12&lt;=0.33,"1",(IF(AI12&gt;0.66,"3","2")))</f>
        <v>3</v>
      </c>
      <c r="AW12" s="75" t="str">
        <f t="shared" si="52"/>
        <v>3</v>
      </c>
      <c r="AX12" s="75" t="str">
        <f t="shared" si="52"/>
        <v>3</v>
      </c>
      <c r="AY12" s="75" t="str">
        <f t="shared" si="48"/>
        <v>3</v>
      </c>
      <c r="AZ12" s="75" t="str">
        <f t="shared" si="36"/>
        <v>3</v>
      </c>
      <c r="BA12" s="75" t="str">
        <f t="shared" si="37"/>
        <v>3</v>
      </c>
      <c r="BB12" s="75" t="str">
        <f t="shared" si="22"/>
        <v>3</v>
      </c>
      <c r="BC12" s="75" t="str">
        <f t="shared" si="22"/>
        <v>3</v>
      </c>
      <c r="BD12" s="75" t="str">
        <f t="shared" si="22"/>
        <v>3</v>
      </c>
      <c r="BF12" s="44">
        <f t="shared" si="23"/>
        <v>7.5</v>
      </c>
      <c r="BG12" s="44">
        <f t="shared" si="24"/>
        <v>7.5</v>
      </c>
      <c r="BH12" s="44">
        <f t="shared" si="25"/>
        <v>7.5</v>
      </c>
      <c r="BI12" s="44">
        <f t="shared" si="26"/>
        <v>7.5</v>
      </c>
      <c r="BJ12" s="44">
        <f t="shared" si="27"/>
        <v>7.5</v>
      </c>
      <c r="BK12" s="44">
        <f t="shared" si="28"/>
        <v>7.5</v>
      </c>
      <c r="BL12" s="44">
        <f t="shared" si="29"/>
        <v>7.5</v>
      </c>
      <c r="BM12" s="44">
        <f t="shared" si="30"/>
        <v>7.5</v>
      </c>
      <c r="BN12" s="44">
        <f t="shared" si="31"/>
        <v>7.5</v>
      </c>
      <c r="BO12" s="44">
        <f t="shared" si="32"/>
        <v>7.5</v>
      </c>
      <c r="BP12" s="44">
        <f t="shared" si="33"/>
        <v>7.5</v>
      </c>
      <c r="BQ12" s="44">
        <f t="shared" si="34"/>
        <v>7.5</v>
      </c>
      <c r="CD12" t="s">
        <v>263</v>
      </c>
      <c r="CG12" s="13" t="s">
        <v>26</v>
      </c>
      <c r="CH12" s="13" t="s">
        <v>1336</v>
      </c>
      <c r="CI12" s="13">
        <v>2</v>
      </c>
      <c r="CJ12" s="13" t="s">
        <v>94</v>
      </c>
      <c r="CK12" s="10">
        <v>1102589.161127568</v>
      </c>
      <c r="CL12" s="10">
        <v>91882.430093963994</v>
      </c>
      <c r="CM12" s="10">
        <v>3062.7476697988</v>
      </c>
      <c r="CN12" s="10">
        <v>1978976.815884667</v>
      </c>
      <c r="CO12" s="10">
        <v>164914.73465705558</v>
      </c>
      <c r="CP12" s="10">
        <v>5497.1578219018529</v>
      </c>
      <c r="CQ12" s="41">
        <f t="shared" si="16"/>
        <v>2748.5789109509265</v>
      </c>
      <c r="CR12" s="558">
        <f t="shared" si="4"/>
        <v>1.1143022518277201</v>
      </c>
      <c r="CS12" s="211">
        <f t="shared" si="5"/>
        <v>3.3766734903870304</v>
      </c>
      <c r="CT12" s="41">
        <f t="shared" si="6"/>
        <v>4</v>
      </c>
      <c r="CU12">
        <f t="shared" si="7"/>
        <v>6</v>
      </c>
      <c r="CV12" s="41">
        <f t="shared" si="49"/>
        <v>10</v>
      </c>
      <c r="CW12" s="41">
        <f t="shared" si="8"/>
        <v>10</v>
      </c>
    </row>
    <row r="13" spans="1:102">
      <c r="A13" s="367">
        <f t="shared" si="50"/>
        <v>9</v>
      </c>
      <c r="B13" s="76" t="s">
        <v>83</v>
      </c>
      <c r="C13" s="76" t="s">
        <v>1019</v>
      </c>
      <c r="D13" s="69" t="s">
        <v>74</v>
      </c>
      <c r="E13" s="70" t="s">
        <v>84</v>
      </c>
      <c r="F13" s="71">
        <v>0.5</v>
      </c>
      <c r="G13" s="71">
        <v>0.60821917808219184</v>
      </c>
      <c r="H13" s="69">
        <v>600</v>
      </c>
      <c r="I13" s="72">
        <v>12</v>
      </c>
      <c r="J13" s="72">
        <v>4</v>
      </c>
      <c r="K13" s="73">
        <f t="shared" ref="K13:K22" si="53">H13*24*60*F13*G13*J13/I13/39.37</f>
        <v>2224.6269150072549</v>
      </c>
      <c r="L13" s="85">
        <v>1</v>
      </c>
      <c r="M13" s="73">
        <f t="shared" ref="M13:M22" si="54">L13*K13</f>
        <v>2224.6269150072549</v>
      </c>
      <c r="N13">
        <f t="shared" si="10"/>
        <v>2224.6269150072549</v>
      </c>
      <c r="R13" s="783">
        <f>BP!B176</f>
        <v>2420.5</v>
      </c>
      <c r="S13" s="783">
        <f>BP!C176</f>
        <v>2136.1041249999998</v>
      </c>
      <c r="T13" s="783">
        <f>BP!D176</f>
        <v>5168.372625</v>
      </c>
      <c r="U13" s="783">
        <f>BP!E176</f>
        <v>11260.346249999999</v>
      </c>
      <c r="V13" s="783">
        <f>BP!F176</f>
        <v>5253</v>
      </c>
      <c r="W13" s="783">
        <f>BP!G176</f>
        <v>9373</v>
      </c>
      <c r="X13" s="783">
        <f>BP!H176</f>
        <v>8351.24</v>
      </c>
      <c r="Y13" s="783">
        <f>BP!I176</f>
        <v>2678</v>
      </c>
      <c r="Z13" s="783">
        <f>BP!J176</f>
        <v>13925.6</v>
      </c>
      <c r="AA13" s="783">
        <f>BP!K176</f>
        <v>7725</v>
      </c>
      <c r="AB13" s="783">
        <f>BP!L176</f>
        <v>7436.6</v>
      </c>
      <c r="AC13" s="783">
        <f>BP!M176</f>
        <v>10094</v>
      </c>
      <c r="AD13" s="98">
        <f t="shared" si="11"/>
        <v>7151.8135833333336</v>
      </c>
      <c r="AE13" s="98"/>
      <c r="AF13" s="44">
        <f t="shared" si="18"/>
        <v>3.626825369640474E-2</v>
      </c>
      <c r="AG13" s="44">
        <f t="shared" si="19"/>
        <v>3.0974445293535716E-2</v>
      </c>
      <c r="AH13" s="44">
        <f t="shared" si="38"/>
        <v>7.7441788705248205E-2</v>
      </c>
      <c r="AI13" s="44">
        <f t="shared" si="39"/>
        <v>0.16327995195781717</v>
      </c>
      <c r="AJ13" s="44">
        <f t="shared" si="40"/>
        <v>7.617080048798798E-2</v>
      </c>
      <c r="AK13" s="44">
        <f t="shared" si="41"/>
        <v>0.14044302495203537</v>
      </c>
      <c r="AL13" s="44">
        <f t="shared" si="42"/>
        <v>0.12109663732482481</v>
      </c>
      <c r="AM13" s="44">
        <f t="shared" si="43"/>
        <v>4.0126578557724391E-2</v>
      </c>
      <c r="AN13" s="44">
        <f t="shared" si="44"/>
        <v>0.20192729854854854</v>
      </c>
      <c r="AO13" s="44">
        <f t="shared" si="45"/>
        <v>0.11201588307057056</v>
      </c>
      <c r="AP13" s="44">
        <f t="shared" si="46"/>
        <v>0.11938759499454811</v>
      </c>
      <c r="AQ13" s="44">
        <f t="shared" si="47"/>
        <v>0.14636742054554555</v>
      </c>
      <c r="AS13" s="75" t="str">
        <f t="shared" si="51"/>
        <v>1</v>
      </c>
      <c r="AT13" s="75" t="str">
        <f t="shared" si="51"/>
        <v>1</v>
      </c>
      <c r="AU13" s="75" t="str">
        <f t="shared" si="51"/>
        <v>1</v>
      </c>
      <c r="AV13" s="75" t="str">
        <f t="shared" si="52"/>
        <v>1</v>
      </c>
      <c r="AW13" s="75" t="str">
        <f t="shared" si="52"/>
        <v>1</v>
      </c>
      <c r="AX13" s="75" t="str">
        <f t="shared" si="52"/>
        <v>1</v>
      </c>
      <c r="AY13" s="75" t="str">
        <f t="shared" si="48"/>
        <v>1</v>
      </c>
      <c r="AZ13" s="75" t="str">
        <f t="shared" si="36"/>
        <v>1</v>
      </c>
      <c r="BA13" s="75" t="str">
        <f t="shared" si="37"/>
        <v>1</v>
      </c>
      <c r="BB13" s="75" t="str">
        <f t="shared" ref="BB13" si="55">IF(AO13&lt;=0.33,"1",(IF(AO13&gt;0.66,"3","2")))</f>
        <v>1</v>
      </c>
      <c r="BC13" s="75" t="str">
        <f t="shared" ref="BC13" si="56">IF(AP13&lt;=0.33,"1",(IF(AP13&gt;0.66,"3","2")))</f>
        <v>1</v>
      </c>
      <c r="BD13" s="75" t="str">
        <f t="shared" ref="BD13" si="57">IF(AQ13&lt;=0.33,"1",(IF(AQ13&gt;0.66,"3","2")))</f>
        <v>1</v>
      </c>
      <c r="BF13" s="44">
        <f t="shared" si="23"/>
        <v>2.5</v>
      </c>
      <c r="BG13" s="44">
        <f t="shared" si="24"/>
        <v>2.5</v>
      </c>
      <c r="BH13" s="44">
        <f t="shared" si="25"/>
        <v>2.5</v>
      </c>
      <c r="BI13" s="44">
        <f t="shared" si="26"/>
        <v>2.5</v>
      </c>
      <c r="BJ13" s="44">
        <f t="shared" si="27"/>
        <v>2.5</v>
      </c>
      <c r="BK13" s="44">
        <f t="shared" si="28"/>
        <v>2.5</v>
      </c>
      <c r="BL13" s="44">
        <f t="shared" si="29"/>
        <v>2.5</v>
      </c>
      <c r="BM13" s="44">
        <f t="shared" si="30"/>
        <v>2.5</v>
      </c>
      <c r="BN13" s="44">
        <f t="shared" si="31"/>
        <v>2.5</v>
      </c>
      <c r="BO13" s="44">
        <f t="shared" si="32"/>
        <v>2.5</v>
      </c>
      <c r="BP13" s="44">
        <f t="shared" si="33"/>
        <v>2.5</v>
      </c>
      <c r="BQ13" s="44">
        <f t="shared" si="34"/>
        <v>2.5</v>
      </c>
      <c r="CD13" t="s">
        <v>1347</v>
      </c>
      <c r="CG13" s="13" t="s">
        <v>26</v>
      </c>
      <c r="CH13" s="132" t="s">
        <v>83</v>
      </c>
      <c r="CI13" s="13">
        <v>1</v>
      </c>
      <c r="CJ13" s="13" t="s">
        <v>94</v>
      </c>
      <c r="CK13" s="10">
        <v>27420.763000000003</v>
      </c>
      <c r="CL13" s="10">
        <v>2285.0635833333336</v>
      </c>
      <c r="CM13" s="10">
        <v>76.168786111111118</v>
      </c>
      <c r="CN13" s="10">
        <v>1047121.7678435359</v>
      </c>
      <c r="CO13" s="10">
        <v>87260.147320294651</v>
      </c>
      <c r="CP13" s="10">
        <v>2908.6715773431551</v>
      </c>
      <c r="CQ13" s="41">
        <f t="shared" si="16"/>
        <v>2908.6715773431551</v>
      </c>
      <c r="CR13" s="558">
        <f t="shared" si="4"/>
        <v>2.618679492879886E-2</v>
      </c>
      <c r="CS13" s="211">
        <f t="shared" si="5"/>
        <v>7.9353924026663206E-2</v>
      </c>
      <c r="CT13" s="41">
        <f t="shared" si="6"/>
        <v>1</v>
      </c>
      <c r="CU13">
        <f t="shared" si="7"/>
        <v>3</v>
      </c>
      <c r="CV13" s="41">
        <f t="shared" si="49"/>
        <v>2.5</v>
      </c>
      <c r="CW13" s="41">
        <f t="shared" si="8"/>
        <v>2.5</v>
      </c>
    </row>
    <row r="14" spans="1:102">
      <c r="A14" s="367">
        <f t="shared" si="50"/>
        <v>10</v>
      </c>
      <c r="B14" s="781" t="s">
        <v>85</v>
      </c>
      <c r="C14" s="76" t="s">
        <v>1020</v>
      </c>
      <c r="D14" s="69" t="s">
        <v>71</v>
      </c>
      <c r="E14" s="70" t="s">
        <v>85</v>
      </c>
      <c r="F14" s="71">
        <v>0.6</v>
      </c>
      <c r="G14" s="71">
        <v>0.60821917808219184</v>
      </c>
      <c r="H14" s="69">
        <v>750</v>
      </c>
      <c r="I14" s="72">
        <v>6.5</v>
      </c>
      <c r="J14" s="72">
        <v>3.66</v>
      </c>
      <c r="K14" s="73">
        <f t="shared" si="53"/>
        <v>5636.8623523337674</v>
      </c>
      <c r="L14" s="73">
        <v>1</v>
      </c>
      <c r="M14" s="73">
        <f t="shared" si="54"/>
        <v>5636.8623523337674</v>
      </c>
      <c r="N14">
        <f t="shared" si="10"/>
        <v>5636.8623523337674</v>
      </c>
      <c r="R14" s="782">
        <f>BP!B175/4</f>
        <v>37677.943473432497</v>
      </c>
      <c r="S14" s="782">
        <f>BP!C175/4</f>
        <v>16421.987546662378</v>
      </c>
      <c r="T14" s="782">
        <f>BP!D175/4</f>
        <v>22367.630785932495</v>
      </c>
      <c r="U14" s="782">
        <f>BP!E175/4</f>
        <v>38842.488373403954</v>
      </c>
      <c r="V14" s="782">
        <f>BP!F175/4</f>
        <v>11714.190626063797</v>
      </c>
      <c r="W14" s="782">
        <f>BP!G175/4</f>
        <v>13945.331333658871</v>
      </c>
      <c r="X14" s="782">
        <f>BP!H175/4</f>
        <v>16280.747494573874</v>
      </c>
      <c r="Y14" s="782">
        <f>BP!I175/4</f>
        <v>16688.858876063798</v>
      </c>
      <c r="Z14" s="782">
        <f>BP!J175/4</f>
        <v>16390.757225743451</v>
      </c>
      <c r="AA14" s="782">
        <f>BP!K175/4</f>
        <v>16758.307472705412</v>
      </c>
      <c r="AB14" s="782">
        <f>BP!L175/4</f>
        <v>14567.203922705412</v>
      </c>
      <c r="AC14" s="782">
        <f>BP!M175/4</f>
        <v>13888.324850800564</v>
      </c>
      <c r="AD14" s="98">
        <f t="shared" si="11"/>
        <v>19628.647665145541</v>
      </c>
      <c r="AE14" s="98"/>
      <c r="AF14" s="44">
        <f t="shared" si="18"/>
        <v>0.22280683305925278</v>
      </c>
      <c r="AG14" s="44">
        <f t="shared" si="19"/>
        <v>9.3978085795190569E-2</v>
      </c>
      <c r="AH14" s="44">
        <f t="shared" si="38"/>
        <v>0.13226998394873507</v>
      </c>
      <c r="AI14" s="44">
        <f t="shared" si="39"/>
        <v>0.22228385537878137</v>
      </c>
      <c r="AJ14" s="44">
        <f t="shared" si="40"/>
        <v>6.7036782761486391E-2</v>
      </c>
      <c r="AK14" s="44">
        <f t="shared" si="41"/>
        <v>8.2465092942383925E-2</v>
      </c>
      <c r="AL14" s="44">
        <f t="shared" si="42"/>
        <v>9.3169811541226194E-2</v>
      </c>
      <c r="AM14" s="44">
        <f t="shared" si="43"/>
        <v>9.8688820321907719E-2</v>
      </c>
      <c r="AN14" s="44">
        <f t="shared" si="44"/>
        <v>9.3799364080149022E-2</v>
      </c>
      <c r="AO14" s="44">
        <f t="shared" si="45"/>
        <v>9.590274337847611E-2</v>
      </c>
      <c r="AP14" s="44">
        <f t="shared" si="46"/>
        <v>9.2295545009781627E-2</v>
      </c>
      <c r="AQ14" s="44">
        <f t="shared" si="47"/>
        <v>7.9478697732010065E-2</v>
      </c>
      <c r="AS14" s="75" t="str">
        <f t="shared" ref="AS14:AU17" si="58">IF(AF14&lt;=0.33,"1",(IF(AF14&gt;0.66,"3","2")))</f>
        <v>1</v>
      </c>
      <c r="AT14" s="75" t="str">
        <f t="shared" si="58"/>
        <v>1</v>
      </c>
      <c r="AU14" s="75" t="str">
        <f t="shared" si="58"/>
        <v>1</v>
      </c>
      <c r="AV14" s="75" t="str">
        <f t="shared" si="52"/>
        <v>1</v>
      </c>
      <c r="AW14" s="75" t="str">
        <f t="shared" si="52"/>
        <v>1</v>
      </c>
      <c r="AX14" s="75" t="str">
        <f t="shared" si="52"/>
        <v>1</v>
      </c>
      <c r="AY14" s="75" t="str">
        <f t="shared" si="48"/>
        <v>1</v>
      </c>
      <c r="AZ14" s="75" t="str">
        <f t="shared" si="36"/>
        <v>1</v>
      </c>
      <c r="BA14" s="75" t="str">
        <f t="shared" si="37"/>
        <v>1</v>
      </c>
      <c r="BB14" s="75" t="str">
        <f t="shared" ref="BB14:BD21" si="59">IF(AO14&lt;=0.33,"1",(IF(AO14&gt;0.66,"3","2")))</f>
        <v>1</v>
      </c>
      <c r="BC14" s="75" t="str">
        <f t="shared" si="59"/>
        <v>1</v>
      </c>
      <c r="BD14" s="75" t="str">
        <f t="shared" si="59"/>
        <v>1</v>
      </c>
      <c r="BF14" s="44">
        <f t="shared" si="23"/>
        <v>2.5</v>
      </c>
      <c r="BG14" s="44">
        <f t="shared" si="24"/>
        <v>2.5</v>
      </c>
      <c r="BH14" s="44">
        <f t="shared" si="25"/>
        <v>2.5</v>
      </c>
      <c r="BI14" s="44">
        <f t="shared" si="26"/>
        <v>2.5</v>
      </c>
      <c r="BJ14" s="44">
        <f t="shared" si="27"/>
        <v>2.5</v>
      </c>
      <c r="BK14" s="44">
        <f t="shared" si="28"/>
        <v>2.5</v>
      </c>
      <c r="BL14" s="44">
        <f t="shared" si="29"/>
        <v>2.5</v>
      </c>
      <c r="BM14" s="44">
        <f t="shared" si="30"/>
        <v>2.5</v>
      </c>
      <c r="BN14" s="44">
        <f t="shared" si="31"/>
        <v>2.5</v>
      </c>
      <c r="BO14" s="44">
        <f t="shared" si="32"/>
        <v>2.5</v>
      </c>
      <c r="BP14" s="44">
        <f t="shared" si="33"/>
        <v>2.5</v>
      </c>
      <c r="BQ14" s="44">
        <f t="shared" si="34"/>
        <v>2.5</v>
      </c>
      <c r="CD14" t="s">
        <v>1336</v>
      </c>
      <c r="CG14" s="13" t="s">
        <v>26</v>
      </c>
      <c r="CH14" s="132" t="s">
        <v>89</v>
      </c>
      <c r="CI14" s="13">
        <v>1</v>
      </c>
      <c r="CJ14" s="13" t="s">
        <v>94</v>
      </c>
      <c r="CK14" s="10">
        <v>299903.937439</v>
      </c>
      <c r="CL14" s="10">
        <v>24991.994786583335</v>
      </c>
      <c r="CM14" s="10">
        <v>833.06649288611118</v>
      </c>
      <c r="CN14" s="10">
        <v>805478.28295656596</v>
      </c>
      <c r="CO14" s="10">
        <v>67123.190246380502</v>
      </c>
      <c r="CP14" s="10">
        <v>2237.4396748793502</v>
      </c>
      <c r="CQ14" s="41">
        <f t="shared" si="16"/>
        <v>2237.4396748793502</v>
      </c>
      <c r="CR14" s="558">
        <f t="shared" si="4"/>
        <v>0.37233025866095487</v>
      </c>
      <c r="CS14" s="211">
        <f t="shared" si="5"/>
        <v>1.1282735110938027</v>
      </c>
      <c r="CT14" s="41">
        <f t="shared" si="6"/>
        <v>2</v>
      </c>
      <c r="CU14">
        <f t="shared" si="7"/>
        <v>3</v>
      </c>
      <c r="CV14" s="41">
        <f t="shared" si="49"/>
        <v>5</v>
      </c>
      <c r="CW14" s="41">
        <f t="shared" si="8"/>
        <v>5</v>
      </c>
    </row>
    <row r="15" spans="1:102">
      <c r="A15" s="367">
        <f t="shared" si="50"/>
        <v>11</v>
      </c>
      <c r="B15" s="76" t="s">
        <v>85</v>
      </c>
      <c r="C15" s="76" t="s">
        <v>1021</v>
      </c>
      <c r="D15" s="69" t="s">
        <v>71</v>
      </c>
      <c r="E15" s="70" t="s">
        <v>85</v>
      </c>
      <c r="F15" s="71">
        <v>0.6</v>
      </c>
      <c r="G15" s="71">
        <v>0.60821917808219184</v>
      </c>
      <c r="H15" s="69">
        <v>750</v>
      </c>
      <c r="I15" s="72">
        <v>5.7</v>
      </c>
      <c r="J15" s="72">
        <v>3.66</v>
      </c>
      <c r="K15" s="73">
        <f t="shared" si="53"/>
        <v>6428.0009280999102</v>
      </c>
      <c r="L15" s="73">
        <v>1</v>
      </c>
      <c r="M15" s="73">
        <f t="shared" si="54"/>
        <v>6428.0009280999102</v>
      </c>
      <c r="N15">
        <f t="shared" si="10"/>
        <v>6428.0009280999102</v>
      </c>
      <c r="R15" s="784">
        <f>BP!B174/2</f>
        <v>273722.065664872</v>
      </c>
      <c r="S15" s="784">
        <f>BP!C174/2</f>
        <v>282038.5955645676</v>
      </c>
      <c r="T15" s="784">
        <f>BP!D174/2</f>
        <v>269718.21108602738</v>
      </c>
      <c r="U15" s="784">
        <f>BP!E174/2</f>
        <v>299722.60107707843</v>
      </c>
      <c r="V15" s="784">
        <f>BP!F174/2</f>
        <v>232285.25533750464</v>
      </c>
      <c r="W15" s="784">
        <f>BP!G174/2</f>
        <v>298858.71633067186</v>
      </c>
      <c r="X15" s="784">
        <f>BP!H174/2</f>
        <v>216074.53162035579</v>
      </c>
      <c r="Y15" s="784">
        <f>BP!I174/2</f>
        <v>210923.01619057098</v>
      </c>
      <c r="Z15" s="784">
        <f>BP!J174/2</f>
        <v>184888.56271505231</v>
      </c>
      <c r="AA15" s="784">
        <f>BP!K174/2</f>
        <v>151377.4701613932</v>
      </c>
      <c r="AB15" s="784">
        <f>BP!L174/2</f>
        <v>145002.43863139336</v>
      </c>
      <c r="AC15" s="784">
        <f>BP!M174/2</f>
        <v>165594.74943097009</v>
      </c>
      <c r="AD15" s="98">
        <f t="shared" si="11"/>
        <v>227517.18448420483</v>
      </c>
      <c r="AE15" s="98"/>
      <c r="AF15" s="44">
        <f t="shared" si="18"/>
        <v>1.4194255659811752</v>
      </c>
      <c r="AG15" s="44">
        <f t="shared" si="19"/>
        <v>1.4153730395383719</v>
      </c>
      <c r="AH15" s="44">
        <f t="shared" si="38"/>
        <v>1.3986629959710504</v>
      </c>
      <c r="AI15" s="44">
        <f t="shared" si="39"/>
        <v>1.5041178603787726</v>
      </c>
      <c r="AJ15" s="44">
        <f t="shared" si="40"/>
        <v>1.1656925437062204</v>
      </c>
      <c r="AK15" s="44">
        <f t="shared" si="41"/>
        <v>1.5497753224449373</v>
      </c>
      <c r="AL15" s="44">
        <f t="shared" si="42"/>
        <v>1.0843411908719411</v>
      </c>
      <c r="AM15" s="44">
        <f t="shared" si="43"/>
        <v>1.0937719650315345</v>
      </c>
      <c r="AN15" s="44">
        <f t="shared" si="44"/>
        <v>0.92783856926409969</v>
      </c>
      <c r="AO15" s="44">
        <f t="shared" si="45"/>
        <v>0.75966762503222851</v>
      </c>
      <c r="AP15" s="44">
        <f t="shared" si="46"/>
        <v>0.80564059969427426</v>
      </c>
      <c r="AQ15" s="44">
        <f t="shared" si="47"/>
        <v>0.83101514303226121</v>
      </c>
      <c r="AS15" s="75" t="str">
        <f t="shared" si="58"/>
        <v>3</v>
      </c>
      <c r="AT15" s="75" t="str">
        <f t="shared" si="58"/>
        <v>3</v>
      </c>
      <c r="AU15" s="75" t="str">
        <f t="shared" si="58"/>
        <v>3</v>
      </c>
      <c r="AV15" s="75" t="str">
        <f t="shared" si="52"/>
        <v>3</v>
      </c>
      <c r="AW15" s="75" t="str">
        <f t="shared" si="52"/>
        <v>3</v>
      </c>
      <c r="AX15" s="75" t="str">
        <f t="shared" si="52"/>
        <v>3</v>
      </c>
      <c r="AY15" s="75" t="str">
        <f t="shared" si="48"/>
        <v>3</v>
      </c>
      <c r="AZ15" s="75" t="str">
        <f t="shared" si="36"/>
        <v>3</v>
      </c>
      <c r="BA15" s="75" t="str">
        <f t="shared" si="37"/>
        <v>3</v>
      </c>
      <c r="BB15" s="75" t="str">
        <f t="shared" si="59"/>
        <v>3</v>
      </c>
      <c r="BC15" s="75" t="str">
        <f t="shared" si="59"/>
        <v>3</v>
      </c>
      <c r="BD15" s="75" t="str">
        <f t="shared" si="59"/>
        <v>3</v>
      </c>
      <c r="BF15" s="44">
        <f t="shared" si="23"/>
        <v>7.5</v>
      </c>
      <c r="BG15" s="44">
        <f t="shared" si="24"/>
        <v>7.5</v>
      </c>
      <c r="BH15" s="44">
        <f t="shared" si="25"/>
        <v>7.5</v>
      </c>
      <c r="BI15" s="44">
        <f t="shared" si="26"/>
        <v>7.5</v>
      </c>
      <c r="BJ15" s="44">
        <f t="shared" si="27"/>
        <v>7.5</v>
      </c>
      <c r="BK15" s="44">
        <f t="shared" si="28"/>
        <v>7.5</v>
      </c>
      <c r="BL15" s="44">
        <f t="shared" si="29"/>
        <v>7.5</v>
      </c>
      <c r="BM15" s="44">
        <f t="shared" si="30"/>
        <v>7.5</v>
      </c>
      <c r="BN15" s="44">
        <f t="shared" si="31"/>
        <v>7.5</v>
      </c>
      <c r="BO15" s="44">
        <f t="shared" si="32"/>
        <v>7.5</v>
      </c>
      <c r="BP15" s="44">
        <f t="shared" si="33"/>
        <v>7.5</v>
      </c>
      <c r="BQ15" s="44">
        <f t="shared" si="34"/>
        <v>7.5</v>
      </c>
      <c r="CD15" t="s">
        <v>83</v>
      </c>
      <c r="CG15" s="13"/>
      <c r="CH15" s="13"/>
      <c r="CI15" s="13">
        <v>18</v>
      </c>
      <c r="CJ15" s="13"/>
      <c r="CK15" s="10">
        <v>17100421.0350063</v>
      </c>
      <c r="CL15" s="10">
        <v>1425035.0862505252</v>
      </c>
      <c r="CM15" s="10">
        <v>47501.169541684169</v>
      </c>
      <c r="CN15" s="10">
        <v>23073513.213332806</v>
      </c>
      <c r="CO15" s="10">
        <v>1922792.7677777335</v>
      </c>
      <c r="CP15" s="10">
        <v>64093.092259257792</v>
      </c>
      <c r="CQ15" s="41"/>
      <c r="CR15" s="558">
        <f>SUM(CR3:CR14)</f>
        <v>13.51892333806302</v>
      </c>
      <c r="CS15" s="211">
        <f t="shared" si="5"/>
        <v>40.96643435776673</v>
      </c>
      <c r="CT15" s="41">
        <f>SUM(CT3:CT4,CT6,CT8:CT9,CT11:CT14,CU5,CU7,CU10)</f>
        <v>42</v>
      </c>
      <c r="CV15" s="41">
        <f>SUM(CV3:CV14)</f>
        <v>111</v>
      </c>
      <c r="CW15" s="41">
        <f>SUM(CW3:CW14)</f>
        <v>117.5</v>
      </c>
    </row>
    <row r="16" spans="1:102">
      <c r="A16" s="367">
        <f t="shared" si="50"/>
        <v>12</v>
      </c>
      <c r="B16" s="781" t="s">
        <v>85</v>
      </c>
      <c r="C16" s="76" t="s">
        <v>1022</v>
      </c>
      <c r="D16" s="69" t="s">
        <v>71</v>
      </c>
      <c r="E16" s="70" t="s">
        <v>85</v>
      </c>
      <c r="F16" s="71">
        <v>0.6</v>
      </c>
      <c r="G16" s="71">
        <v>0.60821917808219184</v>
      </c>
      <c r="H16" s="69">
        <v>750</v>
      </c>
      <c r="I16" s="72">
        <v>6.5</v>
      </c>
      <c r="J16" s="72">
        <v>3.66</v>
      </c>
      <c r="K16" s="73">
        <f t="shared" si="53"/>
        <v>5636.8623523337674</v>
      </c>
      <c r="L16" s="73">
        <v>1</v>
      </c>
      <c r="M16" s="73">
        <f t="shared" si="54"/>
        <v>5636.8623523337674</v>
      </c>
      <c r="N16">
        <f t="shared" si="10"/>
        <v>5636.8623523337674</v>
      </c>
      <c r="R16" s="784">
        <f>BP!B175/4</f>
        <v>37677.943473432497</v>
      </c>
      <c r="S16" s="784">
        <f>BP!C175/4</f>
        <v>16421.987546662378</v>
      </c>
      <c r="T16" s="784">
        <f>BP!D175/4</f>
        <v>22367.630785932495</v>
      </c>
      <c r="U16" s="784">
        <f>BP!E175/4</f>
        <v>38842.488373403954</v>
      </c>
      <c r="V16" s="784">
        <f>BP!F175/4</f>
        <v>11714.190626063797</v>
      </c>
      <c r="W16" s="784">
        <f>BP!G175/4</f>
        <v>13945.331333658871</v>
      </c>
      <c r="X16" s="784">
        <f>BP!H175/4</f>
        <v>16280.747494573874</v>
      </c>
      <c r="Y16" s="784">
        <f>BP!I175/4</f>
        <v>16688.858876063798</v>
      </c>
      <c r="Z16" s="784">
        <f>BP!J175/4</f>
        <v>16390.757225743451</v>
      </c>
      <c r="AA16" s="784">
        <f>BP!K175/4</f>
        <v>16758.307472705412</v>
      </c>
      <c r="AB16" s="784">
        <f>BP!L175/4</f>
        <v>14567.203922705412</v>
      </c>
      <c r="AC16" s="784">
        <f>BP!M175/4</f>
        <v>13888.324850800564</v>
      </c>
      <c r="AD16" s="98">
        <f t="shared" si="11"/>
        <v>19628.647665145541</v>
      </c>
      <c r="AE16" s="98"/>
      <c r="AF16" s="44">
        <f t="shared" si="18"/>
        <v>0.22280683305925278</v>
      </c>
      <c r="AG16" s="44">
        <f t="shared" si="19"/>
        <v>9.3978085795190569E-2</v>
      </c>
      <c r="AH16" s="44">
        <f t="shared" si="38"/>
        <v>0.13226998394873507</v>
      </c>
      <c r="AI16" s="44">
        <f t="shared" si="39"/>
        <v>0.22228385537878137</v>
      </c>
      <c r="AJ16" s="44">
        <f t="shared" si="40"/>
        <v>6.7036782761486391E-2</v>
      </c>
      <c r="AK16" s="44">
        <f t="shared" si="41"/>
        <v>8.2465092942383925E-2</v>
      </c>
      <c r="AL16" s="44">
        <f t="shared" si="42"/>
        <v>9.3169811541226194E-2</v>
      </c>
      <c r="AM16" s="44">
        <f t="shared" si="43"/>
        <v>9.8688820321907719E-2</v>
      </c>
      <c r="AN16" s="44">
        <f t="shared" si="44"/>
        <v>9.3799364080149022E-2</v>
      </c>
      <c r="AO16" s="44">
        <f t="shared" si="45"/>
        <v>9.590274337847611E-2</v>
      </c>
      <c r="AP16" s="44">
        <f t="shared" si="46"/>
        <v>9.2295545009781627E-2</v>
      </c>
      <c r="AQ16" s="44">
        <f t="shared" si="47"/>
        <v>7.9478697732010065E-2</v>
      </c>
      <c r="AS16" s="75" t="str">
        <f t="shared" si="58"/>
        <v>1</v>
      </c>
      <c r="AT16" s="75" t="str">
        <f t="shared" si="58"/>
        <v>1</v>
      </c>
      <c r="AU16" s="75" t="str">
        <f t="shared" si="58"/>
        <v>1</v>
      </c>
      <c r="AV16" s="75" t="str">
        <f t="shared" si="52"/>
        <v>1</v>
      </c>
      <c r="AW16" s="75" t="str">
        <f t="shared" si="52"/>
        <v>1</v>
      </c>
      <c r="AX16" s="75" t="str">
        <f t="shared" si="52"/>
        <v>1</v>
      </c>
      <c r="AY16" s="75" t="str">
        <f t="shared" si="48"/>
        <v>1</v>
      </c>
      <c r="AZ16" s="75" t="str">
        <f t="shared" si="36"/>
        <v>1</v>
      </c>
      <c r="BA16" s="75" t="str">
        <f t="shared" si="37"/>
        <v>1</v>
      </c>
      <c r="BB16" s="75" t="str">
        <f t="shared" si="59"/>
        <v>1</v>
      </c>
      <c r="BC16" s="75" t="str">
        <f t="shared" si="59"/>
        <v>1</v>
      </c>
      <c r="BD16" s="75" t="str">
        <f t="shared" si="59"/>
        <v>1</v>
      </c>
      <c r="BF16" s="44">
        <f t="shared" si="23"/>
        <v>2.5</v>
      </c>
      <c r="BG16" s="44">
        <f t="shared" si="24"/>
        <v>2.5</v>
      </c>
      <c r="BH16" s="44">
        <f t="shared" si="25"/>
        <v>2.5</v>
      </c>
      <c r="BI16" s="44">
        <f t="shared" si="26"/>
        <v>2.5</v>
      </c>
      <c r="BJ16" s="44">
        <f t="shared" si="27"/>
        <v>2.5</v>
      </c>
      <c r="BK16" s="44">
        <f t="shared" si="28"/>
        <v>2.5</v>
      </c>
      <c r="BL16" s="44">
        <f t="shared" si="29"/>
        <v>2.5</v>
      </c>
      <c r="BM16" s="44">
        <f t="shared" si="30"/>
        <v>2.5</v>
      </c>
      <c r="BN16" s="44">
        <f t="shared" si="31"/>
        <v>2.5</v>
      </c>
      <c r="BO16" s="44">
        <f t="shared" si="32"/>
        <v>2.5</v>
      </c>
      <c r="BP16" s="44">
        <f t="shared" si="33"/>
        <v>2.5</v>
      </c>
      <c r="BQ16" s="44">
        <f t="shared" si="34"/>
        <v>2.5</v>
      </c>
      <c r="CD16" t="s">
        <v>89</v>
      </c>
      <c r="CT16" s="41">
        <f>CT15/3</f>
        <v>14</v>
      </c>
      <c r="CV16" s="41">
        <f>CV15+59</f>
        <v>170</v>
      </c>
      <c r="CW16" s="41">
        <f>CW15+57</f>
        <v>174.5</v>
      </c>
      <c r="CX16" s="41">
        <f>CW16-CV16</f>
        <v>4.5</v>
      </c>
    </row>
    <row r="17" spans="1:94">
      <c r="A17" s="367">
        <f t="shared" si="50"/>
        <v>13</v>
      </c>
      <c r="B17" s="76" t="s">
        <v>85</v>
      </c>
      <c r="C17" s="76" t="s">
        <v>1023</v>
      </c>
      <c r="D17" s="69" t="s">
        <v>71</v>
      </c>
      <c r="E17" s="70" t="s">
        <v>85</v>
      </c>
      <c r="F17" s="71">
        <v>0.49</v>
      </c>
      <c r="G17" s="71">
        <v>0.60821917808219184</v>
      </c>
      <c r="H17" s="69">
        <v>700</v>
      </c>
      <c r="I17" s="72">
        <v>6.5</v>
      </c>
      <c r="J17" s="72">
        <v>4</v>
      </c>
      <c r="K17" s="73">
        <f t="shared" si="53"/>
        <v>4695.6740421383902</v>
      </c>
      <c r="L17" s="73">
        <v>1</v>
      </c>
      <c r="M17" s="73">
        <f t="shared" si="54"/>
        <v>4695.6740421383902</v>
      </c>
      <c r="N17">
        <f t="shared" si="10"/>
        <v>4695.6740421383902</v>
      </c>
      <c r="R17" s="784">
        <f>BP!B174/2</f>
        <v>273722.065664872</v>
      </c>
      <c r="S17" s="784">
        <f>BP!C174/2</f>
        <v>282038.5955645676</v>
      </c>
      <c r="T17" s="784">
        <f>BP!D174/2</f>
        <v>269718.21108602738</v>
      </c>
      <c r="U17" s="784">
        <f>BP!E174/2</f>
        <v>299722.60107707843</v>
      </c>
      <c r="V17" s="784">
        <f>BP!F174/2</f>
        <v>232285.25533750464</v>
      </c>
      <c r="W17" s="784">
        <f>BP!G174/2</f>
        <v>298858.71633067186</v>
      </c>
      <c r="X17" s="784">
        <f>BP!H174/2</f>
        <v>216074.53162035579</v>
      </c>
      <c r="Y17" s="784">
        <f>BP!I174/2</f>
        <v>210923.01619057098</v>
      </c>
      <c r="Z17" s="784">
        <f>BP!J174/2</f>
        <v>184888.56271505231</v>
      </c>
      <c r="AA17" s="784">
        <f>BP!K174/2</f>
        <v>151377.4701613932</v>
      </c>
      <c r="AB17" s="784">
        <f>BP!L174/2</f>
        <v>145002.43863139336</v>
      </c>
      <c r="AC17" s="784">
        <f>BP!M174/2</f>
        <v>165594.74943097009</v>
      </c>
      <c r="AD17" s="98">
        <f t="shared" si="11"/>
        <v>227517.18448420483</v>
      </c>
      <c r="AE17" s="98"/>
      <c r="AF17" s="44">
        <f t="shared" si="18"/>
        <v>1.9430796885851709</v>
      </c>
      <c r="AG17" s="44">
        <f t="shared" si="19"/>
        <v>1.9375321051069052</v>
      </c>
      <c r="AH17" s="44">
        <f t="shared" si="38"/>
        <v>1.9146573964718019</v>
      </c>
      <c r="AI17" s="44">
        <f t="shared" si="39"/>
        <v>2.0590166429191541</v>
      </c>
      <c r="AJ17" s="44">
        <f t="shared" si="40"/>
        <v>1.5957395435843365</v>
      </c>
      <c r="AK17" s="44">
        <f t="shared" si="41"/>
        <v>2.121518044401089</v>
      </c>
      <c r="AL17" s="44">
        <f t="shared" si="42"/>
        <v>1.4843760701344646</v>
      </c>
      <c r="AM17" s="44">
        <f t="shared" si="43"/>
        <v>1.4972860431237651</v>
      </c>
      <c r="AN17" s="44">
        <f t="shared" si="44"/>
        <v>1.2701365407468697</v>
      </c>
      <c r="AO17" s="44">
        <f t="shared" si="45"/>
        <v>1.0399240140891159</v>
      </c>
      <c r="AP17" s="44">
        <f t="shared" si="46"/>
        <v>1.102857326994406</v>
      </c>
      <c r="AQ17" s="44">
        <f t="shared" si="47"/>
        <v>1.1375930404751511</v>
      </c>
      <c r="AS17" s="75" t="str">
        <f t="shared" si="58"/>
        <v>3</v>
      </c>
      <c r="AT17" s="75" t="str">
        <f t="shared" si="58"/>
        <v>3</v>
      </c>
      <c r="AU17" s="75" t="str">
        <f t="shared" si="58"/>
        <v>3</v>
      </c>
      <c r="AV17" s="75" t="str">
        <f t="shared" si="52"/>
        <v>3</v>
      </c>
      <c r="AW17" s="75" t="str">
        <f t="shared" si="52"/>
        <v>3</v>
      </c>
      <c r="AX17" s="75" t="str">
        <f t="shared" si="52"/>
        <v>3</v>
      </c>
      <c r="AY17" s="75" t="str">
        <f t="shared" si="48"/>
        <v>3</v>
      </c>
      <c r="AZ17" s="75" t="str">
        <f t="shared" si="36"/>
        <v>3</v>
      </c>
      <c r="BA17" s="75" t="str">
        <f t="shared" si="37"/>
        <v>3</v>
      </c>
      <c r="BB17" s="75" t="str">
        <f t="shared" si="59"/>
        <v>3</v>
      </c>
      <c r="BC17" s="75" t="str">
        <f t="shared" si="59"/>
        <v>3</v>
      </c>
      <c r="BD17" s="75" t="str">
        <f t="shared" si="59"/>
        <v>3</v>
      </c>
      <c r="BF17" s="44">
        <f t="shared" si="23"/>
        <v>7.5</v>
      </c>
      <c r="BG17" s="44">
        <f t="shared" si="24"/>
        <v>7.5</v>
      </c>
      <c r="BH17" s="44">
        <f t="shared" si="25"/>
        <v>7.5</v>
      </c>
      <c r="BI17" s="44">
        <f t="shared" si="26"/>
        <v>7.5</v>
      </c>
      <c r="BJ17" s="44">
        <f t="shared" si="27"/>
        <v>7.5</v>
      </c>
      <c r="BK17" s="44">
        <f t="shared" si="28"/>
        <v>7.5</v>
      </c>
      <c r="BL17" s="44">
        <f t="shared" si="29"/>
        <v>7.5</v>
      </c>
      <c r="BM17" s="44">
        <f t="shared" si="30"/>
        <v>7.5</v>
      </c>
      <c r="BN17" s="44">
        <f t="shared" si="31"/>
        <v>7.5</v>
      </c>
      <c r="BO17" s="44">
        <f t="shared" si="32"/>
        <v>7.5</v>
      </c>
      <c r="BP17" s="44">
        <f t="shared" si="33"/>
        <v>7.5</v>
      </c>
      <c r="BQ17" s="44">
        <f t="shared" si="34"/>
        <v>7.5</v>
      </c>
      <c r="CP17">
        <f>CM15/CP15</f>
        <v>0.74112775444725032</v>
      </c>
    </row>
    <row r="18" spans="1:94">
      <c r="A18" s="621">
        <f t="shared" si="50"/>
        <v>14</v>
      </c>
      <c r="B18" s="78" t="s">
        <v>1029</v>
      </c>
      <c r="C18" s="76" t="s">
        <v>1024</v>
      </c>
      <c r="D18" s="79" t="s">
        <v>71</v>
      </c>
      <c r="E18" s="80" t="s">
        <v>85</v>
      </c>
      <c r="F18" s="71">
        <v>0.6</v>
      </c>
      <c r="G18" s="71">
        <v>0.60821917808219184</v>
      </c>
      <c r="H18" s="69">
        <v>550</v>
      </c>
      <c r="I18" s="72">
        <v>6.5</v>
      </c>
      <c r="J18" s="72">
        <v>4</v>
      </c>
      <c r="K18" s="73">
        <f t="shared" ref="K18" si="60">H18*24*60*F18*G18*J18/I18/39.37</f>
        <v>4517.7038889378109</v>
      </c>
      <c r="L18" s="73">
        <v>1</v>
      </c>
      <c r="M18" s="73">
        <f t="shared" ref="M18" si="61">L18*K18</f>
        <v>4517.7038889378109</v>
      </c>
      <c r="N18">
        <f t="shared" si="10"/>
        <v>4517.7038889378109</v>
      </c>
      <c r="R18" s="785">
        <f>BP!B175/4</f>
        <v>37677.943473432497</v>
      </c>
      <c r="S18" s="785">
        <f>BP!C175/4</f>
        <v>16421.987546662378</v>
      </c>
      <c r="T18" s="785">
        <f>BP!D175/4</f>
        <v>22367.630785932495</v>
      </c>
      <c r="U18" s="785">
        <f>BP!E175/4</f>
        <v>38842.488373403954</v>
      </c>
      <c r="V18" s="785">
        <f>BP!F175/4</f>
        <v>11714.190626063797</v>
      </c>
      <c r="W18" s="785">
        <f>BP!G175/4</f>
        <v>13945.331333658871</v>
      </c>
      <c r="X18" s="785">
        <f>BP!H175/4</f>
        <v>16280.747494573874</v>
      </c>
      <c r="Y18" s="785">
        <f>BP!I175/4</f>
        <v>16688.858876063798</v>
      </c>
      <c r="Z18" s="785">
        <f>BP!J175/4</f>
        <v>16390.757225743451</v>
      </c>
      <c r="AA18" s="785">
        <f>BP!K175/4</f>
        <v>16758.307472705412</v>
      </c>
      <c r="AB18" s="785">
        <f>BP!L175/4</f>
        <v>14567.203922705412</v>
      </c>
      <c r="AC18" s="785">
        <f>BP!M175/4</f>
        <v>13888.324850800564</v>
      </c>
      <c r="AD18" s="98">
        <f t="shared" si="11"/>
        <v>19628.647665145541</v>
      </c>
      <c r="AE18" s="98"/>
      <c r="AF18" s="44">
        <f t="shared" si="18"/>
        <v>0.27800216215802215</v>
      </c>
      <c r="AG18" s="44">
        <f t="shared" si="19"/>
        <v>0.11725902068536276</v>
      </c>
      <c r="AH18" s="44">
        <f t="shared" si="38"/>
        <v>0.16503686633603531</v>
      </c>
      <c r="AI18" s="44">
        <f t="shared" si="39"/>
        <v>0.27734962864307033</v>
      </c>
      <c r="AJ18" s="44">
        <f t="shared" si="40"/>
        <v>8.3643622127400036E-2</v>
      </c>
      <c r="AK18" s="44">
        <f t="shared" si="41"/>
        <v>0.10289394551220174</v>
      </c>
      <c r="AL18" s="44">
        <f t="shared" si="42"/>
        <v>0.11625051485484812</v>
      </c>
      <c r="AM18" s="44">
        <f t="shared" si="43"/>
        <v>0.12313673262892573</v>
      </c>
      <c r="AN18" s="44">
        <f t="shared" si="44"/>
        <v>0.11703602472727682</v>
      </c>
      <c r="AO18" s="44">
        <f t="shared" si="45"/>
        <v>0.11966046844268947</v>
      </c>
      <c r="AP18" s="44">
        <f t="shared" si="46"/>
        <v>0.11515966865993205</v>
      </c>
      <c r="AQ18" s="44">
        <f t="shared" si="47"/>
        <v>9.9167738761076166E-2</v>
      </c>
      <c r="AS18" s="75" t="str">
        <f>IF(AF18&lt;=0,0,(IF(AF18&lt;=0.33,"1",(IF(AF18&gt;0.66,"3","2")))))</f>
        <v>1</v>
      </c>
      <c r="AT18" s="75" t="str">
        <f>IF(AG18&lt;=0,0,(IF(AG18&lt;=0.33,"1",(IF(AG18&gt;0.66,"3","2")))))</f>
        <v>1</v>
      </c>
      <c r="AU18" s="75" t="str">
        <f>IF(AH18&lt;=0,0,(IF(AH18&lt;=0.33,"1",(IF(AH18&gt;0.66,"3","2")))))</f>
        <v>1</v>
      </c>
      <c r="AV18" s="75" t="str">
        <f>IF(AI18&lt;=0,0,(IF(AI18&lt;=0.33,"1",(IF(AI18&gt;0.66,"3","2")))))</f>
        <v>1</v>
      </c>
      <c r="AW18" s="75" t="str">
        <f t="shared" ref="AW18:AX22" si="62">IF(AJ18&lt;=0.33,"1",(IF(AJ18&gt;0.66,"3","2")))</f>
        <v>1</v>
      </c>
      <c r="AX18" s="75" t="str">
        <f t="shared" si="62"/>
        <v>1</v>
      </c>
      <c r="AY18" s="75" t="str">
        <f t="shared" si="48"/>
        <v>1</v>
      </c>
      <c r="AZ18" s="75" t="str">
        <f t="shared" si="36"/>
        <v>1</v>
      </c>
      <c r="BA18" s="75" t="str">
        <f t="shared" si="37"/>
        <v>1</v>
      </c>
      <c r="BB18" s="75" t="str">
        <f t="shared" si="59"/>
        <v>1</v>
      </c>
      <c r="BC18" s="75" t="str">
        <f t="shared" si="59"/>
        <v>1</v>
      </c>
      <c r="BD18" s="75" t="str">
        <f t="shared" si="59"/>
        <v>1</v>
      </c>
      <c r="BF18" s="44">
        <f t="shared" si="23"/>
        <v>2.5</v>
      </c>
      <c r="BG18" s="44">
        <f t="shared" si="24"/>
        <v>2.5</v>
      </c>
      <c r="BH18" s="44">
        <f t="shared" si="25"/>
        <v>2.5</v>
      </c>
      <c r="BI18" s="44">
        <f t="shared" si="26"/>
        <v>2.5</v>
      </c>
      <c r="BJ18" s="44">
        <f t="shared" si="27"/>
        <v>2.5</v>
      </c>
      <c r="BK18" s="44">
        <f t="shared" si="28"/>
        <v>2.5</v>
      </c>
      <c r="BL18" s="44">
        <f t="shared" si="29"/>
        <v>2.5</v>
      </c>
      <c r="BM18" s="44">
        <f t="shared" si="30"/>
        <v>2.5</v>
      </c>
      <c r="BN18" s="44">
        <f t="shared" si="31"/>
        <v>2.5</v>
      </c>
      <c r="BO18" s="44">
        <f t="shared" si="32"/>
        <v>2.5</v>
      </c>
      <c r="BP18" s="44">
        <f t="shared" si="33"/>
        <v>2.5</v>
      </c>
      <c r="BQ18" s="44">
        <f t="shared" si="34"/>
        <v>2.5</v>
      </c>
      <c r="CP18">
        <f>CP17*18</f>
        <v>13.340299580050505</v>
      </c>
    </row>
    <row r="19" spans="1:94">
      <c r="A19" s="367">
        <f t="shared" si="50"/>
        <v>15</v>
      </c>
      <c r="B19" s="76" t="s">
        <v>87</v>
      </c>
      <c r="C19" s="76" t="s">
        <v>1025</v>
      </c>
      <c r="D19" s="69" t="s">
        <v>71</v>
      </c>
      <c r="E19" s="70" t="s">
        <v>87</v>
      </c>
      <c r="F19" s="71">
        <v>0.49</v>
      </c>
      <c r="G19" s="71">
        <v>0.60821917808219184</v>
      </c>
      <c r="H19" s="69">
        <v>500</v>
      </c>
      <c r="I19" s="72">
        <v>5.8</v>
      </c>
      <c r="J19" s="72">
        <v>4</v>
      </c>
      <c r="K19" s="73">
        <f t="shared" si="53"/>
        <v>3758.8523736329485</v>
      </c>
      <c r="L19" s="73">
        <v>1</v>
      </c>
      <c r="M19" s="73">
        <f t="shared" si="54"/>
        <v>3758.8523736329485</v>
      </c>
      <c r="N19">
        <f t="shared" si="10"/>
        <v>3758.8523736329485</v>
      </c>
      <c r="R19" s="785">
        <f>BP!B175/4</f>
        <v>37677.943473432497</v>
      </c>
      <c r="S19" s="785">
        <f>BP!C175/4</f>
        <v>16421.987546662378</v>
      </c>
      <c r="T19" s="785">
        <f>BP!D175/4</f>
        <v>22367.630785932495</v>
      </c>
      <c r="U19" s="785">
        <f>BP!E175/4</f>
        <v>38842.488373403954</v>
      </c>
      <c r="V19" s="785">
        <f>BP!F175/4</f>
        <v>11714.190626063797</v>
      </c>
      <c r="W19" s="785">
        <f>BP!G175/4</f>
        <v>13945.331333658871</v>
      </c>
      <c r="X19" s="785">
        <f>BP!H175/4</f>
        <v>16280.747494573874</v>
      </c>
      <c r="Y19" s="785">
        <f>BP!I175/4</f>
        <v>16688.858876063798</v>
      </c>
      <c r="Z19" s="785">
        <f>BP!J175/4</f>
        <v>16390.757225743451</v>
      </c>
      <c r="AA19" s="785">
        <f>BP!K175/4</f>
        <v>16758.307472705412</v>
      </c>
      <c r="AB19" s="785">
        <f>BP!L175/4</f>
        <v>14567.203922705412</v>
      </c>
      <c r="AC19" s="785">
        <f>BP!M175/4</f>
        <v>13888.324850800564</v>
      </c>
      <c r="AD19" s="98">
        <f t="shared" si="11"/>
        <v>19628.647665145541</v>
      </c>
      <c r="AE19" s="98"/>
      <c r="AF19" s="44">
        <f t="shared" si="18"/>
        <v>0.33412630352932776</v>
      </c>
      <c r="AG19" s="44">
        <f t="shared" si="19"/>
        <v>0.14093172093675624</v>
      </c>
      <c r="AH19" s="44">
        <f t="shared" si="38"/>
        <v>0.19835514107828672</v>
      </c>
      <c r="AI19" s="44">
        <f t="shared" si="39"/>
        <v>0.33334203404887702</v>
      </c>
      <c r="AJ19" s="44">
        <f t="shared" si="40"/>
        <v>0.10052991695563182</v>
      </c>
      <c r="AK19" s="44">
        <f t="shared" si="41"/>
        <v>0.12366656936285975</v>
      </c>
      <c r="AL19" s="44">
        <f t="shared" si="42"/>
        <v>0.13971961408614086</v>
      </c>
      <c r="AM19" s="44">
        <f t="shared" si="43"/>
        <v>0.14799604788179835</v>
      </c>
      <c r="AN19" s="44">
        <f t="shared" si="44"/>
        <v>0.1406637057004759</v>
      </c>
      <c r="AO19" s="44">
        <f t="shared" si="45"/>
        <v>0.14381798216597028</v>
      </c>
      <c r="AP19" s="44">
        <f t="shared" si="46"/>
        <v>0.13840854368295757</v>
      </c>
      <c r="AQ19" s="44">
        <f t="shared" si="47"/>
        <v>0.1191881017197487</v>
      </c>
      <c r="AS19" s="75" t="str">
        <f t="shared" ref="AS19:AV22" si="63">IF(AF19&lt;=0.33,"1",(IF(AF19&gt;0.66,"3","2")))</f>
        <v>2</v>
      </c>
      <c r="AT19" s="75" t="str">
        <f t="shared" si="63"/>
        <v>1</v>
      </c>
      <c r="AU19" s="75" t="str">
        <f t="shared" si="63"/>
        <v>1</v>
      </c>
      <c r="AV19" s="75" t="str">
        <f t="shared" si="63"/>
        <v>2</v>
      </c>
      <c r="AW19" s="75" t="str">
        <f t="shared" si="62"/>
        <v>1</v>
      </c>
      <c r="AX19" s="75" t="str">
        <f t="shared" si="62"/>
        <v>1</v>
      </c>
      <c r="AY19" s="75" t="str">
        <f t="shared" si="48"/>
        <v>1</v>
      </c>
      <c r="AZ19" s="75" t="str">
        <f t="shared" si="36"/>
        <v>1</v>
      </c>
      <c r="BA19" s="75" t="str">
        <f t="shared" si="37"/>
        <v>1</v>
      </c>
      <c r="BB19" s="75" t="str">
        <f t="shared" si="59"/>
        <v>1</v>
      </c>
      <c r="BC19" s="75" t="str">
        <f t="shared" si="59"/>
        <v>1</v>
      </c>
      <c r="BD19" s="75" t="str">
        <f t="shared" si="59"/>
        <v>1</v>
      </c>
      <c r="BF19" s="44">
        <f t="shared" si="23"/>
        <v>5</v>
      </c>
      <c r="BG19" s="44">
        <f t="shared" si="24"/>
        <v>2.5</v>
      </c>
      <c r="BH19" s="44">
        <f t="shared" si="25"/>
        <v>2.5</v>
      </c>
      <c r="BI19" s="44">
        <f t="shared" si="26"/>
        <v>5</v>
      </c>
      <c r="BJ19" s="44">
        <f t="shared" si="27"/>
        <v>2.5</v>
      </c>
      <c r="BK19" s="44">
        <f t="shared" si="28"/>
        <v>2.5</v>
      </c>
      <c r="BL19" s="44">
        <f t="shared" si="29"/>
        <v>2.5</v>
      </c>
      <c r="BM19" s="44">
        <f t="shared" si="30"/>
        <v>2.5</v>
      </c>
      <c r="BN19" s="44">
        <f t="shared" si="31"/>
        <v>2.5</v>
      </c>
      <c r="BO19" s="44">
        <f t="shared" si="32"/>
        <v>2.5</v>
      </c>
      <c r="BP19" s="44">
        <f t="shared" si="33"/>
        <v>2.5</v>
      </c>
      <c r="BQ19" s="44">
        <f t="shared" si="34"/>
        <v>2.5</v>
      </c>
    </row>
    <row r="20" spans="1:94">
      <c r="A20" s="367">
        <f t="shared" si="50"/>
        <v>16</v>
      </c>
      <c r="B20" s="76" t="s">
        <v>88</v>
      </c>
      <c r="C20" s="76" t="s">
        <v>1026</v>
      </c>
      <c r="D20" s="69" t="s">
        <v>71</v>
      </c>
      <c r="E20" s="70" t="s">
        <v>88</v>
      </c>
      <c r="F20" s="71">
        <v>0.55000000000000004</v>
      </c>
      <c r="G20" s="71">
        <v>0.60821917808219184</v>
      </c>
      <c r="H20" s="86">
        <v>320</v>
      </c>
      <c r="I20" s="87">
        <v>10</v>
      </c>
      <c r="J20" s="87">
        <v>3.9</v>
      </c>
      <c r="K20" s="73">
        <f t="shared" si="53"/>
        <v>1526.98391446098</v>
      </c>
      <c r="L20" s="85">
        <v>1</v>
      </c>
      <c r="M20" s="73">
        <f t="shared" si="54"/>
        <v>1526.98391446098</v>
      </c>
      <c r="N20">
        <f t="shared" si="10"/>
        <v>1526.98391446098</v>
      </c>
      <c r="R20" s="786">
        <f>BP!B173/2</f>
        <v>92362.659354156611</v>
      </c>
      <c r="S20" s="786">
        <f>BP!C173/2</f>
        <v>92375.534354156611</v>
      </c>
      <c r="T20" s="786">
        <f>BP!D173/2</f>
        <v>91147.774354156616</v>
      </c>
      <c r="U20" s="786">
        <f>BP!E173/2</f>
        <v>85893.516730419127</v>
      </c>
      <c r="V20" s="786">
        <f>BP!F173/2</f>
        <v>93890.48830669999</v>
      </c>
      <c r="W20" s="786">
        <f>BP!G173/2</f>
        <v>86575.29457150001</v>
      </c>
      <c r="X20" s="786">
        <f>BP!H173/2</f>
        <v>88747.564571500014</v>
      </c>
      <c r="Y20" s="786">
        <f>BP!I173/2</f>
        <v>81741.007946699989</v>
      </c>
      <c r="Z20" s="786">
        <f>BP!J173/2</f>
        <v>88070.181708728327</v>
      </c>
      <c r="AA20" s="786">
        <f>BP!K173/2</f>
        <v>83275.707694933211</v>
      </c>
      <c r="AB20" s="786">
        <f>BP!L173/2</f>
        <v>90661.837694933231</v>
      </c>
      <c r="AC20" s="786">
        <f>BP!M173/2</f>
        <v>86272.566092310386</v>
      </c>
      <c r="AD20" s="98">
        <f t="shared" si="11"/>
        <v>88417.844448349511</v>
      </c>
      <c r="AE20" s="98"/>
      <c r="AF20" s="44">
        <f t="shared" si="18"/>
        <v>2.016232969220249</v>
      </c>
      <c r="AG20" s="44">
        <f t="shared" si="19"/>
        <v>1.9514651848576654</v>
      </c>
      <c r="AH20" s="44">
        <f t="shared" si="38"/>
        <v>1.9897126069013298</v>
      </c>
      <c r="AI20" s="44">
        <f t="shared" si="39"/>
        <v>1.8145303155895631</v>
      </c>
      <c r="AJ20" s="44">
        <f t="shared" si="40"/>
        <v>1.9834691122581447</v>
      </c>
      <c r="AK20" s="44">
        <f t="shared" si="41"/>
        <v>1.8898975457786837</v>
      </c>
      <c r="AL20" s="44">
        <f t="shared" si="42"/>
        <v>1.8748230655771785</v>
      </c>
      <c r="AM20" s="44">
        <f t="shared" si="43"/>
        <v>1.7843673656849288</v>
      </c>
      <c r="AN20" s="44">
        <f t="shared" si="44"/>
        <v>1.8605131177889447</v>
      </c>
      <c r="AO20" s="44">
        <f t="shared" si="45"/>
        <v>1.7592281922614212</v>
      </c>
      <c r="AP20" s="44">
        <f t="shared" si="46"/>
        <v>2.1204694719800106</v>
      </c>
      <c r="AQ20" s="44">
        <f t="shared" si="47"/>
        <v>1.8225378647555293</v>
      </c>
      <c r="AS20" s="75" t="str">
        <f t="shared" si="63"/>
        <v>3</v>
      </c>
      <c r="AT20" s="75" t="str">
        <f t="shared" si="63"/>
        <v>3</v>
      </c>
      <c r="AU20" s="75" t="str">
        <f t="shared" si="63"/>
        <v>3</v>
      </c>
      <c r="AV20" s="75" t="str">
        <f t="shared" si="63"/>
        <v>3</v>
      </c>
      <c r="AW20" s="75" t="str">
        <f t="shared" si="62"/>
        <v>3</v>
      </c>
      <c r="AX20" s="75" t="str">
        <f t="shared" si="62"/>
        <v>3</v>
      </c>
      <c r="AY20" s="75" t="str">
        <f t="shared" si="48"/>
        <v>3</v>
      </c>
      <c r="AZ20" s="75" t="str">
        <f t="shared" si="36"/>
        <v>3</v>
      </c>
      <c r="BA20" s="75" t="str">
        <f t="shared" si="37"/>
        <v>3</v>
      </c>
      <c r="BB20" s="75" t="str">
        <f t="shared" si="59"/>
        <v>3</v>
      </c>
      <c r="BC20" s="75" t="str">
        <f t="shared" si="59"/>
        <v>3</v>
      </c>
      <c r="BD20" s="75" t="str">
        <f t="shared" si="59"/>
        <v>3</v>
      </c>
      <c r="BF20" s="44">
        <f>AS20*3.5</f>
        <v>10.5</v>
      </c>
      <c r="BG20" s="44">
        <f t="shared" ref="BG20:BQ21" si="64">AT20*3.5</f>
        <v>10.5</v>
      </c>
      <c r="BH20" s="44">
        <f t="shared" si="64"/>
        <v>10.5</v>
      </c>
      <c r="BI20" s="44">
        <f t="shared" si="64"/>
        <v>10.5</v>
      </c>
      <c r="BJ20" s="44">
        <f t="shared" si="64"/>
        <v>10.5</v>
      </c>
      <c r="BK20" s="44">
        <f t="shared" si="64"/>
        <v>10.5</v>
      </c>
      <c r="BL20" s="44">
        <f t="shared" si="64"/>
        <v>10.5</v>
      </c>
      <c r="BM20" s="44">
        <f t="shared" si="64"/>
        <v>10.5</v>
      </c>
      <c r="BN20" s="44">
        <f t="shared" si="64"/>
        <v>10.5</v>
      </c>
      <c r="BO20" s="44">
        <f t="shared" si="64"/>
        <v>10.5</v>
      </c>
      <c r="BP20" s="44">
        <f t="shared" si="64"/>
        <v>10.5</v>
      </c>
      <c r="BQ20" s="44">
        <f t="shared" si="64"/>
        <v>10.5</v>
      </c>
    </row>
    <row r="21" spans="1:94">
      <c r="A21" s="210">
        <f t="shared" si="50"/>
        <v>17</v>
      </c>
      <c r="B21" s="76" t="s">
        <v>88</v>
      </c>
      <c r="C21" s="76" t="s">
        <v>1027</v>
      </c>
      <c r="D21" s="69" t="s">
        <v>71</v>
      </c>
      <c r="E21" s="70" t="s">
        <v>88</v>
      </c>
      <c r="F21" s="71">
        <v>0.55000000000000004</v>
      </c>
      <c r="G21" s="71">
        <v>0.60821917808219184</v>
      </c>
      <c r="H21" s="86">
        <v>320</v>
      </c>
      <c r="I21" s="87">
        <v>10</v>
      </c>
      <c r="J21" s="87">
        <v>3.9</v>
      </c>
      <c r="K21" s="73">
        <f t="shared" si="53"/>
        <v>1526.98391446098</v>
      </c>
      <c r="L21" s="85">
        <v>1</v>
      </c>
      <c r="M21" s="73">
        <f t="shared" si="54"/>
        <v>1526.98391446098</v>
      </c>
      <c r="N21">
        <f t="shared" si="10"/>
        <v>1526.98391446098</v>
      </c>
      <c r="R21" s="783">
        <f>BP!B173/2</f>
        <v>92362.659354156611</v>
      </c>
      <c r="S21" s="783">
        <f>BP!C173/2</f>
        <v>92375.534354156611</v>
      </c>
      <c r="T21" s="783">
        <f>BP!D173/2</f>
        <v>91147.774354156616</v>
      </c>
      <c r="U21" s="783">
        <f>BP!E173/2</f>
        <v>85893.516730419127</v>
      </c>
      <c r="V21" s="783">
        <f>BP!F173/2</f>
        <v>93890.48830669999</v>
      </c>
      <c r="W21" s="783">
        <f>BP!G173/2</f>
        <v>86575.29457150001</v>
      </c>
      <c r="X21" s="783">
        <f>BP!H173/2</f>
        <v>88747.564571500014</v>
      </c>
      <c r="Y21" s="783">
        <f>BP!I173/2</f>
        <v>81741.007946699989</v>
      </c>
      <c r="Z21" s="783">
        <f>BP!J173/2</f>
        <v>88070.181708728327</v>
      </c>
      <c r="AA21" s="783">
        <f>BP!K173/2</f>
        <v>83275.707694933211</v>
      </c>
      <c r="AB21" s="783">
        <f>BP!L173/2</f>
        <v>90661.837694933231</v>
      </c>
      <c r="AC21" s="783">
        <f>BP!M173/2</f>
        <v>86272.566092310386</v>
      </c>
      <c r="AD21" s="98">
        <f t="shared" si="11"/>
        <v>88417.844448349511</v>
      </c>
      <c r="AE21" s="98"/>
      <c r="AF21" s="44">
        <f t="shared" si="18"/>
        <v>2.016232969220249</v>
      </c>
      <c r="AG21" s="44">
        <f t="shared" si="19"/>
        <v>1.9514651848576654</v>
      </c>
      <c r="AH21" s="44">
        <f t="shared" si="38"/>
        <v>1.9897126069013298</v>
      </c>
      <c r="AI21" s="44">
        <f t="shared" si="39"/>
        <v>1.8145303155895631</v>
      </c>
      <c r="AJ21" s="44">
        <f t="shared" si="40"/>
        <v>1.9834691122581447</v>
      </c>
      <c r="AK21" s="44">
        <f t="shared" si="41"/>
        <v>1.8898975457786837</v>
      </c>
      <c r="AL21" s="44">
        <f t="shared" si="42"/>
        <v>1.8748230655771785</v>
      </c>
      <c r="AM21" s="44">
        <f t="shared" si="43"/>
        <v>1.7843673656849288</v>
      </c>
      <c r="AN21" s="44">
        <f t="shared" si="44"/>
        <v>1.8605131177889447</v>
      </c>
      <c r="AO21" s="44">
        <f t="shared" si="45"/>
        <v>1.7592281922614212</v>
      </c>
      <c r="AP21" s="44">
        <f t="shared" si="46"/>
        <v>2.1204694719800106</v>
      </c>
      <c r="AQ21" s="44">
        <f t="shared" si="47"/>
        <v>1.8225378647555293</v>
      </c>
      <c r="AS21" s="75" t="str">
        <f t="shared" si="63"/>
        <v>3</v>
      </c>
      <c r="AT21" s="75" t="str">
        <f t="shared" si="63"/>
        <v>3</v>
      </c>
      <c r="AU21" s="75" t="str">
        <f t="shared" si="63"/>
        <v>3</v>
      </c>
      <c r="AV21" s="75" t="str">
        <f t="shared" si="63"/>
        <v>3</v>
      </c>
      <c r="AW21" s="75" t="str">
        <f t="shared" si="62"/>
        <v>3</v>
      </c>
      <c r="AX21" s="75" t="str">
        <f t="shared" si="62"/>
        <v>3</v>
      </c>
      <c r="AY21" s="75" t="str">
        <f t="shared" si="48"/>
        <v>3</v>
      </c>
      <c r="AZ21" s="75" t="str">
        <f t="shared" si="36"/>
        <v>3</v>
      </c>
      <c r="BA21" s="75" t="str">
        <f t="shared" si="37"/>
        <v>3</v>
      </c>
      <c r="BB21" s="75" t="str">
        <f t="shared" si="59"/>
        <v>3</v>
      </c>
      <c r="BC21" s="75" t="str">
        <f t="shared" si="59"/>
        <v>3</v>
      </c>
      <c r="BD21" s="75" t="str">
        <f t="shared" si="59"/>
        <v>3</v>
      </c>
      <c r="BF21" s="44">
        <f>AS21*3.5</f>
        <v>10.5</v>
      </c>
      <c r="BG21" s="44">
        <f t="shared" si="64"/>
        <v>10.5</v>
      </c>
      <c r="BH21" s="44">
        <f t="shared" si="64"/>
        <v>10.5</v>
      </c>
      <c r="BI21" s="44">
        <f t="shared" si="64"/>
        <v>10.5</v>
      </c>
      <c r="BJ21" s="44">
        <f t="shared" si="64"/>
        <v>10.5</v>
      </c>
      <c r="BK21" s="44">
        <f t="shared" si="64"/>
        <v>10.5</v>
      </c>
      <c r="BL21" s="44">
        <f t="shared" si="64"/>
        <v>10.5</v>
      </c>
      <c r="BM21" s="44">
        <f t="shared" si="64"/>
        <v>10.5</v>
      </c>
      <c r="BN21" s="44">
        <f t="shared" si="64"/>
        <v>10.5</v>
      </c>
      <c r="BO21" s="44">
        <f t="shared" si="64"/>
        <v>10.5</v>
      </c>
      <c r="BP21" s="44">
        <f t="shared" si="64"/>
        <v>10.5</v>
      </c>
      <c r="BQ21" s="44">
        <f t="shared" si="64"/>
        <v>10.5</v>
      </c>
    </row>
    <row r="22" spans="1:94">
      <c r="A22" s="210">
        <f t="shared" si="50"/>
        <v>18</v>
      </c>
      <c r="B22" s="600" t="s">
        <v>89</v>
      </c>
      <c r="C22" s="653" t="s">
        <v>1028</v>
      </c>
      <c r="D22" s="69" t="s">
        <v>71</v>
      </c>
      <c r="E22" s="70" t="s">
        <v>90</v>
      </c>
      <c r="F22" s="71">
        <v>0.5</v>
      </c>
      <c r="G22" s="71">
        <v>0.60821917808219184</v>
      </c>
      <c r="H22" s="69">
        <v>800</v>
      </c>
      <c r="I22" s="72">
        <v>10</v>
      </c>
      <c r="J22" s="72">
        <v>4</v>
      </c>
      <c r="K22" s="73">
        <f t="shared" si="53"/>
        <v>3559.403064011608</v>
      </c>
      <c r="L22" s="73">
        <v>1</v>
      </c>
      <c r="M22" s="73">
        <f t="shared" si="54"/>
        <v>3559.403064011608</v>
      </c>
      <c r="N22">
        <f t="shared" si="10"/>
        <v>3559.403064011608</v>
      </c>
      <c r="R22" s="783">
        <f>BP!B169</f>
        <v>17639.672364999999</v>
      </c>
      <c r="S22" s="783">
        <f>BP!C169</f>
        <v>17892.053780000002</v>
      </c>
      <c r="T22" s="783">
        <f>BP!D169</f>
        <v>23447.804769999999</v>
      </c>
      <c r="U22" s="783">
        <f>BP!E169</f>
        <v>11883.306214999999</v>
      </c>
      <c r="V22" s="783">
        <f>BP!F169</f>
        <v>27718.037995000002</v>
      </c>
      <c r="W22" s="783">
        <f>BP!G169</f>
        <v>16789</v>
      </c>
      <c r="X22" s="783">
        <f>BP!H169</f>
        <v>18540</v>
      </c>
      <c r="Y22" s="783">
        <f>BP!I169</f>
        <v>16789</v>
      </c>
      <c r="Z22" s="783">
        <f>BP!J169</f>
        <v>40693.755000000005</v>
      </c>
      <c r="AA22" s="783">
        <f>BP!K169</f>
        <v>54024.307313999991</v>
      </c>
      <c r="AB22" s="783">
        <f>BP!L169</f>
        <v>39500.5</v>
      </c>
      <c r="AC22" s="783">
        <f>BP!M169</f>
        <v>14986.5</v>
      </c>
      <c r="AD22" s="98">
        <f t="shared" si="11"/>
        <v>24991.994786583335</v>
      </c>
      <c r="AE22" s="98"/>
      <c r="AF22" s="44">
        <f t="shared" si="18"/>
        <v>0.16519317095003089</v>
      </c>
      <c r="AG22" s="44">
        <f t="shared" si="19"/>
        <v>0.16215163463696119</v>
      </c>
      <c r="AH22" s="44">
        <f t="shared" si="38"/>
        <v>0.2195855536103411</v>
      </c>
      <c r="AI22" s="44">
        <f t="shared" si="39"/>
        <v>0.10769571516757478</v>
      </c>
      <c r="AJ22" s="44">
        <f t="shared" si="40"/>
        <v>0.25120230606743948</v>
      </c>
      <c r="AK22" s="44">
        <f t="shared" si="41"/>
        <v>0.15722673809877583</v>
      </c>
      <c r="AL22" s="44">
        <f t="shared" si="42"/>
        <v>0.16802382460585585</v>
      </c>
      <c r="AM22" s="44">
        <f t="shared" si="43"/>
        <v>0.15722673809877583</v>
      </c>
      <c r="AN22" s="44">
        <f t="shared" si="44"/>
        <v>0.36879829302446976</v>
      </c>
      <c r="AO22" s="44">
        <f t="shared" si="45"/>
        <v>0.48961007209171459</v>
      </c>
      <c r="AP22" s="44">
        <f t="shared" si="46"/>
        <v>0.39633953151323753</v>
      </c>
      <c r="AQ22" s="44">
        <f t="shared" si="47"/>
        <v>0.13581925822306679</v>
      </c>
      <c r="AS22" s="75" t="str">
        <f t="shared" si="63"/>
        <v>1</v>
      </c>
      <c r="AT22" s="75" t="str">
        <f t="shared" si="63"/>
        <v>1</v>
      </c>
      <c r="AU22" s="75" t="str">
        <f t="shared" si="63"/>
        <v>1</v>
      </c>
      <c r="AV22" s="75" t="str">
        <f t="shared" si="63"/>
        <v>1</v>
      </c>
      <c r="AW22" s="75" t="str">
        <f t="shared" si="62"/>
        <v>1</v>
      </c>
      <c r="AX22" s="75" t="str">
        <f t="shared" si="62"/>
        <v>1</v>
      </c>
      <c r="AY22" s="75" t="str">
        <f t="shared" si="48"/>
        <v>1</v>
      </c>
      <c r="AZ22" s="75" t="str">
        <f t="shared" si="36"/>
        <v>1</v>
      </c>
      <c r="BA22" s="75" t="str">
        <f t="shared" si="37"/>
        <v>2</v>
      </c>
      <c r="BB22" s="75" t="str">
        <f t="shared" ref="BB22" si="65">IF(AO22&lt;=0.33,"1",(IF(AO22&gt;0.66,"3","2")))</f>
        <v>2</v>
      </c>
      <c r="BC22" s="75" t="str">
        <f t="shared" ref="BC22" si="66">IF(AP22&lt;=0.33,"1",(IF(AP22&gt;0.66,"3","2")))</f>
        <v>2</v>
      </c>
      <c r="BD22" s="75" t="str">
        <f t="shared" ref="BD22" si="67">IF(AQ22&lt;=0.33,"1",(IF(AQ22&gt;0.66,"3","2")))</f>
        <v>1</v>
      </c>
      <c r="BF22" s="44">
        <f t="shared" ref="BF22:BQ22" si="68">AS22*2.5</f>
        <v>2.5</v>
      </c>
      <c r="BG22" s="44">
        <f t="shared" si="68"/>
        <v>2.5</v>
      </c>
      <c r="BH22" s="44">
        <f t="shared" si="68"/>
        <v>2.5</v>
      </c>
      <c r="BI22" s="44">
        <f t="shared" si="68"/>
        <v>2.5</v>
      </c>
      <c r="BJ22" s="44">
        <f t="shared" si="68"/>
        <v>2.5</v>
      </c>
      <c r="BK22" s="44">
        <f t="shared" si="68"/>
        <v>2.5</v>
      </c>
      <c r="BL22" s="44">
        <f t="shared" si="68"/>
        <v>2.5</v>
      </c>
      <c r="BM22" s="44">
        <f t="shared" si="68"/>
        <v>2.5</v>
      </c>
      <c r="BN22" s="44">
        <f t="shared" si="68"/>
        <v>5</v>
      </c>
      <c r="BO22" s="44">
        <f t="shared" si="68"/>
        <v>5</v>
      </c>
      <c r="BP22" s="44">
        <f t="shared" si="68"/>
        <v>5</v>
      </c>
      <c r="BQ22" s="44">
        <f t="shared" si="68"/>
        <v>2.5</v>
      </c>
    </row>
    <row r="23" spans="1:94" ht="18.5">
      <c r="A23" s="90"/>
      <c r="B23" s="90"/>
      <c r="C23" s="90"/>
      <c r="D23" s="90"/>
      <c r="E23" s="90"/>
      <c r="F23" s="91">
        <f>AVERAGE(F3:F22)</f>
        <v>0.55549999999999999</v>
      </c>
      <c r="G23" s="91">
        <f>AVERAGE(G3:G22)</f>
        <v>0.60821917808219206</v>
      </c>
      <c r="H23" s="92"/>
      <c r="I23" s="599"/>
      <c r="J23" s="94" t="s">
        <v>91</v>
      </c>
      <c r="K23" s="95">
        <f>SUM(K3:K22)</f>
        <v>63821.499910078048</v>
      </c>
      <c r="L23" s="95">
        <f>SUM(L3:L22)</f>
        <v>18</v>
      </c>
      <c r="M23" s="96">
        <f>SUM(M3:M22)</f>
        <v>63821.499910078048</v>
      </c>
      <c r="R23" s="98">
        <f>SUM(R3:R22)</f>
        <v>1351323.4727909439</v>
      </c>
      <c r="S23" s="98">
        <f t="shared" ref="S23:AC23" si="69">SUM(S3:S22)</f>
        <v>1355317.2941161583</v>
      </c>
      <c r="T23" s="98">
        <f t="shared" si="69"/>
        <v>1398744.0832250474</v>
      </c>
      <c r="U23" s="98">
        <f t="shared" si="69"/>
        <v>1483906.0787217035</v>
      </c>
      <c r="V23" s="98">
        <f t="shared" si="69"/>
        <v>1249294.7069937056</v>
      </c>
      <c r="W23" s="98">
        <f t="shared" si="69"/>
        <v>1434033.0373980347</v>
      </c>
      <c r="X23" s="98">
        <f t="shared" si="69"/>
        <v>1334481.5845240885</v>
      </c>
      <c r="Y23" s="98">
        <f t="shared" si="69"/>
        <v>1253739.5224211146</v>
      </c>
      <c r="Z23" s="98">
        <f t="shared" si="69"/>
        <v>1334773.5878799125</v>
      </c>
      <c r="AA23" s="98">
        <f t="shared" si="69"/>
        <v>1246188.3302033057</v>
      </c>
      <c r="AB23" s="98">
        <f t="shared" si="69"/>
        <v>1265499.0095524171</v>
      </c>
      <c r="AC23" s="98">
        <f t="shared" si="69"/>
        <v>1288334.6004335252</v>
      </c>
      <c r="AD23" s="98">
        <f t="shared" ref="AD23" si="70">SUM(AD3:AD22)</f>
        <v>1332969.6090216632</v>
      </c>
      <c r="AE23" s="98"/>
      <c r="AF23" s="89">
        <f>SUM(AF3:AF22)</f>
        <v>14.105568584288349</v>
      </c>
      <c r="AG23" s="89">
        <f t="shared" ref="AG23:AQ23" si="71">SUM(AG3:AG22)</f>
        <v>13.760601704471888</v>
      </c>
      <c r="AH23" s="89">
        <f t="shared" si="71"/>
        <v>14.842122214270789</v>
      </c>
      <c r="AI23" s="89">
        <f t="shared" si="71"/>
        <v>14.666436724462445</v>
      </c>
      <c r="AJ23" s="89">
        <f t="shared" si="71"/>
        <v>13.297635663151063</v>
      </c>
      <c r="AK23" s="789">
        <f t="shared" si="71"/>
        <v>14.849084932996316</v>
      </c>
      <c r="AL23" s="89">
        <f t="shared" si="71"/>
        <v>14.101526508905771</v>
      </c>
      <c r="AM23" s="89">
        <f t="shared" si="71"/>
        <v>13.537197094467029</v>
      </c>
      <c r="AN23" s="89">
        <f t="shared" si="71"/>
        <v>14.606092068568021</v>
      </c>
      <c r="AO23" s="89">
        <f t="shared" si="71"/>
        <v>13.637379680219562</v>
      </c>
      <c r="AP23" s="89">
        <f t="shared" si="71"/>
        <v>15.633528215377195</v>
      </c>
      <c r="AQ23" s="89">
        <f t="shared" si="71"/>
        <v>14.036098053868646</v>
      </c>
      <c r="AR23" s="44">
        <f>AVERAGE(AF23:AQ23)</f>
        <v>14.256105953753922</v>
      </c>
      <c r="AS23" s="89">
        <f>SUM(AS3:AS22)</f>
        <v>0</v>
      </c>
      <c r="AY23" s="44"/>
      <c r="BF23" s="89">
        <f>AF24</f>
        <v>118.5</v>
      </c>
      <c r="BG23" s="89">
        <f t="shared" ref="BG23:BQ23" si="72">AG24</f>
        <v>111</v>
      </c>
      <c r="BH23" s="89">
        <f t="shared" si="72"/>
        <v>126</v>
      </c>
      <c r="BI23" s="89">
        <f t="shared" si="72"/>
        <v>118.5</v>
      </c>
      <c r="BJ23" s="89">
        <f t="shared" si="72"/>
        <v>118.5</v>
      </c>
      <c r="BK23" s="89">
        <f t="shared" si="72"/>
        <v>126</v>
      </c>
      <c r="BL23" s="89">
        <f t="shared" si="72"/>
        <v>118.5</v>
      </c>
      <c r="BM23" s="89">
        <f t="shared" si="72"/>
        <v>111</v>
      </c>
      <c r="BN23" s="89">
        <f t="shared" si="72"/>
        <v>126</v>
      </c>
      <c r="BO23" s="89">
        <f t="shared" si="72"/>
        <v>118.5</v>
      </c>
      <c r="BP23" s="89">
        <f t="shared" si="72"/>
        <v>126</v>
      </c>
      <c r="BQ23" s="89">
        <f t="shared" si="72"/>
        <v>118.5</v>
      </c>
    </row>
    <row r="24" spans="1:94">
      <c r="M24" s="98"/>
      <c r="R24" s="97">
        <f t="shared" ref="R24:AC24" si="73">SUM(R3:R22)/30</f>
        <v>45044.115759698128</v>
      </c>
      <c r="S24" s="97">
        <f t="shared" si="73"/>
        <v>45177.243137205274</v>
      </c>
      <c r="T24" s="97">
        <f t="shared" si="73"/>
        <v>46624.802774168245</v>
      </c>
      <c r="U24" s="97">
        <f t="shared" si="73"/>
        <v>49463.535957390115</v>
      </c>
      <c r="V24" s="97">
        <f t="shared" si="73"/>
        <v>41643.156899790185</v>
      </c>
      <c r="W24" s="97">
        <f t="shared" si="73"/>
        <v>47801.10124660116</v>
      </c>
      <c r="X24" s="97">
        <f>SUM(X3:X22)/28</f>
        <v>47660.056590146021</v>
      </c>
      <c r="Y24" s="97">
        <f t="shared" si="73"/>
        <v>41791.317414037156</v>
      </c>
      <c r="Z24" s="97">
        <f>SUM(Z3:Z22)/30</f>
        <v>44492.452929330415</v>
      </c>
      <c r="AA24" s="97">
        <f t="shared" si="73"/>
        <v>41539.611006776853</v>
      </c>
      <c r="AB24" s="97">
        <f t="shared" si="73"/>
        <v>42183.300318413902</v>
      </c>
      <c r="AC24" s="97">
        <f t="shared" si="73"/>
        <v>42944.486681117509</v>
      </c>
      <c r="AD24" s="97">
        <f>SUM(AD3:AD22)/30</f>
        <v>44432.320300722109</v>
      </c>
      <c r="AE24" s="97"/>
      <c r="AF24" s="40">
        <f>(2*3.5*3)+(13*2.5*3)</f>
        <v>118.5</v>
      </c>
      <c r="AG24" s="40">
        <f>(2*3.5*3)+(12*2.5*3)</f>
        <v>111</v>
      </c>
      <c r="AH24" s="40">
        <f>(2*3.5*3)+(14*2.5*3)</f>
        <v>126</v>
      </c>
      <c r="AI24" s="40">
        <f>(2*3.5*3)+(13*2.5*3)</f>
        <v>118.5</v>
      </c>
      <c r="AJ24" s="40">
        <f>(2*3.5*3)+(13*2.5*3)</f>
        <v>118.5</v>
      </c>
      <c r="AK24" s="40">
        <f>(2*3.5*3)+(14*2.5*3)</f>
        <v>126</v>
      </c>
      <c r="AL24" s="40">
        <f>(2*3.5*3)+(13*2.5*3)</f>
        <v>118.5</v>
      </c>
      <c r="AM24" s="40">
        <f>(2*3.5*3)+(12*2.5*3)</f>
        <v>111</v>
      </c>
      <c r="AN24" s="40">
        <f>(2*3.5*3)+(14*2.5*3)</f>
        <v>126</v>
      </c>
      <c r="AO24" s="40">
        <f>(2*3.5*3)+(13*2.5*3)</f>
        <v>118.5</v>
      </c>
      <c r="AP24" s="40">
        <f>(2*3.5*3)+(14*2.5*3)</f>
        <v>126</v>
      </c>
      <c r="AQ24" s="40">
        <f>(2*3.5*3)+(13*2.5*3)</f>
        <v>118.5</v>
      </c>
      <c r="BF24" s="89">
        <f>AF24</f>
        <v>118.5</v>
      </c>
      <c r="BG24" s="89">
        <f t="shared" ref="BG24:BQ24" si="74">AG24</f>
        <v>111</v>
      </c>
      <c r="BH24" s="89">
        <f t="shared" si="74"/>
        <v>126</v>
      </c>
      <c r="BI24" s="89">
        <f t="shared" si="74"/>
        <v>118.5</v>
      </c>
      <c r="BJ24" s="89">
        <f t="shared" si="74"/>
        <v>118.5</v>
      </c>
      <c r="BK24" s="89">
        <f t="shared" si="74"/>
        <v>126</v>
      </c>
      <c r="BL24" s="89">
        <f t="shared" si="74"/>
        <v>118.5</v>
      </c>
      <c r="BM24" s="89">
        <f t="shared" si="74"/>
        <v>111</v>
      </c>
      <c r="BN24" s="89">
        <f t="shared" si="74"/>
        <v>126</v>
      </c>
      <c r="BO24" s="89">
        <f t="shared" si="74"/>
        <v>118.5</v>
      </c>
      <c r="BP24" s="89">
        <f t="shared" si="74"/>
        <v>126</v>
      </c>
      <c r="BQ24" s="89">
        <f t="shared" si="74"/>
        <v>118.5</v>
      </c>
    </row>
    <row r="25" spans="1:94">
      <c r="AJ25" t="s">
        <v>1035</v>
      </c>
      <c r="AK25">
        <v>10</v>
      </c>
      <c r="AL25" s="40">
        <f>(2*3.5*3)+(12*2.5*3)+59</f>
        <v>170</v>
      </c>
      <c r="AM25" s="40">
        <f>(2*3.5*3)+(10*2.5*3)+59</f>
        <v>155</v>
      </c>
      <c r="AN25" s="40">
        <f>(2*3.5*3)+(13*2.5*3)+59</f>
        <v>177.5</v>
      </c>
    </row>
    <row r="26" spans="1:94">
      <c r="Y26" s="40">
        <f>(2*3.5*3)+(13*2.5*3)+59</f>
        <v>177.5</v>
      </c>
      <c r="AJ26" t="s">
        <v>1037</v>
      </c>
      <c r="AK26">
        <v>2</v>
      </c>
      <c r="BF26">
        <f>(12*2.5*3)+(2*3.5*3)</f>
        <v>111</v>
      </c>
      <c r="BG26">
        <f>(12*3*3)+(2*4*3)</f>
        <v>132</v>
      </c>
    </row>
    <row r="27" spans="1:94">
      <c r="F27" t="s">
        <v>485</v>
      </c>
      <c r="G27" t="s">
        <v>487</v>
      </c>
      <c r="I27">
        <f>AVERAGE(I28:I31)</f>
        <v>372.5</v>
      </c>
      <c r="AJ27" t="s">
        <v>1038</v>
      </c>
      <c r="AK27">
        <v>1</v>
      </c>
      <c r="BF27">
        <v>59</v>
      </c>
      <c r="BG27">
        <v>59</v>
      </c>
    </row>
    <row r="28" spans="1:94">
      <c r="F28" t="s">
        <v>486</v>
      </c>
      <c r="G28" t="s">
        <v>488</v>
      </c>
      <c r="H28" t="s">
        <v>481</v>
      </c>
      <c r="I28">
        <v>290</v>
      </c>
      <c r="J28" s="155">
        <v>0.15</v>
      </c>
      <c r="K28">
        <f>J28*I28</f>
        <v>43.5</v>
      </c>
      <c r="AO28">
        <f>(3.5*3*2)+(2.5*3*12)+59</f>
        <v>170</v>
      </c>
      <c r="BF28">
        <f>SUM(BF26:BF27)</f>
        <v>170</v>
      </c>
      <c r="BG28">
        <f>SUM(BG26:BG27)</f>
        <v>191</v>
      </c>
    </row>
    <row r="29" spans="1:94">
      <c r="G29" t="s">
        <v>489</v>
      </c>
      <c r="H29" t="s">
        <v>482</v>
      </c>
      <c r="I29">
        <v>350</v>
      </c>
      <c r="J29" s="155">
        <v>0.37</v>
      </c>
      <c r="K29">
        <f t="shared" ref="K29:K31" si="75">J29*I29</f>
        <v>129.5</v>
      </c>
      <c r="BF29">
        <f>BG28-BF28</f>
        <v>21</v>
      </c>
    </row>
    <row r="30" spans="1:94">
      <c r="G30" t="s">
        <v>490</v>
      </c>
      <c r="H30" t="s">
        <v>252</v>
      </c>
      <c r="I30">
        <v>350</v>
      </c>
      <c r="J30" s="155">
        <v>0.38</v>
      </c>
      <c r="K30">
        <f t="shared" si="75"/>
        <v>133</v>
      </c>
    </row>
    <row r="31" spans="1:94">
      <c r="G31" t="s">
        <v>491</v>
      </c>
      <c r="H31" t="s">
        <v>483</v>
      </c>
      <c r="I31">
        <v>500</v>
      </c>
      <c r="J31" s="155">
        <v>0.1</v>
      </c>
      <c r="K31">
        <f t="shared" si="75"/>
        <v>50</v>
      </c>
    </row>
  </sheetData>
  <mergeCells count="9">
    <mergeCell ref="CK1:CM1"/>
    <mergeCell ref="CN1:CP1"/>
    <mergeCell ref="BF1:BQ1"/>
    <mergeCell ref="B3:B4"/>
    <mergeCell ref="A6:A7"/>
    <mergeCell ref="B6:B7"/>
    <mergeCell ref="R1:AC1"/>
    <mergeCell ref="AF1:AQ1"/>
    <mergeCell ref="AS1:BD1"/>
  </mergeCells>
  <pageMargins left="0.7" right="0.7"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Z203"/>
  <sheetViews>
    <sheetView zoomScale="96" workbookViewId="0">
      <selection activeCell="B5" sqref="B5:B6"/>
    </sheetView>
  </sheetViews>
  <sheetFormatPr defaultRowHeight="14.5"/>
  <cols>
    <col min="1" max="1" width="22.54296875" bestFit="1" customWidth="1"/>
    <col min="3" max="3" width="2.1796875" customWidth="1"/>
    <col min="4" max="4" width="7" bestFit="1" customWidth="1"/>
    <col min="5" max="5" width="30.26953125" style="415" bestFit="1" customWidth="1"/>
    <col min="6" max="11" width="8.1796875" style="415" bestFit="1" customWidth="1"/>
    <col min="12" max="12" width="8.26953125" style="415" bestFit="1" customWidth="1"/>
    <col min="13" max="14" width="8.1796875" style="415" bestFit="1" customWidth="1"/>
    <col min="15" max="15" width="7.1796875" style="415" bestFit="1" customWidth="1"/>
    <col min="16" max="16" width="8" style="415" bestFit="1" customWidth="1"/>
    <col min="17" max="18" width="7.1796875" style="415" bestFit="1" customWidth="1"/>
    <col min="19" max="19" width="8.1796875" style="415" bestFit="1" customWidth="1"/>
    <col min="20" max="20" width="7.453125" style="415" bestFit="1" customWidth="1"/>
    <col min="21" max="21" width="9" style="415" bestFit="1" customWidth="1"/>
    <col min="22" max="24" width="6.81640625" style="415" bestFit="1" customWidth="1"/>
    <col min="25" max="25" width="13.7265625" style="415" bestFit="1" customWidth="1"/>
    <col min="26" max="26" width="6.81640625" style="415" bestFit="1" customWidth="1"/>
    <col min="27" max="27" width="2" customWidth="1"/>
    <col min="28" max="28" width="9.1796875" customWidth="1"/>
    <col min="29" max="29" width="25.453125" customWidth="1"/>
    <col min="30" max="30" width="10.26953125" customWidth="1"/>
    <col min="31" max="31" width="11.26953125" style="2" customWidth="1"/>
    <col min="36" max="36" width="23.81640625" bestFit="1" customWidth="1"/>
    <col min="37" max="37" width="23.81640625" customWidth="1"/>
    <col min="38" max="38" width="21.7265625" bestFit="1" customWidth="1"/>
  </cols>
  <sheetData>
    <row r="1" spans="1:43" ht="15" customHeight="1">
      <c r="A1" s="1501" t="s">
        <v>689</v>
      </c>
      <c r="B1" s="1503">
        <v>45748</v>
      </c>
      <c r="D1" s="398" t="s">
        <v>690</v>
      </c>
      <c r="E1" s="1469" t="s">
        <v>691</v>
      </c>
      <c r="F1" s="1470"/>
      <c r="G1" s="1470"/>
      <c r="H1" s="1470"/>
      <c r="I1" s="1470"/>
      <c r="J1" s="1470"/>
      <c r="K1" s="1470"/>
      <c r="L1" s="1470"/>
      <c r="M1" s="1470"/>
      <c r="N1" s="1470"/>
      <c r="O1" s="1470"/>
      <c r="P1" s="1470"/>
      <c r="Q1" s="1470"/>
      <c r="R1" s="1470"/>
      <c r="S1" s="1470"/>
      <c r="T1" s="1470"/>
      <c r="U1" s="1470"/>
      <c r="V1" s="1470"/>
      <c r="W1" s="1470"/>
      <c r="X1" s="1470"/>
      <c r="Y1" s="1470"/>
      <c r="Z1" s="1471"/>
      <c r="AB1" s="1505" t="s">
        <v>520</v>
      </c>
      <c r="AC1" s="1495" t="s">
        <v>692</v>
      </c>
      <c r="AD1" s="1497" t="s">
        <v>693</v>
      </c>
      <c r="AE1" s="1498"/>
    </row>
    <row r="2" spans="1:43" ht="15" customHeight="1" thickBot="1">
      <c r="A2" s="1502"/>
      <c r="B2" s="1504"/>
      <c r="D2" s="399"/>
      <c r="E2" s="400"/>
      <c r="F2" s="401" t="str">
        <f>A10</f>
        <v>120x160</v>
      </c>
      <c r="G2" s="401" t="str">
        <f>A11</f>
        <v>120x160</v>
      </c>
      <c r="H2" s="401" t="str">
        <f>A12</f>
        <v>120x170</v>
      </c>
      <c r="I2" s="401" t="str">
        <f>A13</f>
        <v>130x190</v>
      </c>
      <c r="J2" s="401" t="str">
        <f>A14</f>
        <v>150x230</v>
      </c>
      <c r="K2" s="401" t="str">
        <f>A15</f>
        <v>200x290</v>
      </c>
      <c r="L2" s="401" t="str">
        <f>A16</f>
        <v>370X100</v>
      </c>
      <c r="M2" s="401" t="str">
        <f>A17</f>
        <v>371x100</v>
      </c>
      <c r="N2" s="401" t="str">
        <f>A18</f>
        <v>405x100</v>
      </c>
      <c r="O2" s="401" t="str">
        <f>A19</f>
        <v>50x150</v>
      </c>
      <c r="P2" s="401" t="str">
        <f>A20</f>
        <v>50x85</v>
      </c>
      <c r="Q2" s="401" t="str">
        <f>A21</f>
        <v>67x107</v>
      </c>
      <c r="R2" s="401" t="str">
        <f>A22</f>
        <v>80x140</v>
      </c>
      <c r="S2" s="401" t="str">
        <f>A23</f>
        <v>151x213</v>
      </c>
      <c r="T2" s="401" t="str">
        <f>A24</f>
        <v>40x80</v>
      </c>
      <c r="U2" s="401">
        <f>A25</f>
        <v>0</v>
      </c>
      <c r="V2" s="402">
        <f>A26</f>
        <v>0</v>
      </c>
      <c r="W2" s="402"/>
      <c r="X2" s="402"/>
      <c r="Y2" s="402"/>
      <c r="Z2" s="402"/>
      <c r="AB2" s="1506"/>
      <c r="AC2" s="1496"/>
      <c r="AD2" s="403" t="s">
        <v>694</v>
      </c>
      <c r="AE2" s="404" t="s">
        <v>676</v>
      </c>
      <c r="AK2" t="s">
        <v>695</v>
      </c>
      <c r="AM2" t="s">
        <v>696</v>
      </c>
    </row>
    <row r="3" spans="1:43">
      <c r="A3" s="405" t="s">
        <v>697</v>
      </c>
      <c r="B3" s="406"/>
      <c r="D3" s="407">
        <v>1</v>
      </c>
      <c r="E3" s="408" t="s">
        <v>40</v>
      </c>
      <c r="F3" s="409">
        <f>VLOOKUP(F2,$A$10:$B$25,2,0)</f>
        <v>3.1600797997294629E-2</v>
      </c>
      <c r="G3" s="409">
        <f>B11</f>
        <v>3.3434283995353475E-2</v>
      </c>
      <c r="H3" s="409">
        <f t="shared" ref="H3:U3" si="0">VLOOKUP(H2,$A$10:$B$25,2,0)</f>
        <v>1.444453013964519E-2</v>
      </c>
      <c r="I3" s="409">
        <f t="shared" si="0"/>
        <v>0.26781256151421423</v>
      </c>
      <c r="J3" s="409">
        <f t="shared" si="0"/>
        <v>9.7583524438377645E-2</v>
      </c>
      <c r="K3" s="409">
        <f t="shared" si="0"/>
        <v>5.6511703263647142E-2</v>
      </c>
      <c r="L3" s="409">
        <f t="shared" si="0"/>
        <v>5.4213069132432023E-3</v>
      </c>
      <c r="M3" s="409">
        <f t="shared" si="0"/>
        <v>8.1319603698648033E-2</v>
      </c>
      <c r="N3" s="409">
        <f t="shared" si="0"/>
        <v>2.1685227652972809E-2</v>
      </c>
      <c r="O3" s="409">
        <f t="shared" si="0"/>
        <v>5.2012018525655283E-2</v>
      </c>
      <c r="P3" s="409">
        <f t="shared" si="0"/>
        <v>1.0349274897381274E-2</v>
      </c>
      <c r="Q3" s="409">
        <f t="shared" si="0"/>
        <v>8.5770496674420701E-2</v>
      </c>
      <c r="R3" s="409">
        <f t="shared" si="0"/>
        <v>4.058932485945186E-2</v>
      </c>
      <c r="S3" s="409">
        <f t="shared" si="0"/>
        <v>0.10175793076157491</v>
      </c>
      <c r="T3" s="409">
        <f t="shared" si="0"/>
        <v>9.9707414668119568E-2</v>
      </c>
      <c r="U3" s="409" t="e">
        <f t="shared" si="0"/>
        <v>#N/A</v>
      </c>
      <c r="V3" s="409"/>
      <c r="W3" s="409"/>
      <c r="X3" s="409"/>
      <c r="Y3" s="409"/>
      <c r="Z3" s="409"/>
      <c r="AB3" s="1507" t="s">
        <v>698</v>
      </c>
      <c r="AC3" s="410" t="s">
        <v>699</v>
      </c>
      <c r="AD3" s="411"/>
      <c r="AE3" s="412"/>
      <c r="AJ3" s="13" t="str">
        <f>E1</f>
        <v>Length cutting</v>
      </c>
      <c r="AK3" s="12">
        <f>Z20</f>
        <v>1</v>
      </c>
      <c r="AL3" s="13" t="s">
        <v>462</v>
      </c>
      <c r="AM3">
        <f>$AK$3*1*3</f>
        <v>3</v>
      </c>
    </row>
    <row r="4" spans="1:43">
      <c r="A4" s="413" t="s">
        <v>700</v>
      </c>
      <c r="B4" s="414">
        <f>AVERAGE('[67]Order 2'!U3:U18)</f>
        <v>3142.3818250000004</v>
      </c>
      <c r="D4" s="407">
        <f>D3+1</f>
        <v>2</v>
      </c>
      <c r="E4" s="408" t="s">
        <v>701</v>
      </c>
      <c r="Q4" s="415">
        <f>67*5</f>
        <v>335</v>
      </c>
      <c r="R4" s="415">
        <f>402/67</f>
        <v>6</v>
      </c>
      <c r="X4" s="416"/>
      <c r="Y4" s="416"/>
      <c r="Z4" s="416"/>
      <c r="AB4" s="1508"/>
      <c r="AC4" s="417" t="s">
        <v>702</v>
      </c>
      <c r="AD4" s="418">
        <f>1*3</f>
        <v>3</v>
      </c>
      <c r="AE4" s="419">
        <f>1*3</f>
        <v>3</v>
      </c>
      <c r="AF4" t="s">
        <v>703</v>
      </c>
      <c r="AJ4" s="13"/>
      <c r="AK4" s="13"/>
      <c r="AL4" s="13" t="s">
        <v>134</v>
      </c>
      <c r="AM4">
        <f>$AK$3*1*3</f>
        <v>3</v>
      </c>
      <c r="AQ4" s="420">
        <f>'[67]Order Summary 2'!W5</f>
        <v>0.77831106498897396</v>
      </c>
    </row>
    <row r="5" spans="1:43" ht="15" customHeight="1">
      <c r="A5" s="413" t="s">
        <v>704</v>
      </c>
      <c r="B5" s="421">
        <v>4973.9056356599649</v>
      </c>
      <c r="D5" s="407">
        <f t="shared" ref="D5:D19" si="1">D4+1</f>
        <v>3</v>
      </c>
      <c r="E5" s="422" t="s">
        <v>705</v>
      </c>
      <c r="F5" s="423" t="str">
        <f>LEFT(F2,3)</f>
        <v>120</v>
      </c>
      <c r="G5" s="423" t="str">
        <f t="shared" ref="G5:U5" si="2">LEFT(G2,3)</f>
        <v>120</v>
      </c>
      <c r="H5" s="423" t="str">
        <f t="shared" si="2"/>
        <v>120</v>
      </c>
      <c r="I5" s="423" t="str">
        <f t="shared" si="2"/>
        <v>130</v>
      </c>
      <c r="J5" s="423" t="str">
        <f t="shared" si="2"/>
        <v>150</v>
      </c>
      <c r="K5" s="423" t="str">
        <f t="shared" si="2"/>
        <v>200</v>
      </c>
      <c r="L5" s="423" t="str">
        <f t="shared" si="2"/>
        <v>370</v>
      </c>
      <c r="M5" s="423" t="str">
        <f t="shared" si="2"/>
        <v>371</v>
      </c>
      <c r="N5" s="423" t="str">
        <f t="shared" si="2"/>
        <v>405</v>
      </c>
      <c r="O5" s="423" t="str">
        <f>LEFT(O2,2)</f>
        <v>50</v>
      </c>
      <c r="P5" s="423" t="str">
        <f>LEFT(P2,2)</f>
        <v>50</v>
      </c>
      <c r="Q5" s="423" t="str">
        <f>LEFT(Q2,2)</f>
        <v>67</v>
      </c>
      <c r="R5" s="423" t="str">
        <f>LEFT(R2,2)</f>
        <v>80</v>
      </c>
      <c r="S5" s="423" t="str">
        <f t="shared" si="2"/>
        <v>151</v>
      </c>
      <c r="T5" s="423" t="str">
        <f>LEFT(T2,2)</f>
        <v>40</v>
      </c>
      <c r="U5" s="423" t="str">
        <f t="shared" si="2"/>
        <v>0</v>
      </c>
      <c r="V5" s="423"/>
      <c r="W5" s="423"/>
      <c r="X5" s="423"/>
      <c r="Y5" s="423"/>
      <c r="Z5" s="423"/>
      <c r="AB5" s="1508"/>
      <c r="AC5" s="417" t="s">
        <v>706</v>
      </c>
      <c r="AD5" s="418">
        <f>Z20*1*3</f>
        <v>3</v>
      </c>
      <c r="AE5" s="424">
        <f>Z20*1*2</f>
        <v>2</v>
      </c>
      <c r="AJ5" s="13"/>
      <c r="AK5" s="13"/>
      <c r="AL5" s="13" t="s">
        <v>122</v>
      </c>
      <c r="AM5">
        <f>$AK$3*1*3</f>
        <v>3</v>
      </c>
      <c r="AQ5" s="420">
        <f>'[67]Order Summary 2'!W6</f>
        <v>0</v>
      </c>
    </row>
    <row r="6" spans="1:43" ht="15" customHeight="1">
      <c r="A6" s="405" t="s">
        <v>707</v>
      </c>
      <c r="B6" s="425">
        <v>6148.5789066666666</v>
      </c>
      <c r="D6" s="407">
        <f t="shared" si="1"/>
        <v>4</v>
      </c>
      <c r="E6" s="422" t="s">
        <v>708</v>
      </c>
      <c r="F6" s="423" t="str">
        <f>RIGHT(F2,3)</f>
        <v>160</v>
      </c>
      <c r="G6" s="423" t="str">
        <f t="shared" ref="G6:U6" si="3">RIGHT(G2,3)</f>
        <v>160</v>
      </c>
      <c r="H6" s="423" t="str">
        <f t="shared" si="3"/>
        <v>170</v>
      </c>
      <c r="I6" s="423" t="str">
        <f t="shared" si="3"/>
        <v>190</v>
      </c>
      <c r="J6" s="423" t="str">
        <f t="shared" si="3"/>
        <v>230</v>
      </c>
      <c r="K6" s="423" t="str">
        <f t="shared" si="3"/>
        <v>290</v>
      </c>
      <c r="L6" s="423" t="str">
        <f t="shared" si="3"/>
        <v>100</v>
      </c>
      <c r="M6" s="423" t="str">
        <f t="shared" si="3"/>
        <v>100</v>
      </c>
      <c r="N6" s="423" t="str">
        <f t="shared" si="3"/>
        <v>100</v>
      </c>
      <c r="O6" s="423" t="str">
        <f t="shared" si="3"/>
        <v>150</v>
      </c>
      <c r="P6" s="423" t="str">
        <f>RIGHT(P2,2)</f>
        <v>85</v>
      </c>
      <c r="Q6" s="423" t="str">
        <f t="shared" si="3"/>
        <v>107</v>
      </c>
      <c r="R6" s="423" t="str">
        <f t="shared" si="3"/>
        <v>140</v>
      </c>
      <c r="S6" s="423" t="str">
        <f t="shared" si="3"/>
        <v>213</v>
      </c>
      <c r="T6" s="423" t="str">
        <f>RIGHT(T2,2)</f>
        <v>80</v>
      </c>
      <c r="U6" s="423" t="str">
        <f t="shared" si="3"/>
        <v>0</v>
      </c>
      <c r="V6" s="423"/>
      <c r="W6" s="423"/>
      <c r="X6" s="423"/>
      <c r="Y6" s="423"/>
      <c r="Z6" s="423"/>
      <c r="AB6" s="1508"/>
      <c r="AC6" s="417" t="s">
        <v>709</v>
      </c>
      <c r="AD6" s="418">
        <f>Z20*1*3</f>
        <v>3</v>
      </c>
      <c r="AE6" s="424">
        <f>Z20*1*2</f>
        <v>2</v>
      </c>
      <c r="AJ6" s="13"/>
      <c r="AK6" s="13"/>
      <c r="AL6" s="13" t="s">
        <v>710</v>
      </c>
      <c r="AM6">
        <f>$AK$3*1*3</f>
        <v>3</v>
      </c>
      <c r="AQ6" s="420">
        <f>'[67]Order Summary 2'!W7</f>
        <v>0</v>
      </c>
    </row>
    <row r="7" spans="1:43">
      <c r="A7" s="413"/>
      <c r="B7" s="426"/>
      <c r="D7" s="407">
        <f t="shared" si="1"/>
        <v>5</v>
      </c>
      <c r="E7" s="422" t="s">
        <v>711</v>
      </c>
      <c r="F7" s="423">
        <v>400</v>
      </c>
      <c r="G7" s="423">
        <v>400</v>
      </c>
      <c r="H7" s="423">
        <v>400</v>
      </c>
      <c r="I7" s="423">
        <v>400</v>
      </c>
      <c r="J7" s="423">
        <v>400</v>
      </c>
      <c r="K7" s="423">
        <v>400</v>
      </c>
      <c r="L7" s="423">
        <v>400</v>
      </c>
      <c r="M7" s="423">
        <v>400</v>
      </c>
      <c r="N7" s="423">
        <v>400</v>
      </c>
      <c r="O7" s="423">
        <v>400</v>
      </c>
      <c r="P7" s="423">
        <v>400</v>
      </c>
      <c r="Q7" s="423">
        <v>402</v>
      </c>
      <c r="R7" s="423">
        <v>400</v>
      </c>
      <c r="S7" s="423">
        <v>400</v>
      </c>
      <c r="T7" s="423">
        <v>400</v>
      </c>
      <c r="U7" s="423"/>
      <c r="V7" s="423"/>
      <c r="W7" s="423"/>
      <c r="X7" s="423"/>
      <c r="Y7" s="423"/>
      <c r="Z7" s="423"/>
      <c r="AB7" s="1508"/>
      <c r="AC7" s="417" t="s">
        <v>712</v>
      </c>
      <c r="AD7" s="418"/>
      <c r="AE7" s="424"/>
      <c r="AJ7" s="13"/>
      <c r="AK7" s="13"/>
      <c r="AL7" s="13"/>
      <c r="AQ7" s="420">
        <f>'[67]Order Summary 2'!W8</f>
        <v>0</v>
      </c>
    </row>
    <row r="8" spans="1:43">
      <c r="A8" s="413"/>
      <c r="B8" s="426"/>
      <c r="D8" s="407">
        <f t="shared" si="1"/>
        <v>6</v>
      </c>
      <c r="E8" s="408" t="s">
        <v>713</v>
      </c>
      <c r="F8" s="427">
        <f t="shared" ref="F8:Z8" si="4">F$3*$B$5</f>
        <v>157.17938725009589</v>
      </c>
      <c r="G8" s="427">
        <f t="shared" si="4"/>
        <v>166.29897358874442</v>
      </c>
      <c r="H8" s="427">
        <f t="shared" si="4"/>
        <v>71.845729866041424</v>
      </c>
      <c r="I8" s="427">
        <f t="shared" si="4"/>
        <v>1332.0744090160813</v>
      </c>
      <c r="J8" s="427">
        <f t="shared" si="4"/>
        <v>485.3712421516085</v>
      </c>
      <c r="K8" s="427">
        <f t="shared" si="4"/>
        <v>281.08387934379817</v>
      </c>
      <c r="L8" s="427">
        <f t="shared" si="4"/>
        <v>26.965069008422692</v>
      </c>
      <c r="M8" s="427">
        <f t="shared" si="4"/>
        <v>404.47603512634038</v>
      </c>
      <c r="N8" s="427">
        <f t="shared" si="4"/>
        <v>107.86027603369077</v>
      </c>
      <c r="O8" s="427">
        <f t="shared" si="4"/>
        <v>258.70287206680729</v>
      </c>
      <c r="P8" s="427">
        <f t="shared" si="4"/>
        <v>51.476316737078925</v>
      </c>
      <c r="Q8" s="427">
        <f t="shared" si="4"/>
        <v>426.61435678225541</v>
      </c>
      <c r="R8" s="427">
        <f t="shared" si="4"/>
        <v>201.88747166606072</v>
      </c>
      <c r="S8" s="427">
        <f t="shared" si="4"/>
        <v>506.13434528809393</v>
      </c>
      <c r="T8" s="427">
        <f t="shared" si="4"/>
        <v>495.93527173484495</v>
      </c>
      <c r="U8" s="427" t="e">
        <f t="shared" si="4"/>
        <v>#N/A</v>
      </c>
      <c r="V8" s="427">
        <f t="shared" si="4"/>
        <v>0</v>
      </c>
      <c r="W8" s="427">
        <f t="shared" si="4"/>
        <v>0</v>
      </c>
      <c r="X8" s="427">
        <f t="shared" si="4"/>
        <v>0</v>
      </c>
      <c r="Y8" s="427">
        <f t="shared" si="4"/>
        <v>0</v>
      </c>
      <c r="Z8" s="427">
        <f t="shared" si="4"/>
        <v>0</v>
      </c>
      <c r="AB8" s="1508"/>
      <c r="AC8" s="417" t="s">
        <v>714</v>
      </c>
      <c r="AD8" s="418"/>
      <c r="AE8" s="424"/>
      <c r="AJ8" s="13" t="str">
        <f>D21</f>
        <v>Length Overedging</v>
      </c>
      <c r="AK8" s="48">
        <f>Z32</f>
        <v>2</v>
      </c>
      <c r="AL8" s="13" t="s">
        <v>462</v>
      </c>
      <c r="AM8">
        <f>AK8*1*3</f>
        <v>6</v>
      </c>
      <c r="AQ8" s="420">
        <f>'[67]Order Summary 2'!W9</f>
        <v>0.66116653875671527</v>
      </c>
    </row>
    <row r="9" spans="1:43">
      <c r="D9" s="407">
        <f t="shared" si="1"/>
        <v>7</v>
      </c>
      <c r="E9" s="408" t="s">
        <v>715</v>
      </c>
      <c r="F9" s="427">
        <f>ROUND(+F7/F5-0.5,0)</f>
        <v>3</v>
      </c>
      <c r="G9" s="427">
        <f t="shared" ref="G9:K9" si="5">ROUND(+G7/G5-0.5,0)</f>
        <v>3</v>
      </c>
      <c r="H9" s="427">
        <f t="shared" si="5"/>
        <v>3</v>
      </c>
      <c r="I9" s="427">
        <f t="shared" si="5"/>
        <v>3</v>
      </c>
      <c r="J9" s="427">
        <f t="shared" si="5"/>
        <v>2</v>
      </c>
      <c r="K9" s="427">
        <f t="shared" si="5"/>
        <v>2</v>
      </c>
      <c r="L9" s="427">
        <f>ROUND(+L7/L6-0.5,0)</f>
        <v>4</v>
      </c>
      <c r="M9" s="427">
        <f>ROUND(+M7/M6-0.5,0)</f>
        <v>4</v>
      </c>
      <c r="N9" s="427">
        <f>ROUND(+N7/N6-0.5,0)</f>
        <v>4</v>
      </c>
      <c r="O9" s="427">
        <f>ROUND(+O7/O5-0.5,0)</f>
        <v>8</v>
      </c>
      <c r="P9" s="427">
        <f>ROUND(+P7/P5-0.5,0)</f>
        <v>8</v>
      </c>
      <c r="Q9" s="427">
        <f>ROUND(+Q7/Q5-0.5,0)</f>
        <v>6</v>
      </c>
      <c r="R9" s="427">
        <f>ROUND(+R7/R5-0.5,0)</f>
        <v>5</v>
      </c>
      <c r="S9" s="427">
        <f>ROUND(+S7/S5-0.5,0)</f>
        <v>2</v>
      </c>
      <c r="T9" s="427">
        <f>ROUND(+T7/T6-0.5,0)+1</f>
        <v>6</v>
      </c>
      <c r="U9" s="427" t="e">
        <f t="shared" ref="U9" si="6">ROUND(+U7/U6-0.5,0)</f>
        <v>#DIV/0!</v>
      </c>
      <c r="V9" s="427" t="e">
        <f>ROUND(+V7/V6-0.5,0)</f>
        <v>#DIV/0!</v>
      </c>
      <c r="W9" s="427" t="e">
        <f>ROUND(+W7/W6-0.5,0)</f>
        <v>#DIV/0!</v>
      </c>
      <c r="X9" s="427" t="e">
        <f t="shared" ref="X9:Z9" si="7">ROUND(+X7/X6-0.5,0)</f>
        <v>#DIV/0!</v>
      </c>
      <c r="Y9" s="427" t="e">
        <f>ROUND(+Y7/Y6-0.5,0)</f>
        <v>#DIV/0!</v>
      </c>
      <c r="Z9" s="427" t="e">
        <f t="shared" si="7"/>
        <v>#DIV/0!</v>
      </c>
      <c r="AB9" s="1508"/>
      <c r="AC9" s="417" t="s">
        <v>716</v>
      </c>
      <c r="AD9" s="418">
        <f>1*3</f>
        <v>3</v>
      </c>
      <c r="AE9" s="424">
        <f>1*2</f>
        <v>2</v>
      </c>
      <c r="AJ9" s="13"/>
      <c r="AK9" s="13"/>
      <c r="AL9" s="13" t="s">
        <v>134</v>
      </c>
      <c r="AM9">
        <f>AK8*1*3</f>
        <v>6</v>
      </c>
      <c r="AQ9" s="420">
        <f>'[67]Order Summary 2'!W10</f>
        <v>0</v>
      </c>
    </row>
    <row r="10" spans="1:43">
      <c r="A10" s="428" t="str">
        <f>'[67]Order Summary 2'!R4</f>
        <v>120x160</v>
      </c>
      <c r="B10" s="426">
        <f>'[67]Order Summary 2'!S4/SUM('[67]Order Summary 2'!$S$4:$S$18)</f>
        <v>3.1600797997294629E-2</v>
      </c>
      <c r="D10" s="407">
        <f t="shared" si="1"/>
        <v>8</v>
      </c>
      <c r="E10" s="408" t="s">
        <v>717</v>
      </c>
      <c r="F10" s="429">
        <f>100/F6</f>
        <v>0.625</v>
      </c>
      <c r="G10" s="429">
        <f t="shared" ref="G10:K10" si="8">100/G6</f>
        <v>0.625</v>
      </c>
      <c r="H10" s="429">
        <f t="shared" si="8"/>
        <v>0.58823529411764708</v>
      </c>
      <c r="I10" s="429">
        <f t="shared" si="8"/>
        <v>0.52631578947368418</v>
      </c>
      <c r="J10" s="429">
        <f t="shared" si="8"/>
        <v>0.43478260869565216</v>
      </c>
      <c r="K10" s="429">
        <f t="shared" si="8"/>
        <v>0.34482758620689657</v>
      </c>
      <c r="L10" s="429">
        <f>100/L5</f>
        <v>0.27027027027027029</v>
      </c>
      <c r="M10" s="429">
        <f>100/M5</f>
        <v>0.26954177897574122</v>
      </c>
      <c r="N10" s="429">
        <f t="shared" ref="N10:Z10" si="9">100/N5</f>
        <v>0.24691358024691357</v>
      </c>
      <c r="O10" s="429">
        <f>100/O6</f>
        <v>0.66666666666666663</v>
      </c>
      <c r="P10" s="429">
        <f>100/P6</f>
        <v>1.1764705882352942</v>
      </c>
      <c r="Q10" s="429">
        <f>100/Q6</f>
        <v>0.93457943925233644</v>
      </c>
      <c r="R10" s="429">
        <f>100/R6</f>
        <v>0.7142857142857143</v>
      </c>
      <c r="S10" s="429">
        <f>100/S6</f>
        <v>0.46948356807511737</v>
      </c>
      <c r="T10" s="429">
        <f t="shared" si="9"/>
        <v>2.5</v>
      </c>
      <c r="U10" s="429" t="e">
        <f t="shared" si="9"/>
        <v>#DIV/0!</v>
      </c>
      <c r="V10" s="429" t="e">
        <f t="shared" si="9"/>
        <v>#DIV/0!</v>
      </c>
      <c r="W10" s="429" t="e">
        <f t="shared" si="9"/>
        <v>#DIV/0!</v>
      </c>
      <c r="X10" s="429" t="e">
        <f>100/X5</f>
        <v>#DIV/0!</v>
      </c>
      <c r="Y10" s="429" t="e">
        <f t="shared" si="9"/>
        <v>#DIV/0!</v>
      </c>
      <c r="Z10" s="429" t="e">
        <f t="shared" si="9"/>
        <v>#DIV/0!</v>
      </c>
      <c r="AB10" s="430" t="s">
        <v>718</v>
      </c>
      <c r="AC10" s="431" t="s">
        <v>719</v>
      </c>
      <c r="AD10" s="432">
        <f>SUM(AD3:AD9)</f>
        <v>12</v>
      </c>
      <c r="AE10" s="433">
        <f>SUM(AE3:AE9)</f>
        <v>9</v>
      </c>
      <c r="AJ10" s="13"/>
      <c r="AK10" s="13"/>
      <c r="AL10" s="13"/>
      <c r="AQ10" s="420">
        <f>'[67]Order Summary 2'!W11</f>
        <v>1</v>
      </c>
    </row>
    <row r="11" spans="1:43">
      <c r="A11" s="428" t="str">
        <f>'[67]Order Summary 2'!R5</f>
        <v>120x160</v>
      </c>
      <c r="B11" s="426">
        <f>'[67]Order Summary 2'!S5/SUM('[67]Order Summary 2'!$S$4:$S$18)</f>
        <v>3.3434283995353475E-2</v>
      </c>
      <c r="D11" s="407">
        <f t="shared" si="1"/>
        <v>9</v>
      </c>
      <c r="E11" s="408" t="s">
        <v>720</v>
      </c>
      <c r="F11" s="429">
        <f>F10*F9</f>
        <v>1.875</v>
      </c>
      <c r="G11" s="429">
        <f t="shared" ref="G11:Z11" si="10">G10*G9</f>
        <v>1.875</v>
      </c>
      <c r="H11" s="429">
        <f t="shared" si="10"/>
        <v>1.7647058823529411</v>
      </c>
      <c r="I11" s="429">
        <f t="shared" si="10"/>
        <v>1.5789473684210527</v>
      </c>
      <c r="J11" s="429">
        <f t="shared" si="10"/>
        <v>0.86956521739130432</v>
      </c>
      <c r="K11" s="429">
        <f t="shared" si="10"/>
        <v>0.68965517241379315</v>
      </c>
      <c r="L11" s="429">
        <f t="shared" si="10"/>
        <v>1.0810810810810811</v>
      </c>
      <c r="M11" s="429">
        <f t="shared" si="10"/>
        <v>1.0781671159029649</v>
      </c>
      <c r="N11" s="429">
        <f t="shared" si="10"/>
        <v>0.98765432098765427</v>
      </c>
      <c r="O11" s="429">
        <f t="shared" si="10"/>
        <v>5.333333333333333</v>
      </c>
      <c r="P11" s="429">
        <f t="shared" si="10"/>
        <v>9.4117647058823533</v>
      </c>
      <c r="Q11" s="429">
        <f t="shared" si="10"/>
        <v>5.6074766355140184</v>
      </c>
      <c r="R11" s="429">
        <f t="shared" si="10"/>
        <v>3.5714285714285716</v>
      </c>
      <c r="S11" s="429">
        <f t="shared" si="10"/>
        <v>0.93896713615023475</v>
      </c>
      <c r="T11" s="429">
        <f t="shared" si="10"/>
        <v>15</v>
      </c>
      <c r="U11" s="429" t="e">
        <f t="shared" si="10"/>
        <v>#DIV/0!</v>
      </c>
      <c r="V11" s="429" t="e">
        <f t="shared" si="10"/>
        <v>#DIV/0!</v>
      </c>
      <c r="W11" s="429" t="e">
        <f t="shared" si="10"/>
        <v>#DIV/0!</v>
      </c>
      <c r="X11" s="429" t="e">
        <f>X10*X9</f>
        <v>#DIV/0!</v>
      </c>
      <c r="Y11" s="429" t="e">
        <f t="shared" si="10"/>
        <v>#DIV/0!</v>
      </c>
      <c r="Z11" s="429" t="e">
        <f t="shared" si="10"/>
        <v>#DIV/0!</v>
      </c>
      <c r="AB11" s="1508" t="s">
        <v>721</v>
      </c>
      <c r="AC11" s="417" t="s">
        <v>722</v>
      </c>
      <c r="AD11" s="418"/>
      <c r="AE11" s="424"/>
      <c r="AJ11" s="13" t="str">
        <f>D34</f>
        <v>Cross Cutting</v>
      </c>
      <c r="AK11" s="48">
        <f>Z45</f>
        <v>1</v>
      </c>
      <c r="AL11" s="13" t="s">
        <v>462</v>
      </c>
      <c r="AM11">
        <f>$AK$11*1*3</f>
        <v>3</v>
      </c>
      <c r="AQ11" s="420">
        <f>'[67]Order Summary 2'!W12</f>
        <v>1</v>
      </c>
    </row>
    <row r="12" spans="1:43">
      <c r="A12" s="428" t="str">
        <f>'[67]Order Summary 2'!R6</f>
        <v>120x170</v>
      </c>
      <c r="B12" s="426">
        <f>'[67]Order Summary 2'!S6/SUM('[67]Order Summary 2'!$S$4:$S$18)</f>
        <v>1.444453013964519E-2</v>
      </c>
      <c r="D12" s="407">
        <f t="shared" si="1"/>
        <v>10</v>
      </c>
      <c r="E12" s="408" t="s">
        <v>723</v>
      </c>
      <c r="F12" s="434">
        <v>10</v>
      </c>
      <c r="G12" s="434">
        <f>F12</f>
        <v>10</v>
      </c>
      <c r="H12" s="434">
        <f t="shared" ref="H12:Z12" si="11">G12</f>
        <v>10</v>
      </c>
      <c r="I12" s="434">
        <f t="shared" si="11"/>
        <v>10</v>
      </c>
      <c r="J12" s="434">
        <f t="shared" si="11"/>
        <v>10</v>
      </c>
      <c r="K12" s="434">
        <f t="shared" si="11"/>
        <v>10</v>
      </c>
      <c r="L12" s="434">
        <f t="shared" si="11"/>
        <v>10</v>
      </c>
      <c r="M12" s="434">
        <f t="shared" si="11"/>
        <v>10</v>
      </c>
      <c r="N12" s="434">
        <f t="shared" si="11"/>
        <v>10</v>
      </c>
      <c r="O12" s="434">
        <f t="shared" si="11"/>
        <v>10</v>
      </c>
      <c r="P12" s="434">
        <f t="shared" si="11"/>
        <v>10</v>
      </c>
      <c r="Q12" s="434">
        <f t="shared" si="11"/>
        <v>10</v>
      </c>
      <c r="R12" s="434">
        <f t="shared" si="11"/>
        <v>10</v>
      </c>
      <c r="S12" s="434">
        <f t="shared" si="11"/>
        <v>10</v>
      </c>
      <c r="T12" s="434">
        <f t="shared" si="11"/>
        <v>10</v>
      </c>
      <c r="U12" s="434">
        <f t="shared" si="11"/>
        <v>10</v>
      </c>
      <c r="V12" s="434">
        <f t="shared" si="11"/>
        <v>10</v>
      </c>
      <c r="W12" s="434">
        <f t="shared" si="11"/>
        <v>10</v>
      </c>
      <c r="X12" s="434">
        <f t="shared" si="11"/>
        <v>10</v>
      </c>
      <c r="Y12" s="434">
        <f t="shared" si="11"/>
        <v>10</v>
      </c>
      <c r="Z12" s="434">
        <f t="shared" si="11"/>
        <v>10</v>
      </c>
      <c r="AB12" s="1508"/>
      <c r="AC12" s="417" t="s">
        <v>724</v>
      </c>
      <c r="AD12" s="418"/>
      <c r="AE12" s="424"/>
      <c r="AJ12" s="13"/>
      <c r="AK12" s="13"/>
      <c r="AL12" s="13" t="s">
        <v>134</v>
      </c>
      <c r="AM12">
        <f>$AK$11*1*3</f>
        <v>3</v>
      </c>
      <c r="AQ12" s="420">
        <f>'[67]Order Summary 2'!W13</f>
        <v>0</v>
      </c>
    </row>
    <row r="13" spans="1:43">
      <c r="A13" s="428" t="str">
        <f>'[67]Order Summary 2'!R7</f>
        <v>130x190</v>
      </c>
      <c r="B13" s="426">
        <f>'[67]Order Summary 2'!S7/SUM('[67]Order Summary 2'!$S$4:$S$18)</f>
        <v>0.26781256151421423</v>
      </c>
      <c r="D13" s="407">
        <f t="shared" si="1"/>
        <v>11</v>
      </c>
      <c r="E13" s="408" t="s">
        <v>725</v>
      </c>
      <c r="F13" s="429">
        <f t="shared" ref="F13:Z13" si="12">IF(F$7=0,0,F12*F11)</f>
        <v>18.75</v>
      </c>
      <c r="G13" s="429">
        <f t="shared" si="12"/>
        <v>18.75</v>
      </c>
      <c r="H13" s="429">
        <f t="shared" si="12"/>
        <v>17.647058823529413</v>
      </c>
      <c r="I13" s="429">
        <f t="shared" si="12"/>
        <v>15.789473684210527</v>
      </c>
      <c r="J13" s="429">
        <f t="shared" si="12"/>
        <v>8.695652173913043</v>
      </c>
      <c r="K13" s="429">
        <f t="shared" si="12"/>
        <v>6.8965517241379315</v>
      </c>
      <c r="L13" s="429">
        <f t="shared" si="12"/>
        <v>10.810810810810811</v>
      </c>
      <c r="M13" s="429">
        <f t="shared" si="12"/>
        <v>10.781671159029649</v>
      </c>
      <c r="N13" s="429">
        <f t="shared" si="12"/>
        <v>9.8765432098765427</v>
      </c>
      <c r="O13" s="429">
        <f t="shared" si="12"/>
        <v>53.333333333333329</v>
      </c>
      <c r="P13" s="429">
        <f t="shared" si="12"/>
        <v>94.117647058823536</v>
      </c>
      <c r="Q13" s="429">
        <f t="shared" si="12"/>
        <v>56.074766355140184</v>
      </c>
      <c r="R13" s="429">
        <f t="shared" si="12"/>
        <v>35.714285714285715</v>
      </c>
      <c r="S13" s="429">
        <f t="shared" si="12"/>
        <v>9.3896713615023479</v>
      </c>
      <c r="T13" s="429">
        <f t="shared" si="12"/>
        <v>150</v>
      </c>
      <c r="U13" s="429">
        <f t="shared" si="12"/>
        <v>0</v>
      </c>
      <c r="V13" s="429">
        <f t="shared" si="12"/>
        <v>0</v>
      </c>
      <c r="W13" s="435">
        <f t="shared" si="12"/>
        <v>0</v>
      </c>
      <c r="X13" s="429">
        <f t="shared" si="12"/>
        <v>0</v>
      </c>
      <c r="Y13" s="429">
        <f t="shared" si="12"/>
        <v>0</v>
      </c>
      <c r="Z13" s="429">
        <f t="shared" si="12"/>
        <v>0</v>
      </c>
      <c r="AB13" s="1508"/>
      <c r="AC13" s="417" t="s">
        <v>726</v>
      </c>
      <c r="AD13" s="418"/>
      <c r="AE13" s="436"/>
      <c r="AJ13" s="13"/>
      <c r="AK13" s="13"/>
      <c r="AL13" s="13"/>
      <c r="AQ13" s="420">
        <f>'[67]Order Summary 2'!W14</f>
        <v>1</v>
      </c>
    </row>
    <row r="14" spans="1:43">
      <c r="A14" s="428" t="str">
        <f>'[67]Order Summary 2'!R8</f>
        <v>150x230</v>
      </c>
      <c r="B14" s="426">
        <f>'[67]Order Summary 2'!S8/SUM('[67]Order Summary 2'!$S$4:$S$18)</f>
        <v>9.7583524438377645E-2</v>
      </c>
      <c r="D14" s="407">
        <f t="shared" si="1"/>
        <v>12</v>
      </c>
      <c r="E14" s="408" t="s">
        <v>727</v>
      </c>
      <c r="F14" s="437">
        <v>0.7</v>
      </c>
      <c r="G14" s="437">
        <f>F14</f>
        <v>0.7</v>
      </c>
      <c r="H14" s="437">
        <f t="shared" ref="H14:Z14" si="13">G14</f>
        <v>0.7</v>
      </c>
      <c r="I14" s="437">
        <f t="shared" si="13"/>
        <v>0.7</v>
      </c>
      <c r="J14" s="437">
        <f t="shared" si="13"/>
        <v>0.7</v>
      </c>
      <c r="K14" s="437">
        <f t="shared" si="13"/>
        <v>0.7</v>
      </c>
      <c r="L14" s="437">
        <f t="shared" si="13"/>
        <v>0.7</v>
      </c>
      <c r="M14" s="437">
        <f t="shared" si="13"/>
        <v>0.7</v>
      </c>
      <c r="N14" s="437">
        <f t="shared" si="13"/>
        <v>0.7</v>
      </c>
      <c r="O14" s="437">
        <f t="shared" si="13"/>
        <v>0.7</v>
      </c>
      <c r="P14" s="437">
        <f t="shared" si="13"/>
        <v>0.7</v>
      </c>
      <c r="Q14" s="437">
        <f t="shared" si="13"/>
        <v>0.7</v>
      </c>
      <c r="R14" s="437">
        <f t="shared" si="13"/>
        <v>0.7</v>
      </c>
      <c r="S14" s="437">
        <f t="shared" si="13"/>
        <v>0.7</v>
      </c>
      <c r="T14" s="437">
        <f t="shared" si="13"/>
        <v>0.7</v>
      </c>
      <c r="U14" s="437">
        <f t="shared" si="13"/>
        <v>0.7</v>
      </c>
      <c r="V14" s="437">
        <f>H14</f>
        <v>0.7</v>
      </c>
      <c r="W14" s="437">
        <f t="shared" si="13"/>
        <v>0.7</v>
      </c>
      <c r="X14" s="437">
        <f t="shared" si="13"/>
        <v>0.7</v>
      </c>
      <c r="Y14" s="437">
        <f t="shared" si="13"/>
        <v>0.7</v>
      </c>
      <c r="Z14" s="437">
        <f t="shared" si="13"/>
        <v>0.7</v>
      </c>
      <c r="AB14" s="1508"/>
      <c r="AC14" s="417" t="s">
        <v>728</v>
      </c>
      <c r="AD14" s="418">
        <f>Z32*1*3</f>
        <v>6</v>
      </c>
      <c r="AE14" s="424">
        <f>Z32*1*3</f>
        <v>6</v>
      </c>
      <c r="AJ14" s="13" t="str">
        <f>D57</f>
        <v>Combi Line</v>
      </c>
      <c r="AK14" s="48">
        <f>Z68</f>
        <v>1</v>
      </c>
      <c r="AL14" s="13" t="s">
        <v>729</v>
      </c>
      <c r="AM14">
        <f>$AK$14*2*3</f>
        <v>6</v>
      </c>
      <c r="AQ14" s="420"/>
    </row>
    <row r="15" spans="1:43">
      <c r="A15" s="428" t="str">
        <f>'[67]Order Summary 2'!R9</f>
        <v>200x290</v>
      </c>
      <c r="B15" s="426">
        <f>'[67]Order Summary 2'!S9/SUM('[67]Order Summary 2'!$S$4:$S$18)</f>
        <v>5.6511703263647142E-2</v>
      </c>
      <c r="D15" s="407">
        <f t="shared" si="1"/>
        <v>13</v>
      </c>
      <c r="E15" s="408" t="s">
        <v>730</v>
      </c>
      <c r="F15" s="427">
        <f>F13*F14</f>
        <v>13.125</v>
      </c>
      <c r="G15" s="427">
        <f>G13*G14</f>
        <v>13.125</v>
      </c>
      <c r="H15" s="427">
        <f t="shared" ref="H15:Z15" si="14">H13*H14</f>
        <v>12.352941176470589</v>
      </c>
      <c r="I15" s="427">
        <f t="shared" si="14"/>
        <v>11.052631578947368</v>
      </c>
      <c r="J15" s="427">
        <f t="shared" si="14"/>
        <v>6.0869565217391299</v>
      </c>
      <c r="K15" s="427">
        <f t="shared" si="14"/>
        <v>4.8275862068965516</v>
      </c>
      <c r="L15" s="427">
        <f t="shared" si="14"/>
        <v>7.5675675675675667</v>
      </c>
      <c r="M15" s="427">
        <f t="shared" si="14"/>
        <v>7.5471698113207539</v>
      </c>
      <c r="N15" s="427">
        <f t="shared" si="14"/>
        <v>6.9135802469135799</v>
      </c>
      <c r="O15" s="427">
        <f t="shared" si="14"/>
        <v>37.333333333333329</v>
      </c>
      <c r="P15" s="427">
        <f t="shared" si="14"/>
        <v>65.882352941176478</v>
      </c>
      <c r="Q15" s="427">
        <f t="shared" si="14"/>
        <v>39.252336448598129</v>
      </c>
      <c r="R15" s="427">
        <f t="shared" si="14"/>
        <v>25</v>
      </c>
      <c r="S15" s="427">
        <f t="shared" si="14"/>
        <v>6.572769953051643</v>
      </c>
      <c r="T15" s="427">
        <f t="shared" si="14"/>
        <v>105</v>
      </c>
      <c r="U15" s="427">
        <f t="shared" si="14"/>
        <v>0</v>
      </c>
      <c r="V15" s="427">
        <f t="shared" si="14"/>
        <v>0</v>
      </c>
      <c r="W15" s="427">
        <f t="shared" si="14"/>
        <v>0</v>
      </c>
      <c r="X15" s="427">
        <f>X13*X14</f>
        <v>0</v>
      </c>
      <c r="Y15" s="427">
        <f t="shared" si="14"/>
        <v>0</v>
      </c>
      <c r="Z15" s="427">
        <f t="shared" si="14"/>
        <v>0</v>
      </c>
      <c r="AB15" s="1508"/>
      <c r="AC15" s="417" t="s">
        <v>731</v>
      </c>
      <c r="AD15" s="418">
        <f>Z32*1*3</f>
        <v>6</v>
      </c>
      <c r="AE15" s="424">
        <f>Z32*0.5*3</f>
        <v>3</v>
      </c>
      <c r="AJ15" s="13"/>
      <c r="AK15" s="13"/>
      <c r="AL15" s="13" t="s">
        <v>134</v>
      </c>
      <c r="AM15">
        <f>AK14*7*3</f>
        <v>21</v>
      </c>
      <c r="AQ15" s="420"/>
    </row>
    <row r="16" spans="1:43">
      <c r="A16" s="428" t="str">
        <f>'[67]Order Summary 2'!R10</f>
        <v>370X100</v>
      </c>
      <c r="B16" s="426">
        <f>'[67]Order Summary 2'!S10/SUM('[67]Order Summary 2'!$S$4:$S$18)</f>
        <v>5.4213069132432023E-3</v>
      </c>
      <c r="D16" s="407">
        <f t="shared" si="1"/>
        <v>14</v>
      </c>
      <c r="E16" s="408" t="s">
        <v>732</v>
      </c>
      <c r="F16" s="435">
        <v>22.5</v>
      </c>
      <c r="G16" s="435">
        <v>22.5</v>
      </c>
      <c r="H16" s="435">
        <v>22.5</v>
      </c>
      <c r="I16" s="435">
        <v>22.5</v>
      </c>
      <c r="J16" s="435">
        <v>22.5</v>
      </c>
      <c r="K16" s="435">
        <v>22.5</v>
      </c>
      <c r="L16" s="435">
        <v>22.5</v>
      </c>
      <c r="M16" s="435">
        <v>22.5</v>
      </c>
      <c r="N16" s="435">
        <v>22.5</v>
      </c>
      <c r="O16" s="435">
        <v>22.5</v>
      </c>
      <c r="P16" s="435">
        <v>22.5</v>
      </c>
      <c r="Q16" s="435">
        <v>22.5</v>
      </c>
      <c r="R16" s="435">
        <v>22.5</v>
      </c>
      <c r="S16" s="435">
        <v>22.5</v>
      </c>
      <c r="T16" s="435">
        <v>22.5</v>
      </c>
      <c r="U16" s="435">
        <v>22.5</v>
      </c>
      <c r="V16" s="435">
        <v>22.5</v>
      </c>
      <c r="W16" s="435">
        <v>22.5</v>
      </c>
      <c r="X16" s="435">
        <v>22.5</v>
      </c>
      <c r="Y16" s="435">
        <v>22.5</v>
      </c>
      <c r="Z16" s="435">
        <v>22.5</v>
      </c>
      <c r="AB16" s="1508"/>
      <c r="AC16" s="417" t="s">
        <v>733</v>
      </c>
      <c r="AD16" s="418"/>
      <c r="AE16" s="424"/>
      <c r="AJ16" s="13"/>
      <c r="AK16" s="13"/>
      <c r="AL16" s="13"/>
      <c r="AQ16" s="420"/>
    </row>
    <row r="17" spans="1:43">
      <c r="A17" s="428" t="str">
        <f>'[67]Order Summary 2'!R11</f>
        <v>371x100</v>
      </c>
      <c r="B17" s="426">
        <f>'[67]Order Summary 2'!S11/SUM('[67]Order Summary 2'!$S$4:$S$18)</f>
        <v>8.1319603698648033E-2</v>
      </c>
      <c r="D17" s="407">
        <f t="shared" si="1"/>
        <v>15</v>
      </c>
      <c r="E17" s="408" t="s">
        <v>734</v>
      </c>
      <c r="F17" s="427">
        <f t="shared" ref="F17:Z17" si="15">F16*60*F15</f>
        <v>17718.75</v>
      </c>
      <c r="G17" s="427">
        <f t="shared" si="15"/>
        <v>17718.75</v>
      </c>
      <c r="H17" s="427">
        <f t="shared" si="15"/>
        <v>16676.470588235294</v>
      </c>
      <c r="I17" s="427">
        <f t="shared" si="15"/>
        <v>14921.052631578947</v>
      </c>
      <c r="J17" s="427">
        <f t="shared" si="15"/>
        <v>8217.391304347826</v>
      </c>
      <c r="K17" s="427">
        <f t="shared" si="15"/>
        <v>6517.2413793103451</v>
      </c>
      <c r="L17" s="427">
        <f t="shared" si="15"/>
        <v>10216.216216216215</v>
      </c>
      <c r="M17" s="427">
        <f t="shared" si="15"/>
        <v>10188.679245283018</v>
      </c>
      <c r="N17" s="427">
        <f t="shared" si="15"/>
        <v>9333.3333333333321</v>
      </c>
      <c r="O17" s="427">
        <f t="shared" si="15"/>
        <v>50399.999999999993</v>
      </c>
      <c r="P17" s="427">
        <f t="shared" si="15"/>
        <v>88941.176470588252</v>
      </c>
      <c r="Q17" s="427">
        <f t="shared" si="15"/>
        <v>52990.654205607476</v>
      </c>
      <c r="R17" s="427">
        <f t="shared" si="15"/>
        <v>33750</v>
      </c>
      <c r="S17" s="427">
        <f t="shared" si="15"/>
        <v>8873.2394366197186</v>
      </c>
      <c r="T17" s="427">
        <f t="shared" si="15"/>
        <v>141750</v>
      </c>
      <c r="U17" s="427">
        <f t="shared" si="15"/>
        <v>0</v>
      </c>
      <c r="V17" s="427">
        <f t="shared" si="15"/>
        <v>0</v>
      </c>
      <c r="W17" s="427">
        <f t="shared" si="15"/>
        <v>0</v>
      </c>
      <c r="X17" s="427">
        <f t="shared" si="15"/>
        <v>0</v>
      </c>
      <c r="Y17" s="427">
        <f t="shared" si="15"/>
        <v>0</v>
      </c>
      <c r="Z17" s="427">
        <f t="shared" si="15"/>
        <v>0</v>
      </c>
      <c r="AB17" s="430" t="s">
        <v>207</v>
      </c>
      <c r="AC17" s="431" t="s">
        <v>735</v>
      </c>
      <c r="AD17" s="432">
        <f>SUM(AD11:AD16)</f>
        <v>12</v>
      </c>
      <c r="AE17" s="433">
        <f>SUM(AE11:AE16)</f>
        <v>9</v>
      </c>
      <c r="AJ17" s="13" t="str">
        <f>D46</f>
        <v>Manual Cutting Table</v>
      </c>
      <c r="AK17" s="12">
        <f>Z54</f>
        <v>2</v>
      </c>
      <c r="AL17" s="45" t="s">
        <v>369</v>
      </c>
      <c r="AM17">
        <f>AK17*1*3</f>
        <v>6</v>
      </c>
      <c r="AQ17" s="420"/>
    </row>
    <row r="18" spans="1:43" ht="15" customHeight="1">
      <c r="A18" s="428" t="str">
        <f>'[67]Order Summary 2'!R12</f>
        <v>405x100</v>
      </c>
      <c r="B18" s="426">
        <f>'[67]Order Summary 2'!S12/SUM('[67]Order Summary 2'!$S$4:$S$18)</f>
        <v>2.1685227652972809E-2</v>
      </c>
      <c r="D18" s="407">
        <f t="shared" si="1"/>
        <v>16</v>
      </c>
      <c r="E18" s="408" t="s">
        <v>736</v>
      </c>
      <c r="F18" s="438">
        <f t="shared" ref="F18:Z18" si="16">IF(F$7=0,0,F8/F17)</f>
        <v>8.8707943421570869E-3</v>
      </c>
      <c r="G18" s="438">
        <f t="shared" si="16"/>
        <v>9.3854799908991565E-3</v>
      </c>
      <c r="H18" s="438">
        <f t="shared" si="16"/>
        <v>4.3082095510501035E-3</v>
      </c>
      <c r="I18" s="438">
        <f t="shared" si="16"/>
        <v>8.9274828117479874E-2</v>
      </c>
      <c r="J18" s="438">
        <f t="shared" si="16"/>
        <v>5.9066341637497334E-2</v>
      </c>
      <c r="K18" s="438">
        <f t="shared" si="16"/>
        <v>4.312927249190554E-2</v>
      </c>
      <c r="L18" s="438">
        <f t="shared" si="16"/>
        <v>2.6394379717239146E-3</v>
      </c>
      <c r="M18" s="438">
        <f t="shared" si="16"/>
        <v>3.9698573817955635E-2</v>
      </c>
      <c r="N18" s="438">
        <f t="shared" si="16"/>
        <v>1.1556458146466869E-2</v>
      </c>
      <c r="O18" s="438">
        <f t="shared" si="16"/>
        <v>5.1329934933890342E-3</v>
      </c>
      <c r="P18" s="438">
        <f t="shared" si="16"/>
        <v>5.7876811146186612E-4</v>
      </c>
      <c r="Q18" s="438">
        <f t="shared" si="16"/>
        <v>8.0507471209349795E-3</v>
      </c>
      <c r="R18" s="438">
        <f t="shared" si="16"/>
        <v>5.9818510123277246E-3</v>
      </c>
      <c r="S18" s="438">
        <f t="shared" si="16"/>
        <v>5.7040537326118516E-2</v>
      </c>
      <c r="T18" s="438">
        <f t="shared" si="16"/>
        <v>3.4986615289936151E-3</v>
      </c>
      <c r="U18" s="438">
        <f t="shared" si="16"/>
        <v>0</v>
      </c>
      <c r="V18" s="429">
        <f t="shared" si="16"/>
        <v>0</v>
      </c>
      <c r="W18" s="429">
        <f t="shared" si="16"/>
        <v>0</v>
      </c>
      <c r="X18" s="429">
        <f t="shared" si="16"/>
        <v>0</v>
      </c>
      <c r="Y18" s="429">
        <f t="shared" si="16"/>
        <v>0</v>
      </c>
      <c r="Z18" s="429">
        <f t="shared" si="16"/>
        <v>0</v>
      </c>
      <c r="AB18" s="1499" t="s">
        <v>208</v>
      </c>
      <c r="AC18" s="417" t="s">
        <v>737</v>
      </c>
      <c r="AD18" s="418">
        <f>Z45*1*3</f>
        <v>3</v>
      </c>
      <c r="AE18" s="424">
        <f>Z45*1*3</f>
        <v>3</v>
      </c>
      <c r="AJ18" s="13"/>
      <c r="AK18" s="13"/>
      <c r="AL18" s="45" t="s">
        <v>738</v>
      </c>
      <c r="AM18">
        <f>AK17*1*3</f>
        <v>6</v>
      </c>
      <c r="AQ18" s="420"/>
    </row>
    <row r="19" spans="1:43">
      <c r="A19" s="428" t="str">
        <f>'[67]Order Summary 2'!R13</f>
        <v>50x150</v>
      </c>
      <c r="B19" s="426">
        <f>'[67]Order Summary 2'!S13/SUM('[67]Order Summary 2'!$S$4:$S$18)</f>
        <v>5.2012018525655283E-2</v>
      </c>
      <c r="D19" s="407">
        <f t="shared" si="1"/>
        <v>17</v>
      </c>
      <c r="E19" s="439" t="s">
        <v>739</v>
      </c>
      <c r="F19" s="440"/>
      <c r="X19" s="416"/>
      <c r="Y19" s="427"/>
      <c r="Z19" s="441">
        <f>SUM(F18:Z18)</f>
        <v>0.34821295466036123</v>
      </c>
      <c r="AB19" s="1500"/>
      <c r="AC19" s="417" t="s">
        <v>740</v>
      </c>
      <c r="AD19" s="418">
        <f>Z45*2*3</f>
        <v>6</v>
      </c>
      <c r="AE19" s="424">
        <f>Z45*2*3</f>
        <v>6</v>
      </c>
      <c r="AJ19" s="13"/>
      <c r="AK19" s="13"/>
      <c r="AL19" s="45" t="s">
        <v>134</v>
      </c>
      <c r="AM19">
        <f>AK17*4*3</f>
        <v>24</v>
      </c>
    </row>
    <row r="20" spans="1:43">
      <c r="A20" s="428" t="str">
        <f>'[67]Order Summary 2'!R14</f>
        <v>50x85</v>
      </c>
      <c r="B20" s="426">
        <f>'[67]Order Summary 2'!S14/SUM('[67]Order Summary 2'!$S$4:$S$18)</f>
        <v>1.0349274897381274E-2</v>
      </c>
      <c r="D20" s="442"/>
      <c r="E20" s="443" t="s">
        <v>741</v>
      </c>
      <c r="F20" s="420">
        <v>1</v>
      </c>
      <c r="G20" s="420">
        <f>VLOOKUP(G2,'[67]Order Summary 2'!$R$4:$W$16,6,0)</f>
        <v>0.77831106498897396</v>
      </c>
      <c r="H20" s="420">
        <f>VLOOKUP(H2,'[67]Order Summary 2'!$R$4:$W$16,6,0)</f>
        <v>0</v>
      </c>
      <c r="I20" s="420">
        <f>VLOOKUP(I2,'[67]Order Summary 2'!$R$4:$W$16,6,0)</f>
        <v>0</v>
      </c>
      <c r="J20" s="420">
        <f>VLOOKUP(J2,'[67]Order Summary 2'!$R$4:$W$16,6,0)</f>
        <v>0</v>
      </c>
      <c r="K20" s="420">
        <f>VLOOKUP(K2,'[67]Order Summary 2'!$R$4:$W$16,6,0)</f>
        <v>0.66116653875671527</v>
      </c>
      <c r="L20" s="420">
        <f>VLOOKUP(L2,'[67]Order Summary 2'!$R$4:$W$16,6,0)</f>
        <v>0</v>
      </c>
      <c r="M20" s="420">
        <f>VLOOKUP(M2,'[67]Order Summary 2'!$R$4:$W$16,6,0)</f>
        <v>1</v>
      </c>
      <c r="N20" s="420">
        <f>VLOOKUP(N2,'[67]Order Summary 2'!$R$4:$W$16,6,0)</f>
        <v>1</v>
      </c>
      <c r="O20" s="420">
        <f>VLOOKUP(O2,'[67]Order Summary 2'!$R$4:$W$16,6,0)</f>
        <v>0</v>
      </c>
      <c r="P20" s="420">
        <f>VLOOKUP(P2,'[67]Order Summary 2'!$R$4:$W$16,6,0)</f>
        <v>1</v>
      </c>
      <c r="Q20" s="420">
        <f>VLOOKUP(Q2,'[67]Order Summary 2'!$R$4:$W$16,6,0)</f>
        <v>0</v>
      </c>
      <c r="R20" s="420">
        <f>VLOOKUP(R2,'[67]Order Summary 2'!$R$4:$W$16,6,0)</f>
        <v>0</v>
      </c>
      <c r="S20" s="420">
        <v>1</v>
      </c>
      <c r="T20" s="420">
        <v>0</v>
      </c>
      <c r="U20" s="420" t="e">
        <f>VLOOKUP(U2,'[67]Order Summary 2'!$R$4:$W$16,6,0)</f>
        <v>#N/A</v>
      </c>
      <c r="V20" s="420" t="e">
        <f>VLOOKUP(V2,'[67]Order Summary 2'!$R$4:$W$16,6,0)</f>
        <v>#N/A</v>
      </c>
      <c r="W20" s="420"/>
      <c r="X20" s="416"/>
      <c r="Y20" s="444" t="s">
        <v>742</v>
      </c>
      <c r="Z20" s="445">
        <f>ROUND(Z19+0.3,0)</f>
        <v>1</v>
      </c>
      <c r="AB20" s="430" t="s">
        <v>208</v>
      </c>
      <c r="AC20" s="431" t="s">
        <v>743</v>
      </c>
      <c r="AD20" s="432">
        <f>SUM(AD18:AD19)</f>
        <v>9</v>
      </c>
      <c r="AE20" s="433">
        <f>SUM(AE18:AE19)</f>
        <v>9</v>
      </c>
    </row>
    <row r="21" spans="1:43" ht="22.5" customHeight="1">
      <c r="A21" s="428" t="str">
        <f>'[67]Order Summary 2'!R15</f>
        <v>67x107</v>
      </c>
      <c r="B21" s="426">
        <f>'[67]Order Summary 2'!S15/SUM('[67]Order Summary 2'!$S$4:$S$18)</f>
        <v>8.5770496674420701E-2</v>
      </c>
      <c r="D21" s="1469" t="s">
        <v>207</v>
      </c>
      <c r="E21" s="1470"/>
      <c r="F21" s="1470"/>
      <c r="G21" s="1470"/>
      <c r="H21" s="1470"/>
      <c r="I21" s="1470"/>
      <c r="J21" s="1470"/>
      <c r="K21" s="1470"/>
      <c r="L21" s="1470"/>
      <c r="M21" s="1470"/>
      <c r="N21" s="1470"/>
      <c r="O21" s="1470"/>
      <c r="P21" s="1470"/>
      <c r="Q21" s="1470"/>
      <c r="R21" s="1470"/>
      <c r="S21" s="1470"/>
      <c r="T21" s="1470"/>
      <c r="U21" s="1470"/>
      <c r="V21" s="1470"/>
      <c r="W21" s="1471"/>
      <c r="X21" s="416"/>
      <c r="Y21" s="416"/>
      <c r="Z21" s="416"/>
      <c r="AB21" s="1499" t="s">
        <v>209</v>
      </c>
      <c r="AC21" s="417" t="s">
        <v>369</v>
      </c>
      <c r="AD21" s="418">
        <f>Z54*1*3</f>
        <v>6</v>
      </c>
      <c r="AE21" s="424">
        <f>Z54*1*3</f>
        <v>6</v>
      </c>
    </row>
    <row r="22" spans="1:43">
      <c r="A22" s="428" t="str">
        <f>'[67]Order Summary 2'!R16</f>
        <v>80x140</v>
      </c>
      <c r="B22" s="426">
        <f>'[67]Order Summary 2'!S16/SUM('[67]Order Summary 2'!$S$4:$S$18)</f>
        <v>4.058932485945186E-2</v>
      </c>
      <c r="D22" s="446"/>
      <c r="E22" s="447"/>
      <c r="F22" s="401" t="str">
        <f>F2</f>
        <v>120x160</v>
      </c>
      <c r="G22" s="401" t="str">
        <f t="shared" ref="G22:V22" si="17">G2</f>
        <v>120x160</v>
      </c>
      <c r="H22" s="401" t="str">
        <f t="shared" si="17"/>
        <v>120x170</v>
      </c>
      <c r="I22" s="401" t="str">
        <f t="shared" si="17"/>
        <v>130x190</v>
      </c>
      <c r="J22" s="401" t="str">
        <f t="shared" si="17"/>
        <v>150x230</v>
      </c>
      <c r="K22" s="401" t="str">
        <f t="shared" si="17"/>
        <v>200x290</v>
      </c>
      <c r="L22" s="401" t="str">
        <f t="shared" si="17"/>
        <v>370X100</v>
      </c>
      <c r="M22" s="401" t="str">
        <f t="shared" si="17"/>
        <v>371x100</v>
      </c>
      <c r="N22" s="401" t="str">
        <f t="shared" si="17"/>
        <v>405x100</v>
      </c>
      <c r="O22" s="401" t="str">
        <f t="shared" si="17"/>
        <v>50x150</v>
      </c>
      <c r="P22" s="401" t="str">
        <f t="shared" si="17"/>
        <v>50x85</v>
      </c>
      <c r="Q22" s="401" t="str">
        <f t="shared" si="17"/>
        <v>67x107</v>
      </c>
      <c r="R22" s="401" t="str">
        <f t="shared" si="17"/>
        <v>80x140</v>
      </c>
      <c r="S22" s="401" t="str">
        <f t="shared" si="17"/>
        <v>151x213</v>
      </c>
      <c r="T22" s="401" t="str">
        <f t="shared" si="17"/>
        <v>40x80</v>
      </c>
      <c r="U22" s="401">
        <f t="shared" si="17"/>
        <v>0</v>
      </c>
      <c r="V22" s="401">
        <f t="shared" si="17"/>
        <v>0</v>
      </c>
      <c r="W22" s="447"/>
      <c r="X22" s="448"/>
      <c r="Y22" s="448"/>
      <c r="Z22" s="448"/>
      <c r="AB22" s="1509"/>
      <c r="AC22" s="417" t="s">
        <v>738</v>
      </c>
      <c r="AD22" s="418">
        <f>Z54*1*3</f>
        <v>6</v>
      </c>
      <c r="AE22" s="424">
        <f>Z54*1*3</f>
        <v>6</v>
      </c>
      <c r="AJ22" s="48" t="str">
        <f>D70</f>
        <v>Manual Cross Overedging</v>
      </c>
      <c r="AK22" s="48">
        <f>Z87</f>
        <v>5</v>
      </c>
      <c r="AL22" s="13" t="s">
        <v>729</v>
      </c>
      <c r="AM22">
        <f>AK22*1*3</f>
        <v>15</v>
      </c>
    </row>
    <row r="23" spans="1:43">
      <c r="A23" s="428" t="str">
        <f>'[67]Order Summary 2'!R17</f>
        <v>151x213</v>
      </c>
      <c r="B23" s="426">
        <f>'[67]Order Summary 2'!S17/SUM('[67]Order Summary 2'!$S$4:$S$18)</f>
        <v>0.10175793076157491</v>
      </c>
      <c r="D23" s="449">
        <v>1</v>
      </c>
      <c r="E23" s="450" t="s">
        <v>723</v>
      </c>
      <c r="F23" s="451">
        <v>6</v>
      </c>
      <c r="G23" s="451">
        <f>F23</f>
        <v>6</v>
      </c>
      <c r="H23" s="451">
        <f t="shared" ref="H23:U23" si="18">G23</f>
        <v>6</v>
      </c>
      <c r="I23" s="451">
        <f t="shared" si="18"/>
        <v>6</v>
      </c>
      <c r="J23" s="451">
        <f t="shared" si="18"/>
        <v>6</v>
      </c>
      <c r="K23" s="451">
        <f t="shared" si="18"/>
        <v>6</v>
      </c>
      <c r="L23" s="451">
        <f t="shared" si="18"/>
        <v>6</v>
      </c>
      <c r="M23" s="451">
        <f t="shared" si="18"/>
        <v>6</v>
      </c>
      <c r="N23" s="451">
        <f t="shared" si="18"/>
        <v>6</v>
      </c>
      <c r="O23" s="451">
        <f t="shared" si="18"/>
        <v>6</v>
      </c>
      <c r="P23" s="451">
        <f t="shared" si="18"/>
        <v>6</v>
      </c>
      <c r="Q23" s="451">
        <f t="shared" si="18"/>
        <v>6</v>
      </c>
      <c r="R23" s="451">
        <f t="shared" si="18"/>
        <v>6</v>
      </c>
      <c r="S23" s="451">
        <f t="shared" si="18"/>
        <v>6</v>
      </c>
      <c r="T23" s="451">
        <f t="shared" si="18"/>
        <v>6</v>
      </c>
      <c r="U23" s="451">
        <f t="shared" si="18"/>
        <v>6</v>
      </c>
      <c r="V23" s="451"/>
      <c r="W23" s="451"/>
      <c r="X23" s="451"/>
      <c r="Y23" s="451"/>
      <c r="Z23" s="451"/>
      <c r="AB23" s="1500"/>
      <c r="AC23" s="417" t="s">
        <v>134</v>
      </c>
      <c r="AD23" s="418">
        <f>Z54*4*3</f>
        <v>24</v>
      </c>
      <c r="AE23" s="424">
        <f>Z54*3*3</f>
        <v>18</v>
      </c>
      <c r="AJ23" s="13"/>
      <c r="AK23" s="13"/>
      <c r="AL23" s="13" t="s">
        <v>134</v>
      </c>
      <c r="AM23">
        <f>AK22*1*3</f>
        <v>15</v>
      </c>
    </row>
    <row r="24" spans="1:43" ht="22.5" customHeight="1">
      <c r="A24" s="428" t="str">
        <f>'[67]Order Summary 2'!R18</f>
        <v>40x80</v>
      </c>
      <c r="B24" s="426">
        <f>'[67]Order Summary 2'!S18/SUM('[67]Order Summary 2'!$S$4:$S$18)</f>
        <v>9.9707414668119568E-2</v>
      </c>
      <c r="D24" s="449">
        <f>+D23+1</f>
        <v>2</v>
      </c>
      <c r="E24" s="450" t="s">
        <v>744</v>
      </c>
      <c r="F24" s="451">
        <f>+F23*F10</f>
        <v>3.75</v>
      </c>
      <c r="G24" s="451">
        <f t="shared" ref="G24:U24" si="19">+G23*G10</f>
        <v>3.75</v>
      </c>
      <c r="H24" s="451">
        <f t="shared" si="19"/>
        <v>3.5294117647058822</v>
      </c>
      <c r="I24" s="451">
        <f t="shared" si="19"/>
        <v>3.1578947368421053</v>
      </c>
      <c r="J24" s="451">
        <f t="shared" si="19"/>
        <v>2.6086956521739131</v>
      </c>
      <c r="K24" s="451">
        <f t="shared" si="19"/>
        <v>2.0689655172413794</v>
      </c>
      <c r="L24" s="451">
        <f t="shared" si="19"/>
        <v>1.6216216216216217</v>
      </c>
      <c r="M24" s="451">
        <f t="shared" si="19"/>
        <v>1.6172506738544472</v>
      </c>
      <c r="N24" s="451">
        <f t="shared" si="19"/>
        <v>1.4814814814814814</v>
      </c>
      <c r="O24" s="451">
        <f t="shared" si="19"/>
        <v>4</v>
      </c>
      <c r="P24" s="451">
        <f t="shared" si="19"/>
        <v>7.0588235294117645</v>
      </c>
      <c r="Q24" s="451">
        <f t="shared" si="19"/>
        <v>5.6074766355140184</v>
      </c>
      <c r="R24" s="451">
        <f t="shared" si="19"/>
        <v>4.2857142857142856</v>
      </c>
      <c r="S24" s="451">
        <f t="shared" si="19"/>
        <v>2.816901408450704</v>
      </c>
      <c r="T24" s="451">
        <f t="shared" si="19"/>
        <v>15</v>
      </c>
      <c r="U24" s="451" t="e">
        <f t="shared" si="19"/>
        <v>#DIV/0!</v>
      </c>
      <c r="V24" s="451"/>
      <c r="W24" s="451"/>
      <c r="X24" s="451"/>
      <c r="Y24" s="451"/>
      <c r="Z24" s="451"/>
      <c r="AB24" s="430" t="str">
        <f>AB21</f>
        <v>Manual Cutting</v>
      </c>
      <c r="AC24" s="431" t="s">
        <v>745</v>
      </c>
      <c r="AD24" s="432">
        <f>SUM(AD21:AD23)</f>
        <v>36</v>
      </c>
      <c r="AE24" s="433">
        <f>SUM(AE21:AE23)</f>
        <v>30</v>
      </c>
      <c r="AJ24" s="13"/>
      <c r="AK24" s="13"/>
      <c r="AL24" s="13" t="s">
        <v>122</v>
      </c>
      <c r="AM24">
        <v>3</v>
      </c>
    </row>
    <row r="25" spans="1:43">
      <c r="A25" s="428"/>
      <c r="B25" s="426"/>
      <c r="D25" s="449">
        <f t="shared" ref="D25:D30" si="20">+D24+1</f>
        <v>3</v>
      </c>
      <c r="E25" s="450" t="s">
        <v>746</v>
      </c>
      <c r="F25" s="452">
        <v>0.82</v>
      </c>
      <c r="G25" s="452">
        <v>0.82</v>
      </c>
      <c r="H25" s="452">
        <v>0.82</v>
      </c>
      <c r="I25" s="452">
        <v>0.82</v>
      </c>
      <c r="J25" s="452">
        <v>0.82</v>
      </c>
      <c r="K25" s="452">
        <v>0.82</v>
      </c>
      <c r="L25" s="452">
        <v>0.82</v>
      </c>
      <c r="M25" s="452">
        <v>0.82</v>
      </c>
      <c r="N25" s="452">
        <v>0.82</v>
      </c>
      <c r="O25" s="452">
        <v>0.82</v>
      </c>
      <c r="P25" s="452">
        <v>0.82</v>
      </c>
      <c r="Q25" s="452">
        <v>0.82</v>
      </c>
      <c r="R25" s="452">
        <v>0.82</v>
      </c>
      <c r="S25" s="452">
        <v>0.82</v>
      </c>
      <c r="T25" s="452">
        <v>0.82</v>
      </c>
      <c r="U25" s="452">
        <v>0.82</v>
      </c>
      <c r="V25" s="452"/>
      <c r="W25" s="452"/>
      <c r="X25" s="452"/>
      <c r="Y25" s="452"/>
      <c r="Z25" s="452"/>
      <c r="AB25" s="1499" t="s">
        <v>747</v>
      </c>
      <c r="AC25" s="417" t="s">
        <v>748</v>
      </c>
      <c r="AD25" s="418">
        <f>Z68*2*3</f>
        <v>6</v>
      </c>
      <c r="AE25" s="424">
        <v>6</v>
      </c>
      <c r="AJ25" s="13"/>
      <c r="AK25" s="13"/>
      <c r="AL25" s="13"/>
    </row>
    <row r="26" spans="1:43">
      <c r="A26" s="413"/>
      <c r="B26" s="426"/>
      <c r="D26" s="449">
        <f t="shared" si="20"/>
        <v>4</v>
      </c>
      <c r="E26" s="450" t="s">
        <v>730</v>
      </c>
      <c r="F26" s="451">
        <f t="shared" ref="F26:U26" si="21">+F24*F25</f>
        <v>3.0749999999999997</v>
      </c>
      <c r="G26" s="451">
        <f t="shared" si="21"/>
        <v>3.0749999999999997</v>
      </c>
      <c r="H26" s="451">
        <f t="shared" si="21"/>
        <v>2.8941176470588235</v>
      </c>
      <c r="I26" s="451">
        <f t="shared" si="21"/>
        <v>2.5894736842105264</v>
      </c>
      <c r="J26" s="451">
        <f t="shared" si="21"/>
        <v>2.1391304347826088</v>
      </c>
      <c r="K26" s="451">
        <f t="shared" si="21"/>
        <v>1.6965517241379311</v>
      </c>
      <c r="L26" s="451">
        <f t="shared" si="21"/>
        <v>1.3297297297297297</v>
      </c>
      <c r="M26" s="451">
        <f t="shared" si="21"/>
        <v>1.3261455525606467</v>
      </c>
      <c r="N26" s="451">
        <f t="shared" si="21"/>
        <v>1.2148148148148146</v>
      </c>
      <c r="O26" s="451">
        <f t="shared" si="21"/>
        <v>3.28</v>
      </c>
      <c r="P26" s="451">
        <f t="shared" si="21"/>
        <v>5.7882352941176469</v>
      </c>
      <c r="Q26" s="451">
        <f t="shared" si="21"/>
        <v>4.5981308411214945</v>
      </c>
      <c r="R26" s="451">
        <f t="shared" si="21"/>
        <v>3.5142857142857138</v>
      </c>
      <c r="S26" s="451">
        <f t="shared" si="21"/>
        <v>2.3098591549295771</v>
      </c>
      <c r="T26" s="451">
        <f t="shared" si="21"/>
        <v>12.299999999999999</v>
      </c>
      <c r="U26" s="451" t="e">
        <f t="shared" si="21"/>
        <v>#DIV/0!</v>
      </c>
      <c r="V26" s="451"/>
      <c r="W26" s="451"/>
      <c r="X26" s="451"/>
      <c r="Y26" s="451"/>
      <c r="Z26" s="451"/>
      <c r="AB26" s="1500"/>
      <c r="AC26" s="417" t="s">
        <v>749</v>
      </c>
      <c r="AD26" s="418">
        <f>Z68*5*3</f>
        <v>15</v>
      </c>
      <c r="AE26" s="424">
        <v>12</v>
      </c>
      <c r="AJ26" s="13" t="str">
        <f>D89</f>
        <v>Bar Tak</v>
      </c>
      <c r="AK26" s="12">
        <f>Z98</f>
        <v>2</v>
      </c>
      <c r="AL26" s="13" t="s">
        <v>729</v>
      </c>
      <c r="AM26">
        <f>AK26*1*3</f>
        <v>6</v>
      </c>
    </row>
    <row r="27" spans="1:43">
      <c r="D27" s="449">
        <f t="shared" si="20"/>
        <v>5</v>
      </c>
      <c r="E27" s="450" t="s">
        <v>750</v>
      </c>
      <c r="F27" s="453">
        <v>22.5</v>
      </c>
      <c r="G27" s="453">
        <v>22.5</v>
      </c>
      <c r="H27" s="453">
        <v>22.5</v>
      </c>
      <c r="I27" s="453">
        <v>22.5</v>
      </c>
      <c r="J27" s="453">
        <v>22.5</v>
      </c>
      <c r="K27" s="453">
        <v>22.5</v>
      </c>
      <c r="L27" s="453">
        <v>22.5</v>
      </c>
      <c r="M27" s="453">
        <v>22.5</v>
      </c>
      <c r="N27" s="453">
        <v>22.5</v>
      </c>
      <c r="O27" s="453">
        <v>22.5</v>
      </c>
      <c r="P27" s="453">
        <v>22.5</v>
      </c>
      <c r="Q27" s="453">
        <v>22.5</v>
      </c>
      <c r="R27" s="453">
        <v>22.5</v>
      </c>
      <c r="S27" s="453">
        <v>22.5</v>
      </c>
      <c r="T27" s="453">
        <v>22.5</v>
      </c>
      <c r="U27" s="453">
        <v>22.5</v>
      </c>
      <c r="V27" s="453"/>
      <c r="W27" s="453"/>
      <c r="X27" s="453"/>
      <c r="Y27" s="453"/>
      <c r="Z27" s="453"/>
      <c r="AB27" s="430" t="str">
        <f>AB25</f>
        <v>Combi Line</v>
      </c>
      <c r="AC27" s="431" t="s">
        <v>751</v>
      </c>
      <c r="AD27" s="432">
        <f>SUM(AD25:AD26)</f>
        <v>21</v>
      </c>
      <c r="AE27" s="433">
        <f>SUM(AE25:AE26)</f>
        <v>18</v>
      </c>
      <c r="AJ27" s="13"/>
      <c r="AK27" s="13"/>
      <c r="AL27" s="13"/>
    </row>
    <row r="28" spans="1:43">
      <c r="D28" s="449">
        <f t="shared" si="20"/>
        <v>6</v>
      </c>
      <c r="E28" s="450" t="s">
        <v>752</v>
      </c>
      <c r="F28" s="454">
        <f>F27*60*F26</f>
        <v>4151.25</v>
      </c>
      <c r="G28" s="454">
        <f t="shared" ref="G28:U28" si="22">G27*60*G26</f>
        <v>4151.25</v>
      </c>
      <c r="H28" s="454">
        <f t="shared" si="22"/>
        <v>3907.0588235294117</v>
      </c>
      <c r="I28" s="454">
        <f t="shared" si="22"/>
        <v>3495.7894736842104</v>
      </c>
      <c r="J28" s="454">
        <f t="shared" si="22"/>
        <v>2887.826086956522</v>
      </c>
      <c r="K28" s="454">
        <f t="shared" si="22"/>
        <v>2290.344827586207</v>
      </c>
      <c r="L28" s="454">
        <f t="shared" si="22"/>
        <v>1795.135135135135</v>
      </c>
      <c r="M28" s="454">
        <f t="shared" si="22"/>
        <v>1790.2964959568731</v>
      </c>
      <c r="N28" s="454">
        <f t="shared" si="22"/>
        <v>1639.9999999999998</v>
      </c>
      <c r="O28" s="454">
        <f t="shared" si="22"/>
        <v>4428</v>
      </c>
      <c r="P28" s="454">
        <f t="shared" si="22"/>
        <v>7814.1176470588234</v>
      </c>
      <c r="Q28" s="454">
        <f t="shared" si="22"/>
        <v>6207.4766355140173</v>
      </c>
      <c r="R28" s="454">
        <f t="shared" si="22"/>
        <v>4744.2857142857138</v>
      </c>
      <c r="S28" s="454">
        <f t="shared" si="22"/>
        <v>3118.3098591549292</v>
      </c>
      <c r="T28" s="454">
        <f t="shared" si="22"/>
        <v>16605</v>
      </c>
      <c r="U28" s="454" t="e">
        <f t="shared" si="22"/>
        <v>#DIV/0!</v>
      </c>
      <c r="V28" s="454"/>
      <c r="W28" s="454"/>
      <c r="X28" s="454"/>
      <c r="Y28" s="454"/>
      <c r="Z28" s="454"/>
      <c r="AB28" s="1487" t="s">
        <v>753</v>
      </c>
      <c r="AC28" s="417" t="s">
        <v>729</v>
      </c>
      <c r="AD28" s="417">
        <f>Z87*1*3</f>
        <v>15</v>
      </c>
      <c r="AE28" s="455">
        <v>15</v>
      </c>
      <c r="AF28" t="s">
        <v>754</v>
      </c>
      <c r="AJ28" s="13" t="str">
        <f>D102</f>
        <v>Packing Line</v>
      </c>
      <c r="AK28" s="12">
        <f>Z107</f>
        <v>3</v>
      </c>
      <c r="AL28" s="13" t="s">
        <v>755</v>
      </c>
      <c r="AM28">
        <f>$AK$28*1*3</f>
        <v>9</v>
      </c>
    </row>
    <row r="29" spans="1:43">
      <c r="D29" s="449">
        <f t="shared" si="20"/>
        <v>7</v>
      </c>
      <c r="E29" s="450" t="s">
        <v>736</v>
      </c>
      <c r="F29" s="451">
        <f>+F8/F28</f>
        <v>3.7863146582377813E-2</v>
      </c>
      <c r="G29" s="451">
        <f t="shared" ref="G29:T29" si="23">+G8/G28</f>
        <v>4.0059975570911031E-2</v>
      </c>
      <c r="H29" s="451">
        <f t="shared" si="23"/>
        <v>1.8388699303262635E-2</v>
      </c>
      <c r="I29" s="451">
        <f t="shared" si="23"/>
        <v>0.38105109562338974</v>
      </c>
      <c r="J29" s="451">
        <f t="shared" si="23"/>
        <v>0.16807495587905744</v>
      </c>
      <c r="K29" s="451">
        <f t="shared" si="23"/>
        <v>0.12272557213143852</v>
      </c>
      <c r="L29" s="451">
        <f t="shared" si="23"/>
        <v>1.5021191708997888E-2</v>
      </c>
      <c r="M29" s="451">
        <f t="shared" si="23"/>
        <v>0.22592684286641418</v>
      </c>
      <c r="N29" s="451">
        <f t="shared" si="23"/>
        <v>6.5768460996152911E-2</v>
      </c>
      <c r="O29" s="451">
        <f t="shared" si="23"/>
        <v>5.842431618491583E-2</v>
      </c>
      <c r="P29" s="451">
        <f t="shared" si="23"/>
        <v>6.5876045207041685E-3</v>
      </c>
      <c r="Q29" s="451">
        <f t="shared" si="23"/>
        <v>6.8725890056762023E-2</v>
      </c>
      <c r="R29" s="451">
        <f t="shared" si="23"/>
        <v>4.2553818177128132E-2</v>
      </c>
      <c r="S29" s="451">
        <f t="shared" si="23"/>
        <v>0.16231047206619093</v>
      </c>
      <c r="T29" s="451">
        <f t="shared" si="23"/>
        <v>2.9866622808482079E-2</v>
      </c>
      <c r="U29" s="453"/>
      <c r="V29" s="453"/>
      <c r="W29" s="453"/>
      <c r="X29" s="453"/>
      <c r="Y29" s="453"/>
      <c r="Z29" s="453"/>
      <c r="AB29" s="1488"/>
      <c r="AC29" s="417" t="s">
        <v>134</v>
      </c>
      <c r="AD29" s="417">
        <f>Z87*1*3</f>
        <v>15</v>
      </c>
      <c r="AE29" s="455">
        <v>15</v>
      </c>
      <c r="AJ29" s="13"/>
      <c r="AK29" s="13"/>
      <c r="AL29" s="13" t="s">
        <v>756</v>
      </c>
      <c r="AM29">
        <f t="shared" ref="AM29:AM34" si="24">$AK$28*1*3</f>
        <v>9</v>
      </c>
    </row>
    <row r="30" spans="1:43">
      <c r="D30" s="449">
        <f t="shared" si="20"/>
        <v>8</v>
      </c>
      <c r="E30" s="456" t="s">
        <v>757</v>
      </c>
      <c r="F30" s="457"/>
      <c r="G30" s="458"/>
      <c r="W30" s="459"/>
      <c r="X30" s="416"/>
      <c r="Y30" s="457"/>
      <c r="Z30" s="460">
        <f>SUM(F29:Z29)</f>
        <v>1.443348664476185</v>
      </c>
      <c r="AB30" s="1489"/>
      <c r="AC30" s="417" t="s">
        <v>122</v>
      </c>
      <c r="AD30" s="417">
        <f>1*3</f>
        <v>3</v>
      </c>
      <c r="AE30" s="455">
        <v>0</v>
      </c>
      <c r="AJ30" s="13"/>
      <c r="AK30" s="13"/>
      <c r="AL30" s="13" t="s">
        <v>758</v>
      </c>
      <c r="AM30">
        <f>$AK$28*2*3</f>
        <v>18</v>
      </c>
    </row>
    <row r="31" spans="1:43">
      <c r="D31" s="442"/>
      <c r="E31" s="443"/>
      <c r="F31" s="458">
        <f>F23*60*F27*F25</f>
        <v>6642</v>
      </c>
      <c r="G31" s="458">
        <f t="shared" ref="G31:T31" si="25">G23*60*G27*G25</f>
        <v>6642</v>
      </c>
      <c r="H31" s="458">
        <f t="shared" si="25"/>
        <v>6642</v>
      </c>
      <c r="I31" s="458">
        <f t="shared" si="25"/>
        <v>6642</v>
      </c>
      <c r="J31" s="458">
        <f t="shared" si="25"/>
        <v>6642</v>
      </c>
      <c r="K31" s="458">
        <f t="shared" si="25"/>
        <v>6642</v>
      </c>
      <c r="L31" s="458">
        <f t="shared" si="25"/>
        <v>6642</v>
      </c>
      <c r="M31" s="458">
        <f t="shared" si="25"/>
        <v>6642</v>
      </c>
      <c r="N31" s="458">
        <f t="shared" si="25"/>
        <v>6642</v>
      </c>
      <c r="O31" s="458">
        <f t="shared" si="25"/>
        <v>6642</v>
      </c>
      <c r="P31" s="458">
        <f t="shared" si="25"/>
        <v>6642</v>
      </c>
      <c r="Q31" s="458">
        <f t="shared" si="25"/>
        <v>6642</v>
      </c>
      <c r="R31" s="458">
        <f t="shared" si="25"/>
        <v>6642</v>
      </c>
      <c r="S31" s="458">
        <f t="shared" si="25"/>
        <v>6642</v>
      </c>
      <c r="T31" s="458">
        <f t="shared" si="25"/>
        <v>6642</v>
      </c>
      <c r="X31" s="416"/>
      <c r="Y31" s="461" t="s">
        <v>759</v>
      </c>
      <c r="Z31" s="454"/>
      <c r="AB31" s="430" t="str">
        <f>AB28</f>
        <v>Manual Cross Overedging</v>
      </c>
      <c r="AC31" s="431" t="s">
        <v>760</v>
      </c>
      <c r="AD31" s="432">
        <f>SUM(AD28:AD30)</f>
        <v>33</v>
      </c>
      <c r="AE31" s="433">
        <f>SUM(AE28:AE30)</f>
        <v>30</v>
      </c>
      <c r="AJ31" s="13"/>
      <c r="AK31" s="13"/>
      <c r="AL31" s="13" t="s">
        <v>761</v>
      </c>
      <c r="AM31">
        <f>$AK$28*2*3</f>
        <v>18</v>
      </c>
    </row>
    <row r="32" spans="1:43">
      <c r="D32" s="442"/>
      <c r="E32" s="443"/>
      <c r="F32" s="462">
        <f>F31/(F6/100)</f>
        <v>4151.25</v>
      </c>
      <c r="G32" s="462">
        <f t="shared" ref="G32:S32" si="26">G31/(G6/100)</f>
        <v>4151.25</v>
      </c>
      <c r="H32" s="462">
        <f t="shared" si="26"/>
        <v>3907.0588235294117</v>
      </c>
      <c r="I32" s="462">
        <f t="shared" si="26"/>
        <v>3495.7894736842109</v>
      </c>
      <c r="J32" s="462">
        <f t="shared" si="26"/>
        <v>2887.826086956522</v>
      </c>
      <c r="K32" s="462">
        <f t="shared" si="26"/>
        <v>2290.344827586207</v>
      </c>
      <c r="L32" s="462">
        <f>L31/(L5/100)</f>
        <v>1795.135135135135</v>
      </c>
      <c r="M32" s="462">
        <f>M31/(M5/100)</f>
        <v>1790.2964959568733</v>
      </c>
      <c r="N32" s="462">
        <f>N31/(N5/100)</f>
        <v>1640</v>
      </c>
      <c r="O32" s="462">
        <f>O31/(O6/100)</f>
        <v>4428</v>
      </c>
      <c r="P32" s="462">
        <f t="shared" si="26"/>
        <v>7814.1176470588234</v>
      </c>
      <c r="Q32" s="462">
        <f t="shared" si="26"/>
        <v>6207.4766355140182</v>
      </c>
      <c r="R32" s="462">
        <f t="shared" si="26"/>
        <v>4744.2857142857147</v>
      </c>
      <c r="S32" s="462">
        <f t="shared" si="26"/>
        <v>3118.3098591549297</v>
      </c>
      <c r="T32" s="462">
        <f>T31/(T5/100)</f>
        <v>16605</v>
      </c>
      <c r="X32" s="416"/>
      <c r="Y32" s="463" t="s">
        <v>762</v>
      </c>
      <c r="Z32" s="464">
        <f>+ROUND((Z31+Z30)+0.25,0)</f>
        <v>2</v>
      </c>
      <c r="AB32" s="1490" t="s">
        <v>763</v>
      </c>
      <c r="AC32" s="417" t="s">
        <v>764</v>
      </c>
      <c r="AD32" s="418">
        <f>Z98*1*3</f>
        <v>6</v>
      </c>
      <c r="AE32" s="419">
        <v>6</v>
      </c>
      <c r="AJ32" s="13"/>
      <c r="AK32" s="13"/>
      <c r="AL32" s="13" t="s">
        <v>765</v>
      </c>
      <c r="AM32">
        <f>$AK$28*3*3</f>
        <v>27</v>
      </c>
    </row>
    <row r="33" spans="4:39">
      <c r="AB33" s="1491"/>
      <c r="AC33" s="417"/>
      <c r="AD33" s="418"/>
      <c r="AE33" s="424"/>
      <c r="AJ33" s="13"/>
      <c r="AK33" s="13"/>
      <c r="AL33" s="13" t="s">
        <v>766</v>
      </c>
      <c r="AM33">
        <f t="shared" si="24"/>
        <v>9</v>
      </c>
    </row>
    <row r="34" spans="4:39">
      <c r="D34" s="1469" t="s">
        <v>208</v>
      </c>
      <c r="E34" s="1470"/>
      <c r="F34" s="1470"/>
      <c r="G34" s="1470"/>
      <c r="H34" s="1470"/>
      <c r="I34" s="1470"/>
      <c r="J34" s="1470"/>
      <c r="K34" s="1470"/>
      <c r="L34" s="1470"/>
      <c r="M34" s="1470"/>
      <c r="N34" s="1470"/>
      <c r="O34" s="1470"/>
      <c r="P34" s="1470"/>
      <c r="Q34" s="1470"/>
      <c r="R34" s="1470"/>
      <c r="S34" s="1470"/>
      <c r="T34" s="1470"/>
      <c r="U34" s="1470"/>
      <c r="V34" s="1470"/>
      <c r="W34" s="1471"/>
      <c r="X34" s="416" t="s">
        <v>767</v>
      </c>
      <c r="Y34" s="416"/>
      <c r="Z34" s="416"/>
      <c r="AB34" s="430" t="str">
        <f>AB32</f>
        <v>Bar Tak</v>
      </c>
      <c r="AC34" s="431" t="s">
        <v>768</v>
      </c>
      <c r="AD34" s="432">
        <f>SUM(AD32:AD33)</f>
        <v>6</v>
      </c>
      <c r="AE34" s="465">
        <f>AD34</f>
        <v>6</v>
      </c>
      <c r="AJ34" s="13"/>
      <c r="AK34" s="13"/>
      <c r="AL34" s="13" t="s">
        <v>769</v>
      </c>
      <c r="AM34">
        <f t="shared" si="24"/>
        <v>9</v>
      </c>
    </row>
    <row r="35" spans="4:39">
      <c r="D35" s="446"/>
      <c r="E35" s="447"/>
      <c r="F35" s="401" t="str">
        <f t="shared" ref="F35:V35" si="27">F2</f>
        <v>120x160</v>
      </c>
      <c r="G35" s="401" t="str">
        <f t="shared" si="27"/>
        <v>120x160</v>
      </c>
      <c r="H35" s="401" t="str">
        <f t="shared" si="27"/>
        <v>120x170</v>
      </c>
      <c r="I35" s="401" t="str">
        <f t="shared" si="27"/>
        <v>130x190</v>
      </c>
      <c r="J35" s="401" t="str">
        <f t="shared" si="27"/>
        <v>150x230</v>
      </c>
      <c r="K35" s="401" t="str">
        <f t="shared" si="27"/>
        <v>200x290</v>
      </c>
      <c r="L35" s="401" t="str">
        <f t="shared" si="27"/>
        <v>370X100</v>
      </c>
      <c r="M35" s="401" t="str">
        <f t="shared" si="27"/>
        <v>371x100</v>
      </c>
      <c r="N35" s="401" t="str">
        <f t="shared" si="27"/>
        <v>405x100</v>
      </c>
      <c r="O35" s="401" t="str">
        <f t="shared" si="27"/>
        <v>50x150</v>
      </c>
      <c r="P35" s="401" t="str">
        <f t="shared" si="27"/>
        <v>50x85</v>
      </c>
      <c r="Q35" s="401" t="str">
        <f t="shared" si="27"/>
        <v>67x107</v>
      </c>
      <c r="R35" s="401" t="str">
        <f t="shared" si="27"/>
        <v>80x140</v>
      </c>
      <c r="S35" s="401" t="str">
        <f t="shared" si="27"/>
        <v>151x213</v>
      </c>
      <c r="T35" s="401" t="str">
        <f t="shared" si="27"/>
        <v>40x80</v>
      </c>
      <c r="U35" s="401">
        <f t="shared" si="27"/>
        <v>0</v>
      </c>
      <c r="V35" s="401">
        <f t="shared" si="27"/>
        <v>0</v>
      </c>
      <c r="W35" s="447"/>
      <c r="X35" s="448"/>
      <c r="Y35" s="448"/>
      <c r="Z35" s="448"/>
      <c r="AB35" s="1492" t="s">
        <v>770</v>
      </c>
      <c r="AC35" s="417" t="s">
        <v>755</v>
      </c>
      <c r="AD35" s="417">
        <f>Z107*1*3</f>
        <v>9</v>
      </c>
      <c r="AE35" s="455">
        <v>3</v>
      </c>
      <c r="AJ35" s="13"/>
      <c r="AK35" s="13"/>
      <c r="AL35" s="13" t="s">
        <v>122</v>
      </c>
      <c r="AM35">
        <f>1*3</f>
        <v>3</v>
      </c>
    </row>
    <row r="36" spans="4:39">
      <c r="D36" s="466">
        <v>1</v>
      </c>
      <c r="E36" s="467" t="s">
        <v>723</v>
      </c>
      <c r="F36" s="468">
        <v>6.5</v>
      </c>
      <c r="G36" s="468">
        <f>F36</f>
        <v>6.5</v>
      </c>
      <c r="H36" s="468">
        <f t="shared" ref="H36:U36" si="28">G36</f>
        <v>6.5</v>
      </c>
      <c r="I36" s="468">
        <f t="shared" si="28"/>
        <v>6.5</v>
      </c>
      <c r="J36" s="468">
        <f t="shared" si="28"/>
        <v>6.5</v>
      </c>
      <c r="K36" s="468">
        <f t="shared" si="28"/>
        <v>6.5</v>
      </c>
      <c r="L36" s="468">
        <f t="shared" si="28"/>
        <v>6.5</v>
      </c>
      <c r="M36" s="468">
        <f t="shared" si="28"/>
        <v>6.5</v>
      </c>
      <c r="N36" s="468">
        <f t="shared" si="28"/>
        <v>6.5</v>
      </c>
      <c r="O36" s="468">
        <f t="shared" si="28"/>
        <v>6.5</v>
      </c>
      <c r="P36" s="468">
        <f t="shared" si="28"/>
        <v>6.5</v>
      </c>
      <c r="Q36" s="468">
        <f t="shared" si="28"/>
        <v>6.5</v>
      </c>
      <c r="R36" s="468">
        <f t="shared" si="28"/>
        <v>6.5</v>
      </c>
      <c r="S36" s="468">
        <f t="shared" si="28"/>
        <v>6.5</v>
      </c>
      <c r="T36" s="468">
        <f t="shared" si="28"/>
        <v>6.5</v>
      </c>
      <c r="U36" s="468">
        <f t="shared" si="28"/>
        <v>6.5</v>
      </c>
      <c r="V36" s="468"/>
      <c r="W36" s="468"/>
      <c r="X36" s="468"/>
      <c r="Y36" s="468"/>
      <c r="Z36" s="468"/>
      <c r="AB36" s="1493"/>
      <c r="AC36" s="417" t="s">
        <v>756</v>
      </c>
      <c r="AD36" s="417">
        <f>Z107*1*3</f>
        <v>9</v>
      </c>
      <c r="AE36" s="455">
        <v>9</v>
      </c>
      <c r="AJ36" s="13"/>
      <c r="AK36" s="13"/>
      <c r="AL36" s="13" t="s">
        <v>120</v>
      </c>
      <c r="AM36">
        <f>1*3</f>
        <v>3</v>
      </c>
    </row>
    <row r="37" spans="4:39">
      <c r="D37" s="466">
        <f>+D36+1</f>
        <v>2</v>
      </c>
      <c r="E37" s="467" t="s">
        <v>744</v>
      </c>
      <c r="F37" s="468">
        <f t="shared" ref="F37:U37" si="29">+F36*F10</f>
        <v>4.0625</v>
      </c>
      <c r="G37" s="468">
        <f t="shared" si="29"/>
        <v>4.0625</v>
      </c>
      <c r="H37" s="468">
        <f t="shared" si="29"/>
        <v>3.8235294117647061</v>
      </c>
      <c r="I37" s="468">
        <f t="shared" si="29"/>
        <v>3.4210526315789473</v>
      </c>
      <c r="J37" s="468">
        <f t="shared" si="29"/>
        <v>2.8260869565217392</v>
      </c>
      <c r="K37" s="468">
        <f t="shared" si="29"/>
        <v>2.2413793103448278</v>
      </c>
      <c r="L37" s="468">
        <f t="shared" si="29"/>
        <v>1.7567567567567568</v>
      </c>
      <c r="M37" s="468">
        <f t="shared" si="29"/>
        <v>1.752021563342318</v>
      </c>
      <c r="N37" s="468">
        <f t="shared" si="29"/>
        <v>1.6049382716049383</v>
      </c>
      <c r="O37" s="468">
        <f t="shared" si="29"/>
        <v>4.333333333333333</v>
      </c>
      <c r="P37" s="468">
        <f t="shared" si="29"/>
        <v>7.6470588235294121</v>
      </c>
      <c r="Q37" s="468">
        <f t="shared" si="29"/>
        <v>6.0747663551401869</v>
      </c>
      <c r="R37" s="468">
        <f t="shared" si="29"/>
        <v>4.6428571428571432</v>
      </c>
      <c r="S37" s="468">
        <f t="shared" si="29"/>
        <v>3.051643192488263</v>
      </c>
      <c r="T37" s="468">
        <f t="shared" si="29"/>
        <v>16.25</v>
      </c>
      <c r="U37" s="468" t="e">
        <f t="shared" si="29"/>
        <v>#DIV/0!</v>
      </c>
      <c r="V37" s="468"/>
      <c r="W37" s="468"/>
      <c r="X37" s="468"/>
      <c r="Y37" s="468"/>
      <c r="Z37" s="468"/>
      <c r="AB37" s="1493"/>
      <c r="AC37" s="417" t="s">
        <v>758</v>
      </c>
      <c r="AD37" s="417">
        <f>Z107*2*3</f>
        <v>18</v>
      </c>
      <c r="AE37" s="455">
        <f>5*3</f>
        <v>15</v>
      </c>
      <c r="AF37" t="s">
        <v>771</v>
      </c>
      <c r="AG37" t="s">
        <v>772</v>
      </c>
      <c r="AJ37" s="13"/>
      <c r="AK37" s="13"/>
      <c r="AL37" s="13"/>
    </row>
    <row r="38" spans="4:39">
      <c r="D38" s="466">
        <f t="shared" ref="D38:D43" si="30">+D37+1</f>
        <v>3</v>
      </c>
      <c r="E38" s="467" t="s">
        <v>746</v>
      </c>
      <c r="F38" s="469">
        <v>0.7</v>
      </c>
      <c r="G38" s="469">
        <v>0.7</v>
      </c>
      <c r="H38" s="469">
        <v>0.7</v>
      </c>
      <c r="I38" s="469">
        <v>0.7</v>
      </c>
      <c r="J38" s="469">
        <v>0.7</v>
      </c>
      <c r="K38" s="469">
        <v>0.7</v>
      </c>
      <c r="L38" s="469">
        <v>0.7</v>
      </c>
      <c r="M38" s="469">
        <v>0.7</v>
      </c>
      <c r="N38" s="469">
        <v>0.7</v>
      </c>
      <c r="O38" s="469">
        <v>0.7</v>
      </c>
      <c r="P38" s="469">
        <v>0.7</v>
      </c>
      <c r="Q38" s="469">
        <v>0.7</v>
      </c>
      <c r="R38" s="469">
        <v>0.7</v>
      </c>
      <c r="S38" s="469">
        <v>0.7</v>
      </c>
      <c r="T38" s="469">
        <v>0.7</v>
      </c>
      <c r="U38" s="469">
        <v>0.7</v>
      </c>
      <c r="V38" s="469"/>
      <c r="W38" s="469"/>
      <c r="X38" s="469"/>
      <c r="Y38" s="469"/>
      <c r="Z38" s="469"/>
      <c r="AB38" s="1493"/>
      <c r="AC38" s="417" t="s">
        <v>761</v>
      </c>
      <c r="AD38" s="417">
        <f>Z107*2*3</f>
        <v>18</v>
      </c>
      <c r="AE38" s="455">
        <v>18</v>
      </c>
      <c r="AF38">
        <v>2</v>
      </c>
      <c r="AJ38" s="13" t="s">
        <v>118</v>
      </c>
      <c r="AK38" s="13"/>
      <c r="AL38" s="13" t="s">
        <v>144</v>
      </c>
      <c r="AM38">
        <f>$AK$28*1*3</f>
        <v>9</v>
      </c>
    </row>
    <row r="39" spans="4:39">
      <c r="D39" s="466">
        <f t="shared" si="30"/>
        <v>4</v>
      </c>
      <c r="E39" s="467" t="s">
        <v>730</v>
      </c>
      <c r="F39" s="468">
        <f t="shared" ref="F39:U39" si="31">+F37*F38</f>
        <v>2.84375</v>
      </c>
      <c r="G39" s="468">
        <f t="shared" si="31"/>
        <v>2.84375</v>
      </c>
      <c r="H39" s="468">
        <f t="shared" si="31"/>
        <v>2.6764705882352939</v>
      </c>
      <c r="I39" s="468">
        <f t="shared" si="31"/>
        <v>2.3947368421052628</v>
      </c>
      <c r="J39" s="468">
        <f t="shared" si="31"/>
        <v>1.9782608695652173</v>
      </c>
      <c r="K39" s="468">
        <f t="shared" si="31"/>
        <v>1.5689655172413794</v>
      </c>
      <c r="L39" s="468">
        <f t="shared" si="31"/>
        <v>1.2297297297297296</v>
      </c>
      <c r="M39" s="468">
        <f t="shared" si="31"/>
        <v>1.2264150943396226</v>
      </c>
      <c r="N39" s="468">
        <f t="shared" si="31"/>
        <v>1.1234567901234567</v>
      </c>
      <c r="O39" s="468">
        <f t="shared" si="31"/>
        <v>3.0333333333333328</v>
      </c>
      <c r="P39" s="468">
        <f t="shared" si="31"/>
        <v>5.3529411764705879</v>
      </c>
      <c r="Q39" s="468">
        <f t="shared" si="31"/>
        <v>4.2523364485981308</v>
      </c>
      <c r="R39" s="468">
        <f t="shared" si="31"/>
        <v>3.25</v>
      </c>
      <c r="S39" s="468">
        <f t="shared" si="31"/>
        <v>2.136150234741784</v>
      </c>
      <c r="T39" s="468">
        <f t="shared" si="31"/>
        <v>11.375</v>
      </c>
      <c r="U39" s="468" t="e">
        <f t="shared" si="31"/>
        <v>#DIV/0!</v>
      </c>
      <c r="V39" s="468"/>
      <c r="W39" s="468"/>
      <c r="X39" s="468"/>
      <c r="Y39" s="468"/>
      <c r="Z39" s="468"/>
      <c r="AB39" s="1493"/>
      <c r="AC39" s="417" t="s">
        <v>765</v>
      </c>
      <c r="AD39" s="417">
        <f>Z107*3*3</f>
        <v>27</v>
      </c>
      <c r="AE39" s="455">
        <v>27</v>
      </c>
      <c r="AF39">
        <v>2</v>
      </c>
      <c r="AJ39" s="13"/>
      <c r="AK39" s="13"/>
      <c r="AL39" s="13" t="s">
        <v>352</v>
      </c>
      <c r="AM39">
        <f>$AK$28*2*3</f>
        <v>18</v>
      </c>
    </row>
    <row r="40" spans="4:39">
      <c r="D40" s="466">
        <f t="shared" si="30"/>
        <v>5</v>
      </c>
      <c r="E40" s="467" t="s">
        <v>750</v>
      </c>
      <c r="F40" s="470">
        <v>22.5</v>
      </c>
      <c r="G40" s="470">
        <v>22.5</v>
      </c>
      <c r="H40" s="470">
        <v>22.5</v>
      </c>
      <c r="I40" s="470">
        <v>22.5</v>
      </c>
      <c r="J40" s="470">
        <v>22.5</v>
      </c>
      <c r="K40" s="470">
        <v>22.5</v>
      </c>
      <c r="L40" s="470">
        <v>22.5</v>
      </c>
      <c r="M40" s="470">
        <v>22.5</v>
      </c>
      <c r="N40" s="470">
        <v>22.5</v>
      </c>
      <c r="O40" s="470">
        <v>22.5</v>
      </c>
      <c r="P40" s="470">
        <v>22.5</v>
      </c>
      <c r="Q40" s="470">
        <v>22.5</v>
      </c>
      <c r="R40" s="470">
        <v>22.5</v>
      </c>
      <c r="S40" s="470">
        <v>22.5</v>
      </c>
      <c r="T40" s="470">
        <v>22.5</v>
      </c>
      <c r="U40" s="470">
        <v>22.5</v>
      </c>
      <c r="V40" s="470"/>
      <c r="W40" s="470"/>
      <c r="X40" s="470"/>
      <c r="Y40" s="470"/>
      <c r="Z40" s="470"/>
      <c r="AB40" s="1493"/>
      <c r="AC40" s="417" t="s">
        <v>766</v>
      </c>
      <c r="AD40" s="417">
        <f>Z107*1*3</f>
        <v>9</v>
      </c>
      <c r="AE40" s="455">
        <v>0</v>
      </c>
      <c r="AF40">
        <v>1</v>
      </c>
      <c r="AG40" t="s">
        <v>773</v>
      </c>
      <c r="AJ40" s="13"/>
      <c r="AK40" s="13"/>
      <c r="AL40" s="13" t="s">
        <v>122</v>
      </c>
    </row>
    <row r="41" spans="4:39">
      <c r="D41" s="466">
        <f t="shared" si="30"/>
        <v>6</v>
      </c>
      <c r="E41" s="467" t="s">
        <v>752</v>
      </c>
      <c r="F41" s="471">
        <f>F40*60*F39</f>
        <v>3839.0625</v>
      </c>
      <c r="G41" s="471">
        <f t="shared" ref="G41:U41" si="32">G40*60*G39</f>
        <v>3839.0625</v>
      </c>
      <c r="H41" s="471">
        <f t="shared" si="32"/>
        <v>3613.2352941176468</v>
      </c>
      <c r="I41" s="471">
        <f t="shared" si="32"/>
        <v>3232.894736842105</v>
      </c>
      <c r="J41" s="471">
        <f t="shared" si="32"/>
        <v>2670.6521739130435</v>
      </c>
      <c r="K41" s="471">
        <f t="shared" si="32"/>
        <v>2118.1034482758623</v>
      </c>
      <c r="L41" s="471">
        <f t="shared" si="32"/>
        <v>1660.135135135135</v>
      </c>
      <c r="M41" s="471">
        <f t="shared" si="32"/>
        <v>1655.6603773584905</v>
      </c>
      <c r="N41" s="471">
        <f t="shared" si="32"/>
        <v>1516.6666666666665</v>
      </c>
      <c r="O41" s="471">
        <f t="shared" si="32"/>
        <v>4094.9999999999991</v>
      </c>
      <c r="P41" s="471">
        <f t="shared" si="32"/>
        <v>7226.4705882352937</v>
      </c>
      <c r="Q41" s="471">
        <f t="shared" si="32"/>
        <v>5740.6542056074768</v>
      </c>
      <c r="R41" s="471">
        <f t="shared" si="32"/>
        <v>4387.5</v>
      </c>
      <c r="S41" s="471">
        <f t="shared" si="32"/>
        <v>2883.8028169014083</v>
      </c>
      <c r="T41" s="471">
        <f t="shared" si="32"/>
        <v>15356.25</v>
      </c>
      <c r="U41" s="471" t="e">
        <f t="shared" si="32"/>
        <v>#DIV/0!</v>
      </c>
      <c r="V41" s="471"/>
      <c r="W41" s="471"/>
      <c r="X41" s="471"/>
      <c r="Y41" s="471"/>
      <c r="Z41" s="471"/>
      <c r="AB41" s="1493"/>
      <c r="AC41" s="417" t="s">
        <v>769</v>
      </c>
      <c r="AD41" s="417">
        <f>Z107*1*3</f>
        <v>9</v>
      </c>
      <c r="AE41" s="455">
        <v>9</v>
      </c>
      <c r="AJ41" s="13"/>
      <c r="AK41" s="13"/>
      <c r="AL41" s="13"/>
    </row>
    <row r="42" spans="4:39">
      <c r="D42" s="466">
        <f t="shared" si="30"/>
        <v>7</v>
      </c>
      <c r="E42" s="467" t="s">
        <v>736</v>
      </c>
      <c r="F42" s="468">
        <f>(F8*(1-F20))/F41</f>
        <v>0</v>
      </c>
      <c r="G42" s="468">
        <f>(G8*(1-G20))/G41</f>
        <v>9.6030326019218223E-3</v>
      </c>
      <c r="H42" s="468">
        <f>(H8*(1-H20))/H41</f>
        <v>1.9884044081769709E-2</v>
      </c>
      <c r="I42" s="468">
        <f>(I8*(1-I20))/I41</f>
        <v>0.41203766823452254</v>
      </c>
      <c r="J42" s="468">
        <f>(J8*(1-J20))/J41</f>
        <v>0.18174258965383794</v>
      </c>
      <c r="K42" s="468"/>
      <c r="L42" s="468"/>
      <c r="M42" s="468"/>
      <c r="N42" s="468"/>
      <c r="O42" s="468">
        <f t="shared" ref="O42:T42" si="33">(O8*(1-O20))/O41</f>
        <v>6.3175304534018886E-2</v>
      </c>
      <c r="P42" s="468">
        <f t="shared" si="33"/>
        <v>0</v>
      </c>
      <c r="Q42" s="468">
        <f t="shared" si="33"/>
        <v>7.4314588808630566E-2</v>
      </c>
      <c r="R42" s="468">
        <f t="shared" si="33"/>
        <v>4.6014238556367118E-2</v>
      </c>
      <c r="S42" s="468">
        <f t="shared" si="33"/>
        <v>0</v>
      </c>
      <c r="T42" s="468">
        <f t="shared" si="33"/>
        <v>3.2295337190710295E-2</v>
      </c>
      <c r="U42" s="470"/>
      <c r="V42" s="470"/>
      <c r="W42" s="470"/>
      <c r="X42" s="470"/>
      <c r="Y42" s="470"/>
      <c r="Z42" s="470"/>
      <c r="AB42" s="1493"/>
      <c r="AC42" s="417" t="s">
        <v>122</v>
      </c>
      <c r="AD42" s="417">
        <f>1*3</f>
        <v>3</v>
      </c>
      <c r="AE42" s="455">
        <v>3</v>
      </c>
      <c r="AJ42" s="13" t="s">
        <v>774</v>
      </c>
      <c r="AK42" s="13"/>
      <c r="AL42" s="13" t="s">
        <v>122</v>
      </c>
      <c r="AM42">
        <v>1</v>
      </c>
    </row>
    <row r="43" spans="4:39">
      <c r="D43" s="466">
        <f t="shared" si="30"/>
        <v>8</v>
      </c>
      <c r="E43" s="472" t="s">
        <v>757</v>
      </c>
      <c r="F43" s="473"/>
      <c r="G43" s="474"/>
      <c r="H43" s="475"/>
      <c r="I43" s="475"/>
      <c r="J43" s="475"/>
      <c r="K43" s="475"/>
      <c r="L43" s="475"/>
      <c r="M43" s="475"/>
      <c r="N43" s="475"/>
      <c r="O43" s="475"/>
      <c r="P43" s="475"/>
      <c r="Q43" s="475"/>
      <c r="R43" s="475"/>
      <c r="S43" s="475"/>
      <c r="T43" s="475"/>
      <c r="U43" s="475"/>
      <c r="V43" s="475"/>
      <c r="W43" s="476"/>
      <c r="X43" s="477"/>
      <c r="Y43" s="473"/>
      <c r="Z43" s="478">
        <f>SUM(F42:Z42)</f>
        <v>0.83906680366177888</v>
      </c>
      <c r="AB43" s="1494"/>
      <c r="AC43" s="417" t="s">
        <v>120</v>
      </c>
      <c r="AD43" s="417">
        <f>1*3</f>
        <v>3</v>
      </c>
      <c r="AE43" s="455">
        <v>0</v>
      </c>
      <c r="AG43" t="s">
        <v>775</v>
      </c>
      <c r="AJ43" s="13"/>
      <c r="AK43" s="13"/>
      <c r="AL43" s="13" t="s">
        <v>776</v>
      </c>
      <c r="AM43">
        <f>2*3</f>
        <v>6</v>
      </c>
    </row>
    <row r="44" spans="4:39">
      <c r="D44" s="442"/>
      <c r="E44" s="443"/>
      <c r="F44" s="458"/>
      <c r="G44" s="458"/>
      <c r="J44" s="415" t="s">
        <v>777</v>
      </c>
      <c r="P44" s="415" t="s">
        <v>778</v>
      </c>
      <c r="X44" s="416"/>
      <c r="Y44" s="461" t="s">
        <v>759</v>
      </c>
      <c r="Z44" s="454"/>
      <c r="AB44" s="430" t="str">
        <f>AB35</f>
        <v>Packing Line</v>
      </c>
      <c r="AC44" s="431" t="s">
        <v>779</v>
      </c>
      <c r="AD44" s="432">
        <f>SUM(AD35:AD43)</f>
        <v>105</v>
      </c>
      <c r="AE44" s="433">
        <f>SUM(AE35:AE43)</f>
        <v>84</v>
      </c>
      <c r="AJ44" s="13"/>
      <c r="AK44" s="13"/>
      <c r="AL44" s="13"/>
    </row>
    <row r="45" spans="4:39">
      <c r="D45" s="442"/>
      <c r="X45" s="416"/>
      <c r="Y45" s="463" t="s">
        <v>762</v>
      </c>
      <c r="Z45" s="464">
        <f>+ROUND((Z44+Z43)+0.25,0)</f>
        <v>1</v>
      </c>
      <c r="AB45" s="1492" t="s">
        <v>118</v>
      </c>
      <c r="AC45" s="417" t="s">
        <v>144</v>
      </c>
      <c r="AD45" s="417">
        <f>Z107*1*3</f>
        <v>9</v>
      </c>
      <c r="AE45" s="455">
        <f>2*3</f>
        <v>6</v>
      </c>
      <c r="AJ45" s="13"/>
      <c r="AK45" s="13"/>
      <c r="AL45" s="13"/>
    </row>
    <row r="46" spans="4:39">
      <c r="D46" s="1469" t="s">
        <v>112</v>
      </c>
      <c r="E46" s="1470"/>
      <c r="F46" s="1470"/>
      <c r="G46" s="1470"/>
      <c r="H46" s="1470"/>
      <c r="I46" s="1470"/>
      <c r="J46" s="1470"/>
      <c r="K46" s="1470"/>
      <c r="L46" s="1470"/>
      <c r="M46" s="1470"/>
      <c r="N46" s="1470"/>
      <c r="O46" s="1470"/>
      <c r="P46" s="1470"/>
      <c r="Q46" s="1470"/>
      <c r="R46" s="1470"/>
      <c r="S46" s="1470"/>
      <c r="T46" s="1470"/>
      <c r="U46" s="1470"/>
      <c r="V46" s="1470"/>
      <c r="W46" s="1471"/>
      <c r="AB46" s="1493"/>
      <c r="AC46" s="417" t="s">
        <v>352</v>
      </c>
      <c r="AD46" s="417">
        <f>Z107*2*3</f>
        <v>18</v>
      </c>
      <c r="AE46" s="455">
        <f>4*3</f>
        <v>12</v>
      </c>
      <c r="AJ46" s="13" t="s">
        <v>780</v>
      </c>
      <c r="AK46" s="13"/>
      <c r="AL46" s="13" t="s">
        <v>781</v>
      </c>
      <c r="AM46">
        <v>1</v>
      </c>
    </row>
    <row r="47" spans="4:39">
      <c r="D47" s="479"/>
      <c r="E47" s="480"/>
      <c r="F47" s="481" t="str">
        <f>F35</f>
        <v>120x160</v>
      </c>
      <c r="G47" s="481" t="str">
        <f t="shared" ref="G47:V47" si="34">G35</f>
        <v>120x160</v>
      </c>
      <c r="H47" s="481" t="str">
        <f t="shared" si="34"/>
        <v>120x170</v>
      </c>
      <c r="I47" s="481" t="str">
        <f t="shared" si="34"/>
        <v>130x190</v>
      </c>
      <c r="J47" s="481" t="str">
        <f t="shared" si="34"/>
        <v>150x230</v>
      </c>
      <c r="K47" s="481" t="str">
        <f t="shared" si="34"/>
        <v>200x290</v>
      </c>
      <c r="L47" s="481" t="str">
        <f t="shared" si="34"/>
        <v>370X100</v>
      </c>
      <c r="M47" s="481" t="str">
        <f t="shared" si="34"/>
        <v>371x100</v>
      </c>
      <c r="N47" s="481" t="str">
        <f t="shared" si="34"/>
        <v>405x100</v>
      </c>
      <c r="O47" s="481" t="str">
        <f t="shared" si="34"/>
        <v>50x150</v>
      </c>
      <c r="P47" s="481" t="str">
        <f t="shared" si="34"/>
        <v>50x85</v>
      </c>
      <c r="Q47" s="481" t="str">
        <f t="shared" si="34"/>
        <v>67x107</v>
      </c>
      <c r="R47" s="481" t="str">
        <f t="shared" si="34"/>
        <v>80x140</v>
      </c>
      <c r="S47" s="481" t="str">
        <f t="shared" si="34"/>
        <v>151x213</v>
      </c>
      <c r="T47" s="481" t="str">
        <f t="shared" si="34"/>
        <v>40x80</v>
      </c>
      <c r="U47" s="481">
        <f t="shared" si="34"/>
        <v>0</v>
      </c>
      <c r="V47" s="481">
        <f t="shared" si="34"/>
        <v>0</v>
      </c>
      <c r="W47" s="480"/>
      <c r="AB47" s="1494"/>
      <c r="AC47" s="417" t="s">
        <v>122</v>
      </c>
      <c r="AD47" s="417">
        <f>1*3</f>
        <v>3</v>
      </c>
      <c r="AE47" s="455">
        <v>3</v>
      </c>
      <c r="AJ47" s="13"/>
      <c r="AK47" s="13"/>
      <c r="AL47" s="13" t="s">
        <v>121</v>
      </c>
      <c r="AM47">
        <f>1*3</f>
        <v>3</v>
      </c>
    </row>
    <row r="48" spans="4:39">
      <c r="D48" s="482">
        <v>1</v>
      </c>
      <c r="E48" s="483" t="s">
        <v>782</v>
      </c>
      <c r="F48" s="484">
        <v>61</v>
      </c>
      <c r="G48" s="484">
        <v>61</v>
      </c>
      <c r="H48" s="484">
        <v>61</v>
      </c>
      <c r="I48" s="484">
        <v>61</v>
      </c>
      <c r="J48" s="484">
        <v>61</v>
      </c>
      <c r="K48" s="484">
        <v>61</v>
      </c>
      <c r="L48" s="484">
        <v>61</v>
      </c>
      <c r="M48" s="484">
        <v>61</v>
      </c>
      <c r="N48" s="484">
        <v>61</v>
      </c>
      <c r="O48" s="484">
        <v>61</v>
      </c>
      <c r="P48" s="484">
        <v>61</v>
      </c>
      <c r="Q48" s="484">
        <v>61</v>
      </c>
      <c r="R48" s="484">
        <v>61</v>
      </c>
      <c r="S48" s="484">
        <v>61</v>
      </c>
      <c r="T48" s="484">
        <v>61</v>
      </c>
      <c r="U48" s="483"/>
      <c r="V48" s="483"/>
      <c r="W48" s="483"/>
      <c r="X48" s="483"/>
      <c r="Y48" s="483"/>
      <c r="Z48" s="483"/>
      <c r="AB48" s="430" t="str">
        <f>AB45</f>
        <v>Box Packing</v>
      </c>
      <c r="AC48" s="431" t="s">
        <v>783</v>
      </c>
      <c r="AD48" s="485">
        <f>SUM(AD45:AD47)</f>
        <v>30</v>
      </c>
      <c r="AE48" s="465">
        <f>SUM(AE45:AE47)</f>
        <v>21</v>
      </c>
      <c r="AJ48" s="13"/>
      <c r="AK48" s="13"/>
      <c r="AL48" s="13"/>
    </row>
    <row r="49" spans="1:39">
      <c r="D49" s="482">
        <v>2</v>
      </c>
      <c r="E49" s="483" t="s">
        <v>58</v>
      </c>
      <c r="F49" s="486">
        <v>0.7</v>
      </c>
      <c r="G49" s="486">
        <v>0.7</v>
      </c>
      <c r="H49" s="486">
        <v>0.7</v>
      </c>
      <c r="I49" s="486">
        <v>0.7</v>
      </c>
      <c r="J49" s="486">
        <v>0.7</v>
      </c>
      <c r="K49" s="486">
        <v>0.7</v>
      </c>
      <c r="L49" s="486">
        <v>0.7</v>
      </c>
      <c r="M49" s="486">
        <v>0.7</v>
      </c>
      <c r="N49" s="486">
        <v>0.7</v>
      </c>
      <c r="O49" s="486">
        <v>0.7</v>
      </c>
      <c r="P49" s="486">
        <v>0.7</v>
      </c>
      <c r="Q49" s="486">
        <v>0.7</v>
      </c>
      <c r="R49" s="486">
        <v>0.7</v>
      </c>
      <c r="S49" s="486">
        <v>0.7</v>
      </c>
      <c r="T49" s="486">
        <v>0.7</v>
      </c>
      <c r="U49" s="483"/>
      <c r="V49" s="483"/>
      <c r="W49" s="483"/>
      <c r="X49" s="483"/>
      <c r="Y49" s="483"/>
      <c r="Z49" s="483"/>
      <c r="AB49" s="430"/>
      <c r="AC49" s="431"/>
      <c r="AD49" s="432"/>
      <c r="AE49" s="465"/>
      <c r="AJ49" s="13" t="s">
        <v>138</v>
      </c>
      <c r="AK49" s="13"/>
      <c r="AL49" s="13" t="s">
        <v>215</v>
      </c>
      <c r="AM49">
        <f>1*3</f>
        <v>3</v>
      </c>
    </row>
    <row r="50" spans="1:39">
      <c r="D50" s="482">
        <v>3</v>
      </c>
      <c r="E50" s="483" t="s">
        <v>784</v>
      </c>
      <c r="F50" s="487">
        <f>(F8*F20)*F48</f>
        <v>9587.9426222558486</v>
      </c>
      <c r="G50" s="487">
        <f>(G8*G20)*G48</f>
        <v>7895.3722056661636</v>
      </c>
      <c r="H50" s="487">
        <f>(H8*H20)*H48</f>
        <v>0</v>
      </c>
      <c r="I50" s="487">
        <f>(I8*I20)*I48</f>
        <v>0</v>
      </c>
      <c r="J50" s="487">
        <f>(J8*J20)*J48</f>
        <v>0</v>
      </c>
      <c r="K50" s="487">
        <f>(K8*100%)*K48</f>
        <v>17146.116639971689</v>
      </c>
      <c r="L50" s="487">
        <f>(L8*100%)*L48</f>
        <v>1644.8692095137842</v>
      </c>
      <c r="M50" s="487">
        <f>(M8*100%)*M48</f>
        <v>24673.038142706762</v>
      </c>
      <c r="N50" s="487">
        <f>(N8*100%)*N48</f>
        <v>6579.4768380551368</v>
      </c>
      <c r="O50" s="487">
        <f t="shared" ref="O50:T50" si="35">(O8*O20)*O48</f>
        <v>0</v>
      </c>
      <c r="P50" s="487">
        <f t="shared" si="35"/>
        <v>3140.0553209618142</v>
      </c>
      <c r="Q50" s="487">
        <f t="shared" si="35"/>
        <v>0</v>
      </c>
      <c r="R50" s="487">
        <f t="shared" si="35"/>
        <v>0</v>
      </c>
      <c r="S50" s="487">
        <f t="shared" si="35"/>
        <v>30874.19506257373</v>
      </c>
      <c r="T50" s="487">
        <f t="shared" si="35"/>
        <v>0</v>
      </c>
      <c r="U50" s="483"/>
      <c r="V50" s="483"/>
      <c r="W50" s="483"/>
      <c r="X50" s="483"/>
      <c r="Y50" s="483"/>
      <c r="Z50" s="483"/>
      <c r="AB50" s="1474" t="s">
        <v>785</v>
      </c>
      <c r="AC50" s="488" t="s">
        <v>786</v>
      </c>
      <c r="AD50" s="489">
        <f>1*3</f>
        <v>3</v>
      </c>
      <c r="AE50" s="424">
        <v>3</v>
      </c>
      <c r="AJ50" s="13"/>
      <c r="AK50" s="13"/>
      <c r="AL50" s="13" t="s">
        <v>159</v>
      </c>
      <c r="AM50">
        <f>1*3</f>
        <v>3</v>
      </c>
    </row>
    <row r="51" spans="1:39">
      <c r="D51" s="482">
        <v>4</v>
      </c>
      <c r="E51" s="483" t="s">
        <v>787</v>
      </c>
      <c r="F51" s="490">
        <f>F50/3600</f>
        <v>2.6633173950710689</v>
      </c>
      <c r="G51" s="490">
        <f t="shared" ref="G51:T51" si="36">G50/3600</f>
        <v>2.1931589460183787</v>
      </c>
      <c r="H51" s="490">
        <f t="shared" si="36"/>
        <v>0</v>
      </c>
      <c r="I51" s="490">
        <f t="shared" si="36"/>
        <v>0</v>
      </c>
      <c r="J51" s="490">
        <f t="shared" si="36"/>
        <v>0</v>
      </c>
      <c r="K51" s="490">
        <f t="shared" si="36"/>
        <v>4.7628101777699134</v>
      </c>
      <c r="L51" s="490">
        <f t="shared" si="36"/>
        <v>0.45690811375382895</v>
      </c>
      <c r="M51" s="490">
        <f t="shared" si="36"/>
        <v>6.8536217063074343</v>
      </c>
      <c r="N51" s="490">
        <f t="shared" si="36"/>
        <v>1.8276324550153158</v>
      </c>
      <c r="O51" s="490">
        <f t="shared" si="36"/>
        <v>0</v>
      </c>
      <c r="P51" s="490">
        <f t="shared" si="36"/>
        <v>0.87223758915605953</v>
      </c>
      <c r="Q51" s="490">
        <f t="shared" si="36"/>
        <v>0</v>
      </c>
      <c r="R51" s="490">
        <f t="shared" si="36"/>
        <v>0</v>
      </c>
      <c r="S51" s="490">
        <f t="shared" si="36"/>
        <v>8.5761652951593703</v>
      </c>
      <c r="T51" s="490">
        <f t="shared" si="36"/>
        <v>0</v>
      </c>
      <c r="U51" s="483"/>
      <c r="V51" s="483"/>
      <c r="W51" s="483"/>
      <c r="X51" s="483"/>
      <c r="Y51" s="483"/>
      <c r="Z51" s="483"/>
      <c r="AB51" s="1474"/>
      <c r="AC51" s="488" t="s">
        <v>788</v>
      </c>
      <c r="AD51" s="489">
        <f>2*3</f>
        <v>6</v>
      </c>
      <c r="AE51" s="424">
        <v>6</v>
      </c>
      <c r="AJ51" s="13"/>
      <c r="AK51" s="13"/>
      <c r="AL51" s="45" t="s">
        <v>125</v>
      </c>
      <c r="AM51">
        <f>1*3</f>
        <v>3</v>
      </c>
    </row>
    <row r="52" spans="1:39">
      <c r="D52" s="482">
        <v>5</v>
      </c>
      <c r="E52" s="483" t="s">
        <v>789</v>
      </c>
      <c r="F52" s="490">
        <f>F51/22.5</f>
        <v>0.11836966200315861</v>
      </c>
      <c r="G52" s="490">
        <f t="shared" ref="G52:T52" si="37">G51/22.5</f>
        <v>9.7473730934150168E-2</v>
      </c>
      <c r="H52" s="490">
        <f t="shared" si="37"/>
        <v>0</v>
      </c>
      <c r="I52" s="490">
        <f t="shared" si="37"/>
        <v>0</v>
      </c>
      <c r="J52" s="490">
        <f t="shared" si="37"/>
        <v>0</v>
      </c>
      <c r="K52" s="490">
        <f t="shared" si="37"/>
        <v>0.21168045234532948</v>
      </c>
      <c r="L52" s="490">
        <f t="shared" si="37"/>
        <v>2.0307027277947955E-2</v>
      </c>
      <c r="M52" s="490">
        <f t="shared" si="37"/>
        <v>0.3046054091692193</v>
      </c>
      <c r="N52" s="490">
        <f t="shared" si="37"/>
        <v>8.1228109111791819E-2</v>
      </c>
      <c r="O52" s="490">
        <f t="shared" si="37"/>
        <v>0</v>
      </c>
      <c r="P52" s="490">
        <f t="shared" si="37"/>
        <v>3.8766115073602649E-2</v>
      </c>
      <c r="Q52" s="490">
        <f t="shared" si="37"/>
        <v>0</v>
      </c>
      <c r="R52" s="490">
        <f t="shared" si="37"/>
        <v>0</v>
      </c>
      <c r="S52" s="490">
        <f t="shared" si="37"/>
        <v>0.38116290200708314</v>
      </c>
      <c r="T52" s="490">
        <f t="shared" si="37"/>
        <v>0</v>
      </c>
      <c r="U52" s="483"/>
      <c r="V52" s="483"/>
      <c r="W52" s="483"/>
      <c r="X52" s="483"/>
      <c r="Y52" s="483"/>
      <c r="Z52" s="483"/>
      <c r="AB52" s="1475" t="s">
        <v>780</v>
      </c>
      <c r="AC52" s="488" t="s">
        <v>781</v>
      </c>
      <c r="AD52" s="489">
        <v>1</v>
      </c>
      <c r="AE52" s="424">
        <v>1</v>
      </c>
      <c r="AM52">
        <f>SUM(AM3:AM51)</f>
        <v>284</v>
      </c>
    </row>
    <row r="53" spans="1:39">
      <c r="D53" s="482">
        <v>6</v>
      </c>
      <c r="E53" s="483" t="s">
        <v>790</v>
      </c>
      <c r="F53" s="490">
        <f t="shared" ref="F53:J53" si="38">F52*(2-F49)</f>
        <v>0.15388056060410621</v>
      </c>
      <c r="G53" s="490">
        <f t="shared" si="38"/>
        <v>0.12671585021439521</v>
      </c>
      <c r="H53" s="490">
        <f t="shared" si="38"/>
        <v>0</v>
      </c>
      <c r="I53" s="490">
        <f t="shared" si="38"/>
        <v>0</v>
      </c>
      <c r="J53" s="490">
        <f t="shared" si="38"/>
        <v>0</v>
      </c>
      <c r="K53" s="490">
        <f>K52*(2-K49)</f>
        <v>0.27518458804892831</v>
      </c>
      <c r="L53" s="490">
        <f t="shared" ref="L53:T53" si="39">L52*(2-L49)</f>
        <v>2.6399135461332341E-2</v>
      </c>
      <c r="M53" s="490">
        <f t="shared" si="39"/>
        <v>0.39598703191998508</v>
      </c>
      <c r="N53" s="490">
        <f t="shared" si="39"/>
        <v>0.10559654184532936</v>
      </c>
      <c r="O53" s="490">
        <f t="shared" si="39"/>
        <v>0</v>
      </c>
      <c r="P53" s="490">
        <f t="shared" si="39"/>
        <v>5.0395949595683442E-2</v>
      </c>
      <c r="Q53" s="490">
        <f t="shared" si="39"/>
        <v>0</v>
      </c>
      <c r="R53" s="490">
        <f t="shared" si="39"/>
        <v>0</v>
      </c>
      <c r="S53" s="490">
        <f t="shared" si="39"/>
        <v>0.49551177260920809</v>
      </c>
      <c r="T53" s="490">
        <f t="shared" si="39"/>
        <v>0</v>
      </c>
      <c r="U53" s="483"/>
      <c r="V53" s="483"/>
      <c r="W53" s="483"/>
      <c r="X53" s="483"/>
      <c r="Y53" s="483"/>
      <c r="Z53" s="483"/>
      <c r="AB53" s="1476"/>
      <c r="AC53" s="488" t="s">
        <v>791</v>
      </c>
      <c r="AD53" s="489">
        <f>1*3</f>
        <v>3</v>
      </c>
      <c r="AE53" s="424">
        <v>3</v>
      </c>
    </row>
    <row r="54" spans="1:39">
      <c r="I54" s="415" t="s">
        <v>792</v>
      </c>
      <c r="Y54" s="491" t="s">
        <v>793</v>
      </c>
      <c r="Z54" s="492">
        <f>ROUND(SUM(F53:X53),0)</f>
        <v>2</v>
      </c>
      <c r="AB54" s="1475" t="s">
        <v>307</v>
      </c>
      <c r="AC54" s="488" t="s">
        <v>215</v>
      </c>
      <c r="AD54" s="489">
        <f>1*3</f>
        <v>3</v>
      </c>
      <c r="AE54" s="424">
        <v>3</v>
      </c>
      <c r="AF54" t="s">
        <v>794</v>
      </c>
      <c r="AJ54" t="s">
        <v>795</v>
      </c>
    </row>
    <row r="55" spans="1:39">
      <c r="AB55" s="1477"/>
      <c r="AC55" s="488" t="s">
        <v>159</v>
      </c>
      <c r="AD55" s="489">
        <f>1*3</f>
        <v>3</v>
      </c>
      <c r="AE55" s="436">
        <v>3</v>
      </c>
    </row>
    <row r="56" spans="1:39">
      <c r="AB56" s="1476"/>
      <c r="AC56" s="488" t="s">
        <v>125</v>
      </c>
      <c r="AD56" s="489">
        <f>2*3</f>
        <v>6</v>
      </c>
      <c r="AE56" s="424">
        <v>6</v>
      </c>
    </row>
    <row r="57" spans="1:39">
      <c r="D57" s="1469" t="s">
        <v>747</v>
      </c>
      <c r="E57" s="1470"/>
      <c r="F57" s="1470"/>
      <c r="G57" s="1470"/>
      <c r="H57" s="1470"/>
      <c r="I57" s="1470"/>
      <c r="J57" s="1470"/>
      <c r="K57" s="1470"/>
      <c r="L57" s="1470"/>
      <c r="M57" s="1470"/>
      <c r="N57" s="1470"/>
      <c r="O57" s="1470"/>
      <c r="P57" s="1470"/>
      <c r="Q57" s="1470"/>
      <c r="R57" s="1470"/>
      <c r="S57" s="1470"/>
      <c r="T57" s="1470"/>
      <c r="U57" s="1470"/>
      <c r="V57" s="1470"/>
      <c r="W57" s="1471"/>
      <c r="X57" s="416"/>
      <c r="Y57" s="416"/>
      <c r="Z57" s="416"/>
      <c r="AB57" s="493" t="s">
        <v>796</v>
      </c>
      <c r="AC57" s="494" t="s">
        <v>797</v>
      </c>
      <c r="AD57" s="495">
        <f>SUM(AD50:AD56)</f>
        <v>25</v>
      </c>
      <c r="AE57" s="496">
        <f>SUM(AE50:AE56)</f>
        <v>25</v>
      </c>
    </row>
    <row r="58" spans="1:39">
      <c r="D58" s="446"/>
      <c r="E58" s="447"/>
      <c r="F58" s="401" t="str">
        <f t="shared" ref="F58:V58" si="40">F35</f>
        <v>120x160</v>
      </c>
      <c r="G58" s="401" t="str">
        <f t="shared" si="40"/>
        <v>120x160</v>
      </c>
      <c r="H58" s="401" t="str">
        <f t="shared" si="40"/>
        <v>120x170</v>
      </c>
      <c r="I58" s="401" t="str">
        <f t="shared" si="40"/>
        <v>130x190</v>
      </c>
      <c r="J58" s="401" t="str">
        <f t="shared" si="40"/>
        <v>150x230</v>
      </c>
      <c r="K58" s="401" t="str">
        <f t="shared" si="40"/>
        <v>200x290</v>
      </c>
      <c r="L58" s="401" t="str">
        <f t="shared" si="40"/>
        <v>370X100</v>
      </c>
      <c r="M58" s="401" t="str">
        <f t="shared" si="40"/>
        <v>371x100</v>
      </c>
      <c r="N58" s="401" t="str">
        <f t="shared" si="40"/>
        <v>405x100</v>
      </c>
      <c r="O58" s="401" t="str">
        <f t="shared" si="40"/>
        <v>50x150</v>
      </c>
      <c r="P58" s="401" t="str">
        <f t="shared" si="40"/>
        <v>50x85</v>
      </c>
      <c r="Q58" s="401" t="str">
        <f t="shared" si="40"/>
        <v>67x107</v>
      </c>
      <c r="R58" s="401" t="str">
        <f t="shared" si="40"/>
        <v>80x140</v>
      </c>
      <c r="S58" s="401" t="str">
        <f t="shared" si="40"/>
        <v>151x213</v>
      </c>
      <c r="T58" s="401" t="str">
        <f t="shared" si="40"/>
        <v>40x80</v>
      </c>
      <c r="U58" s="401">
        <f t="shared" si="40"/>
        <v>0</v>
      </c>
      <c r="V58" s="401">
        <f t="shared" si="40"/>
        <v>0</v>
      </c>
      <c r="W58" s="447"/>
      <c r="X58" s="448"/>
      <c r="Y58" s="448"/>
      <c r="Z58" s="448"/>
      <c r="AB58" s="1478" t="s">
        <v>796</v>
      </c>
      <c r="AC58" s="497" t="s">
        <v>798</v>
      </c>
      <c r="AD58" s="498"/>
      <c r="AE58" s="424"/>
    </row>
    <row r="59" spans="1:39">
      <c r="D59" s="499">
        <v>1</v>
      </c>
      <c r="E59" s="500" t="s">
        <v>723</v>
      </c>
      <c r="F59" s="501">
        <v>6</v>
      </c>
      <c r="G59" s="501">
        <f>F59</f>
        <v>6</v>
      </c>
      <c r="H59" s="501">
        <f t="shared" ref="H59:U59" si="41">G59</f>
        <v>6</v>
      </c>
      <c r="I59" s="501">
        <f t="shared" si="41"/>
        <v>6</v>
      </c>
      <c r="J59" s="501">
        <f t="shared" si="41"/>
        <v>6</v>
      </c>
      <c r="K59" s="501">
        <f t="shared" si="41"/>
        <v>6</v>
      </c>
      <c r="L59" s="501">
        <f t="shared" si="41"/>
        <v>6</v>
      </c>
      <c r="M59" s="501">
        <f t="shared" si="41"/>
        <v>6</v>
      </c>
      <c r="N59" s="501">
        <f t="shared" si="41"/>
        <v>6</v>
      </c>
      <c r="O59" s="501">
        <f t="shared" si="41"/>
        <v>6</v>
      </c>
      <c r="P59" s="501">
        <f t="shared" si="41"/>
        <v>6</v>
      </c>
      <c r="Q59" s="501">
        <f t="shared" si="41"/>
        <v>6</v>
      </c>
      <c r="R59" s="501">
        <f t="shared" si="41"/>
        <v>6</v>
      </c>
      <c r="S59" s="501">
        <f t="shared" si="41"/>
        <v>6</v>
      </c>
      <c r="T59" s="501">
        <f t="shared" si="41"/>
        <v>6</v>
      </c>
      <c r="U59" s="501">
        <f t="shared" si="41"/>
        <v>6</v>
      </c>
      <c r="V59" s="501"/>
      <c r="W59" s="501"/>
      <c r="X59" s="501"/>
      <c r="Y59" s="501"/>
      <c r="Z59" s="501"/>
      <c r="AB59" s="1478"/>
      <c r="AC59" s="497" t="s">
        <v>799</v>
      </c>
      <c r="AD59" s="498"/>
      <c r="AE59" s="436"/>
      <c r="AJ59" t="s">
        <v>800</v>
      </c>
      <c r="AK59" t="s">
        <v>801</v>
      </c>
    </row>
    <row r="60" spans="1:39">
      <c r="A60" s="44"/>
      <c r="D60" s="499">
        <f>+D59+1</f>
        <v>2</v>
      </c>
      <c r="E60" s="500" t="s">
        <v>744</v>
      </c>
      <c r="F60" s="501">
        <f t="shared" ref="F60:U60" si="42">+F59*F10</f>
        <v>3.75</v>
      </c>
      <c r="G60" s="501">
        <f t="shared" si="42"/>
        <v>3.75</v>
      </c>
      <c r="H60" s="501">
        <f t="shared" si="42"/>
        <v>3.5294117647058822</v>
      </c>
      <c r="I60" s="501">
        <f t="shared" si="42"/>
        <v>3.1578947368421053</v>
      </c>
      <c r="J60" s="501">
        <f t="shared" si="42"/>
        <v>2.6086956521739131</v>
      </c>
      <c r="K60" s="501">
        <f t="shared" si="42"/>
        <v>2.0689655172413794</v>
      </c>
      <c r="L60" s="501">
        <f t="shared" si="42"/>
        <v>1.6216216216216217</v>
      </c>
      <c r="M60" s="501">
        <f t="shared" si="42"/>
        <v>1.6172506738544472</v>
      </c>
      <c r="N60" s="501">
        <f t="shared" si="42"/>
        <v>1.4814814814814814</v>
      </c>
      <c r="O60" s="501">
        <f t="shared" si="42"/>
        <v>4</v>
      </c>
      <c r="P60" s="501">
        <f t="shared" si="42"/>
        <v>7.0588235294117645</v>
      </c>
      <c r="Q60" s="501">
        <f t="shared" si="42"/>
        <v>5.6074766355140184</v>
      </c>
      <c r="R60" s="501">
        <f t="shared" si="42"/>
        <v>4.2857142857142856</v>
      </c>
      <c r="S60" s="501">
        <f t="shared" si="42"/>
        <v>2.816901408450704</v>
      </c>
      <c r="T60" s="501">
        <f t="shared" si="42"/>
        <v>15</v>
      </c>
      <c r="U60" s="501" t="e">
        <f t="shared" si="42"/>
        <v>#DIV/0!</v>
      </c>
      <c r="V60" s="501"/>
      <c r="W60" s="501"/>
      <c r="X60" s="501"/>
      <c r="Y60" s="501"/>
      <c r="Z60" s="501"/>
      <c r="AB60" s="1478"/>
      <c r="AC60" s="497" t="s">
        <v>802</v>
      </c>
      <c r="AD60" s="498"/>
      <c r="AE60" s="424"/>
      <c r="AJ60" t="s">
        <v>371</v>
      </c>
    </row>
    <row r="61" spans="1:39">
      <c r="A61" s="44"/>
      <c r="D61" s="499">
        <f t="shared" ref="D61:D66" si="43">+D60+1</f>
        <v>3</v>
      </c>
      <c r="E61" s="500" t="s">
        <v>746</v>
      </c>
      <c r="F61" s="502">
        <v>0.7</v>
      </c>
      <c r="G61" s="502">
        <v>0.7</v>
      </c>
      <c r="H61" s="502">
        <v>0.7</v>
      </c>
      <c r="I61" s="502">
        <v>0.7</v>
      </c>
      <c r="J61" s="502">
        <v>0.7</v>
      </c>
      <c r="K61" s="502">
        <v>0.7</v>
      </c>
      <c r="L61" s="502">
        <v>0.7</v>
      </c>
      <c r="M61" s="502">
        <v>0.7</v>
      </c>
      <c r="N61" s="502">
        <v>0.7</v>
      </c>
      <c r="O61" s="502">
        <v>0.7</v>
      </c>
      <c r="P61" s="502">
        <v>0.7</v>
      </c>
      <c r="Q61" s="502">
        <v>0.7</v>
      </c>
      <c r="R61" s="502">
        <v>0.7</v>
      </c>
      <c r="S61" s="502">
        <v>0.7</v>
      </c>
      <c r="T61" s="502">
        <v>0.7</v>
      </c>
      <c r="U61" s="502">
        <v>0.7</v>
      </c>
      <c r="V61" s="502"/>
      <c r="W61" s="502"/>
      <c r="X61" s="502"/>
      <c r="Y61" s="502"/>
      <c r="Z61" s="502"/>
      <c r="AB61" s="1478"/>
      <c r="AC61" s="497" t="s">
        <v>791</v>
      </c>
      <c r="AD61" s="498"/>
      <c r="AE61" s="424"/>
    </row>
    <row r="62" spans="1:39">
      <c r="A62" s="44"/>
      <c r="D62" s="499">
        <f t="shared" si="43"/>
        <v>4</v>
      </c>
      <c r="E62" s="500" t="s">
        <v>730</v>
      </c>
      <c r="F62" s="501">
        <f t="shared" ref="F62:U62" si="44">+F60*F61</f>
        <v>2.625</v>
      </c>
      <c r="G62" s="501">
        <f t="shared" si="44"/>
        <v>2.625</v>
      </c>
      <c r="H62" s="501">
        <f t="shared" si="44"/>
        <v>2.4705882352941173</v>
      </c>
      <c r="I62" s="501">
        <f t="shared" si="44"/>
        <v>2.2105263157894735</v>
      </c>
      <c r="J62" s="501">
        <f t="shared" si="44"/>
        <v>1.826086956521739</v>
      </c>
      <c r="K62" s="501">
        <f t="shared" si="44"/>
        <v>1.4482758620689655</v>
      </c>
      <c r="L62" s="501">
        <f t="shared" si="44"/>
        <v>1.1351351351351351</v>
      </c>
      <c r="M62" s="501">
        <f t="shared" si="44"/>
        <v>1.132075471698113</v>
      </c>
      <c r="N62" s="501">
        <f t="shared" si="44"/>
        <v>1.037037037037037</v>
      </c>
      <c r="O62" s="501">
        <f t="shared" si="44"/>
        <v>2.8</v>
      </c>
      <c r="P62" s="501">
        <f t="shared" si="44"/>
        <v>4.9411764705882346</v>
      </c>
      <c r="Q62" s="501">
        <f t="shared" si="44"/>
        <v>3.9252336448598126</v>
      </c>
      <c r="R62" s="501">
        <f t="shared" si="44"/>
        <v>2.9999999999999996</v>
      </c>
      <c r="S62" s="501">
        <f t="shared" si="44"/>
        <v>1.9718309859154928</v>
      </c>
      <c r="T62" s="501">
        <f t="shared" si="44"/>
        <v>10.5</v>
      </c>
      <c r="U62" s="501" t="e">
        <f t="shared" si="44"/>
        <v>#DIV/0!</v>
      </c>
      <c r="V62" s="501"/>
      <c r="W62" s="501"/>
      <c r="X62" s="501"/>
      <c r="Y62" s="501"/>
      <c r="Z62" s="501"/>
      <c r="AB62" s="1478"/>
      <c r="AC62" s="497" t="s">
        <v>803</v>
      </c>
      <c r="AD62" s="498"/>
      <c r="AE62" s="424"/>
    </row>
    <row r="63" spans="1:39">
      <c r="A63" s="44"/>
      <c r="D63" s="499">
        <f t="shared" si="43"/>
        <v>5</v>
      </c>
      <c r="E63" s="500" t="s">
        <v>750</v>
      </c>
      <c r="F63" s="503">
        <v>22.5</v>
      </c>
      <c r="G63" s="503">
        <v>22.5</v>
      </c>
      <c r="H63" s="503">
        <v>22.5</v>
      </c>
      <c r="I63" s="503">
        <v>22.5</v>
      </c>
      <c r="J63" s="503">
        <v>22.5</v>
      </c>
      <c r="K63" s="503">
        <v>22.5</v>
      </c>
      <c r="L63" s="503">
        <v>22.5</v>
      </c>
      <c r="M63" s="503">
        <v>22.5</v>
      </c>
      <c r="N63" s="503">
        <v>22.5</v>
      </c>
      <c r="O63" s="503">
        <v>22.5</v>
      </c>
      <c r="P63" s="503">
        <v>22.5</v>
      </c>
      <c r="Q63" s="503">
        <v>22.5</v>
      </c>
      <c r="R63" s="503">
        <v>22.5</v>
      </c>
      <c r="S63" s="503">
        <v>22.5</v>
      </c>
      <c r="T63" s="503">
        <v>22.5</v>
      </c>
      <c r="U63" s="503">
        <v>22.5</v>
      </c>
      <c r="V63" s="503"/>
      <c r="W63" s="503"/>
      <c r="X63" s="503"/>
      <c r="Y63" s="503"/>
      <c r="Z63" s="503"/>
      <c r="AB63" s="1478"/>
      <c r="AC63" s="497" t="s">
        <v>804</v>
      </c>
      <c r="AD63" s="498"/>
      <c r="AE63" s="436"/>
    </row>
    <row r="64" spans="1:39">
      <c r="A64" s="44"/>
      <c r="D64" s="499">
        <f t="shared" si="43"/>
        <v>6</v>
      </c>
      <c r="E64" s="500" t="s">
        <v>752</v>
      </c>
      <c r="F64" s="504">
        <f>F63*60*F62</f>
        <v>3543.75</v>
      </c>
      <c r="G64" s="504">
        <f t="shared" ref="G64:U64" si="45">G63*60*G62</f>
        <v>3543.75</v>
      </c>
      <c r="H64" s="504">
        <f t="shared" si="45"/>
        <v>3335.2941176470586</v>
      </c>
      <c r="I64" s="504">
        <f t="shared" si="45"/>
        <v>2984.2105263157891</v>
      </c>
      <c r="J64" s="504">
        <f t="shared" si="45"/>
        <v>2465.2173913043475</v>
      </c>
      <c r="K64" s="504">
        <f t="shared" si="45"/>
        <v>1955.1724137931035</v>
      </c>
      <c r="L64" s="504">
        <f t="shared" si="45"/>
        <v>1532.4324324324323</v>
      </c>
      <c r="M64" s="504">
        <f t="shared" si="45"/>
        <v>1528.3018867924525</v>
      </c>
      <c r="N64" s="504">
        <f t="shared" si="45"/>
        <v>1400</v>
      </c>
      <c r="O64" s="504">
        <f t="shared" si="45"/>
        <v>3779.9999999999995</v>
      </c>
      <c r="P64" s="504">
        <f t="shared" si="45"/>
        <v>6670.5882352941171</v>
      </c>
      <c r="Q64" s="504">
        <f t="shared" si="45"/>
        <v>5299.065420560747</v>
      </c>
      <c r="R64" s="504">
        <f t="shared" si="45"/>
        <v>4049.9999999999995</v>
      </c>
      <c r="S64" s="504">
        <f t="shared" si="45"/>
        <v>2661.9718309859154</v>
      </c>
      <c r="T64" s="504">
        <f t="shared" si="45"/>
        <v>14175</v>
      </c>
      <c r="U64" s="504" t="e">
        <f t="shared" si="45"/>
        <v>#DIV/0!</v>
      </c>
      <c r="V64" s="504"/>
      <c r="W64" s="504"/>
      <c r="X64" s="504"/>
      <c r="Y64" s="504"/>
      <c r="Z64" s="504"/>
      <c r="AB64" s="1478"/>
      <c r="AC64" s="497" t="s">
        <v>805</v>
      </c>
      <c r="AD64" s="498"/>
      <c r="AE64" s="424"/>
    </row>
    <row r="65" spans="1:52">
      <c r="A65" s="44"/>
      <c r="D65" s="499">
        <f t="shared" si="43"/>
        <v>7</v>
      </c>
      <c r="E65" s="500" t="s">
        <v>736</v>
      </c>
      <c r="F65" s="503">
        <f t="shared" ref="F65:L65" si="46">+F8/F64</f>
        <v>4.4353971710785436E-2</v>
      </c>
      <c r="G65" s="503">
        <f t="shared" si="46"/>
        <v>4.6927399954495776E-2</v>
      </c>
      <c r="H65" s="503">
        <f t="shared" si="46"/>
        <v>2.1541047755250516E-2</v>
      </c>
      <c r="I65" s="503">
        <f t="shared" si="46"/>
        <v>0.44637414058739944</v>
      </c>
      <c r="J65" s="503">
        <f t="shared" si="46"/>
        <v>0.19688780545832446</v>
      </c>
      <c r="K65" s="503">
        <f t="shared" si="46"/>
        <v>0.14376424163968513</v>
      </c>
      <c r="L65" s="503">
        <f t="shared" si="46"/>
        <v>1.7596253144826098E-2</v>
      </c>
      <c r="M65" s="503"/>
      <c r="N65" s="503"/>
      <c r="O65" s="503"/>
      <c r="P65" s="503"/>
      <c r="Q65" s="503"/>
      <c r="R65" s="503"/>
      <c r="S65" s="503"/>
      <c r="T65" s="503"/>
      <c r="U65" s="503"/>
      <c r="V65" s="503"/>
      <c r="W65" s="503"/>
      <c r="X65" s="503"/>
      <c r="Y65" s="503"/>
      <c r="Z65" s="503"/>
      <c r="AB65" s="1478"/>
      <c r="AC65" s="497" t="s">
        <v>806</v>
      </c>
      <c r="AD65" s="498"/>
      <c r="AE65" s="424"/>
    </row>
    <row r="66" spans="1:52">
      <c r="A66" s="44"/>
      <c r="D66" s="499">
        <f t="shared" si="43"/>
        <v>8</v>
      </c>
      <c r="E66" s="505" t="s">
        <v>757</v>
      </c>
      <c r="F66" s="506"/>
      <c r="G66" s="507"/>
      <c r="H66" s="500"/>
      <c r="I66" s="500"/>
      <c r="J66" s="500"/>
      <c r="K66" s="500"/>
      <c r="L66" s="500"/>
      <c r="M66" s="500"/>
      <c r="N66" s="500"/>
      <c r="O66" s="500"/>
      <c r="P66" s="500"/>
      <c r="Q66" s="500"/>
      <c r="R66" s="500"/>
      <c r="S66" s="500"/>
      <c r="T66" s="500"/>
      <c r="U66" s="500"/>
      <c r="V66" s="500"/>
      <c r="W66" s="508"/>
      <c r="X66" s="509"/>
      <c r="Y66" s="506"/>
      <c r="Z66" s="510">
        <f>SUM(F65:Z65)</f>
        <v>0.91744486025076688</v>
      </c>
      <c r="AB66" s="1479" t="s">
        <v>807</v>
      </c>
      <c r="AC66" s="497" t="s">
        <v>808</v>
      </c>
      <c r="AD66" s="498"/>
      <c r="AE66" s="424"/>
    </row>
    <row r="67" spans="1:52">
      <c r="A67" s="44"/>
      <c r="D67" s="442"/>
      <c r="E67" s="443"/>
      <c r="F67" s="458"/>
      <c r="G67" s="458"/>
      <c r="I67" s="415" t="s">
        <v>809</v>
      </c>
      <c r="X67" s="416"/>
      <c r="Y67" s="511" t="s">
        <v>759</v>
      </c>
      <c r="Z67" s="512"/>
      <c r="AB67" s="1480"/>
      <c r="AC67" s="497" t="s">
        <v>810</v>
      </c>
      <c r="AD67" s="498"/>
      <c r="AE67" s="424"/>
      <c r="AM67" t="s">
        <v>811</v>
      </c>
    </row>
    <row r="68" spans="1:52">
      <c r="A68" s="44"/>
      <c r="D68" s="513"/>
      <c r="E68" s="514" t="s">
        <v>812</v>
      </c>
      <c r="F68" s="458"/>
      <c r="G68" s="458"/>
      <c r="X68" s="416"/>
      <c r="Y68" s="463" t="s">
        <v>762</v>
      </c>
      <c r="Z68" s="464">
        <f>+ROUND((Z67+Z66)+0.25,0)</f>
        <v>1</v>
      </c>
      <c r="AB68" s="1478"/>
      <c r="AC68" s="497" t="s">
        <v>813</v>
      </c>
      <c r="AD68" s="498"/>
      <c r="AE68" s="424"/>
      <c r="AP68">
        <f>SUM(AP69:AP72)</f>
        <v>41</v>
      </c>
      <c r="AT68">
        <f>SUM(AT69:AT72)</f>
        <v>50</v>
      </c>
      <c r="AX68">
        <f>SUM(AX69:AX72)</f>
        <v>37</v>
      </c>
    </row>
    <row r="69" spans="1:52">
      <c r="A69" s="44"/>
      <c r="F69" s="515">
        <f t="shared" ref="F69:T69" si="47">F8/600</f>
        <v>0.26196564541682649</v>
      </c>
      <c r="G69" s="515">
        <f t="shared" si="47"/>
        <v>0.27716495598124069</v>
      </c>
      <c r="H69" s="515">
        <f t="shared" si="47"/>
        <v>0.11974288311006905</v>
      </c>
      <c r="I69" s="515">
        <f t="shared" si="47"/>
        <v>2.2201240150268022</v>
      </c>
      <c r="J69" s="515">
        <f t="shared" si="47"/>
        <v>0.80895207025268079</v>
      </c>
      <c r="K69" s="515">
        <f t="shared" si="47"/>
        <v>0.46847313223966364</v>
      </c>
      <c r="L69" s="515">
        <f t="shared" si="47"/>
        <v>4.4941781680704486E-2</v>
      </c>
      <c r="M69" s="515">
        <f t="shared" si="47"/>
        <v>0.67412672521056727</v>
      </c>
      <c r="N69" s="515">
        <f t="shared" si="47"/>
        <v>0.17976712672281794</v>
      </c>
      <c r="O69" s="515">
        <f t="shared" si="47"/>
        <v>0.43117145344467883</v>
      </c>
      <c r="P69" s="515">
        <f t="shared" si="47"/>
        <v>8.5793861228464871E-2</v>
      </c>
      <c r="Q69" s="515">
        <f t="shared" si="47"/>
        <v>0.71102392797042568</v>
      </c>
      <c r="R69" s="515">
        <f t="shared" si="47"/>
        <v>0.3364791194434345</v>
      </c>
      <c r="S69" s="515">
        <f t="shared" si="47"/>
        <v>0.84355724214682326</v>
      </c>
      <c r="T69" s="515">
        <f t="shared" si="47"/>
        <v>0.82655878622474155</v>
      </c>
      <c r="AB69" s="1478"/>
      <c r="AC69" s="497" t="s">
        <v>814</v>
      </c>
      <c r="AD69" s="498"/>
      <c r="AE69" s="424"/>
      <c r="AM69" t="s">
        <v>815</v>
      </c>
      <c r="AN69">
        <v>0</v>
      </c>
      <c r="AO69">
        <v>11</v>
      </c>
      <c r="AP69">
        <f>AO69-AN69</f>
        <v>11</v>
      </c>
      <c r="AR69">
        <v>41</v>
      </c>
      <c r="AS69">
        <v>52</v>
      </c>
      <c r="AT69">
        <f>AS69-AR69</f>
        <v>11</v>
      </c>
      <c r="AV69">
        <v>91</v>
      </c>
      <c r="AW69">
        <v>99</v>
      </c>
      <c r="AX69">
        <f>AW69-AV69</f>
        <v>8</v>
      </c>
      <c r="AY69">
        <f>MAX(AX69,AT69,AP69)</f>
        <v>11</v>
      </c>
    </row>
    <row r="70" spans="1:52">
      <c r="A70" s="44"/>
      <c r="D70" s="1481" t="s">
        <v>753</v>
      </c>
      <c r="E70" s="1482"/>
      <c r="F70" s="1482"/>
      <c r="G70" s="1482"/>
      <c r="H70" s="1482"/>
      <c r="I70" s="1482"/>
      <c r="J70" s="1482"/>
      <c r="K70" s="1482"/>
      <c r="L70" s="1482"/>
      <c r="M70" s="1482"/>
      <c r="N70" s="1482"/>
      <c r="O70" s="1482"/>
      <c r="P70" s="1482"/>
      <c r="Q70" s="1482"/>
      <c r="R70" s="1482"/>
      <c r="S70" s="1482"/>
      <c r="T70" s="1482"/>
      <c r="U70" s="1482"/>
      <c r="V70" s="1482"/>
      <c r="W70" s="1483"/>
      <c r="X70" s="516"/>
      <c r="Y70" s="516"/>
      <c r="Z70" s="516"/>
      <c r="AB70" s="1478" t="s">
        <v>816</v>
      </c>
      <c r="AC70" s="497" t="s">
        <v>817</v>
      </c>
      <c r="AD70" s="498"/>
      <c r="AE70" s="436"/>
      <c r="AM70" t="s">
        <v>818</v>
      </c>
      <c r="AN70">
        <v>11</v>
      </c>
      <c r="AO70">
        <v>21</v>
      </c>
      <c r="AP70">
        <f t="shared" ref="AP70:AP72" si="48">AO70-AN70</f>
        <v>10</v>
      </c>
      <c r="AR70">
        <v>52</v>
      </c>
      <c r="AS70">
        <v>67</v>
      </c>
      <c r="AT70">
        <f t="shared" ref="AT70:AT72" si="49">AS70-AR70</f>
        <v>15</v>
      </c>
      <c r="AV70">
        <v>99</v>
      </c>
      <c r="AW70">
        <v>110</v>
      </c>
      <c r="AX70">
        <f t="shared" ref="AX70:AX72" si="50">AW70-AV70</f>
        <v>11</v>
      </c>
      <c r="AY70">
        <f t="shared" ref="AY70:AY72" si="51">MAX(AX70,AT70,AP70)</f>
        <v>15</v>
      </c>
    </row>
    <row r="71" spans="1:52">
      <c r="A71" s="44"/>
      <c r="D71" s="517" t="s">
        <v>690</v>
      </c>
      <c r="E71" s="447" t="s">
        <v>819</v>
      </c>
      <c r="F71" s="401" t="str">
        <f t="shared" ref="F71:V71" si="52">F22</f>
        <v>120x160</v>
      </c>
      <c r="G71" s="401" t="str">
        <f t="shared" si="52"/>
        <v>120x160</v>
      </c>
      <c r="H71" s="401" t="str">
        <f t="shared" si="52"/>
        <v>120x170</v>
      </c>
      <c r="I71" s="401" t="str">
        <f t="shared" si="52"/>
        <v>130x190</v>
      </c>
      <c r="J71" s="401" t="str">
        <f t="shared" si="52"/>
        <v>150x230</v>
      </c>
      <c r="K71" s="401" t="str">
        <f t="shared" si="52"/>
        <v>200x290</v>
      </c>
      <c r="L71" s="401" t="str">
        <f t="shared" si="52"/>
        <v>370X100</v>
      </c>
      <c r="M71" s="401" t="str">
        <f t="shared" si="52"/>
        <v>371x100</v>
      </c>
      <c r="N71" s="401" t="str">
        <f t="shared" si="52"/>
        <v>405x100</v>
      </c>
      <c r="O71" s="401" t="str">
        <f t="shared" si="52"/>
        <v>50x150</v>
      </c>
      <c r="P71" s="401" t="str">
        <f t="shared" si="52"/>
        <v>50x85</v>
      </c>
      <c r="Q71" s="401" t="str">
        <f t="shared" si="52"/>
        <v>67x107</v>
      </c>
      <c r="R71" s="401" t="str">
        <f t="shared" si="52"/>
        <v>80x140</v>
      </c>
      <c r="S71" s="401" t="str">
        <f t="shared" si="52"/>
        <v>151x213</v>
      </c>
      <c r="T71" s="401" t="str">
        <f t="shared" si="52"/>
        <v>40x80</v>
      </c>
      <c r="U71" s="401">
        <f t="shared" si="52"/>
        <v>0</v>
      </c>
      <c r="V71" s="401">
        <f t="shared" si="52"/>
        <v>0</v>
      </c>
      <c r="W71" s="447"/>
      <c r="X71" s="447"/>
      <c r="Y71" s="447"/>
      <c r="Z71" s="447"/>
      <c r="AB71" s="1478"/>
      <c r="AC71" s="497" t="s">
        <v>820</v>
      </c>
      <c r="AD71" s="498"/>
      <c r="AE71" s="424"/>
      <c r="AM71" t="s">
        <v>821</v>
      </c>
      <c r="AN71">
        <v>21</v>
      </c>
      <c r="AO71">
        <v>30</v>
      </c>
      <c r="AP71">
        <f t="shared" si="48"/>
        <v>9</v>
      </c>
      <c r="AR71">
        <v>67</v>
      </c>
      <c r="AS71">
        <v>75</v>
      </c>
      <c r="AT71">
        <f t="shared" si="49"/>
        <v>8</v>
      </c>
      <c r="AV71">
        <v>110</v>
      </c>
      <c r="AW71">
        <v>115</v>
      </c>
      <c r="AX71">
        <f t="shared" si="50"/>
        <v>5</v>
      </c>
      <c r="AY71">
        <f t="shared" si="51"/>
        <v>9</v>
      </c>
    </row>
    <row r="72" spans="1:52">
      <c r="A72" s="44">
        <f>(60/F72)</f>
        <v>0.73529411764705876</v>
      </c>
      <c r="D72" s="499">
        <v>1</v>
      </c>
      <c r="E72" s="518" t="s">
        <v>822</v>
      </c>
      <c r="F72" s="519">
        <f>(F6/100)*51</f>
        <v>81.600000000000009</v>
      </c>
      <c r="G72" s="519">
        <f>(G6/100)*51</f>
        <v>81.600000000000009</v>
      </c>
      <c r="H72" s="519">
        <f>(H6/100)*52</f>
        <v>88.399999999999991</v>
      </c>
      <c r="I72" s="519">
        <f>(I6/100)*52</f>
        <v>98.8</v>
      </c>
      <c r="J72" s="519">
        <f>(J6/100)*52</f>
        <v>119.6</v>
      </c>
      <c r="K72" s="519">
        <f>(K6/100)*52</f>
        <v>150.79999999999998</v>
      </c>
      <c r="L72" s="519">
        <f>(L5/100)*52</f>
        <v>192.4</v>
      </c>
      <c r="M72" s="519">
        <f>(M5/100)*52</f>
        <v>192.92</v>
      </c>
      <c r="N72" s="519">
        <f>(N5/100)*52</f>
        <v>210.6</v>
      </c>
      <c r="O72" s="519">
        <f>(O6/100)*52</f>
        <v>78</v>
      </c>
      <c r="P72" s="519">
        <f>(P6/100)*52</f>
        <v>44.199999999999996</v>
      </c>
      <c r="Q72" s="519">
        <f>(Q6/100)*52</f>
        <v>55.64</v>
      </c>
      <c r="R72" s="519">
        <f>(R6/100)*52</f>
        <v>72.8</v>
      </c>
      <c r="S72" s="519">
        <f>(S6/100)*52</f>
        <v>110.75999999999999</v>
      </c>
      <c r="T72" s="519">
        <f>(T5/100)*52</f>
        <v>20.8</v>
      </c>
      <c r="U72" s="519"/>
      <c r="V72" s="519"/>
      <c r="W72" s="519"/>
      <c r="X72" s="519"/>
      <c r="Y72" s="519"/>
      <c r="Z72" s="519"/>
      <c r="AB72" s="1478"/>
      <c r="AC72" s="497" t="s">
        <v>823</v>
      </c>
      <c r="AD72" s="498"/>
      <c r="AE72" s="436"/>
      <c r="AM72" t="s">
        <v>818</v>
      </c>
      <c r="AN72">
        <v>30</v>
      </c>
      <c r="AO72">
        <v>41</v>
      </c>
      <c r="AP72">
        <f t="shared" si="48"/>
        <v>11</v>
      </c>
      <c r="AR72">
        <v>75</v>
      </c>
      <c r="AS72">
        <v>91</v>
      </c>
      <c r="AT72">
        <f t="shared" si="49"/>
        <v>16</v>
      </c>
      <c r="AV72">
        <v>115</v>
      </c>
      <c r="AW72">
        <v>128</v>
      </c>
      <c r="AX72">
        <f t="shared" si="50"/>
        <v>13</v>
      </c>
      <c r="AY72">
        <f t="shared" si="51"/>
        <v>16</v>
      </c>
    </row>
    <row r="73" spans="1:52">
      <c r="D73" s="499">
        <v>2</v>
      </c>
      <c r="E73" s="518" t="s">
        <v>824</v>
      </c>
      <c r="F73" s="503">
        <v>450</v>
      </c>
      <c r="G73" s="503">
        <v>450</v>
      </c>
      <c r="H73" s="503">
        <v>450</v>
      </c>
      <c r="I73" s="503">
        <v>450</v>
      </c>
      <c r="J73" s="503">
        <v>450</v>
      </c>
      <c r="K73" s="503">
        <v>450</v>
      </c>
      <c r="L73" s="503">
        <v>450</v>
      </c>
      <c r="M73" s="503">
        <v>450</v>
      </c>
      <c r="N73" s="503">
        <v>450</v>
      </c>
      <c r="O73" s="503">
        <v>450</v>
      </c>
      <c r="P73" s="503">
        <v>450</v>
      </c>
      <c r="Q73" s="503">
        <v>450</v>
      </c>
      <c r="R73" s="503">
        <v>450</v>
      </c>
      <c r="S73" s="503">
        <v>450</v>
      </c>
      <c r="T73" s="503">
        <v>450</v>
      </c>
      <c r="U73" s="503"/>
      <c r="V73" s="503"/>
      <c r="W73" s="503"/>
      <c r="X73" s="503"/>
      <c r="Y73" s="503"/>
      <c r="Z73" s="503"/>
      <c r="AB73" s="1478" t="s">
        <v>825</v>
      </c>
      <c r="AC73" s="497" t="s">
        <v>826</v>
      </c>
      <c r="AD73" s="498"/>
      <c r="AE73" s="424"/>
    </row>
    <row r="74" spans="1:52">
      <c r="D74" s="499">
        <v>3</v>
      </c>
      <c r="E74" s="518" t="s">
        <v>58</v>
      </c>
      <c r="F74" s="502">
        <v>0.7</v>
      </c>
      <c r="G74" s="502">
        <v>0.7</v>
      </c>
      <c r="H74" s="502">
        <v>0.7</v>
      </c>
      <c r="I74" s="502">
        <v>0.7</v>
      </c>
      <c r="J74" s="502">
        <v>0.7</v>
      </c>
      <c r="K74" s="502">
        <v>0.7</v>
      </c>
      <c r="L74" s="502">
        <v>0.7</v>
      </c>
      <c r="M74" s="502">
        <v>0.7</v>
      </c>
      <c r="N74" s="502">
        <v>0.7</v>
      </c>
      <c r="O74" s="502">
        <v>0.7</v>
      </c>
      <c r="P74" s="502">
        <v>0.7</v>
      </c>
      <c r="Q74" s="502">
        <v>0.7</v>
      </c>
      <c r="R74" s="502">
        <v>0.7</v>
      </c>
      <c r="S74" s="502">
        <v>0.7</v>
      </c>
      <c r="T74" s="502">
        <v>0.7</v>
      </c>
      <c r="U74" s="502"/>
      <c r="V74" s="502"/>
      <c r="W74" s="502"/>
      <c r="X74" s="502"/>
      <c r="Y74" s="502"/>
      <c r="Z74" s="502"/>
      <c r="AB74" s="1478"/>
      <c r="AC74" s="497" t="s">
        <v>827</v>
      </c>
      <c r="AD74" s="498"/>
      <c r="AE74" s="424"/>
    </row>
    <row r="75" spans="1:52">
      <c r="D75" s="499">
        <v>4</v>
      </c>
      <c r="E75" s="518" t="s">
        <v>828</v>
      </c>
      <c r="F75" s="503"/>
      <c r="G75" s="503"/>
      <c r="H75" s="503"/>
      <c r="I75" s="503"/>
      <c r="J75" s="503"/>
      <c r="K75" s="503"/>
      <c r="L75" s="501"/>
      <c r="M75" s="501">
        <f t="shared" ref="M75:T75" si="53">(((M$8*M72)/(M$73*60*M$74))/3)</f>
        <v>1.3762172256891285</v>
      </c>
      <c r="N75" s="501">
        <f t="shared" si="53"/>
        <v>0.4006238824108514</v>
      </c>
      <c r="O75" s="501">
        <f t="shared" si="53"/>
        <v>0.35588754887497293</v>
      </c>
      <c r="P75" s="501">
        <f t="shared" si="53"/>
        <v>4.0127922394689389E-2</v>
      </c>
      <c r="Q75" s="501">
        <f t="shared" si="53"/>
        <v>0.41863885028861891</v>
      </c>
      <c r="R75" s="501">
        <f t="shared" si="53"/>
        <v>0.25921354386753476</v>
      </c>
      <c r="S75" s="501">
        <f t="shared" si="53"/>
        <v>0.98870264698605437</v>
      </c>
      <c r="T75" s="501">
        <f t="shared" si="53"/>
        <v>0.18193039950766801</v>
      </c>
      <c r="U75" s="503"/>
      <c r="V75" s="503"/>
      <c r="W75" s="503"/>
      <c r="X75" s="503"/>
      <c r="Y75" s="503"/>
      <c r="Z75" s="503"/>
      <c r="AB75" s="1478"/>
      <c r="AC75" s="497" t="s">
        <v>829</v>
      </c>
      <c r="AD75" s="498"/>
      <c r="AE75" s="424"/>
      <c r="AQ75" t="s">
        <v>830</v>
      </c>
      <c r="AR75" t="s">
        <v>831</v>
      </c>
    </row>
    <row r="76" spans="1:52">
      <c r="D76" s="499">
        <v>5</v>
      </c>
      <c r="E76" s="518" t="s">
        <v>832</v>
      </c>
      <c r="F76" s="504">
        <f>F75*3</f>
        <v>0</v>
      </c>
      <c r="G76" s="504">
        <f t="shared" ref="G76:T76" si="54">G75*3</f>
        <v>0</v>
      </c>
      <c r="H76" s="504">
        <f t="shared" si="54"/>
        <v>0</v>
      </c>
      <c r="I76" s="504">
        <f t="shared" si="54"/>
        <v>0</v>
      </c>
      <c r="J76" s="504">
        <f t="shared" si="54"/>
        <v>0</v>
      </c>
      <c r="K76" s="504">
        <f t="shared" si="54"/>
        <v>0</v>
      </c>
      <c r="L76" s="504">
        <f t="shared" si="54"/>
        <v>0</v>
      </c>
      <c r="M76" s="504">
        <f t="shared" si="54"/>
        <v>4.1286516770673858</v>
      </c>
      <c r="N76" s="504">
        <f t="shared" si="54"/>
        <v>1.2018716472325541</v>
      </c>
      <c r="O76" s="504">
        <f t="shared" si="54"/>
        <v>1.0676626466249188</v>
      </c>
      <c r="P76" s="504">
        <f t="shared" si="54"/>
        <v>0.12038376718406817</v>
      </c>
      <c r="Q76" s="504">
        <f t="shared" si="54"/>
        <v>1.2559165508658567</v>
      </c>
      <c r="R76" s="504">
        <f t="shared" si="54"/>
        <v>0.77764063160260433</v>
      </c>
      <c r="S76" s="504">
        <f t="shared" si="54"/>
        <v>2.966107940958163</v>
      </c>
      <c r="T76" s="504">
        <f t="shared" si="54"/>
        <v>0.54579119852300406</v>
      </c>
      <c r="U76" s="504"/>
      <c r="V76" s="504"/>
      <c r="W76" s="504"/>
      <c r="X76" s="504"/>
      <c r="Y76" s="504"/>
      <c r="Z76" s="504"/>
      <c r="AB76" s="1478"/>
      <c r="AC76" s="497" t="s">
        <v>833</v>
      </c>
      <c r="AD76" s="498"/>
      <c r="AE76" s="424"/>
      <c r="AM76" t="s">
        <v>834</v>
      </c>
      <c r="AN76">
        <v>128</v>
      </c>
      <c r="AO76">
        <v>139</v>
      </c>
      <c r="AP76">
        <f>AO76-AN76</f>
        <v>11</v>
      </c>
      <c r="AQ76">
        <f>AP76+AT68</f>
        <v>61</v>
      </c>
      <c r="AR76">
        <f>170+170</f>
        <v>340</v>
      </c>
      <c r="AS76" s="128">
        <f>AQ76/(AR76/100)</f>
        <v>17.941176470588236</v>
      </c>
    </row>
    <row r="77" spans="1:52">
      <c r="D77" s="499">
        <v>6</v>
      </c>
      <c r="E77" s="518" t="s">
        <v>761</v>
      </c>
      <c r="F77" s="504">
        <f>F76*0.8</f>
        <v>0</v>
      </c>
      <c r="G77" s="504">
        <f t="shared" ref="G77:T77" si="55">G76*0.8</f>
        <v>0</v>
      </c>
      <c r="H77" s="504">
        <f t="shared" si="55"/>
        <v>0</v>
      </c>
      <c r="I77" s="504">
        <f t="shared" si="55"/>
        <v>0</v>
      </c>
      <c r="J77" s="504">
        <f t="shared" si="55"/>
        <v>0</v>
      </c>
      <c r="K77" s="504">
        <f t="shared" si="55"/>
        <v>0</v>
      </c>
      <c r="L77" s="504">
        <f t="shared" si="55"/>
        <v>0</v>
      </c>
      <c r="M77" s="504">
        <f t="shared" si="55"/>
        <v>3.3029213416539087</v>
      </c>
      <c r="N77" s="504">
        <f t="shared" si="55"/>
        <v>0.9614973177860433</v>
      </c>
      <c r="O77" s="504">
        <f t="shared" si="55"/>
        <v>0.85413011729993515</v>
      </c>
      <c r="P77" s="504">
        <f t="shared" si="55"/>
        <v>9.6307013747254533E-2</v>
      </c>
      <c r="Q77" s="504">
        <f t="shared" si="55"/>
        <v>1.0047332406926854</v>
      </c>
      <c r="R77" s="504">
        <f t="shared" si="55"/>
        <v>0.62211250528208351</v>
      </c>
      <c r="S77" s="504">
        <f t="shared" si="55"/>
        <v>2.3728863527665305</v>
      </c>
      <c r="T77" s="504">
        <f t="shared" si="55"/>
        <v>0.43663295881840325</v>
      </c>
      <c r="U77" s="504"/>
      <c r="V77" s="504"/>
      <c r="W77" s="504"/>
      <c r="X77" s="504"/>
      <c r="Y77" s="504"/>
      <c r="Z77" s="504"/>
      <c r="AB77" s="1478"/>
      <c r="AC77" s="497" t="s">
        <v>835</v>
      </c>
      <c r="AD77" s="498"/>
      <c r="AE77" s="424"/>
      <c r="AQ77">
        <f>AP76+AT68</f>
        <v>61</v>
      </c>
      <c r="AR77">
        <f>120+120</f>
        <v>240</v>
      </c>
      <c r="AS77" s="128">
        <f>AQ77/(AR77/100)</f>
        <v>25.416666666666668</v>
      </c>
      <c r="AT77">
        <f>8*3600</f>
        <v>28800</v>
      </c>
      <c r="AU77">
        <f>AT77/AS77</f>
        <v>1133.1147540983607</v>
      </c>
      <c r="AV77" s="154">
        <f>AU77*0.7</f>
        <v>793.18032786885237</v>
      </c>
    </row>
    <row r="78" spans="1:52">
      <c r="D78" s="499">
        <v>5</v>
      </c>
      <c r="E78" s="520" t="s">
        <v>836</v>
      </c>
      <c r="F78" s="504">
        <f>F76*0.6</f>
        <v>0</v>
      </c>
      <c r="G78" s="504">
        <f t="shared" ref="G78:T78" si="56">G76*0.6</f>
        <v>0</v>
      </c>
      <c r="H78" s="504">
        <f t="shared" si="56"/>
        <v>0</v>
      </c>
      <c r="I78" s="504">
        <f t="shared" si="56"/>
        <v>0</v>
      </c>
      <c r="J78" s="504">
        <f t="shared" si="56"/>
        <v>0</v>
      </c>
      <c r="K78" s="504">
        <f t="shared" si="56"/>
        <v>0</v>
      </c>
      <c r="L78" s="504">
        <f t="shared" si="56"/>
        <v>0</v>
      </c>
      <c r="M78" s="504">
        <f t="shared" si="56"/>
        <v>2.4771910062404312</v>
      </c>
      <c r="N78" s="504">
        <f t="shared" si="56"/>
        <v>0.72112298833953248</v>
      </c>
      <c r="O78" s="504">
        <f t="shared" si="56"/>
        <v>0.64059758797495125</v>
      </c>
      <c r="P78" s="504">
        <f t="shared" si="56"/>
        <v>7.22302603104409E-2</v>
      </c>
      <c r="Q78" s="504">
        <f t="shared" si="56"/>
        <v>0.75354993051951402</v>
      </c>
      <c r="R78" s="504">
        <f t="shared" si="56"/>
        <v>0.46658437896156257</v>
      </c>
      <c r="S78" s="504">
        <f t="shared" si="56"/>
        <v>1.7796647645748978</v>
      </c>
      <c r="T78" s="504">
        <f t="shared" si="56"/>
        <v>0.32747471911380244</v>
      </c>
      <c r="U78" s="504"/>
      <c r="V78" s="504"/>
      <c r="W78" s="504"/>
      <c r="X78" s="504"/>
      <c r="Y78" s="504"/>
      <c r="Z78" s="504"/>
      <c r="AB78" s="1478"/>
      <c r="AC78" s="497" t="s">
        <v>837</v>
      </c>
      <c r="AD78" s="498"/>
      <c r="AE78" s="424"/>
    </row>
    <row r="79" spans="1:52">
      <c r="D79" s="499">
        <v>6</v>
      </c>
      <c r="E79" s="518" t="s">
        <v>122</v>
      </c>
      <c r="F79" s="503">
        <v>0</v>
      </c>
      <c r="G79" s="503">
        <v>0</v>
      </c>
      <c r="H79" s="503">
        <v>0</v>
      </c>
      <c r="I79" s="503">
        <v>0</v>
      </c>
      <c r="J79" s="503">
        <v>0</v>
      </c>
      <c r="K79" s="503">
        <v>0</v>
      </c>
      <c r="L79" s="503">
        <v>0</v>
      </c>
      <c r="M79" s="503">
        <v>0</v>
      </c>
      <c r="N79" s="503">
        <v>0</v>
      </c>
      <c r="O79" s="503">
        <v>0</v>
      </c>
      <c r="P79" s="503">
        <v>0</v>
      </c>
      <c r="Q79" s="503">
        <v>0</v>
      </c>
      <c r="R79" s="503">
        <v>0</v>
      </c>
      <c r="S79" s="503">
        <v>0</v>
      </c>
      <c r="T79" s="503">
        <v>0</v>
      </c>
      <c r="U79" s="503"/>
      <c r="V79" s="503"/>
      <c r="W79" s="503"/>
      <c r="X79" s="503"/>
      <c r="Y79" s="503"/>
      <c r="Z79" s="503"/>
      <c r="AB79" s="1478"/>
      <c r="AC79" s="497" t="s">
        <v>838</v>
      </c>
      <c r="AD79" s="498"/>
      <c r="AE79" s="424"/>
      <c r="AY79">
        <v>51</v>
      </c>
      <c r="AZ79" t="s">
        <v>839</v>
      </c>
    </row>
    <row r="80" spans="1:52">
      <c r="D80" s="499">
        <v>7</v>
      </c>
      <c r="E80" s="518" t="s">
        <v>840</v>
      </c>
      <c r="F80" s="503">
        <f>1*3</f>
        <v>3</v>
      </c>
      <c r="G80" s="503">
        <f t="shared" ref="G80:T80" si="57">1*3</f>
        <v>3</v>
      </c>
      <c r="H80" s="503">
        <f t="shared" si="57"/>
        <v>3</v>
      </c>
      <c r="I80" s="503">
        <f t="shared" si="57"/>
        <v>3</v>
      </c>
      <c r="J80" s="503">
        <f t="shared" si="57"/>
        <v>3</v>
      </c>
      <c r="K80" s="503">
        <f t="shared" si="57"/>
        <v>3</v>
      </c>
      <c r="L80" s="503">
        <f t="shared" si="57"/>
        <v>3</v>
      </c>
      <c r="M80" s="503">
        <f t="shared" si="57"/>
        <v>3</v>
      </c>
      <c r="N80" s="503">
        <f t="shared" si="57"/>
        <v>3</v>
      </c>
      <c r="O80" s="503">
        <f t="shared" si="57"/>
        <v>3</v>
      </c>
      <c r="P80" s="503">
        <f t="shared" si="57"/>
        <v>3</v>
      </c>
      <c r="Q80" s="503">
        <f t="shared" si="57"/>
        <v>3</v>
      </c>
      <c r="R80" s="503">
        <f t="shared" si="57"/>
        <v>3</v>
      </c>
      <c r="S80" s="503">
        <f t="shared" si="57"/>
        <v>3</v>
      </c>
      <c r="T80" s="503">
        <f t="shared" si="57"/>
        <v>3</v>
      </c>
      <c r="U80" s="503"/>
      <c r="V80" s="521"/>
      <c r="W80" s="522"/>
      <c r="X80" s="523"/>
      <c r="Y80" s="509"/>
      <c r="Z80" s="522"/>
      <c r="AB80" s="1478"/>
      <c r="AC80" s="497" t="s">
        <v>841</v>
      </c>
      <c r="AD80" s="498"/>
      <c r="AE80" s="424"/>
      <c r="AN80" t="s">
        <v>842</v>
      </c>
      <c r="AP80" s="524">
        <v>4.8611111111111104E-4</v>
      </c>
      <c r="AQ80" s="524">
        <v>5.5787037037037038E-3</v>
      </c>
      <c r="AR80" s="524">
        <f>AQ80-AP80</f>
        <v>5.092592592592593E-3</v>
      </c>
      <c r="AS80">
        <v>5</v>
      </c>
      <c r="AT80" t="s">
        <v>290</v>
      </c>
    </row>
    <row r="81" spans="1:49">
      <c r="D81" s="499">
        <v>8</v>
      </c>
      <c r="E81" s="518" t="s">
        <v>843</v>
      </c>
      <c r="F81" s="503">
        <f>6*3</f>
        <v>18</v>
      </c>
      <c r="G81" s="503">
        <f t="shared" ref="G81:T82" si="58">6*3</f>
        <v>18</v>
      </c>
      <c r="H81" s="503">
        <f t="shared" si="58"/>
        <v>18</v>
      </c>
      <c r="I81" s="503">
        <f t="shared" si="58"/>
        <v>18</v>
      </c>
      <c r="J81" s="503">
        <f t="shared" si="58"/>
        <v>18</v>
      </c>
      <c r="K81" s="503">
        <f t="shared" si="58"/>
        <v>18</v>
      </c>
      <c r="L81" s="503">
        <f t="shared" si="58"/>
        <v>18</v>
      </c>
      <c r="M81" s="503">
        <f t="shared" si="58"/>
        <v>18</v>
      </c>
      <c r="N81" s="503">
        <f t="shared" si="58"/>
        <v>18</v>
      </c>
      <c r="O81" s="503">
        <f t="shared" si="58"/>
        <v>18</v>
      </c>
      <c r="P81" s="503">
        <f t="shared" si="58"/>
        <v>18</v>
      </c>
      <c r="Q81" s="503">
        <f t="shared" si="58"/>
        <v>18</v>
      </c>
      <c r="R81" s="503">
        <f t="shared" si="58"/>
        <v>18</v>
      </c>
      <c r="S81" s="503">
        <f t="shared" si="58"/>
        <v>18</v>
      </c>
      <c r="T81" s="503">
        <f t="shared" si="58"/>
        <v>18</v>
      </c>
      <c r="U81" s="503"/>
      <c r="V81" s="521"/>
      <c r="W81" s="522"/>
      <c r="X81" s="523"/>
      <c r="Y81" s="522"/>
      <c r="Z81" s="522"/>
      <c r="AB81" s="525" t="s">
        <v>844</v>
      </c>
      <c r="AC81" s="526" t="s">
        <v>845</v>
      </c>
      <c r="AD81" s="527">
        <f>SUM(AD58:AD80)</f>
        <v>0</v>
      </c>
      <c r="AE81" s="528">
        <f>SUM(AE58:AE80)</f>
        <v>0</v>
      </c>
      <c r="AR81">
        <f>(7*60)+20</f>
        <v>440</v>
      </c>
      <c r="AS81">
        <v>5</v>
      </c>
      <c r="AT81">
        <f>AR81/AS81</f>
        <v>88</v>
      </c>
      <c r="AU81" t="s">
        <v>846</v>
      </c>
      <c r="AV81" t="s">
        <v>847</v>
      </c>
      <c r="AW81">
        <f>120+120</f>
        <v>240</v>
      </c>
    </row>
    <row r="82" spans="1:49">
      <c r="D82" s="499">
        <v>9</v>
      </c>
      <c r="E82" s="518" t="s">
        <v>848</v>
      </c>
      <c r="F82" s="503">
        <f>6*3</f>
        <v>18</v>
      </c>
      <c r="G82" s="503">
        <f t="shared" si="58"/>
        <v>18</v>
      </c>
      <c r="H82" s="503">
        <f t="shared" si="58"/>
        <v>18</v>
      </c>
      <c r="I82" s="503">
        <f t="shared" si="58"/>
        <v>18</v>
      </c>
      <c r="J82" s="503">
        <f t="shared" si="58"/>
        <v>18</v>
      </c>
      <c r="K82" s="503">
        <f t="shared" si="58"/>
        <v>18</v>
      </c>
      <c r="L82" s="503">
        <f t="shared" si="58"/>
        <v>18</v>
      </c>
      <c r="M82" s="503">
        <f t="shared" si="58"/>
        <v>18</v>
      </c>
      <c r="N82" s="503">
        <f t="shared" si="58"/>
        <v>18</v>
      </c>
      <c r="O82" s="503">
        <f t="shared" si="58"/>
        <v>18</v>
      </c>
      <c r="P82" s="503">
        <f t="shared" si="58"/>
        <v>18</v>
      </c>
      <c r="Q82" s="503">
        <f t="shared" si="58"/>
        <v>18</v>
      </c>
      <c r="R82" s="503">
        <f t="shared" si="58"/>
        <v>18</v>
      </c>
      <c r="S82" s="503">
        <f t="shared" si="58"/>
        <v>18</v>
      </c>
      <c r="T82" s="503">
        <f t="shared" si="58"/>
        <v>18</v>
      </c>
      <c r="U82" s="503"/>
      <c r="V82" s="521"/>
      <c r="W82" s="522"/>
      <c r="X82" s="523"/>
      <c r="Y82" s="522"/>
      <c r="Z82" s="522"/>
      <c r="AB82" s="525" t="s">
        <v>91</v>
      </c>
      <c r="AC82" s="526" t="s">
        <v>849</v>
      </c>
      <c r="AD82" s="527">
        <f>AD10+AD17+AD20+AD24+AD27+AD31+AD34+AD44+AD48+AD57-AD38</f>
        <v>271</v>
      </c>
      <c r="AE82" s="529">
        <f>AE10+AE17+AE20+AE24+AE27+AE31+AE34+AE44+AE48+AE57-AE38</f>
        <v>223</v>
      </c>
      <c r="AW82">
        <f>170+170</f>
        <v>340</v>
      </c>
    </row>
    <row r="83" spans="1:49">
      <c r="D83" s="499">
        <v>10</v>
      </c>
      <c r="E83" s="518" t="s">
        <v>850</v>
      </c>
      <c r="F83" s="503">
        <f>2*3</f>
        <v>6</v>
      </c>
      <c r="G83" s="503">
        <f t="shared" ref="G83:T83" si="59">2*3</f>
        <v>6</v>
      </c>
      <c r="H83" s="503">
        <f t="shared" si="59"/>
        <v>6</v>
      </c>
      <c r="I83" s="503">
        <f t="shared" si="59"/>
        <v>6</v>
      </c>
      <c r="J83" s="503">
        <f t="shared" si="59"/>
        <v>6</v>
      </c>
      <c r="K83" s="503">
        <f t="shared" si="59"/>
        <v>6</v>
      </c>
      <c r="L83" s="503">
        <f t="shared" si="59"/>
        <v>6</v>
      </c>
      <c r="M83" s="503">
        <f t="shared" si="59"/>
        <v>6</v>
      </c>
      <c r="N83" s="503">
        <f t="shared" si="59"/>
        <v>6</v>
      </c>
      <c r="O83" s="503">
        <f t="shared" si="59"/>
        <v>6</v>
      </c>
      <c r="P83" s="503">
        <f t="shared" si="59"/>
        <v>6</v>
      </c>
      <c r="Q83" s="503">
        <f t="shared" si="59"/>
        <v>6</v>
      </c>
      <c r="R83" s="503">
        <f t="shared" si="59"/>
        <v>6</v>
      </c>
      <c r="S83" s="503">
        <f t="shared" si="59"/>
        <v>6</v>
      </c>
      <c r="T83" s="503">
        <f t="shared" si="59"/>
        <v>6</v>
      </c>
      <c r="U83" s="503"/>
      <c r="V83" s="521"/>
      <c r="W83" s="522"/>
      <c r="X83" s="523"/>
      <c r="Y83" s="522"/>
      <c r="Z83" s="522"/>
      <c r="AB83" s="525" t="s">
        <v>308</v>
      </c>
      <c r="AC83" s="526" t="s">
        <v>851</v>
      </c>
      <c r="AD83" s="527">
        <f>(Z107*2*3)+(1*3)+(1*3)+(1*3)</f>
        <v>27</v>
      </c>
      <c r="AE83" s="529">
        <f>(Z107*2*3)+(1*3)+(1*3)+(1*3)</f>
        <v>27</v>
      </c>
      <c r="AF83" t="s">
        <v>852</v>
      </c>
      <c r="AT83">
        <f>SUM(AW81:AW82)/100</f>
        <v>5.8</v>
      </c>
      <c r="AU83" t="s">
        <v>831</v>
      </c>
      <c r="AV83">
        <v>88</v>
      </c>
      <c r="AW83" t="s">
        <v>839</v>
      </c>
    </row>
    <row r="84" spans="1:49">
      <c r="D84" s="530" t="s">
        <v>853</v>
      </c>
      <c r="E84" s="531"/>
      <c r="F84" s="1484" t="s">
        <v>854</v>
      </c>
      <c r="G84" s="1485"/>
      <c r="H84" s="1485"/>
      <c r="I84" s="1485"/>
      <c r="J84" s="1485"/>
      <c r="K84" s="1485"/>
      <c r="L84" s="1485"/>
      <c r="M84" s="1485"/>
      <c r="N84" s="1485"/>
      <c r="O84" s="1485"/>
      <c r="P84" s="1485"/>
      <c r="Q84" s="1485"/>
      <c r="R84" s="1485"/>
      <c r="S84" s="1485"/>
      <c r="T84" s="1485"/>
      <c r="U84" s="1485"/>
      <c r="V84" s="1485"/>
      <c r="W84" s="1485"/>
      <c r="X84" s="1485"/>
      <c r="Y84" s="1486"/>
      <c r="Z84" s="506">
        <f>SUM(F76:Z76)</f>
        <v>12.064026060058554</v>
      </c>
      <c r="AB84" s="532" t="s">
        <v>855</v>
      </c>
      <c r="AC84" s="533" t="s">
        <v>856</v>
      </c>
      <c r="AD84" s="534">
        <v>5</v>
      </c>
      <c r="AE84" s="535">
        <v>5</v>
      </c>
      <c r="AT84">
        <v>1</v>
      </c>
      <c r="AU84" t="s">
        <v>831</v>
      </c>
      <c r="AV84" s="40">
        <f>AV83/AT83</f>
        <v>15.172413793103448</v>
      </c>
      <c r="AW84" t="s">
        <v>830</v>
      </c>
    </row>
    <row r="85" spans="1:49">
      <c r="D85" s="536"/>
      <c r="E85" s="537" t="s">
        <v>857</v>
      </c>
      <c r="F85" s="415">
        <f t="shared" ref="F85:T85" si="60">F73*3*60</f>
        <v>81000</v>
      </c>
      <c r="G85" s="415">
        <f t="shared" si="60"/>
        <v>81000</v>
      </c>
      <c r="H85" s="415">
        <f t="shared" si="60"/>
        <v>81000</v>
      </c>
      <c r="I85" s="415">
        <f t="shared" si="60"/>
        <v>81000</v>
      </c>
      <c r="J85" s="415">
        <f t="shared" si="60"/>
        <v>81000</v>
      </c>
      <c r="K85" s="415">
        <f t="shared" si="60"/>
        <v>81000</v>
      </c>
      <c r="L85" s="415">
        <f t="shared" si="60"/>
        <v>81000</v>
      </c>
      <c r="M85" s="415">
        <f t="shared" si="60"/>
        <v>81000</v>
      </c>
      <c r="N85" s="415">
        <f t="shared" si="60"/>
        <v>81000</v>
      </c>
      <c r="O85" s="415">
        <f t="shared" si="60"/>
        <v>81000</v>
      </c>
      <c r="P85" s="415">
        <f t="shared" si="60"/>
        <v>81000</v>
      </c>
      <c r="Q85" s="415">
        <f t="shared" si="60"/>
        <v>81000</v>
      </c>
      <c r="R85" s="415">
        <f t="shared" si="60"/>
        <v>81000</v>
      </c>
      <c r="S85" s="415">
        <f t="shared" si="60"/>
        <v>81000</v>
      </c>
      <c r="T85" s="415">
        <f t="shared" si="60"/>
        <v>81000</v>
      </c>
      <c r="U85" s="538"/>
      <c r="V85" s="538"/>
      <c r="W85" s="538"/>
      <c r="X85" s="539"/>
      <c r="Y85" s="540" t="s">
        <v>858</v>
      </c>
      <c r="Z85" s="541">
        <f>Z84/3</f>
        <v>4.0213420200195182</v>
      </c>
      <c r="AB85" s="532" t="s">
        <v>859</v>
      </c>
      <c r="AC85" s="533"/>
      <c r="AD85" s="534"/>
      <c r="AE85" s="535"/>
    </row>
    <row r="86" spans="1:49" ht="15" thickBot="1">
      <c r="E86" s="542" t="s">
        <v>860</v>
      </c>
      <c r="F86" s="543">
        <f t="shared" ref="F86:T86" si="61">F85/F72</f>
        <v>992.64705882352928</v>
      </c>
      <c r="G86" s="543">
        <f t="shared" si="61"/>
        <v>992.64705882352928</v>
      </c>
      <c r="H86" s="543">
        <f t="shared" si="61"/>
        <v>916.28959276018111</v>
      </c>
      <c r="I86" s="543">
        <f t="shared" si="61"/>
        <v>819.83805668016191</v>
      </c>
      <c r="J86" s="543">
        <f t="shared" si="61"/>
        <v>677.25752508361211</v>
      </c>
      <c r="K86" s="543">
        <f t="shared" si="61"/>
        <v>537.13527851458889</v>
      </c>
      <c r="L86" s="543">
        <f t="shared" si="61"/>
        <v>420.99792099792097</v>
      </c>
      <c r="M86" s="543">
        <f t="shared" si="61"/>
        <v>419.86315571221235</v>
      </c>
      <c r="N86" s="543">
        <f t="shared" si="61"/>
        <v>384.61538461538464</v>
      </c>
      <c r="O86" s="543">
        <f t="shared" si="61"/>
        <v>1038.4615384615386</v>
      </c>
      <c r="P86" s="543">
        <f t="shared" si="61"/>
        <v>1832.5791855203622</v>
      </c>
      <c r="Q86" s="543">
        <f t="shared" si="61"/>
        <v>1455.7872034507548</v>
      </c>
      <c r="R86" s="543">
        <f t="shared" si="61"/>
        <v>1112.6373626373627</v>
      </c>
      <c r="S86" s="543">
        <f t="shared" si="61"/>
        <v>731.31094257854829</v>
      </c>
      <c r="T86" s="543">
        <f t="shared" si="61"/>
        <v>3894.2307692307691</v>
      </c>
      <c r="Y86" s="544">
        <f>SUM(F75:T75)</f>
        <v>4.0213420200195182</v>
      </c>
      <c r="Z86" s="544">
        <f>SUM(F88:U88)</f>
        <v>4.0884782423919539</v>
      </c>
      <c r="AB86" s="1472" t="s">
        <v>861</v>
      </c>
      <c r="AC86" s="1473"/>
      <c r="AD86" s="534">
        <f>SUM(AD82:AD85)</f>
        <v>303</v>
      </c>
      <c r="AE86" s="535">
        <f>SUM(AE82:AE85)</f>
        <v>255</v>
      </c>
    </row>
    <row r="87" spans="1:49">
      <c r="E87" s="545" t="s">
        <v>862</v>
      </c>
      <c r="F87" s="543">
        <f t="shared" ref="F87:T87" si="62">F86*F74</f>
        <v>694.85294117647049</v>
      </c>
      <c r="G87" s="543">
        <f t="shared" si="62"/>
        <v>694.85294117647049</v>
      </c>
      <c r="H87" s="543">
        <f t="shared" si="62"/>
        <v>641.40271493212674</v>
      </c>
      <c r="I87" s="543">
        <f t="shared" si="62"/>
        <v>573.8866396761133</v>
      </c>
      <c r="J87" s="543">
        <f t="shared" si="62"/>
        <v>474.08026755852842</v>
      </c>
      <c r="K87" s="543">
        <f t="shared" si="62"/>
        <v>375.9946949602122</v>
      </c>
      <c r="L87" s="543">
        <f t="shared" si="62"/>
        <v>294.69854469854465</v>
      </c>
      <c r="M87" s="543">
        <f t="shared" si="62"/>
        <v>293.9042089985486</v>
      </c>
      <c r="N87" s="543">
        <f t="shared" si="62"/>
        <v>269.23076923076923</v>
      </c>
      <c r="O87" s="543">
        <f t="shared" si="62"/>
        <v>726.92307692307691</v>
      </c>
      <c r="P87" s="543">
        <f t="shared" si="62"/>
        <v>1282.8054298642535</v>
      </c>
      <c r="Q87" s="543">
        <f t="shared" si="62"/>
        <v>1019.0510424155283</v>
      </c>
      <c r="R87" s="543">
        <f t="shared" si="62"/>
        <v>778.84615384615381</v>
      </c>
      <c r="S87" s="543">
        <f t="shared" si="62"/>
        <v>511.91765980498377</v>
      </c>
      <c r="T87" s="543">
        <f t="shared" si="62"/>
        <v>2725.9615384615381</v>
      </c>
      <c r="Z87" s="544">
        <f>ROUNDUP(Z86,0)</f>
        <v>5</v>
      </c>
      <c r="AB87" s="1464" t="s">
        <v>863</v>
      </c>
      <c r="AC87" s="1465"/>
      <c r="AD87" s="546"/>
      <c r="AE87" s="547">
        <f>B5/AE57</f>
        <v>198.95622542639859</v>
      </c>
    </row>
    <row r="88" spans="1:49" ht="15" thickBot="1">
      <c r="M88" s="415">
        <f t="shared" ref="M88:T88" si="63">M8/600</f>
        <v>0.67412672521056727</v>
      </c>
      <c r="N88" s="415">
        <f t="shared" si="63"/>
        <v>0.17976712672281794</v>
      </c>
      <c r="O88" s="415">
        <f t="shared" si="63"/>
        <v>0.43117145344467883</v>
      </c>
      <c r="P88" s="415">
        <f t="shared" si="63"/>
        <v>8.5793861228464871E-2</v>
      </c>
      <c r="Q88" s="415">
        <f t="shared" si="63"/>
        <v>0.71102392797042568</v>
      </c>
      <c r="R88" s="415">
        <f t="shared" si="63"/>
        <v>0.3364791194434345</v>
      </c>
      <c r="S88" s="415">
        <f t="shared" si="63"/>
        <v>0.84355724214682326</v>
      </c>
      <c r="T88" s="415">
        <f t="shared" si="63"/>
        <v>0.82655878622474155</v>
      </c>
      <c r="AB88" s="1466" t="s">
        <v>864</v>
      </c>
      <c r="AC88" s="1467"/>
      <c r="AD88" s="548">
        <f>B6/AD86</f>
        <v>20.292339625962597</v>
      </c>
      <c r="AE88" s="549">
        <f>B6/AE86</f>
        <v>24.112074143790849</v>
      </c>
    </row>
    <row r="89" spans="1:49">
      <c r="D89" s="1468" t="s">
        <v>763</v>
      </c>
      <c r="E89" s="1468"/>
      <c r="F89" s="1468"/>
      <c r="G89" s="1468"/>
      <c r="H89" s="1468"/>
      <c r="I89" s="1468"/>
      <c r="J89" s="1468"/>
      <c r="K89" s="1468"/>
      <c r="L89" s="1468"/>
      <c r="M89" s="1468"/>
      <c r="N89" s="1468"/>
      <c r="O89" s="1468"/>
      <c r="P89" s="1468"/>
      <c r="Q89" s="1468"/>
      <c r="R89" s="1468"/>
      <c r="S89" s="1468"/>
      <c r="T89" s="1468"/>
      <c r="U89" s="1468"/>
      <c r="V89" s="1468"/>
      <c r="W89" s="1468"/>
      <c r="X89" s="373"/>
      <c r="Y89" s="373"/>
      <c r="Z89" s="373"/>
      <c r="AH89" t="s">
        <v>865</v>
      </c>
      <c r="AI89">
        <v>600</v>
      </c>
      <c r="AJ89">
        <f>AI89/3</f>
        <v>200</v>
      </c>
    </row>
    <row r="90" spans="1:49">
      <c r="D90" s="550" t="s">
        <v>690</v>
      </c>
      <c r="E90" s="448"/>
      <c r="F90" s="551" t="str">
        <f t="shared" ref="F90:V90" si="64">F103</f>
        <v>120x160</v>
      </c>
      <c r="G90" s="551" t="str">
        <f t="shared" si="64"/>
        <v>120x160</v>
      </c>
      <c r="H90" s="551" t="str">
        <f t="shared" si="64"/>
        <v>120x170</v>
      </c>
      <c r="I90" s="551" t="str">
        <f t="shared" si="64"/>
        <v>130x190</v>
      </c>
      <c r="J90" s="551" t="str">
        <f t="shared" si="64"/>
        <v>150x230</v>
      </c>
      <c r="K90" s="551" t="str">
        <f t="shared" si="64"/>
        <v>200x290</v>
      </c>
      <c r="L90" s="551" t="str">
        <f t="shared" si="64"/>
        <v>370X100</v>
      </c>
      <c r="M90" s="551" t="str">
        <f t="shared" si="64"/>
        <v>371x100</v>
      </c>
      <c r="N90" s="551" t="str">
        <f t="shared" si="64"/>
        <v>405x100</v>
      </c>
      <c r="O90" s="551" t="str">
        <f t="shared" si="64"/>
        <v>50x150</v>
      </c>
      <c r="P90" s="551" t="str">
        <f t="shared" si="64"/>
        <v>50x85</v>
      </c>
      <c r="Q90" s="551" t="str">
        <f t="shared" si="64"/>
        <v>67x107</v>
      </c>
      <c r="R90" s="551" t="str">
        <f t="shared" si="64"/>
        <v>80x140</v>
      </c>
      <c r="S90" s="551" t="str">
        <f t="shared" si="64"/>
        <v>151x213</v>
      </c>
      <c r="T90" s="551" t="str">
        <f t="shared" si="64"/>
        <v>40x80</v>
      </c>
      <c r="U90" s="551">
        <f t="shared" si="64"/>
        <v>0</v>
      </c>
      <c r="V90" s="551">
        <f t="shared" si="64"/>
        <v>0</v>
      </c>
      <c r="W90" s="448"/>
      <c r="X90" s="373"/>
      <c r="Y90" s="373"/>
      <c r="Z90" s="373"/>
      <c r="AH90" t="s">
        <v>866</v>
      </c>
      <c r="AI90">
        <f>5400/3</f>
        <v>1800</v>
      </c>
      <c r="AJ90">
        <f>AI90/3</f>
        <v>600</v>
      </c>
    </row>
    <row r="91" spans="1:49">
      <c r="A91">
        <f>60/23</f>
        <v>2.6086956521739131</v>
      </c>
      <c r="D91" s="396">
        <v>1</v>
      </c>
      <c r="E91" s="552" t="s">
        <v>782</v>
      </c>
      <c r="F91" s="552">
        <v>23</v>
      </c>
      <c r="G91" s="552">
        <v>23</v>
      </c>
      <c r="H91" s="552">
        <v>23</v>
      </c>
      <c r="I91" s="552">
        <v>23</v>
      </c>
      <c r="J91" s="552">
        <v>23</v>
      </c>
      <c r="K91" s="552">
        <v>23</v>
      </c>
      <c r="L91" s="552">
        <v>23</v>
      </c>
      <c r="M91" s="552">
        <v>23</v>
      </c>
      <c r="N91" s="552">
        <v>23</v>
      </c>
      <c r="O91" s="552">
        <v>23</v>
      </c>
      <c r="P91" s="552">
        <v>23</v>
      </c>
      <c r="Q91" s="552">
        <v>23</v>
      </c>
      <c r="R91" s="552">
        <v>23</v>
      </c>
      <c r="S91" s="552">
        <v>23</v>
      </c>
      <c r="T91" s="552">
        <v>23</v>
      </c>
      <c r="U91" s="552"/>
      <c r="V91" s="552"/>
      <c r="W91" s="552"/>
      <c r="X91" s="552"/>
      <c r="Y91" s="552"/>
      <c r="Z91" s="552"/>
    </row>
    <row r="92" spans="1:49">
      <c r="D92" s="396">
        <v>2</v>
      </c>
      <c r="E92" s="552" t="s">
        <v>58</v>
      </c>
      <c r="F92" s="553">
        <v>0.7</v>
      </c>
      <c r="G92" s="553">
        <v>0.7</v>
      </c>
      <c r="H92" s="553">
        <v>0.7</v>
      </c>
      <c r="I92" s="553">
        <v>0.7</v>
      </c>
      <c r="J92" s="553">
        <v>0.7</v>
      </c>
      <c r="K92" s="553">
        <v>0.7</v>
      </c>
      <c r="L92" s="553">
        <v>0.7</v>
      </c>
      <c r="M92" s="553">
        <v>0.7</v>
      </c>
      <c r="N92" s="553">
        <v>0.7</v>
      </c>
      <c r="O92" s="553">
        <v>0.7</v>
      </c>
      <c r="P92" s="553">
        <v>0.7</v>
      </c>
      <c r="Q92" s="553">
        <v>0.7</v>
      </c>
      <c r="R92" s="553">
        <v>0.7</v>
      </c>
      <c r="S92" s="553">
        <v>0.7</v>
      </c>
      <c r="T92" s="553">
        <v>0.7</v>
      </c>
      <c r="U92" s="552"/>
      <c r="V92" s="552"/>
      <c r="W92" s="552"/>
      <c r="X92" s="552"/>
      <c r="Y92" s="552"/>
      <c r="Z92" s="552"/>
    </row>
    <row r="93" spans="1:49">
      <c r="D93" s="396">
        <v>3</v>
      </c>
      <c r="E93" s="552" t="s">
        <v>867</v>
      </c>
      <c r="F93" s="554">
        <f t="shared" ref="F93:T93" si="65">F8*F91</f>
        <v>3615.1259067522055</v>
      </c>
      <c r="G93" s="554">
        <f t="shared" si="65"/>
        <v>3824.8763925411217</v>
      </c>
      <c r="H93" s="554">
        <f t="shared" si="65"/>
        <v>1652.4517869189528</v>
      </c>
      <c r="I93" s="554">
        <f t="shared" si="65"/>
        <v>30637.711407369869</v>
      </c>
      <c r="J93" s="554">
        <f t="shared" si="65"/>
        <v>11163.538569486995</v>
      </c>
      <c r="K93" s="554">
        <f t="shared" si="65"/>
        <v>6464.9292249073578</v>
      </c>
      <c r="L93" s="554">
        <f t="shared" si="65"/>
        <v>620.19658719372194</v>
      </c>
      <c r="M93" s="554">
        <f t="shared" si="65"/>
        <v>9302.9488079058283</v>
      </c>
      <c r="N93" s="554">
        <f t="shared" si="65"/>
        <v>2480.7863487748878</v>
      </c>
      <c r="O93" s="554">
        <f t="shared" si="65"/>
        <v>5950.1660575365677</v>
      </c>
      <c r="P93" s="554">
        <f t="shared" si="65"/>
        <v>1183.9552849528152</v>
      </c>
      <c r="Q93" s="554">
        <f t="shared" si="65"/>
        <v>9812.1302059918744</v>
      </c>
      <c r="R93" s="554">
        <f t="shared" si="65"/>
        <v>4643.4118483193961</v>
      </c>
      <c r="S93" s="554">
        <f t="shared" si="65"/>
        <v>11641.08994162616</v>
      </c>
      <c r="T93" s="554">
        <f t="shared" si="65"/>
        <v>11406.511249901434</v>
      </c>
      <c r="U93" s="552"/>
      <c r="V93" s="552"/>
      <c r="W93" s="552"/>
      <c r="X93" s="552"/>
      <c r="Y93" s="552"/>
      <c r="Z93" s="552"/>
    </row>
    <row r="94" spans="1:49">
      <c r="D94" s="396">
        <v>4</v>
      </c>
      <c r="E94" s="552" t="s">
        <v>868</v>
      </c>
      <c r="F94" s="555">
        <f>F93/3600</f>
        <v>1.0042016407645016</v>
      </c>
      <c r="G94" s="556">
        <f t="shared" ref="G94:T94" si="66">G93/3600</f>
        <v>1.0624656645947561</v>
      </c>
      <c r="H94" s="556">
        <f t="shared" si="66"/>
        <v>0.45901438525526467</v>
      </c>
      <c r="I94" s="556">
        <f t="shared" si="66"/>
        <v>8.5104753909360742</v>
      </c>
      <c r="J94" s="556">
        <f t="shared" si="66"/>
        <v>3.1009829359686094</v>
      </c>
      <c r="K94" s="556">
        <f t="shared" si="66"/>
        <v>1.7958136735853771</v>
      </c>
      <c r="L94" s="556">
        <f t="shared" si="66"/>
        <v>0.17227682977603387</v>
      </c>
      <c r="M94" s="556">
        <f t="shared" si="66"/>
        <v>2.5841524466405077</v>
      </c>
      <c r="N94" s="556">
        <f t="shared" si="66"/>
        <v>0.68910731910413547</v>
      </c>
      <c r="O94" s="556">
        <f t="shared" si="66"/>
        <v>1.6528239048712687</v>
      </c>
      <c r="P94" s="556">
        <f t="shared" si="66"/>
        <v>0.32887646804244869</v>
      </c>
      <c r="Q94" s="556">
        <f t="shared" si="66"/>
        <v>2.7255917238866316</v>
      </c>
      <c r="R94" s="556">
        <f t="shared" si="66"/>
        <v>1.2898366245331656</v>
      </c>
      <c r="S94" s="556">
        <f t="shared" si="66"/>
        <v>3.2336360948961556</v>
      </c>
      <c r="T94" s="556">
        <f t="shared" si="66"/>
        <v>3.1684753471948426</v>
      </c>
      <c r="U94" s="552"/>
      <c r="V94" s="552"/>
      <c r="W94" s="552"/>
      <c r="X94" s="552"/>
      <c r="Y94" s="552"/>
      <c r="Z94" s="552"/>
    </row>
    <row r="95" spans="1:49">
      <c r="D95" s="396">
        <v>5</v>
      </c>
      <c r="E95" s="552" t="s">
        <v>869</v>
      </c>
      <c r="F95" s="557">
        <f>F94/22.5</f>
        <v>4.4631184033977846E-2</v>
      </c>
      <c r="G95" s="557">
        <f t="shared" ref="G95:T95" si="67">G94/22.5</f>
        <v>4.7220696204211383E-2</v>
      </c>
      <c r="H95" s="557">
        <f t="shared" si="67"/>
        <v>2.040063934467843E-2</v>
      </c>
      <c r="I95" s="557">
        <f t="shared" si="67"/>
        <v>0.37824335070826998</v>
      </c>
      <c r="J95" s="557">
        <f t="shared" si="67"/>
        <v>0.13782146382082708</v>
      </c>
      <c r="K95" s="557">
        <f t="shared" si="67"/>
        <v>7.9813941048238982E-2</v>
      </c>
      <c r="L95" s="557">
        <f t="shared" si="67"/>
        <v>7.6567479900459499E-3</v>
      </c>
      <c r="M95" s="557">
        <f t="shared" si="67"/>
        <v>0.11485121985068923</v>
      </c>
      <c r="N95" s="557">
        <f t="shared" si="67"/>
        <v>3.06269919601838E-2</v>
      </c>
      <c r="O95" s="557">
        <f t="shared" si="67"/>
        <v>7.3458840216500829E-2</v>
      </c>
      <c r="P95" s="557">
        <f t="shared" si="67"/>
        <v>1.461673191299772E-2</v>
      </c>
      <c r="Q95" s="557">
        <f t="shared" si="67"/>
        <v>0.12113740995051696</v>
      </c>
      <c r="R95" s="557">
        <f t="shared" si="67"/>
        <v>5.7326072201474024E-2</v>
      </c>
      <c r="S95" s="557">
        <f t="shared" si="67"/>
        <v>0.14371715977316246</v>
      </c>
      <c r="T95" s="557">
        <f t="shared" si="67"/>
        <v>0.140821126541993</v>
      </c>
      <c r="U95" s="552"/>
      <c r="V95" s="552"/>
      <c r="W95" s="552"/>
      <c r="X95" s="552"/>
      <c r="Y95" s="552"/>
      <c r="Z95" s="552"/>
      <c r="AG95" t="s">
        <v>870</v>
      </c>
      <c r="AH95">
        <f>5*60</f>
        <v>300</v>
      </c>
      <c r="AI95" t="s">
        <v>839</v>
      </c>
    </row>
    <row r="96" spans="1:49">
      <c r="D96" s="396">
        <v>6</v>
      </c>
      <c r="E96" s="552" t="s">
        <v>871</v>
      </c>
      <c r="F96" s="557">
        <f>F95*(2-F92)</f>
        <v>5.80205392441712E-2</v>
      </c>
      <c r="G96" s="557">
        <f t="shared" ref="G96:T96" si="68">G95*(2-G92)</f>
        <v>6.1386905065474798E-2</v>
      </c>
      <c r="H96" s="557">
        <f t="shared" si="68"/>
        <v>2.6520831148081958E-2</v>
      </c>
      <c r="I96" s="557">
        <f t="shared" si="68"/>
        <v>0.49171635592075097</v>
      </c>
      <c r="J96" s="557">
        <f t="shared" si="68"/>
        <v>0.17916790296707522</v>
      </c>
      <c r="K96" s="557">
        <f t="shared" si="68"/>
        <v>0.10375812336271067</v>
      </c>
      <c r="L96" s="557">
        <f t="shared" si="68"/>
        <v>9.9537723870597346E-3</v>
      </c>
      <c r="M96" s="557">
        <f t="shared" si="68"/>
        <v>0.14930658580589601</v>
      </c>
      <c r="N96" s="557">
        <f t="shared" si="68"/>
        <v>3.9815089548238938E-2</v>
      </c>
      <c r="O96" s="557">
        <f t="shared" si="68"/>
        <v>9.5496492281451087E-2</v>
      </c>
      <c r="P96" s="557">
        <f t="shared" si="68"/>
        <v>1.9001751486897037E-2</v>
      </c>
      <c r="Q96" s="557">
        <f t="shared" si="68"/>
        <v>0.15747863293567205</v>
      </c>
      <c r="R96" s="557">
        <f t="shared" si="68"/>
        <v>7.4523893861916227E-2</v>
      </c>
      <c r="S96" s="557">
        <f t="shared" si="68"/>
        <v>0.18683230770511119</v>
      </c>
      <c r="T96" s="557">
        <f t="shared" si="68"/>
        <v>0.18306746450459091</v>
      </c>
      <c r="U96" s="552"/>
      <c r="V96" s="552"/>
      <c r="W96" s="552"/>
      <c r="X96" s="552"/>
      <c r="Y96" s="552"/>
      <c r="Z96" s="552"/>
      <c r="AG96" t="s">
        <v>872</v>
      </c>
      <c r="AH96">
        <v>23</v>
      </c>
      <c r="AI96" t="s">
        <v>290</v>
      </c>
      <c r="AJ96" s="558">
        <f>AH95/AH96</f>
        <v>13.043478260869565</v>
      </c>
    </row>
    <row r="97" spans="4:36">
      <c r="E97" s="537" t="s">
        <v>857</v>
      </c>
      <c r="F97" s="415">
        <f>22.5*60*60</f>
        <v>81000</v>
      </c>
      <c r="G97" s="415">
        <f t="shared" ref="G97:T97" si="69">22.5*60*60</f>
        <v>81000</v>
      </c>
      <c r="H97" s="415">
        <f t="shared" si="69"/>
        <v>81000</v>
      </c>
      <c r="I97" s="415">
        <f t="shared" si="69"/>
        <v>81000</v>
      </c>
      <c r="J97" s="415">
        <f t="shared" si="69"/>
        <v>81000</v>
      </c>
      <c r="K97" s="415">
        <f t="shared" si="69"/>
        <v>81000</v>
      </c>
      <c r="L97" s="415">
        <f t="shared" si="69"/>
        <v>81000</v>
      </c>
      <c r="M97" s="415">
        <f t="shared" si="69"/>
        <v>81000</v>
      </c>
      <c r="N97" s="415">
        <f t="shared" si="69"/>
        <v>81000</v>
      </c>
      <c r="O97" s="415">
        <f t="shared" si="69"/>
        <v>81000</v>
      </c>
      <c r="P97" s="415">
        <f t="shared" si="69"/>
        <v>81000</v>
      </c>
      <c r="Q97" s="415">
        <f t="shared" si="69"/>
        <v>81000</v>
      </c>
      <c r="R97" s="415">
        <f t="shared" si="69"/>
        <v>81000</v>
      </c>
      <c r="S97" s="415">
        <f t="shared" si="69"/>
        <v>81000</v>
      </c>
      <c r="T97" s="415">
        <f t="shared" si="69"/>
        <v>81000</v>
      </c>
      <c r="Y97" s="559" t="s">
        <v>873</v>
      </c>
      <c r="Z97" s="560">
        <f>SUM(F96:V96)</f>
        <v>1.8360466482250981</v>
      </c>
      <c r="AG97" t="s">
        <v>842</v>
      </c>
      <c r="AH97">
        <v>24</v>
      </c>
      <c r="AI97" t="s">
        <v>290</v>
      </c>
      <c r="AJ97" s="558">
        <f>AH95/AH97</f>
        <v>12.5</v>
      </c>
    </row>
    <row r="98" spans="4:36">
      <c r="E98" s="542" t="s">
        <v>860</v>
      </c>
      <c r="F98" s="543">
        <f>F97/F91</f>
        <v>3521.7391304347825</v>
      </c>
      <c r="G98" s="543">
        <f t="shared" ref="G98:T98" si="70">G97/G91</f>
        <v>3521.7391304347825</v>
      </c>
      <c r="H98" s="543">
        <f t="shared" si="70"/>
        <v>3521.7391304347825</v>
      </c>
      <c r="I98" s="543">
        <f t="shared" si="70"/>
        <v>3521.7391304347825</v>
      </c>
      <c r="J98" s="543">
        <f t="shared" si="70"/>
        <v>3521.7391304347825</v>
      </c>
      <c r="K98" s="543">
        <f t="shared" si="70"/>
        <v>3521.7391304347825</v>
      </c>
      <c r="L98" s="543">
        <f t="shared" si="70"/>
        <v>3521.7391304347825</v>
      </c>
      <c r="M98" s="543">
        <f t="shared" si="70"/>
        <v>3521.7391304347825</v>
      </c>
      <c r="N98" s="543">
        <f t="shared" si="70"/>
        <v>3521.7391304347825</v>
      </c>
      <c r="O98" s="543">
        <f t="shared" si="70"/>
        <v>3521.7391304347825</v>
      </c>
      <c r="P98" s="543">
        <f t="shared" si="70"/>
        <v>3521.7391304347825</v>
      </c>
      <c r="Q98" s="543">
        <f t="shared" si="70"/>
        <v>3521.7391304347825</v>
      </c>
      <c r="R98" s="543">
        <f t="shared" si="70"/>
        <v>3521.7391304347825</v>
      </c>
      <c r="S98" s="543">
        <f t="shared" si="70"/>
        <v>3521.7391304347825</v>
      </c>
      <c r="T98" s="543">
        <f t="shared" si="70"/>
        <v>3521.7391304347825</v>
      </c>
      <c r="Z98" s="544">
        <f>ROUNDUP(Z97,0)</f>
        <v>2</v>
      </c>
    </row>
    <row r="99" spans="4:36">
      <c r="E99" s="545" t="s">
        <v>874</v>
      </c>
      <c r="F99" s="543">
        <f>F98*F92</f>
        <v>2465.2173913043475</v>
      </c>
      <c r="G99" s="543">
        <f t="shared" ref="G99:T99" si="71">G98*G92</f>
        <v>2465.2173913043475</v>
      </c>
      <c r="H99" s="543">
        <f t="shared" si="71"/>
        <v>2465.2173913043475</v>
      </c>
      <c r="I99" s="543">
        <f t="shared" si="71"/>
        <v>2465.2173913043475</v>
      </c>
      <c r="J99" s="543">
        <f t="shared" si="71"/>
        <v>2465.2173913043475</v>
      </c>
      <c r="K99" s="543">
        <f t="shared" si="71"/>
        <v>2465.2173913043475</v>
      </c>
      <c r="L99" s="543">
        <f t="shared" si="71"/>
        <v>2465.2173913043475</v>
      </c>
      <c r="M99" s="543">
        <f t="shared" si="71"/>
        <v>2465.2173913043475</v>
      </c>
      <c r="N99" s="543">
        <f t="shared" si="71"/>
        <v>2465.2173913043475</v>
      </c>
      <c r="O99" s="543">
        <f t="shared" si="71"/>
        <v>2465.2173913043475</v>
      </c>
      <c r="P99" s="543">
        <f t="shared" si="71"/>
        <v>2465.2173913043475</v>
      </c>
      <c r="Q99" s="543">
        <f t="shared" si="71"/>
        <v>2465.2173913043475</v>
      </c>
      <c r="R99" s="543">
        <f t="shared" si="71"/>
        <v>2465.2173913043475</v>
      </c>
      <c r="S99" s="543">
        <f t="shared" si="71"/>
        <v>2465.2173913043475</v>
      </c>
      <c r="T99" s="543">
        <f t="shared" si="71"/>
        <v>2465.2173913043475</v>
      </c>
    </row>
    <row r="100" spans="4:36">
      <c r="F100" s="415" t="s">
        <v>875</v>
      </c>
    </row>
    <row r="101" spans="4:36">
      <c r="E101" s="415" t="s">
        <v>871</v>
      </c>
      <c r="F101" s="561">
        <f>F8/F99</f>
        <v>6.3758834334254069E-2</v>
      </c>
      <c r="G101" s="561">
        <f t="shared" ref="G101:T101" si="72">G8/G99</f>
        <v>6.7458137434587687E-2</v>
      </c>
      <c r="H101" s="561">
        <f t="shared" si="72"/>
        <v>2.9143770492397761E-2</v>
      </c>
      <c r="I101" s="561">
        <f t="shared" si="72"/>
        <v>0.54034764386895717</v>
      </c>
      <c r="J101" s="561">
        <f t="shared" si="72"/>
        <v>0.19688780545832446</v>
      </c>
      <c r="K101" s="561">
        <f t="shared" si="72"/>
        <v>0.11401991578319856</v>
      </c>
      <c r="L101" s="561">
        <f t="shared" si="72"/>
        <v>1.0938211414351359E-2</v>
      </c>
      <c r="M101" s="561">
        <f t="shared" si="72"/>
        <v>0.16407317121527037</v>
      </c>
      <c r="N101" s="561">
        <f t="shared" si="72"/>
        <v>4.3752845657405434E-2</v>
      </c>
      <c r="O101" s="561">
        <f t="shared" si="72"/>
        <v>0.10494120030928691</v>
      </c>
      <c r="P101" s="561">
        <f t="shared" si="72"/>
        <v>2.0881045589996743E-2</v>
      </c>
      <c r="Q101" s="561">
        <f t="shared" si="72"/>
        <v>0.17305344278645282</v>
      </c>
      <c r="R101" s="561">
        <f t="shared" si="72"/>
        <v>8.1894388859248629E-2</v>
      </c>
      <c r="S101" s="561">
        <f t="shared" si="72"/>
        <v>0.20531022824737499</v>
      </c>
      <c r="T101" s="561">
        <f t="shared" si="72"/>
        <v>0.2011730379171329</v>
      </c>
    </row>
    <row r="102" spans="4:36">
      <c r="D102" s="1469" t="s">
        <v>770</v>
      </c>
      <c r="E102" s="1470"/>
      <c r="F102" s="1470"/>
      <c r="G102" s="1470"/>
      <c r="H102" s="1470"/>
      <c r="I102" s="1470"/>
      <c r="J102" s="1470"/>
      <c r="K102" s="1470"/>
      <c r="L102" s="1470"/>
      <c r="M102" s="1470"/>
      <c r="N102" s="1470"/>
      <c r="O102" s="1470"/>
      <c r="P102" s="1470"/>
      <c r="Q102" s="1470"/>
      <c r="R102" s="1470"/>
      <c r="S102" s="1470"/>
      <c r="T102" s="1470"/>
      <c r="U102" s="1470"/>
      <c r="V102" s="1470"/>
      <c r="W102" s="1471"/>
    </row>
    <row r="103" spans="4:36">
      <c r="D103" s="562" t="s">
        <v>690</v>
      </c>
      <c r="E103" s="448" t="s">
        <v>819</v>
      </c>
      <c r="F103" s="551" t="str">
        <f t="shared" ref="F103:V103" si="73">F2</f>
        <v>120x160</v>
      </c>
      <c r="G103" s="551" t="str">
        <f t="shared" si="73"/>
        <v>120x160</v>
      </c>
      <c r="H103" s="551" t="str">
        <f t="shared" si="73"/>
        <v>120x170</v>
      </c>
      <c r="I103" s="551" t="str">
        <f t="shared" si="73"/>
        <v>130x190</v>
      </c>
      <c r="J103" s="551" t="str">
        <f t="shared" si="73"/>
        <v>150x230</v>
      </c>
      <c r="K103" s="551" t="str">
        <f t="shared" si="73"/>
        <v>200x290</v>
      </c>
      <c r="L103" s="551" t="str">
        <f t="shared" si="73"/>
        <v>370X100</v>
      </c>
      <c r="M103" s="551" t="str">
        <f t="shared" si="73"/>
        <v>371x100</v>
      </c>
      <c r="N103" s="551" t="str">
        <f t="shared" si="73"/>
        <v>405x100</v>
      </c>
      <c r="O103" s="551" t="str">
        <f t="shared" si="73"/>
        <v>50x150</v>
      </c>
      <c r="P103" s="551" t="str">
        <f t="shared" si="73"/>
        <v>50x85</v>
      </c>
      <c r="Q103" s="551" t="str">
        <f t="shared" si="73"/>
        <v>67x107</v>
      </c>
      <c r="R103" s="551" t="str">
        <f t="shared" si="73"/>
        <v>80x140</v>
      </c>
      <c r="S103" s="551" t="str">
        <f t="shared" si="73"/>
        <v>151x213</v>
      </c>
      <c r="T103" s="551" t="str">
        <f t="shared" si="73"/>
        <v>40x80</v>
      </c>
      <c r="U103" s="551">
        <f t="shared" si="73"/>
        <v>0</v>
      </c>
      <c r="V103" s="551">
        <f t="shared" si="73"/>
        <v>0</v>
      </c>
      <c r="W103" s="448"/>
      <c r="X103" s="448"/>
      <c r="Y103" s="448"/>
      <c r="Z103" s="448"/>
    </row>
    <row r="104" spans="4:36">
      <c r="D104" s="563">
        <v>1</v>
      </c>
      <c r="E104" s="564" t="s">
        <v>876</v>
      </c>
      <c r="F104" s="565">
        <v>1700</v>
      </c>
      <c r="G104" s="565">
        <v>1700</v>
      </c>
      <c r="H104" s="565">
        <v>1700</v>
      </c>
      <c r="I104" s="565">
        <v>1700</v>
      </c>
      <c r="J104" s="565">
        <v>1700</v>
      </c>
      <c r="K104" s="565">
        <v>1700</v>
      </c>
      <c r="L104" s="565">
        <v>1700</v>
      </c>
      <c r="M104" s="565">
        <v>1700</v>
      </c>
      <c r="N104" s="565">
        <v>1700</v>
      </c>
      <c r="O104" s="565">
        <v>1700</v>
      </c>
      <c r="P104" s="565">
        <v>3375</v>
      </c>
      <c r="Q104" s="565">
        <v>1700</v>
      </c>
      <c r="R104" s="565">
        <v>1700</v>
      </c>
      <c r="S104" s="565">
        <v>1700</v>
      </c>
      <c r="T104" s="565">
        <v>3375</v>
      </c>
      <c r="U104" s="565">
        <v>75.92</v>
      </c>
      <c r="V104" s="566">
        <v>28</v>
      </c>
      <c r="W104" s="567">
        <v>21</v>
      </c>
      <c r="X104" s="567">
        <v>24</v>
      </c>
      <c r="Y104" s="567">
        <v>55</v>
      </c>
      <c r="Z104" s="567">
        <v>50</v>
      </c>
    </row>
    <row r="105" spans="4:36">
      <c r="D105" s="563">
        <v>2</v>
      </c>
      <c r="E105" s="564" t="s">
        <v>877</v>
      </c>
      <c r="F105" s="568">
        <f t="shared" ref="F105:T105" si="74">F8/F104</f>
        <v>9.2458463088291698E-2</v>
      </c>
      <c r="G105" s="568">
        <f t="shared" si="74"/>
        <v>9.7822925640437888E-2</v>
      </c>
      <c r="H105" s="568">
        <f t="shared" si="74"/>
        <v>4.2262194038847893E-2</v>
      </c>
      <c r="I105" s="568">
        <f t="shared" si="74"/>
        <v>0.78357318177416546</v>
      </c>
      <c r="J105" s="568">
        <f t="shared" si="74"/>
        <v>0.28551249538329909</v>
      </c>
      <c r="K105" s="568">
        <f t="shared" si="74"/>
        <v>0.16534345843752835</v>
      </c>
      <c r="L105" s="568">
        <f t="shared" si="74"/>
        <v>1.5861805299072173E-2</v>
      </c>
      <c r="M105" s="568">
        <f t="shared" si="74"/>
        <v>0.23792707948608258</v>
      </c>
      <c r="N105" s="568">
        <f t="shared" si="74"/>
        <v>6.3447221196288692E-2</v>
      </c>
      <c r="O105" s="568">
        <f t="shared" si="74"/>
        <v>0.1521781600392984</v>
      </c>
      <c r="P105" s="568">
        <f t="shared" si="74"/>
        <v>1.5252241996171534E-2</v>
      </c>
      <c r="Q105" s="568">
        <f t="shared" si="74"/>
        <v>0.25094962163662082</v>
      </c>
      <c r="R105" s="568">
        <f t="shared" si="74"/>
        <v>0.11875733627415336</v>
      </c>
      <c r="S105" s="568">
        <f t="shared" si="74"/>
        <v>0.29772608546358464</v>
      </c>
      <c r="T105" s="568">
        <f t="shared" si="74"/>
        <v>0.14694378421773183</v>
      </c>
      <c r="U105" s="568"/>
      <c r="V105" s="568"/>
      <c r="W105" s="569"/>
      <c r="X105" s="569"/>
      <c r="Y105" s="569"/>
      <c r="Z105" s="569"/>
    </row>
    <row r="106" spans="4:36">
      <c r="D106" s="536"/>
      <c r="E106" s="570"/>
      <c r="F106" s="571"/>
      <c r="G106" s="571"/>
      <c r="H106" s="571"/>
      <c r="I106" s="571"/>
      <c r="J106" s="571"/>
      <c r="K106" s="571"/>
      <c r="L106" s="571"/>
      <c r="M106" s="571"/>
      <c r="N106" s="571"/>
      <c r="O106" s="571"/>
      <c r="P106" s="571"/>
      <c r="Q106" s="571"/>
      <c r="R106" s="571"/>
      <c r="S106" s="571"/>
      <c r="T106" s="571"/>
      <c r="U106" s="571"/>
      <c r="V106" s="571"/>
      <c r="W106" s="571"/>
      <c r="X106" s="571"/>
      <c r="Y106" s="559" t="s">
        <v>877</v>
      </c>
      <c r="Z106" s="560">
        <f>SUM(F105:V105)</f>
        <v>2.7660160539715748</v>
      </c>
    </row>
    <row r="107" spans="4:36">
      <c r="D107" s="536"/>
      <c r="E107" s="570"/>
      <c r="F107" s="571"/>
      <c r="G107" s="571"/>
      <c r="H107" s="571"/>
      <c r="I107" s="571"/>
      <c r="J107" s="571"/>
      <c r="K107" s="571"/>
      <c r="L107" s="571"/>
      <c r="M107" s="571"/>
      <c r="N107" s="571"/>
      <c r="O107" s="571"/>
      <c r="P107" s="571"/>
      <c r="Q107" s="571"/>
      <c r="R107" s="571"/>
      <c r="S107" s="571"/>
      <c r="T107" s="571"/>
      <c r="U107" s="571"/>
      <c r="V107" s="571"/>
      <c r="W107" s="571"/>
      <c r="X107" s="571"/>
      <c r="Y107" s="571"/>
      <c r="Z107" s="572">
        <f>ROUND(Z106,0)</f>
        <v>3</v>
      </c>
    </row>
    <row r="198" spans="1:39" s="415" customFormat="1">
      <c r="A198"/>
      <c r="B198"/>
      <c r="C198"/>
      <c r="D198"/>
      <c r="E198" s="573" t="s">
        <v>878</v>
      </c>
      <c r="F198" s="1461">
        <f>Z20/3</f>
        <v>0.33333333333333331</v>
      </c>
      <c r="G198" s="1463"/>
      <c r="H198" s="1461">
        <f>Z20/3</f>
        <v>0.33333333333333331</v>
      </c>
      <c r="I198" s="1462"/>
      <c r="J198" s="1462"/>
      <c r="K198" s="1462"/>
      <c r="L198" s="1462"/>
      <c r="M198" s="1462"/>
      <c r="N198" s="1462"/>
      <c r="O198" s="1462"/>
      <c r="P198" s="1462"/>
      <c r="Q198" s="1462"/>
      <c r="R198" s="1462"/>
      <c r="S198" s="1462"/>
      <c r="T198" s="1462"/>
      <c r="U198" s="1462"/>
      <c r="V198" s="1463"/>
      <c r="W198" s="1461">
        <f>Z20/3</f>
        <v>0.33333333333333331</v>
      </c>
      <c r="X198" s="1463"/>
      <c r="Y198" s="574">
        <f>SUM(F198:X198)</f>
        <v>1</v>
      </c>
      <c r="AA198"/>
      <c r="AB198"/>
      <c r="AC198"/>
      <c r="AD198"/>
      <c r="AE198" s="2"/>
      <c r="AF198"/>
      <c r="AG198"/>
      <c r="AH198"/>
      <c r="AI198"/>
      <c r="AJ198"/>
      <c r="AK198"/>
      <c r="AL198"/>
      <c r="AM198"/>
    </row>
    <row r="199" spans="1:39" s="415" customFormat="1">
      <c r="A199"/>
      <c r="B199"/>
      <c r="C199"/>
      <c r="D199"/>
      <c r="E199" s="573" t="s">
        <v>879</v>
      </c>
      <c r="F199" s="575" t="s">
        <v>880</v>
      </c>
      <c r="G199" s="575" t="s">
        <v>881</v>
      </c>
      <c r="H199" s="575" t="s">
        <v>882</v>
      </c>
      <c r="I199" s="575"/>
      <c r="J199" s="575"/>
      <c r="K199" s="575"/>
      <c r="L199" s="575"/>
      <c r="M199" s="575"/>
      <c r="N199" s="575"/>
      <c r="O199" s="575"/>
      <c r="P199" s="575"/>
      <c r="Q199" s="575"/>
      <c r="R199" s="575"/>
      <c r="S199" s="575"/>
      <c r="T199" s="575"/>
      <c r="U199" s="575"/>
      <c r="V199" s="575" t="s">
        <v>883</v>
      </c>
      <c r="W199" s="575" t="s">
        <v>884</v>
      </c>
      <c r="X199" s="575" t="s">
        <v>885</v>
      </c>
      <c r="Y199" s="576" t="s">
        <v>886</v>
      </c>
      <c r="AA199"/>
      <c r="AB199"/>
      <c r="AC199"/>
      <c r="AD199"/>
      <c r="AE199" s="2"/>
      <c r="AF199"/>
      <c r="AG199"/>
      <c r="AH199"/>
      <c r="AI199"/>
      <c r="AJ199"/>
      <c r="AK199"/>
      <c r="AL199"/>
      <c r="AM199"/>
    </row>
    <row r="200" spans="1:39" s="415" customFormat="1">
      <c r="A200"/>
      <c r="B200"/>
      <c r="C200"/>
      <c r="D200"/>
      <c r="E200" s="573" t="s">
        <v>887</v>
      </c>
      <c r="F200" s="574">
        <f>ROUNDDOWN(($Z$32/3/2),0)</f>
        <v>0</v>
      </c>
      <c r="G200" s="574">
        <f t="shared" ref="G200:V200" si="75">ROUNDDOWN(($Z$32/3/2),0)</f>
        <v>0</v>
      </c>
      <c r="H200" s="574">
        <f t="shared" si="75"/>
        <v>0</v>
      </c>
      <c r="I200" s="574"/>
      <c r="J200" s="574"/>
      <c r="K200" s="574"/>
      <c r="L200" s="574"/>
      <c r="M200" s="574"/>
      <c r="N200" s="574"/>
      <c r="O200" s="574"/>
      <c r="P200" s="574"/>
      <c r="Q200" s="574"/>
      <c r="R200" s="574"/>
      <c r="S200" s="574"/>
      <c r="T200" s="574"/>
      <c r="U200" s="574"/>
      <c r="V200" s="574">
        <f t="shared" si="75"/>
        <v>0</v>
      </c>
      <c r="W200" s="574">
        <f>ROUNDUP(($Z$32/3/2),0)</f>
        <v>1</v>
      </c>
      <c r="X200" s="574">
        <f>ROUNDUP(($Z$32/3/2),0)</f>
        <v>1</v>
      </c>
      <c r="Y200" s="574">
        <f>SUM(F200:X200)</f>
        <v>2</v>
      </c>
      <c r="AA200"/>
      <c r="AB200"/>
      <c r="AC200"/>
      <c r="AD200"/>
      <c r="AE200" s="2"/>
      <c r="AF200"/>
      <c r="AG200"/>
      <c r="AH200"/>
      <c r="AI200"/>
      <c r="AJ200"/>
      <c r="AK200"/>
      <c r="AL200"/>
      <c r="AM200"/>
    </row>
    <row r="201" spans="1:39" s="415" customFormat="1">
      <c r="A201"/>
      <c r="B201"/>
      <c r="C201"/>
      <c r="D201"/>
      <c r="E201" s="573" t="s">
        <v>888</v>
      </c>
      <c r="F201" s="1461">
        <v>1</v>
      </c>
      <c r="G201" s="1462"/>
      <c r="H201" s="1463"/>
      <c r="I201" s="577"/>
      <c r="J201" s="577"/>
      <c r="K201" s="577"/>
      <c r="L201" s="577"/>
      <c r="M201" s="577"/>
      <c r="N201" s="577"/>
      <c r="O201" s="577"/>
      <c r="P201" s="577"/>
      <c r="Q201" s="577"/>
      <c r="R201" s="577"/>
      <c r="S201" s="577"/>
      <c r="T201" s="577"/>
      <c r="U201" s="577"/>
      <c r="V201" s="1461">
        <v>1</v>
      </c>
      <c r="W201" s="1462"/>
      <c r="X201" s="1463"/>
      <c r="Y201" s="574">
        <f>SUM(F201:X201)</f>
        <v>2</v>
      </c>
      <c r="AA201"/>
      <c r="AB201"/>
      <c r="AC201"/>
      <c r="AD201"/>
      <c r="AE201" s="2"/>
      <c r="AF201"/>
      <c r="AG201"/>
      <c r="AH201"/>
      <c r="AI201"/>
      <c r="AJ201"/>
      <c r="AK201"/>
      <c r="AL201"/>
      <c r="AM201"/>
    </row>
    <row r="202" spans="1:39" s="415" customFormat="1">
      <c r="A202"/>
      <c r="B202"/>
      <c r="C202"/>
      <c r="D202"/>
      <c r="E202" s="573" t="s">
        <v>889</v>
      </c>
      <c r="F202" s="574">
        <f>$Z$85/6</f>
        <v>0.670223670003253</v>
      </c>
      <c r="G202" s="574">
        <f>$Z$85/6</f>
        <v>0.670223670003253</v>
      </c>
      <c r="H202" s="574">
        <f>$Z$85/6</f>
        <v>0.670223670003253</v>
      </c>
      <c r="I202" s="574"/>
      <c r="J202" s="574"/>
      <c r="K202" s="574"/>
      <c r="L202" s="574"/>
      <c r="M202" s="574"/>
      <c r="N202" s="574"/>
      <c r="O202" s="574"/>
      <c r="P202" s="574"/>
      <c r="Q202" s="574"/>
      <c r="R202" s="574"/>
      <c r="S202" s="574"/>
      <c r="T202" s="574"/>
      <c r="U202" s="574"/>
      <c r="V202" s="574">
        <f>$Z$85/6</f>
        <v>0.670223670003253</v>
      </c>
      <c r="W202" s="574">
        <f>$Z$85/6</f>
        <v>0.670223670003253</v>
      </c>
      <c r="X202" s="574">
        <f>$Z$85/6</f>
        <v>0.670223670003253</v>
      </c>
      <c r="Y202" s="574">
        <f>SUM(F202:X202)</f>
        <v>4.0213420200195182</v>
      </c>
      <c r="AA202"/>
      <c r="AB202"/>
      <c r="AC202"/>
      <c r="AD202"/>
      <c r="AE202" s="2"/>
      <c r="AF202"/>
      <c r="AG202"/>
      <c r="AH202"/>
      <c r="AI202"/>
      <c r="AJ202"/>
      <c r="AK202"/>
      <c r="AL202"/>
      <c r="AM202"/>
    </row>
    <row r="203" spans="1:39" s="415" customFormat="1">
      <c r="A203"/>
      <c r="B203"/>
      <c r="C203"/>
      <c r="D203"/>
      <c r="E203" s="573" t="s">
        <v>890</v>
      </c>
      <c r="F203" s="578">
        <f>+F202/10</f>
        <v>6.7022367000325295E-2</v>
      </c>
      <c r="G203" s="578">
        <f t="shared" ref="G203:X203" si="76">+G202/10</f>
        <v>6.7022367000325295E-2</v>
      </c>
      <c r="H203" s="578">
        <f t="shared" si="76"/>
        <v>6.7022367000325295E-2</v>
      </c>
      <c r="I203" s="574"/>
      <c r="J203" s="574"/>
      <c r="K203" s="574"/>
      <c r="L203" s="574"/>
      <c r="M203" s="574"/>
      <c r="N203" s="574"/>
      <c r="O203" s="574"/>
      <c r="P203" s="574"/>
      <c r="Q203" s="574"/>
      <c r="R203" s="574"/>
      <c r="S203" s="574"/>
      <c r="T203" s="574"/>
      <c r="U203" s="574"/>
      <c r="V203" s="574">
        <f t="shared" si="76"/>
        <v>6.7022367000325295E-2</v>
      </c>
      <c r="W203" s="574">
        <f t="shared" si="76"/>
        <v>6.7022367000325295E-2</v>
      </c>
      <c r="X203" s="574">
        <f t="shared" si="76"/>
        <v>6.7022367000325295E-2</v>
      </c>
      <c r="Y203" s="574">
        <f>SUM(F203:X203)</f>
        <v>0.40213420200195171</v>
      </c>
      <c r="AA203"/>
      <c r="AB203"/>
      <c r="AC203"/>
      <c r="AD203"/>
      <c r="AE203" s="2"/>
      <c r="AF203"/>
      <c r="AG203"/>
      <c r="AH203"/>
      <c r="AI203"/>
      <c r="AJ203"/>
      <c r="AK203"/>
      <c r="AL203"/>
      <c r="AM203"/>
    </row>
  </sheetData>
  <mergeCells count="39">
    <mergeCell ref="AC1:AC2"/>
    <mergeCell ref="AD1:AE1"/>
    <mergeCell ref="AB25:AB26"/>
    <mergeCell ref="A1:A2"/>
    <mergeCell ref="B1:B2"/>
    <mergeCell ref="E1:Z1"/>
    <mergeCell ref="AB1:AB2"/>
    <mergeCell ref="AB3:AB9"/>
    <mergeCell ref="AB11:AB16"/>
    <mergeCell ref="AB18:AB19"/>
    <mergeCell ref="D21:W21"/>
    <mergeCell ref="AB21:AB23"/>
    <mergeCell ref="AB28:AB30"/>
    <mergeCell ref="AB32:AB33"/>
    <mergeCell ref="D34:W34"/>
    <mergeCell ref="AB35:AB43"/>
    <mergeCell ref="AB45:AB47"/>
    <mergeCell ref="D46:W46"/>
    <mergeCell ref="AB86:AC86"/>
    <mergeCell ref="AB50:AB51"/>
    <mergeCell ref="AB52:AB53"/>
    <mergeCell ref="AB54:AB56"/>
    <mergeCell ref="D57:W57"/>
    <mergeCell ref="AB58:AB65"/>
    <mergeCell ref="AB66:AB67"/>
    <mergeCell ref="AB68:AB69"/>
    <mergeCell ref="D70:W70"/>
    <mergeCell ref="AB70:AB72"/>
    <mergeCell ref="AB73:AB80"/>
    <mergeCell ref="F84:Y84"/>
    <mergeCell ref="F201:H201"/>
    <mergeCell ref="V201:X201"/>
    <mergeCell ref="AB87:AC87"/>
    <mergeCell ref="AB88:AC88"/>
    <mergeCell ref="D89:W89"/>
    <mergeCell ref="D102:W102"/>
    <mergeCell ref="F198:G198"/>
    <mergeCell ref="H198:V198"/>
    <mergeCell ref="W198:X198"/>
  </mergeCells>
  <pageMargins left="0.7" right="0.7" top="0.75" bottom="0.75" header="0.3" footer="0.3"/>
  <pageSetup paperSize="9"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V31"/>
  <sheetViews>
    <sheetView workbookViewId="0">
      <pane xSplit="3" topLeftCell="D1" activePane="topRight" state="frozen"/>
      <selection pane="topRight" activeCell="E5" sqref="E5"/>
    </sheetView>
  </sheetViews>
  <sheetFormatPr defaultRowHeight="14.5"/>
  <cols>
    <col min="2" max="2" width="18.81640625" bestFit="1" customWidth="1"/>
    <col min="3" max="3" width="18.81640625" customWidth="1"/>
    <col min="4" max="4" width="11.453125" bestFit="1" customWidth="1"/>
    <col min="5" max="5" width="30" bestFit="1" customWidth="1"/>
    <col min="12" max="12" width="12" customWidth="1"/>
    <col min="14" max="14" width="0" hidden="1" customWidth="1"/>
    <col min="15" max="15" width="53.26953125" bestFit="1" customWidth="1"/>
    <col min="16" max="16" width="19.26953125" bestFit="1" customWidth="1"/>
    <col min="18" max="18" width="12.7265625" bestFit="1" customWidth="1"/>
    <col min="19" max="29" width="12.1796875" bestFit="1" customWidth="1"/>
  </cols>
  <sheetData>
    <row r="1" spans="1:74" ht="22.5" customHeight="1">
      <c r="R1" s="1458" t="s">
        <v>50</v>
      </c>
      <c r="S1" s="1458"/>
      <c r="T1" s="1458"/>
      <c r="U1" s="1458"/>
      <c r="V1" s="1458"/>
      <c r="W1" s="1458"/>
      <c r="X1" s="1458"/>
      <c r="Y1" s="1458"/>
      <c r="Z1" s="1458"/>
      <c r="AA1" s="1458"/>
      <c r="AB1" s="1458"/>
      <c r="AC1" s="1458"/>
      <c r="AE1" s="1458" t="s">
        <v>51</v>
      </c>
      <c r="AF1" s="1458"/>
      <c r="AG1" s="1458"/>
      <c r="AH1" s="1458"/>
      <c r="AI1" s="1458"/>
      <c r="AJ1" s="1458"/>
      <c r="AK1" s="1458"/>
      <c r="AL1" s="1458"/>
      <c r="AM1" s="1458"/>
      <c r="AN1" s="1458"/>
      <c r="AO1" s="1458"/>
      <c r="AP1" s="1458"/>
      <c r="AR1" s="1458" t="s">
        <v>52</v>
      </c>
      <c r="AS1" s="1458"/>
      <c r="AT1" s="1458"/>
      <c r="AU1" s="1458"/>
      <c r="AV1" s="1458"/>
      <c r="AW1" s="1458"/>
      <c r="AX1" s="1458"/>
      <c r="AY1" s="1458"/>
      <c r="AZ1" s="1458"/>
      <c r="BA1" s="1458"/>
      <c r="BB1" s="1458"/>
      <c r="BC1" s="1458"/>
      <c r="BE1" s="1458" t="s">
        <v>53</v>
      </c>
      <c r="BF1" s="1458"/>
      <c r="BG1" s="1458"/>
      <c r="BH1" s="1458"/>
      <c r="BI1" s="1458"/>
      <c r="BJ1" s="1458"/>
      <c r="BK1" s="1458"/>
      <c r="BL1" s="1458"/>
      <c r="BM1" s="1458"/>
      <c r="BN1" s="1458"/>
      <c r="BO1" s="1458"/>
      <c r="BP1" s="1458"/>
    </row>
    <row r="2" spans="1:74" s="66" customFormat="1" ht="43.5">
      <c r="A2" s="63" t="s">
        <v>54</v>
      </c>
      <c r="B2" s="64" t="s">
        <v>55</v>
      </c>
      <c r="C2" s="64"/>
      <c r="D2" s="64" t="s">
        <v>56</v>
      </c>
      <c r="E2" s="65" t="s">
        <v>57</v>
      </c>
      <c r="F2" s="65" t="s">
        <v>58</v>
      </c>
      <c r="G2" s="65" t="s">
        <v>59</v>
      </c>
      <c r="H2" s="65" t="s">
        <v>60</v>
      </c>
      <c r="I2" s="65" t="s">
        <v>61</v>
      </c>
      <c r="J2" s="64" t="s">
        <v>62</v>
      </c>
      <c r="K2" s="64" t="s">
        <v>63</v>
      </c>
      <c r="L2" s="64" t="s">
        <v>64</v>
      </c>
      <c r="M2" s="64" t="s">
        <v>65</v>
      </c>
      <c r="P2" s="66" t="s">
        <v>492</v>
      </c>
      <c r="R2" s="67">
        <v>45383</v>
      </c>
      <c r="S2" s="67">
        <v>45413</v>
      </c>
      <c r="T2" s="67">
        <v>45444</v>
      </c>
      <c r="U2" s="67">
        <v>45474</v>
      </c>
      <c r="V2" s="67">
        <v>45505</v>
      </c>
      <c r="W2" s="67">
        <v>45536</v>
      </c>
      <c r="X2" s="67">
        <v>45566</v>
      </c>
      <c r="Y2" s="67">
        <v>45597</v>
      </c>
      <c r="Z2" s="67">
        <v>45627</v>
      </c>
      <c r="AA2" s="67">
        <v>45658</v>
      </c>
      <c r="AB2" s="67">
        <v>45689</v>
      </c>
      <c r="AC2" s="67">
        <v>45717</v>
      </c>
      <c r="AE2" s="67">
        <v>45383</v>
      </c>
      <c r="AF2" s="67">
        <v>45413</v>
      </c>
      <c r="AG2" s="67">
        <v>45444</v>
      </c>
      <c r="AH2" s="67">
        <v>45474</v>
      </c>
      <c r="AI2" s="67">
        <v>45505</v>
      </c>
      <c r="AJ2" s="67">
        <v>45536</v>
      </c>
      <c r="AK2" s="67">
        <v>45566</v>
      </c>
      <c r="AL2" s="67">
        <v>45597</v>
      </c>
      <c r="AM2" s="67">
        <v>45627</v>
      </c>
      <c r="AN2" s="67">
        <v>45658</v>
      </c>
      <c r="AO2" s="67">
        <v>45689</v>
      </c>
      <c r="AP2" s="67">
        <v>45717</v>
      </c>
      <c r="AR2" s="67">
        <v>45383</v>
      </c>
      <c r="AS2" s="67">
        <v>45413</v>
      </c>
      <c r="AT2" s="67">
        <v>45444</v>
      </c>
      <c r="AU2" s="67">
        <v>45474</v>
      </c>
      <c r="AV2" s="67">
        <v>45505</v>
      </c>
      <c r="AW2" s="67">
        <v>45536</v>
      </c>
      <c r="AX2" s="67">
        <v>45566</v>
      </c>
      <c r="AY2" s="67">
        <v>45597</v>
      </c>
      <c r="AZ2" s="67">
        <v>45627</v>
      </c>
      <c r="BA2" s="67">
        <v>45658</v>
      </c>
      <c r="BB2" s="67">
        <v>45689</v>
      </c>
      <c r="BC2" s="67">
        <v>45717</v>
      </c>
      <c r="BE2" s="67">
        <v>45383</v>
      </c>
      <c r="BF2" s="67">
        <v>45413</v>
      </c>
      <c r="BG2" s="67">
        <v>45444</v>
      </c>
      <c r="BH2" s="67">
        <v>45474</v>
      </c>
      <c r="BI2" s="67">
        <v>45505</v>
      </c>
      <c r="BJ2" s="67">
        <v>45536</v>
      </c>
      <c r="BK2" s="67">
        <v>45566</v>
      </c>
      <c r="BL2" s="67">
        <v>45597</v>
      </c>
      <c r="BM2" s="67">
        <v>45627</v>
      </c>
      <c r="BN2" s="67">
        <v>45658</v>
      </c>
      <c r="BO2" s="67">
        <v>45689</v>
      </c>
      <c r="BP2" s="67">
        <v>45717</v>
      </c>
      <c r="BR2" s="66" t="s">
        <v>624</v>
      </c>
      <c r="BS2" s="66" t="s">
        <v>625</v>
      </c>
      <c r="BT2" s="66" t="s">
        <v>626</v>
      </c>
      <c r="BU2" s="66" t="s">
        <v>627</v>
      </c>
      <c r="BV2" s="66" t="s">
        <v>37</v>
      </c>
    </row>
    <row r="3" spans="1:74">
      <c r="A3" s="210">
        <v>1</v>
      </c>
      <c r="B3" s="1459" t="s">
        <v>66</v>
      </c>
      <c r="C3" s="653" t="s">
        <v>1011</v>
      </c>
      <c r="D3" s="69" t="s">
        <v>67</v>
      </c>
      <c r="E3" s="70" t="s">
        <v>68</v>
      </c>
      <c r="F3" s="71">
        <v>0.6</v>
      </c>
      <c r="G3" s="71">
        <v>0.58133561643835618</v>
      </c>
      <c r="H3" s="69">
        <v>800</v>
      </c>
      <c r="I3" s="72">
        <v>11.71</v>
      </c>
      <c r="J3" s="72">
        <v>2</v>
      </c>
      <c r="K3" s="73">
        <f>H3*24*60*F3*G3*J3/I3/39.37</f>
        <v>1743.1643955154129</v>
      </c>
      <c r="L3" s="73">
        <v>1</v>
      </c>
      <c r="M3" s="73">
        <f>L3*K3</f>
        <v>1743.1643955154129</v>
      </c>
      <c r="N3">
        <f>H3*24*60*F3*G3*J3/I3/39.37</f>
        <v>1743.1643955154129</v>
      </c>
      <c r="O3" t="s">
        <v>484</v>
      </c>
      <c r="R3" s="74">
        <v>51174.256977906509</v>
      </c>
      <c r="S3" s="74">
        <v>52091.599421711435</v>
      </c>
      <c r="T3" s="74">
        <v>51170.703131752656</v>
      </c>
      <c r="U3" s="74">
        <v>45125.55053779616</v>
      </c>
      <c r="V3" s="74">
        <v>30000</v>
      </c>
      <c r="W3" s="74">
        <v>44302.785854668044</v>
      </c>
      <c r="X3" s="74">
        <v>51397.458524457878</v>
      </c>
      <c r="Y3" s="759">
        <v>59239.651284885331</v>
      </c>
      <c r="Z3" s="74">
        <v>51397.458524457878</v>
      </c>
      <c r="AA3" s="74">
        <v>62578.948235446369</v>
      </c>
      <c r="AB3" s="74">
        <v>53374.062822571446</v>
      </c>
      <c r="AC3" s="74">
        <v>56359.948235446369</v>
      </c>
      <c r="AE3" s="44">
        <f>(R3/30)/$N3</f>
        <v>0.97857010521709809</v>
      </c>
      <c r="AF3" s="44">
        <f>(S3/30)/$N3</f>
        <v>0.99611181358311995</v>
      </c>
      <c r="AG3" s="44">
        <f>(T3/30)/$N3</f>
        <v>0.97850214746235831</v>
      </c>
      <c r="AH3" s="44">
        <f t="shared" ref="AH3:AP3" si="0">(U3/30)/$N$3</f>
        <v>0.86290485383725746</v>
      </c>
      <c r="AI3" s="44">
        <f t="shared" si="0"/>
        <v>0.57366935819287623</v>
      </c>
      <c r="AJ3" s="44">
        <f t="shared" si="0"/>
        <v>0.84717169091346178</v>
      </c>
      <c r="AK3" s="44">
        <f t="shared" si="0"/>
        <v>0.98283823481569077</v>
      </c>
      <c r="AL3" s="44">
        <f t="shared" si="0"/>
        <v>1.1327990910723322</v>
      </c>
      <c r="AM3" s="44">
        <f t="shared" si="0"/>
        <v>0.98283823481569077</v>
      </c>
      <c r="AN3" s="44">
        <f t="shared" si="0"/>
        <v>1.1966541690204582</v>
      </c>
      <c r="AO3" s="44">
        <f t="shared" si="0"/>
        <v>1.0206354787856939</v>
      </c>
      <c r="AP3" s="44">
        <f t="shared" si="0"/>
        <v>1.0777325110670748</v>
      </c>
      <c r="AR3" s="75" t="str">
        <f>IF(AE3&lt;=0.33,"1",(IF(AE3&gt;0.66,"3","2")))</f>
        <v>3</v>
      </c>
      <c r="AS3" s="75" t="str">
        <f t="shared" ref="AS3:BC3" si="1">IF(AF3&lt;=0.33,"1",(IF(AF3&gt;0.66,"3","2")))</f>
        <v>3</v>
      </c>
      <c r="AT3" s="75" t="str">
        <f t="shared" si="1"/>
        <v>3</v>
      </c>
      <c r="AU3" s="75" t="str">
        <f t="shared" si="1"/>
        <v>3</v>
      </c>
      <c r="AV3" s="75" t="str">
        <f t="shared" si="1"/>
        <v>2</v>
      </c>
      <c r="AW3" s="75" t="str">
        <f t="shared" si="1"/>
        <v>3</v>
      </c>
      <c r="AX3" s="75" t="str">
        <f t="shared" si="1"/>
        <v>3</v>
      </c>
      <c r="AY3" s="75" t="str">
        <f t="shared" si="1"/>
        <v>3</v>
      </c>
      <c r="AZ3" s="75" t="str">
        <f t="shared" si="1"/>
        <v>3</v>
      </c>
      <c r="BA3" s="75" t="str">
        <f t="shared" si="1"/>
        <v>3</v>
      </c>
      <c r="BB3" s="75" t="str">
        <f t="shared" si="1"/>
        <v>3</v>
      </c>
      <c r="BC3" s="75" t="str">
        <f t="shared" si="1"/>
        <v>3</v>
      </c>
      <c r="BE3" s="44">
        <f>AR3*2.5</f>
        <v>7.5</v>
      </c>
      <c r="BF3" s="44">
        <f t="shared" ref="BF3:BP3" si="2">AS3*2.5</f>
        <v>7.5</v>
      </c>
      <c r="BG3" s="44">
        <f t="shared" si="2"/>
        <v>7.5</v>
      </c>
      <c r="BH3" s="44">
        <f t="shared" si="2"/>
        <v>7.5</v>
      </c>
      <c r="BI3" s="44">
        <f t="shared" si="2"/>
        <v>5</v>
      </c>
      <c r="BJ3" s="44">
        <f t="shared" si="2"/>
        <v>7.5</v>
      </c>
      <c r="BK3" s="44">
        <f t="shared" si="2"/>
        <v>7.5</v>
      </c>
      <c r="BL3" s="44">
        <f t="shared" si="2"/>
        <v>7.5</v>
      </c>
      <c r="BM3" s="44">
        <f t="shared" si="2"/>
        <v>7.5</v>
      </c>
      <c r="BN3" s="44">
        <f t="shared" si="2"/>
        <v>7.5</v>
      </c>
      <c r="BO3" s="44">
        <f t="shared" si="2"/>
        <v>7.5</v>
      </c>
      <c r="BP3" s="44">
        <f t="shared" si="2"/>
        <v>7.5</v>
      </c>
      <c r="BR3" s="316">
        <v>12</v>
      </c>
      <c r="BS3" s="149">
        <v>6</v>
      </c>
      <c r="BT3" s="149">
        <f>(BR3/4)*2</f>
        <v>6</v>
      </c>
      <c r="BU3" s="40">
        <f>SUM(BR3:BT3)</f>
        <v>24</v>
      </c>
      <c r="BV3">
        <f>BU3*3</f>
        <v>72</v>
      </c>
    </row>
    <row r="4" spans="1:74">
      <c r="A4" s="210"/>
      <c r="B4" s="1459"/>
      <c r="C4" s="653"/>
      <c r="D4" s="69" t="s">
        <v>67</v>
      </c>
      <c r="E4" s="70" t="s">
        <v>69</v>
      </c>
      <c r="F4" s="71">
        <v>0.55000000000000004</v>
      </c>
      <c r="G4" s="71">
        <v>0.58133561643835618</v>
      </c>
      <c r="H4" s="69">
        <v>900</v>
      </c>
      <c r="I4" s="72">
        <v>40</v>
      </c>
      <c r="J4" s="72">
        <v>2</v>
      </c>
      <c r="K4" s="73"/>
      <c r="L4" s="73">
        <v>0</v>
      </c>
      <c r="M4" s="73">
        <v>0</v>
      </c>
      <c r="R4" s="74">
        <v>0</v>
      </c>
      <c r="S4" s="74">
        <v>0</v>
      </c>
      <c r="T4" s="74">
        <v>0</v>
      </c>
      <c r="U4" s="74">
        <v>0</v>
      </c>
      <c r="V4" s="74">
        <v>0</v>
      </c>
      <c r="W4" s="74">
        <v>0</v>
      </c>
      <c r="X4" s="74">
        <v>0</v>
      </c>
      <c r="Y4" s="762"/>
      <c r="Z4" s="74">
        <v>0</v>
      </c>
      <c r="AA4" s="74">
        <v>0</v>
      </c>
      <c r="AB4" s="74">
        <v>0</v>
      </c>
      <c r="AC4" s="74">
        <v>0</v>
      </c>
      <c r="AR4" s="75"/>
      <c r="AS4" s="75"/>
      <c r="AT4" s="75"/>
      <c r="AU4" s="75"/>
      <c r="AV4" s="75"/>
      <c r="AW4" s="75"/>
      <c r="AX4" s="75"/>
      <c r="AY4" s="75"/>
      <c r="AZ4" s="75"/>
      <c r="BA4" s="75"/>
      <c r="BB4" s="75"/>
      <c r="BC4" s="75"/>
    </row>
    <row r="5" spans="1:74">
      <c r="A5" s="367">
        <v>2</v>
      </c>
      <c r="B5" s="76" t="s">
        <v>70</v>
      </c>
      <c r="C5" s="76" t="s">
        <v>1014</v>
      </c>
      <c r="D5" s="69" t="s">
        <v>71</v>
      </c>
      <c r="E5" s="70" t="s">
        <v>72</v>
      </c>
      <c r="F5" s="71">
        <v>0.56999999999999995</v>
      </c>
      <c r="G5" s="71">
        <v>0.58133561643835618</v>
      </c>
      <c r="H5" s="69">
        <v>750</v>
      </c>
      <c r="I5" s="72">
        <v>10.714198016613135</v>
      </c>
      <c r="J5" s="72">
        <v>4</v>
      </c>
      <c r="K5" s="73">
        <f t="shared" ref="K5:K11" si="3">H5*24*60*F5*G5*J5/I5/39.37</f>
        <v>3393.5984326316552</v>
      </c>
      <c r="L5" s="73">
        <v>1</v>
      </c>
      <c r="M5" s="73">
        <f>L5*K5</f>
        <v>3393.5984326316552</v>
      </c>
      <c r="N5">
        <f t="shared" ref="N5:N22" si="4">H5*24*60*F5*G5*J5/I5/39.37</f>
        <v>3393.5984326316552</v>
      </c>
      <c r="R5" s="74">
        <v>45113.668301162885</v>
      </c>
      <c r="S5" s="74">
        <v>45956.56161434434</v>
      </c>
      <c r="T5" s="74">
        <v>45750.590598634139</v>
      </c>
      <c r="U5" s="74">
        <v>70390.456736702865</v>
      </c>
      <c r="V5" s="74">
        <v>45000</v>
      </c>
      <c r="W5" s="74">
        <v>68859.889166069304</v>
      </c>
      <c r="X5" s="74">
        <v>84498.600851297015</v>
      </c>
      <c r="Y5" s="759">
        <v>47497.634999999995</v>
      </c>
      <c r="Z5" s="74">
        <v>84957.450704804854</v>
      </c>
      <c r="AA5" s="74">
        <v>89458.302264874437</v>
      </c>
      <c r="AB5" s="74">
        <v>83420.35519881222</v>
      </c>
      <c r="AC5" s="74">
        <v>89613.672964287514</v>
      </c>
      <c r="AE5" s="44">
        <f>(R5/30)/$N5</f>
        <v>0.44312518797515577</v>
      </c>
      <c r="AF5" s="44">
        <f t="shared" ref="AF5:AP5" si="5">(S5/30)/$N5</f>
        <v>0.45140443619219572</v>
      </c>
      <c r="AG5" s="44">
        <f t="shared" si="5"/>
        <v>0.44938130332601589</v>
      </c>
      <c r="AH5" s="44">
        <f t="shared" si="5"/>
        <v>0.69140430268013697</v>
      </c>
      <c r="AI5" s="44">
        <f t="shared" si="5"/>
        <v>0.44200869070910831</v>
      </c>
      <c r="AJ5" s="44">
        <f t="shared" si="5"/>
        <v>0.6763704322815246</v>
      </c>
      <c r="AK5" s="44">
        <f t="shared" si="5"/>
        <v>0.82998035397851855</v>
      </c>
      <c r="AL5" s="44">
        <f t="shared" si="5"/>
        <v>0.4665414990695359</v>
      </c>
      <c r="AM5" s="44">
        <f t="shared" si="5"/>
        <v>0.83448736782254229</v>
      </c>
      <c r="AN5" s="44">
        <f t="shared" si="5"/>
        <v>0.87869660127015126</v>
      </c>
      <c r="AO5" s="44">
        <f t="shared" si="5"/>
        <v>0.819389377331461</v>
      </c>
      <c r="AP5" s="44">
        <f t="shared" si="5"/>
        <v>0.88022271681286535</v>
      </c>
      <c r="AR5" s="75" t="str">
        <f t="shared" ref="AR5:BC5" si="6">IF(AE5&lt;=0.33,"1",(IF(AE5&gt;0.66,"3","2")))</f>
        <v>2</v>
      </c>
      <c r="AS5" s="75" t="str">
        <f t="shared" si="6"/>
        <v>2</v>
      </c>
      <c r="AT5" s="75" t="str">
        <f t="shared" si="6"/>
        <v>2</v>
      </c>
      <c r="AU5" s="75" t="str">
        <f t="shared" si="6"/>
        <v>3</v>
      </c>
      <c r="AV5" s="75" t="str">
        <f t="shared" si="6"/>
        <v>2</v>
      </c>
      <c r="AW5" s="75" t="str">
        <f t="shared" si="6"/>
        <v>3</v>
      </c>
      <c r="AX5" s="75" t="str">
        <f t="shared" si="6"/>
        <v>3</v>
      </c>
      <c r="AY5" s="75" t="str">
        <f t="shared" si="6"/>
        <v>2</v>
      </c>
      <c r="AZ5" s="75" t="str">
        <f t="shared" si="6"/>
        <v>3</v>
      </c>
      <c r="BA5" s="75" t="str">
        <f t="shared" si="6"/>
        <v>3</v>
      </c>
      <c r="BB5" s="75" t="str">
        <f t="shared" si="6"/>
        <v>3</v>
      </c>
      <c r="BC5" s="75" t="str">
        <f t="shared" si="6"/>
        <v>3</v>
      </c>
      <c r="BE5" s="44">
        <f t="shared" ref="BE5:BP5" si="7">AR5*2.5</f>
        <v>5</v>
      </c>
      <c r="BF5" s="44">
        <f t="shared" si="7"/>
        <v>5</v>
      </c>
      <c r="BG5" s="44">
        <f t="shared" si="7"/>
        <v>5</v>
      </c>
      <c r="BH5" s="44">
        <f t="shared" si="7"/>
        <v>7.5</v>
      </c>
      <c r="BI5" s="44">
        <f t="shared" si="7"/>
        <v>5</v>
      </c>
      <c r="BJ5" s="44">
        <f t="shared" si="7"/>
        <v>7.5</v>
      </c>
      <c r="BK5" s="44">
        <f t="shared" si="7"/>
        <v>7.5</v>
      </c>
      <c r="BL5" s="44">
        <f t="shared" si="7"/>
        <v>5</v>
      </c>
      <c r="BM5" s="44">
        <f t="shared" si="7"/>
        <v>7.5</v>
      </c>
      <c r="BN5" s="44">
        <f t="shared" si="7"/>
        <v>7.5</v>
      </c>
      <c r="BO5" s="44">
        <f t="shared" si="7"/>
        <v>7.5</v>
      </c>
      <c r="BP5" s="44">
        <f t="shared" si="7"/>
        <v>7.5</v>
      </c>
    </row>
    <row r="6" spans="1:74">
      <c r="A6" s="1460">
        <v>3</v>
      </c>
      <c r="B6" s="1459" t="s">
        <v>73</v>
      </c>
      <c r="C6" s="653" t="s">
        <v>1013</v>
      </c>
      <c r="D6" s="69" t="s">
        <v>74</v>
      </c>
      <c r="E6" s="70" t="s">
        <v>75</v>
      </c>
      <c r="F6" s="71">
        <v>0.56999999999999995</v>
      </c>
      <c r="G6" s="71">
        <v>0.58133561643835618</v>
      </c>
      <c r="H6" s="69">
        <v>900</v>
      </c>
      <c r="I6" s="72">
        <v>40</v>
      </c>
      <c r="J6" s="72">
        <v>4</v>
      </c>
      <c r="K6" s="73"/>
      <c r="L6" s="73">
        <v>0</v>
      </c>
      <c r="M6" s="73">
        <v>0</v>
      </c>
      <c r="R6" s="74">
        <v>0</v>
      </c>
      <c r="S6" s="74">
        <v>0</v>
      </c>
      <c r="T6" s="74">
        <v>0</v>
      </c>
      <c r="U6" s="74">
        <v>0</v>
      </c>
      <c r="V6" s="74">
        <v>0</v>
      </c>
      <c r="W6" s="74">
        <v>0</v>
      </c>
      <c r="X6" s="74">
        <v>0</v>
      </c>
      <c r="Y6" s="762"/>
      <c r="Z6" s="74">
        <v>0</v>
      </c>
      <c r="AA6" s="74">
        <v>0</v>
      </c>
      <c r="AB6" s="74">
        <v>0</v>
      </c>
      <c r="AC6" s="74">
        <v>0</v>
      </c>
      <c r="AR6" s="75"/>
      <c r="AS6" s="75"/>
      <c r="AT6" s="75"/>
      <c r="AU6" s="75"/>
      <c r="AV6" s="75"/>
      <c r="AW6" s="75"/>
      <c r="AX6" s="75"/>
      <c r="AY6" s="75"/>
      <c r="AZ6" s="75"/>
      <c r="BA6" s="75"/>
      <c r="BB6" s="75"/>
      <c r="BC6" s="75"/>
    </row>
    <row r="7" spans="1:74">
      <c r="A7" s="1460"/>
      <c r="B7" s="1459"/>
      <c r="C7" s="653"/>
      <c r="D7" s="69" t="s">
        <v>74</v>
      </c>
      <c r="E7" s="70" t="s">
        <v>76</v>
      </c>
      <c r="F7" s="71">
        <v>0.56999999999999995</v>
      </c>
      <c r="G7" s="71">
        <v>0.58133561643835618</v>
      </c>
      <c r="H7" s="69">
        <v>800</v>
      </c>
      <c r="I7" s="72">
        <v>11.408537214073382</v>
      </c>
      <c r="J7" s="72">
        <v>4</v>
      </c>
      <c r="K7" s="622">
        <f>H7*60*((24-(1.5*1.5))*F7*J7*G7/I7/39.37)</f>
        <v>3080.824072069157</v>
      </c>
      <c r="L7" s="73">
        <v>1</v>
      </c>
      <c r="M7" s="73">
        <f t="shared" ref="M7:M11" si="8">L7*K7</f>
        <v>3080.824072069157</v>
      </c>
      <c r="N7">
        <f t="shared" si="4"/>
        <v>3399.53001055907</v>
      </c>
      <c r="O7" t="s">
        <v>484</v>
      </c>
      <c r="R7" s="74">
        <v>70976.469721212954</v>
      </c>
      <c r="S7" s="74">
        <v>71638.681087995472</v>
      </c>
      <c r="T7" s="74">
        <v>71240.730493298906</v>
      </c>
      <c r="U7" s="74">
        <v>94288.282612639538</v>
      </c>
      <c r="V7" s="77">
        <v>90000</v>
      </c>
      <c r="W7" s="74">
        <v>93082.427669801211</v>
      </c>
      <c r="X7" s="74">
        <v>105887.30093567823</v>
      </c>
      <c r="Y7" s="759">
        <v>67130.401891252957</v>
      </c>
      <c r="Z7" s="74">
        <v>106080.30018593663</v>
      </c>
      <c r="AA7" s="74">
        <v>131303.2381736848</v>
      </c>
      <c r="AB7" s="74">
        <v>126191.25203848617</v>
      </c>
      <c r="AC7" s="74">
        <v>131303.2381736848</v>
      </c>
      <c r="AE7" s="44">
        <f t="shared" ref="AE7:AP22" si="9">(R7/30)/$N7</f>
        <v>0.69594394421932182</v>
      </c>
      <c r="AF7" s="44">
        <f t="shared" si="9"/>
        <v>0.70243711008563925</v>
      </c>
      <c r="AG7" s="44">
        <f t="shared" si="9"/>
        <v>0.69853509428286154</v>
      </c>
      <c r="AH7" s="44">
        <f t="shared" si="9"/>
        <v>0.92452272637469035</v>
      </c>
      <c r="AI7" s="44">
        <f t="shared" si="9"/>
        <v>0.88247492761701929</v>
      </c>
      <c r="AJ7" s="44">
        <f t="shared" si="9"/>
        <v>0.91269898467026944</v>
      </c>
      <c r="AK7" s="44">
        <f t="shared" si="9"/>
        <v>1.0382543136530464</v>
      </c>
      <c r="AL7" s="44">
        <f t="shared" si="9"/>
        <v>0.65823218388760962</v>
      </c>
      <c r="AM7" s="44">
        <f t="shared" si="9"/>
        <v>1.0401467247575122</v>
      </c>
      <c r="AN7" s="44">
        <f t="shared" si="9"/>
        <v>1.2874646178133637</v>
      </c>
      <c r="AO7" s="44">
        <f t="shared" si="9"/>
        <v>1.2373401778729345</v>
      </c>
      <c r="AP7" s="44">
        <f t="shared" si="9"/>
        <v>1.2874646178133637</v>
      </c>
      <c r="AR7" s="75" t="str">
        <f t="shared" ref="AR7:BC13" si="10">IF(AE7&lt;=0.33,"1",(IF(AE7&gt;0.66,"3","2")))</f>
        <v>3</v>
      </c>
      <c r="AS7" s="75" t="str">
        <f t="shared" si="10"/>
        <v>3</v>
      </c>
      <c r="AT7" s="75" t="str">
        <f t="shared" si="10"/>
        <v>3</v>
      </c>
      <c r="AU7" s="75" t="str">
        <f t="shared" si="10"/>
        <v>3</v>
      </c>
      <c r="AV7" s="75" t="str">
        <f t="shared" si="10"/>
        <v>3</v>
      </c>
      <c r="AW7" s="75" t="str">
        <f t="shared" si="10"/>
        <v>3</v>
      </c>
      <c r="AX7" s="75" t="str">
        <f t="shared" si="10"/>
        <v>3</v>
      </c>
      <c r="AY7" s="75" t="str">
        <f t="shared" si="10"/>
        <v>2</v>
      </c>
      <c r="AZ7" s="75" t="str">
        <f t="shared" si="10"/>
        <v>3</v>
      </c>
      <c r="BA7" s="75" t="str">
        <f t="shared" si="10"/>
        <v>3</v>
      </c>
      <c r="BB7" s="75" t="str">
        <f t="shared" si="10"/>
        <v>3</v>
      </c>
      <c r="BC7" s="75" t="str">
        <f t="shared" si="10"/>
        <v>3</v>
      </c>
      <c r="BE7" s="44">
        <f t="shared" ref="BE7:BP19" si="11">AR7*2.5</f>
        <v>7.5</v>
      </c>
      <c r="BF7" s="44">
        <f t="shared" si="11"/>
        <v>7.5</v>
      </c>
      <c r="BG7" s="44">
        <f t="shared" si="11"/>
        <v>7.5</v>
      </c>
      <c r="BH7" s="44">
        <f t="shared" si="11"/>
        <v>7.5</v>
      </c>
      <c r="BI7" s="44">
        <f t="shared" si="11"/>
        <v>7.5</v>
      </c>
      <c r="BJ7" s="44">
        <f t="shared" si="11"/>
        <v>7.5</v>
      </c>
      <c r="BK7" s="44">
        <f t="shared" si="11"/>
        <v>7.5</v>
      </c>
      <c r="BL7" s="44">
        <f t="shared" si="11"/>
        <v>5</v>
      </c>
      <c r="BM7" s="44">
        <f t="shared" si="11"/>
        <v>7.5</v>
      </c>
      <c r="BN7" s="44">
        <f t="shared" si="11"/>
        <v>7.5</v>
      </c>
      <c r="BO7" s="44">
        <f t="shared" si="11"/>
        <v>7.5</v>
      </c>
      <c r="BP7" s="44">
        <f t="shared" si="11"/>
        <v>7.5</v>
      </c>
    </row>
    <row r="8" spans="1:74">
      <c r="A8" s="210">
        <v>4</v>
      </c>
      <c r="B8" s="653" t="s">
        <v>77</v>
      </c>
      <c r="C8" s="653" t="s">
        <v>1012</v>
      </c>
      <c r="D8" s="69" t="s">
        <v>33</v>
      </c>
      <c r="E8" s="70" t="s">
        <v>78</v>
      </c>
      <c r="F8" s="71">
        <v>0.49</v>
      </c>
      <c r="G8" s="71">
        <v>0.58133561643835618</v>
      </c>
      <c r="H8" s="69">
        <v>1000</v>
      </c>
      <c r="I8" s="72">
        <v>8.9435775085430276</v>
      </c>
      <c r="J8" s="72">
        <v>3.9</v>
      </c>
      <c r="K8" s="73">
        <f t="shared" si="3"/>
        <v>4543.3209851272695</v>
      </c>
      <c r="L8" s="73">
        <v>1</v>
      </c>
      <c r="M8" s="73">
        <f t="shared" si="8"/>
        <v>4543.3209851272695</v>
      </c>
      <c r="N8">
        <f t="shared" si="4"/>
        <v>4543.3209851272695</v>
      </c>
      <c r="R8" s="74">
        <v>15069.457186712983</v>
      </c>
      <c r="S8" s="74">
        <v>15601.13161542335</v>
      </c>
      <c r="T8" s="74">
        <v>16131.668002828406</v>
      </c>
      <c r="U8" s="74">
        <v>16487.051452124229</v>
      </c>
      <c r="V8" s="77">
        <v>100000</v>
      </c>
      <c r="W8" s="74">
        <v>15954.805866715535</v>
      </c>
      <c r="X8" s="74">
        <v>85225.135610852638</v>
      </c>
      <c r="Y8" s="759">
        <v>3026.4</v>
      </c>
      <c r="Z8" s="74">
        <v>85783.353080739558</v>
      </c>
      <c r="AA8" s="74">
        <v>72363.324549196914</v>
      </c>
      <c r="AB8" s="74">
        <v>65710.017848265299</v>
      </c>
      <c r="AC8" s="74">
        <v>72555.526326260981</v>
      </c>
      <c r="AE8" s="44">
        <f t="shared" si="9"/>
        <v>0.11056124830304685</v>
      </c>
      <c r="AF8" s="44">
        <f t="shared" si="9"/>
        <v>0.11446202507295314</v>
      </c>
      <c r="AG8" s="44">
        <f t="shared" si="9"/>
        <v>0.11835445228747887</v>
      </c>
      <c r="AH8" s="44">
        <f t="shared" si="9"/>
        <v>0.12096182143777798</v>
      </c>
      <c r="AI8" s="44">
        <f t="shared" si="9"/>
        <v>0.73367770937715482</v>
      </c>
      <c r="AJ8" s="44">
        <f t="shared" si="9"/>
        <v>0.11705685421849045</v>
      </c>
      <c r="AK8" s="44">
        <f t="shared" si="9"/>
        <v>0.62527782276327748</v>
      </c>
      <c r="AL8" s="44">
        <f t="shared" si="9"/>
        <v>2.2204022196590213E-2</v>
      </c>
      <c r="AM8" s="44">
        <f t="shared" si="9"/>
        <v>0.62937333990968691</v>
      </c>
      <c r="AN8" s="44">
        <f t="shared" si="9"/>
        <v>0.53091358198170424</v>
      </c>
      <c r="AO8" s="44">
        <f t="shared" si="9"/>
        <v>0.48209975378047243</v>
      </c>
      <c r="AP8" s="44">
        <f t="shared" si="9"/>
        <v>0.53232372357705005</v>
      </c>
      <c r="AR8" s="75" t="str">
        <f t="shared" si="10"/>
        <v>1</v>
      </c>
      <c r="AS8" s="75" t="str">
        <f t="shared" si="10"/>
        <v>1</v>
      </c>
      <c r="AT8" s="75" t="str">
        <f t="shared" si="10"/>
        <v>1</v>
      </c>
      <c r="AU8" s="75" t="str">
        <f t="shared" si="10"/>
        <v>1</v>
      </c>
      <c r="AV8" s="75" t="str">
        <f t="shared" si="10"/>
        <v>3</v>
      </c>
      <c r="AW8" s="75" t="str">
        <f t="shared" si="10"/>
        <v>1</v>
      </c>
      <c r="AX8" s="75" t="str">
        <f t="shared" si="10"/>
        <v>2</v>
      </c>
      <c r="AY8" s="75" t="str">
        <f t="shared" si="10"/>
        <v>1</v>
      </c>
      <c r="AZ8" s="75" t="str">
        <f t="shared" si="10"/>
        <v>2</v>
      </c>
      <c r="BA8" s="75" t="str">
        <f t="shared" si="10"/>
        <v>2</v>
      </c>
      <c r="BB8" s="75" t="str">
        <f t="shared" si="10"/>
        <v>2</v>
      </c>
      <c r="BC8" s="75" t="str">
        <f t="shared" si="10"/>
        <v>2</v>
      </c>
      <c r="BE8" s="44">
        <f t="shared" si="11"/>
        <v>2.5</v>
      </c>
      <c r="BF8" s="44">
        <f t="shared" si="11"/>
        <v>2.5</v>
      </c>
      <c r="BG8" s="44">
        <f t="shared" si="11"/>
        <v>2.5</v>
      </c>
      <c r="BH8" s="44">
        <f t="shared" si="11"/>
        <v>2.5</v>
      </c>
      <c r="BI8" s="44">
        <f t="shared" si="11"/>
        <v>7.5</v>
      </c>
      <c r="BJ8" s="44">
        <f t="shared" si="11"/>
        <v>2.5</v>
      </c>
      <c r="BK8" s="44">
        <f t="shared" si="11"/>
        <v>5</v>
      </c>
      <c r="BL8" s="44">
        <f t="shared" si="11"/>
        <v>2.5</v>
      </c>
      <c r="BM8" s="44">
        <f t="shared" si="11"/>
        <v>5</v>
      </c>
      <c r="BN8" s="44">
        <f t="shared" si="11"/>
        <v>5</v>
      </c>
      <c r="BO8" s="44">
        <f t="shared" si="11"/>
        <v>5</v>
      </c>
      <c r="BP8" s="44">
        <f t="shared" si="11"/>
        <v>5</v>
      </c>
    </row>
    <row r="9" spans="1:74">
      <c r="A9" s="367">
        <v>5</v>
      </c>
      <c r="B9" s="76" t="s">
        <v>79</v>
      </c>
      <c r="C9" s="76" t="s">
        <v>1015</v>
      </c>
      <c r="D9" s="69" t="s">
        <v>71</v>
      </c>
      <c r="E9" s="70" t="s">
        <v>80</v>
      </c>
      <c r="F9" s="71">
        <v>0.56999999999999995</v>
      </c>
      <c r="G9" s="71">
        <v>0.58133561643835618</v>
      </c>
      <c r="H9" s="69">
        <v>750</v>
      </c>
      <c r="I9" s="72">
        <v>10.199999999999999</v>
      </c>
      <c r="J9" s="72">
        <v>3.9</v>
      </c>
      <c r="K9" s="73">
        <f t="shared" si="3"/>
        <v>3475.5581819785721</v>
      </c>
      <c r="L9" s="73">
        <v>1</v>
      </c>
      <c r="M9" s="73">
        <f t="shared" si="8"/>
        <v>3475.5581819785721</v>
      </c>
      <c r="N9">
        <f t="shared" si="4"/>
        <v>3475.5581819785721</v>
      </c>
      <c r="R9" s="77">
        <v>36908.147567449378</v>
      </c>
      <c r="S9" s="77">
        <v>33519.683927457292</v>
      </c>
      <c r="T9" s="77">
        <v>42165.011729408703</v>
      </c>
      <c r="U9" s="77">
        <v>47088.128155998929</v>
      </c>
      <c r="V9" s="77">
        <v>20000</v>
      </c>
      <c r="W9" s="77">
        <v>43341.656770571455</v>
      </c>
      <c r="X9" s="77">
        <v>43826.784255719009</v>
      </c>
      <c r="Y9" s="760">
        <f>112358.883506639/2</f>
        <v>56179.441753319501</v>
      </c>
      <c r="Z9" s="77">
        <v>43555.583607742381</v>
      </c>
      <c r="AA9" s="77">
        <v>44766.277289344929</v>
      </c>
      <c r="AB9" s="77">
        <v>39972.837516357526</v>
      </c>
      <c r="AC9" s="77">
        <v>46398.840870465399</v>
      </c>
      <c r="AE9" s="44">
        <f t="shared" si="9"/>
        <v>0.35397812989028277</v>
      </c>
      <c r="AF9" s="44">
        <f t="shared" si="9"/>
        <v>0.32148010163531149</v>
      </c>
      <c r="AG9" s="44">
        <f t="shared" si="9"/>
        <v>0.40439558695005484</v>
      </c>
      <c r="AH9" s="44">
        <f t="shared" si="9"/>
        <v>0.45161214103833069</v>
      </c>
      <c r="AI9" s="44">
        <f t="shared" si="9"/>
        <v>0.19181571182535792</v>
      </c>
      <c r="AJ9" s="44">
        <f t="shared" si="9"/>
        <v>0.41568053725687537</v>
      </c>
      <c r="AK9" s="44">
        <f t="shared" si="9"/>
        <v>0.42033329095135658</v>
      </c>
      <c r="AL9" s="44">
        <f t="shared" si="9"/>
        <v>0.53880498049321068</v>
      </c>
      <c r="AM9" s="44">
        <f t="shared" si="9"/>
        <v>0.41773226368439975</v>
      </c>
      <c r="AN9" s="44">
        <f t="shared" si="9"/>
        <v>0.42934376720135264</v>
      </c>
      <c r="AO9" s="44">
        <f t="shared" si="9"/>
        <v>0.38337091409397456</v>
      </c>
      <c r="AP9" s="44">
        <f t="shared" si="9"/>
        <v>0.44500133447199147</v>
      </c>
      <c r="AR9" s="75" t="str">
        <f t="shared" si="10"/>
        <v>2</v>
      </c>
      <c r="AS9" s="75" t="str">
        <f t="shared" si="10"/>
        <v>1</v>
      </c>
      <c r="AT9" s="75" t="str">
        <f t="shared" si="10"/>
        <v>2</v>
      </c>
      <c r="AU9" s="75" t="str">
        <f t="shared" si="10"/>
        <v>2</v>
      </c>
      <c r="AV9" s="75" t="str">
        <f t="shared" si="10"/>
        <v>1</v>
      </c>
      <c r="AW9" s="75" t="str">
        <f t="shared" si="10"/>
        <v>2</v>
      </c>
      <c r="AX9" s="75" t="str">
        <f t="shared" si="10"/>
        <v>2</v>
      </c>
      <c r="AY9" s="75" t="str">
        <f t="shared" si="10"/>
        <v>2</v>
      </c>
      <c r="AZ9" s="75" t="str">
        <f t="shared" si="10"/>
        <v>2</v>
      </c>
      <c r="BA9" s="75" t="str">
        <f t="shared" si="10"/>
        <v>2</v>
      </c>
      <c r="BB9" s="75" t="str">
        <f t="shared" si="10"/>
        <v>2</v>
      </c>
      <c r="BC9" s="75" t="str">
        <f t="shared" si="10"/>
        <v>2</v>
      </c>
      <c r="BE9" s="44">
        <f t="shared" si="11"/>
        <v>5</v>
      </c>
      <c r="BF9" s="44">
        <f t="shared" si="11"/>
        <v>2.5</v>
      </c>
      <c r="BG9" s="44">
        <f t="shared" si="11"/>
        <v>5</v>
      </c>
      <c r="BH9" s="44">
        <f t="shared" si="11"/>
        <v>5</v>
      </c>
      <c r="BI9" s="44">
        <f t="shared" si="11"/>
        <v>2.5</v>
      </c>
      <c r="BJ9" s="44">
        <f t="shared" si="11"/>
        <v>5</v>
      </c>
      <c r="BK9" s="44">
        <f t="shared" si="11"/>
        <v>5</v>
      </c>
      <c r="BL9" s="44">
        <f t="shared" si="11"/>
        <v>5</v>
      </c>
      <c r="BM9" s="44">
        <f t="shared" si="11"/>
        <v>5</v>
      </c>
      <c r="BN9" s="44">
        <f t="shared" si="11"/>
        <v>5</v>
      </c>
      <c r="BO9" s="44">
        <f t="shared" si="11"/>
        <v>5</v>
      </c>
      <c r="BP9" s="44">
        <f t="shared" si="11"/>
        <v>5</v>
      </c>
    </row>
    <row r="10" spans="1:74">
      <c r="A10" s="367">
        <f>A9+1</f>
        <v>6</v>
      </c>
      <c r="B10" s="76" t="s">
        <v>79</v>
      </c>
      <c r="C10" s="76" t="s">
        <v>1016</v>
      </c>
      <c r="D10" s="69" t="s">
        <v>71</v>
      </c>
      <c r="E10" s="70" t="s">
        <v>81</v>
      </c>
      <c r="F10" s="71">
        <v>0.56999999999999995</v>
      </c>
      <c r="G10" s="71">
        <v>0.58133561643835618</v>
      </c>
      <c r="H10" s="69">
        <v>550</v>
      </c>
      <c r="I10" s="72">
        <v>10.199999999999999</v>
      </c>
      <c r="J10" s="72">
        <v>3.66</v>
      </c>
      <c r="K10" s="73">
        <f t="shared" si="3"/>
        <v>2391.8969642129459</v>
      </c>
      <c r="L10" s="73">
        <v>1</v>
      </c>
      <c r="M10" s="73">
        <f t="shared" si="8"/>
        <v>2391.8969642129459</v>
      </c>
      <c r="N10">
        <f t="shared" si="4"/>
        <v>2391.8969642129459</v>
      </c>
      <c r="R10" s="77">
        <v>36908.147567449378</v>
      </c>
      <c r="S10" s="77">
        <v>33519.683927457292</v>
      </c>
      <c r="T10" s="77">
        <v>42165.011729408703</v>
      </c>
      <c r="U10" s="77">
        <v>47088.128155998929</v>
      </c>
      <c r="V10" s="77">
        <v>100000</v>
      </c>
      <c r="W10" s="77">
        <v>43341.656770571455</v>
      </c>
      <c r="X10" s="77">
        <v>43826.784255719009</v>
      </c>
      <c r="Y10" s="760">
        <f>112358.883506639/2</f>
        <v>56179.441753319501</v>
      </c>
      <c r="Z10" s="77">
        <v>43555.583607742381</v>
      </c>
      <c r="AA10" s="77">
        <v>44766.277289344929</v>
      </c>
      <c r="AB10" s="77">
        <v>39972.837516357526</v>
      </c>
      <c r="AC10" s="77">
        <v>46398.840870465399</v>
      </c>
      <c r="AE10" s="44">
        <f t="shared" si="9"/>
        <v>0.51434974164385339</v>
      </c>
      <c r="AF10" s="44">
        <f t="shared" si="9"/>
        <v>0.46712831459676402</v>
      </c>
      <c r="AG10" s="44">
        <f t="shared" si="9"/>
        <v>0.58760908684993052</v>
      </c>
      <c r="AH10" s="44">
        <f t="shared" si="9"/>
        <v>0.65621734353557726</v>
      </c>
      <c r="AI10" s="44">
        <f t="shared" si="9"/>
        <v>1.3935940315180622</v>
      </c>
      <c r="AJ10" s="44">
        <f t="shared" si="9"/>
        <v>0.6040067419157279</v>
      </c>
      <c r="AK10" s="44">
        <f t="shared" si="9"/>
        <v>0.61076744959399787</v>
      </c>
      <c r="AL10" s="44">
        <f t="shared" si="9"/>
        <v>0.78291334721442674</v>
      </c>
      <c r="AM10" s="44">
        <f t="shared" si="9"/>
        <v>0.60698801355035725</v>
      </c>
      <c r="AN10" s="44">
        <f t="shared" si="9"/>
        <v>0.62386016843713676</v>
      </c>
      <c r="AO10" s="44">
        <f t="shared" si="9"/>
        <v>0.55705907785637121</v>
      </c>
      <c r="AP10" s="44">
        <f t="shared" si="9"/>
        <v>0.64661147706436906</v>
      </c>
      <c r="AR10" s="75" t="str">
        <f t="shared" si="10"/>
        <v>2</v>
      </c>
      <c r="AS10" s="75" t="str">
        <f t="shared" si="10"/>
        <v>2</v>
      </c>
      <c r="AT10" s="75" t="str">
        <f t="shared" si="10"/>
        <v>2</v>
      </c>
      <c r="AU10" s="75" t="str">
        <f t="shared" si="10"/>
        <v>2</v>
      </c>
      <c r="AV10" s="75" t="str">
        <f t="shared" si="10"/>
        <v>3</v>
      </c>
      <c r="AW10" s="75" t="str">
        <f t="shared" si="10"/>
        <v>2</v>
      </c>
      <c r="AX10" s="75" t="str">
        <f t="shared" si="10"/>
        <v>2</v>
      </c>
      <c r="AY10" s="75" t="str">
        <f t="shared" si="10"/>
        <v>3</v>
      </c>
      <c r="AZ10" s="75" t="str">
        <f t="shared" si="10"/>
        <v>2</v>
      </c>
      <c r="BA10" s="75" t="str">
        <f t="shared" si="10"/>
        <v>2</v>
      </c>
      <c r="BB10" s="75" t="str">
        <f t="shared" si="10"/>
        <v>2</v>
      </c>
      <c r="BC10" s="75" t="str">
        <f t="shared" si="10"/>
        <v>2</v>
      </c>
      <c r="BE10" s="44">
        <f t="shared" si="11"/>
        <v>5</v>
      </c>
      <c r="BF10" s="44">
        <f t="shared" si="11"/>
        <v>5</v>
      </c>
      <c r="BG10" s="44">
        <f t="shared" si="11"/>
        <v>5</v>
      </c>
      <c r="BH10" s="44">
        <f t="shared" si="11"/>
        <v>5</v>
      </c>
      <c r="BI10" s="44">
        <f t="shared" si="11"/>
        <v>7.5</v>
      </c>
      <c r="BJ10" s="44">
        <f t="shared" si="11"/>
        <v>5</v>
      </c>
      <c r="BK10" s="44">
        <f t="shared" si="11"/>
        <v>5</v>
      </c>
      <c r="BL10" s="44">
        <f t="shared" si="11"/>
        <v>7.5</v>
      </c>
      <c r="BM10" s="44">
        <f t="shared" si="11"/>
        <v>5</v>
      </c>
      <c r="BN10" s="44">
        <f t="shared" si="11"/>
        <v>5</v>
      </c>
      <c r="BO10" s="44">
        <f t="shared" si="11"/>
        <v>5</v>
      </c>
      <c r="BP10" s="44">
        <f t="shared" si="11"/>
        <v>5</v>
      </c>
    </row>
    <row r="11" spans="1:74">
      <c r="A11" s="367">
        <f t="shared" ref="A11:A22" si="12">A10+1</f>
        <v>7</v>
      </c>
      <c r="B11" s="76" t="s">
        <v>82</v>
      </c>
      <c r="C11" s="76" t="s">
        <v>1017</v>
      </c>
      <c r="D11" s="69" t="s">
        <v>71</v>
      </c>
      <c r="E11" s="70" t="s">
        <v>81</v>
      </c>
      <c r="F11" s="71">
        <v>0.56999999999999995</v>
      </c>
      <c r="G11" s="71">
        <v>0.58133561643835618</v>
      </c>
      <c r="H11" s="69">
        <v>550</v>
      </c>
      <c r="I11" s="72">
        <v>10.199999999999999</v>
      </c>
      <c r="J11" s="72">
        <v>3.66</v>
      </c>
      <c r="K11" s="73">
        <f t="shared" si="3"/>
        <v>2391.8969642129459</v>
      </c>
      <c r="L11" s="73">
        <v>1</v>
      </c>
      <c r="M11" s="73">
        <f t="shared" si="8"/>
        <v>2391.8969642129459</v>
      </c>
      <c r="N11">
        <f t="shared" si="4"/>
        <v>2391.8969642129459</v>
      </c>
      <c r="R11" s="77">
        <v>36908.147567449378</v>
      </c>
      <c r="S11" s="77">
        <v>33519.683927457292</v>
      </c>
      <c r="T11" s="77">
        <v>42165.011729408703</v>
      </c>
      <c r="U11" s="77">
        <v>47088.128155998929</v>
      </c>
      <c r="V11" s="77">
        <v>50000</v>
      </c>
      <c r="W11" s="77">
        <v>43341.656770571455</v>
      </c>
      <c r="X11" s="77">
        <v>43826.784255719009</v>
      </c>
      <c r="Y11" s="760">
        <v>9866.2189999999991</v>
      </c>
      <c r="Z11" s="77">
        <v>43555.583607742381</v>
      </c>
      <c r="AA11" s="77">
        <v>44766.277289344929</v>
      </c>
      <c r="AB11" s="77">
        <v>39972.837516357526</v>
      </c>
      <c r="AC11" s="77">
        <v>46398.840870465399</v>
      </c>
      <c r="AE11" s="44">
        <f t="shared" si="9"/>
        <v>0.51434974164385339</v>
      </c>
      <c r="AF11" s="44">
        <f t="shared" si="9"/>
        <v>0.46712831459676402</v>
      </c>
      <c r="AG11" s="44">
        <f t="shared" si="9"/>
        <v>0.58760908684993052</v>
      </c>
      <c r="AH11" s="44">
        <f t="shared" si="9"/>
        <v>0.65621734353557726</v>
      </c>
      <c r="AI11" s="44">
        <f t="shared" si="9"/>
        <v>0.69679701575903108</v>
      </c>
      <c r="AJ11" s="44">
        <f t="shared" si="9"/>
        <v>0.6040067419157279</v>
      </c>
      <c r="AK11" s="44">
        <f t="shared" si="9"/>
        <v>0.61076744959399787</v>
      </c>
      <c r="AL11" s="44">
        <f t="shared" si="9"/>
        <v>0.13749503912050104</v>
      </c>
      <c r="AM11" s="44">
        <f t="shared" si="9"/>
        <v>0.60698801355035725</v>
      </c>
      <c r="AN11" s="44">
        <f t="shared" si="9"/>
        <v>0.62386016843713676</v>
      </c>
      <c r="AO11" s="44">
        <f t="shared" si="9"/>
        <v>0.55705907785637121</v>
      </c>
      <c r="AP11" s="44">
        <f t="shared" si="9"/>
        <v>0.64661147706436906</v>
      </c>
      <c r="AR11" s="75" t="str">
        <f t="shared" si="10"/>
        <v>2</v>
      </c>
      <c r="AS11" s="75" t="str">
        <f t="shared" si="10"/>
        <v>2</v>
      </c>
      <c r="AT11" s="75" t="str">
        <f t="shared" si="10"/>
        <v>2</v>
      </c>
      <c r="AU11" s="75" t="str">
        <f t="shared" si="10"/>
        <v>2</v>
      </c>
      <c r="AV11" s="75" t="str">
        <f t="shared" si="10"/>
        <v>3</v>
      </c>
      <c r="AW11" s="75" t="str">
        <f t="shared" si="10"/>
        <v>2</v>
      </c>
      <c r="AX11" s="75" t="str">
        <f t="shared" si="10"/>
        <v>2</v>
      </c>
      <c r="AY11" s="75" t="str">
        <f t="shared" si="10"/>
        <v>1</v>
      </c>
      <c r="AZ11" s="75" t="str">
        <f t="shared" si="10"/>
        <v>2</v>
      </c>
      <c r="BA11" s="75" t="str">
        <f t="shared" si="10"/>
        <v>2</v>
      </c>
      <c r="BB11" s="75" t="str">
        <f t="shared" si="10"/>
        <v>2</v>
      </c>
      <c r="BC11" s="75" t="str">
        <f t="shared" si="10"/>
        <v>2</v>
      </c>
      <c r="BE11" s="44">
        <f t="shared" si="11"/>
        <v>5</v>
      </c>
      <c r="BF11" s="44">
        <f t="shared" si="11"/>
        <v>5</v>
      </c>
      <c r="BG11" s="44">
        <f t="shared" si="11"/>
        <v>5</v>
      </c>
      <c r="BH11" s="44">
        <f t="shared" si="11"/>
        <v>5</v>
      </c>
      <c r="BI11" s="44">
        <f t="shared" si="11"/>
        <v>7.5</v>
      </c>
      <c r="BJ11" s="44">
        <f t="shared" si="11"/>
        <v>5</v>
      </c>
      <c r="BK11" s="44">
        <f t="shared" si="11"/>
        <v>5</v>
      </c>
      <c r="BL11" s="44">
        <f t="shared" si="11"/>
        <v>2.5</v>
      </c>
      <c r="BM11" s="44">
        <f t="shared" si="11"/>
        <v>5</v>
      </c>
      <c r="BN11" s="44">
        <f t="shared" si="11"/>
        <v>5</v>
      </c>
      <c r="BO11" s="44">
        <f t="shared" si="11"/>
        <v>5</v>
      </c>
      <c r="BP11" s="44">
        <f t="shared" si="11"/>
        <v>5</v>
      </c>
    </row>
    <row r="12" spans="1:74">
      <c r="A12" s="621">
        <f t="shared" si="12"/>
        <v>8</v>
      </c>
      <c r="B12" s="78" t="s">
        <v>82</v>
      </c>
      <c r="C12" s="76" t="s">
        <v>1018</v>
      </c>
      <c r="D12" s="79" t="s">
        <v>71</v>
      </c>
      <c r="E12" s="80" t="s">
        <v>81</v>
      </c>
      <c r="F12" s="81">
        <v>0.56999999999999995</v>
      </c>
      <c r="G12" s="71">
        <v>0.58133561643835618</v>
      </c>
      <c r="H12" s="79">
        <v>550</v>
      </c>
      <c r="I12" s="82">
        <v>10.199999999999999</v>
      </c>
      <c r="J12" s="82">
        <v>3.66</v>
      </c>
      <c r="K12" s="83">
        <f>H12*24*60*F12*G12*J12/I12/39.37</f>
        <v>2391.8969642129459</v>
      </c>
      <c r="L12" s="83">
        <v>1</v>
      </c>
      <c r="M12" s="73">
        <f>L12*K12</f>
        <v>2391.8969642129459</v>
      </c>
      <c r="N12">
        <f t="shared" si="4"/>
        <v>2391.8969642129459</v>
      </c>
      <c r="R12" s="84">
        <v>36908.147567449378</v>
      </c>
      <c r="S12" s="84">
        <v>33519.683927457292</v>
      </c>
      <c r="T12" s="84">
        <v>42165.011729408703</v>
      </c>
      <c r="U12" s="84">
        <v>47088.128155998929</v>
      </c>
      <c r="V12" s="84">
        <v>50000</v>
      </c>
      <c r="W12" s="84">
        <v>43341.656770571455</v>
      </c>
      <c r="X12" s="84">
        <v>43826.784255719009</v>
      </c>
      <c r="Y12" s="760">
        <v>7989.9649999999992</v>
      </c>
      <c r="Z12" s="84">
        <v>43555.583607742381</v>
      </c>
      <c r="AA12" s="84">
        <v>44766.277289344929</v>
      </c>
      <c r="AB12" s="84">
        <v>39972.837516357526</v>
      </c>
      <c r="AC12" s="84">
        <v>46398.840870465399</v>
      </c>
      <c r="AE12" s="44">
        <f t="shared" si="9"/>
        <v>0.51434974164385339</v>
      </c>
      <c r="AF12" s="44">
        <f t="shared" si="9"/>
        <v>0.46712831459676402</v>
      </c>
      <c r="AG12" s="44">
        <f t="shared" si="9"/>
        <v>0.58760908684993052</v>
      </c>
      <c r="AH12" s="44">
        <f t="shared" si="9"/>
        <v>0.65621734353557726</v>
      </c>
      <c r="AI12" s="44">
        <f t="shared" si="9"/>
        <v>0.69679701575903108</v>
      </c>
      <c r="AJ12" s="44">
        <f t="shared" si="9"/>
        <v>0.6040067419157279</v>
      </c>
      <c r="AK12" s="44">
        <f t="shared" si="9"/>
        <v>0.61076744959399787</v>
      </c>
      <c r="AL12" s="44">
        <f t="shared" si="9"/>
        <v>0.11134767536038212</v>
      </c>
      <c r="AM12" s="44">
        <f t="shared" si="9"/>
        <v>0.60698801355035725</v>
      </c>
      <c r="AN12" s="44">
        <f t="shared" si="9"/>
        <v>0.62386016843713676</v>
      </c>
      <c r="AO12" s="44">
        <f t="shared" si="9"/>
        <v>0.55705907785637121</v>
      </c>
      <c r="AP12" s="44">
        <f t="shared" si="9"/>
        <v>0.64661147706436906</v>
      </c>
      <c r="AR12" s="75" t="str">
        <f t="shared" ref="AR12:AT13" si="13">IF(AE12&lt;=0,0,(IF(AE12&lt;=0.33,"1",(IF(AE12&gt;0.66,"3","2")))))</f>
        <v>2</v>
      </c>
      <c r="AS12" s="75" t="str">
        <f t="shared" si="13"/>
        <v>2</v>
      </c>
      <c r="AT12" s="75" t="str">
        <f t="shared" si="13"/>
        <v>2</v>
      </c>
      <c r="AU12" s="75" t="str">
        <f t="shared" si="10"/>
        <v>2</v>
      </c>
      <c r="AV12" s="75" t="str">
        <f t="shared" si="10"/>
        <v>3</v>
      </c>
      <c r="AW12" s="75" t="str">
        <f t="shared" si="10"/>
        <v>2</v>
      </c>
      <c r="AX12" s="75" t="str">
        <f t="shared" si="10"/>
        <v>2</v>
      </c>
      <c r="AY12" s="75" t="str">
        <f t="shared" si="10"/>
        <v>1</v>
      </c>
      <c r="AZ12" s="75" t="str">
        <f t="shared" si="10"/>
        <v>2</v>
      </c>
      <c r="BA12" s="75" t="str">
        <f t="shared" si="10"/>
        <v>2</v>
      </c>
      <c r="BB12" s="75" t="str">
        <f t="shared" si="10"/>
        <v>2</v>
      </c>
      <c r="BC12" s="75" t="str">
        <f t="shared" si="10"/>
        <v>2</v>
      </c>
      <c r="BE12" s="44">
        <f t="shared" si="11"/>
        <v>5</v>
      </c>
      <c r="BF12" s="44">
        <f t="shared" si="11"/>
        <v>5</v>
      </c>
      <c r="BG12" s="44">
        <f t="shared" si="11"/>
        <v>5</v>
      </c>
      <c r="BH12" s="44">
        <f t="shared" si="11"/>
        <v>5</v>
      </c>
      <c r="BI12" s="44">
        <f t="shared" si="11"/>
        <v>7.5</v>
      </c>
      <c r="BJ12" s="44">
        <f t="shared" si="11"/>
        <v>5</v>
      </c>
      <c r="BK12" s="44">
        <f t="shared" si="11"/>
        <v>5</v>
      </c>
      <c r="BL12" s="44">
        <f t="shared" si="11"/>
        <v>2.5</v>
      </c>
      <c r="BM12" s="44">
        <f t="shared" si="11"/>
        <v>5</v>
      </c>
      <c r="BN12" s="44">
        <f t="shared" si="11"/>
        <v>5</v>
      </c>
      <c r="BO12" s="44">
        <f t="shared" si="11"/>
        <v>5</v>
      </c>
      <c r="BP12" s="44">
        <f t="shared" si="11"/>
        <v>5</v>
      </c>
    </row>
    <row r="13" spans="1:74">
      <c r="A13" s="367">
        <f t="shared" si="12"/>
        <v>9</v>
      </c>
      <c r="B13" s="76" t="s">
        <v>83</v>
      </c>
      <c r="C13" s="76" t="s">
        <v>1019</v>
      </c>
      <c r="D13" s="69" t="s">
        <v>74</v>
      </c>
      <c r="E13" s="70" t="s">
        <v>84</v>
      </c>
      <c r="F13" s="71">
        <v>0.5</v>
      </c>
      <c r="G13" s="71">
        <v>0.58133561643835618</v>
      </c>
      <c r="H13" s="69">
        <v>600</v>
      </c>
      <c r="I13" s="72">
        <v>12</v>
      </c>
      <c r="J13" s="72">
        <v>4</v>
      </c>
      <c r="K13" s="73">
        <f t="shared" ref="K13:K22" si="14">H13*24*60*F13*G13*J13/I13/39.37</f>
        <v>2126.2974032797383</v>
      </c>
      <c r="L13" s="85">
        <v>1</v>
      </c>
      <c r="M13" s="73">
        <f t="shared" ref="M13:M22" si="15">L13*K13</f>
        <v>2126.2974032797383</v>
      </c>
      <c r="N13">
        <f t="shared" si="4"/>
        <v>2126.2974032797383</v>
      </c>
      <c r="R13" s="74">
        <v>59372.922027003864</v>
      </c>
      <c r="S13" s="74">
        <v>60979.260669636882</v>
      </c>
      <c r="T13" s="74">
        <v>59375.414756121216</v>
      </c>
      <c r="U13" s="74">
        <v>72447.223705544136</v>
      </c>
      <c r="V13" s="74">
        <v>5000</v>
      </c>
      <c r="W13" s="74">
        <v>70540.569577549293</v>
      </c>
      <c r="X13" s="74">
        <v>49789.817151205534</v>
      </c>
      <c r="Y13" s="759">
        <f>294399.863636364-290000</f>
        <v>4399.8636363639962</v>
      </c>
      <c r="Z13" s="74">
        <v>49789.817151205534</v>
      </c>
      <c r="AA13" s="74">
        <v>68725.717314976413</v>
      </c>
      <c r="AB13" s="74">
        <v>63365.90071072428</v>
      </c>
      <c r="AC13" s="74">
        <v>68725.717314976413</v>
      </c>
      <c r="AE13" s="44">
        <f t="shared" si="9"/>
        <v>0.93077167749320544</v>
      </c>
      <c r="AF13" s="44">
        <f t="shared" si="9"/>
        <v>0.95595377165299233</v>
      </c>
      <c r="AG13" s="44">
        <f t="shared" si="9"/>
        <v>0.93081075526776802</v>
      </c>
      <c r="AH13" s="44">
        <f t="shared" si="9"/>
        <v>1.135733624622107</v>
      </c>
      <c r="AI13" s="44">
        <f t="shared" si="9"/>
        <v>7.8383516063928418E-2</v>
      </c>
      <c r="AJ13" s="44">
        <f t="shared" si="9"/>
        <v>1.1058435737280992</v>
      </c>
      <c r="AK13" s="44">
        <f t="shared" si="9"/>
        <v>0.78054018649831569</v>
      </c>
      <c r="AL13" s="44">
        <f t="shared" si="9"/>
        <v>6.8975356404006358E-2</v>
      </c>
      <c r="AM13" s="44">
        <f t="shared" si="9"/>
        <v>0.78054018649831569</v>
      </c>
      <c r="AN13" s="44">
        <f t="shared" si="9"/>
        <v>1.0773926734326915</v>
      </c>
      <c r="AO13" s="44">
        <f t="shared" si="9"/>
        <v>0.99336841925287012</v>
      </c>
      <c r="AP13" s="44">
        <f t="shared" si="9"/>
        <v>1.0773926734326915</v>
      </c>
      <c r="AR13" s="75" t="str">
        <f t="shared" si="13"/>
        <v>3</v>
      </c>
      <c r="AS13" s="75" t="str">
        <f t="shared" si="13"/>
        <v>3</v>
      </c>
      <c r="AT13" s="75" t="str">
        <f t="shared" si="13"/>
        <v>3</v>
      </c>
      <c r="AU13" s="75" t="str">
        <f t="shared" si="10"/>
        <v>3</v>
      </c>
      <c r="AV13" s="75" t="str">
        <f t="shared" si="10"/>
        <v>1</v>
      </c>
      <c r="AW13" s="75" t="str">
        <f t="shared" si="10"/>
        <v>3</v>
      </c>
      <c r="AX13" s="75" t="str">
        <f t="shared" si="10"/>
        <v>3</v>
      </c>
      <c r="AY13" s="75" t="str">
        <f t="shared" si="10"/>
        <v>1</v>
      </c>
      <c r="AZ13" s="75" t="str">
        <f t="shared" si="10"/>
        <v>3</v>
      </c>
      <c r="BA13" s="75" t="str">
        <f t="shared" si="10"/>
        <v>3</v>
      </c>
      <c r="BB13" s="75" t="str">
        <f t="shared" si="10"/>
        <v>3</v>
      </c>
      <c r="BC13" s="75" t="str">
        <f t="shared" si="10"/>
        <v>3</v>
      </c>
      <c r="BE13" s="44">
        <f t="shared" si="11"/>
        <v>7.5</v>
      </c>
      <c r="BF13" s="44">
        <f t="shared" si="11"/>
        <v>7.5</v>
      </c>
      <c r="BG13" s="44">
        <f t="shared" si="11"/>
        <v>7.5</v>
      </c>
      <c r="BH13" s="44">
        <f t="shared" si="11"/>
        <v>7.5</v>
      </c>
      <c r="BI13" s="44">
        <f t="shared" si="11"/>
        <v>2.5</v>
      </c>
      <c r="BJ13" s="44">
        <f t="shared" si="11"/>
        <v>7.5</v>
      </c>
      <c r="BK13" s="44">
        <f t="shared" si="11"/>
        <v>7.5</v>
      </c>
      <c r="BL13" s="44">
        <f t="shared" si="11"/>
        <v>2.5</v>
      </c>
      <c r="BM13" s="44">
        <f t="shared" si="11"/>
        <v>7.5</v>
      </c>
      <c r="BN13" s="44">
        <f t="shared" si="11"/>
        <v>7.5</v>
      </c>
      <c r="BO13" s="44">
        <f t="shared" si="11"/>
        <v>7.5</v>
      </c>
      <c r="BP13" s="44">
        <f t="shared" si="11"/>
        <v>7.5</v>
      </c>
    </row>
    <row r="14" spans="1:74">
      <c r="A14" s="367">
        <f t="shared" si="12"/>
        <v>10</v>
      </c>
      <c r="B14" s="76" t="s">
        <v>85</v>
      </c>
      <c r="C14" s="76" t="s">
        <v>1020</v>
      </c>
      <c r="D14" s="69" t="s">
        <v>71</v>
      </c>
      <c r="E14" s="70" t="s">
        <v>85</v>
      </c>
      <c r="F14" s="71">
        <v>0.6</v>
      </c>
      <c r="G14" s="71">
        <v>0.58133561643835618</v>
      </c>
      <c r="H14" s="69">
        <v>750</v>
      </c>
      <c r="I14" s="72">
        <v>6.5</v>
      </c>
      <c r="J14" s="72">
        <v>3.66</v>
      </c>
      <c r="K14" s="73">
        <f t="shared" si="14"/>
        <v>5387.71049723343</v>
      </c>
      <c r="L14" s="73">
        <v>1</v>
      </c>
      <c r="M14" s="73">
        <f t="shared" si="15"/>
        <v>5387.71049723343</v>
      </c>
      <c r="N14">
        <f t="shared" si="4"/>
        <v>5387.71049723343</v>
      </c>
      <c r="R14" s="77">
        <v>78719.172133489861</v>
      </c>
      <c r="S14" s="77">
        <v>81722.707539433293</v>
      </c>
      <c r="T14" s="77">
        <v>90232.403592380026</v>
      </c>
      <c r="U14" s="77">
        <v>97696.728589028135</v>
      </c>
      <c r="V14" s="77">
        <v>100000</v>
      </c>
      <c r="W14" s="77">
        <v>94544.508740750462</v>
      </c>
      <c r="X14" s="77">
        <v>83309.906948454693</v>
      </c>
      <c r="Y14" s="760">
        <f>324266.041101805/4</f>
        <v>81066.510275451248</v>
      </c>
      <c r="Z14" s="77">
        <v>91776.170494016857</v>
      </c>
      <c r="AA14" s="77">
        <v>89224.421273350745</v>
      </c>
      <c r="AB14" s="77">
        <v>85848.911487279329</v>
      </c>
      <c r="AC14" s="77">
        <v>92136.524550018235</v>
      </c>
      <c r="AE14" s="44">
        <f t="shared" si="9"/>
        <v>0.48702921320606635</v>
      </c>
      <c r="AF14" s="44">
        <f t="shared" si="9"/>
        <v>0.50561184620317923</v>
      </c>
      <c r="AG14" s="44">
        <f t="shared" si="9"/>
        <v>0.55826065412333026</v>
      </c>
      <c r="AH14" s="44">
        <f t="shared" si="9"/>
        <v>0.6044418350441253</v>
      </c>
      <c r="AI14" s="44">
        <f t="shared" si="9"/>
        <v>0.61869199078996318</v>
      </c>
      <c r="AJ14" s="44">
        <f t="shared" si="9"/>
        <v>0.58493930331073984</v>
      </c>
      <c r="AK14" s="44">
        <f t="shared" si="9"/>
        <v>0.51543172182466024</v>
      </c>
      <c r="AL14" s="44">
        <f t="shared" si="9"/>
        <v>0.50155200628713947</v>
      </c>
      <c r="AM14" s="44">
        <f t="shared" si="9"/>
        <v>0.5678118163002237</v>
      </c>
      <c r="AN14" s="44">
        <f t="shared" si="9"/>
        <v>0.55202434824691715</v>
      </c>
      <c r="AO14" s="44">
        <f t="shared" si="9"/>
        <v>0.53114033955216189</v>
      </c>
      <c r="AP14" s="44">
        <f t="shared" si="9"/>
        <v>0.57004129798319092</v>
      </c>
      <c r="AR14" s="75" t="str">
        <f t="shared" ref="AR14:BC22" si="16">IF(AE14&lt;=0.33,"1",(IF(AE14&gt;0.66,"3","2")))</f>
        <v>2</v>
      </c>
      <c r="AS14" s="75" t="str">
        <f t="shared" si="16"/>
        <v>2</v>
      </c>
      <c r="AT14" s="75" t="str">
        <f t="shared" si="16"/>
        <v>2</v>
      </c>
      <c r="AU14" s="75" t="str">
        <f t="shared" si="16"/>
        <v>2</v>
      </c>
      <c r="AV14" s="75" t="str">
        <f t="shared" si="16"/>
        <v>2</v>
      </c>
      <c r="AW14" s="75" t="str">
        <f t="shared" si="16"/>
        <v>2</v>
      </c>
      <c r="AX14" s="75" t="str">
        <f t="shared" si="16"/>
        <v>2</v>
      </c>
      <c r="AY14" s="75" t="str">
        <f t="shared" si="16"/>
        <v>2</v>
      </c>
      <c r="AZ14" s="75" t="str">
        <f t="shared" si="16"/>
        <v>2</v>
      </c>
      <c r="BA14" s="75" t="str">
        <f t="shared" si="16"/>
        <v>2</v>
      </c>
      <c r="BB14" s="75" t="str">
        <f t="shared" si="16"/>
        <v>2</v>
      </c>
      <c r="BC14" s="75" t="str">
        <f t="shared" si="16"/>
        <v>2</v>
      </c>
      <c r="BE14" s="44">
        <f t="shared" si="11"/>
        <v>5</v>
      </c>
      <c r="BF14" s="44">
        <f t="shared" si="11"/>
        <v>5</v>
      </c>
      <c r="BG14" s="44">
        <f t="shared" si="11"/>
        <v>5</v>
      </c>
      <c r="BH14" s="44">
        <f t="shared" si="11"/>
        <v>5</v>
      </c>
      <c r="BI14" s="44">
        <f t="shared" si="11"/>
        <v>5</v>
      </c>
      <c r="BJ14" s="44">
        <f t="shared" si="11"/>
        <v>5</v>
      </c>
      <c r="BK14" s="44">
        <f t="shared" si="11"/>
        <v>5</v>
      </c>
      <c r="BL14" s="44">
        <f t="shared" si="11"/>
        <v>5</v>
      </c>
      <c r="BM14" s="44">
        <f t="shared" si="11"/>
        <v>5</v>
      </c>
      <c r="BN14" s="44">
        <f t="shared" si="11"/>
        <v>5</v>
      </c>
      <c r="BO14" s="44">
        <f t="shared" si="11"/>
        <v>5</v>
      </c>
      <c r="BP14" s="44">
        <f t="shared" si="11"/>
        <v>5</v>
      </c>
    </row>
    <row r="15" spans="1:74">
      <c r="A15" s="367">
        <f t="shared" si="12"/>
        <v>11</v>
      </c>
      <c r="B15" s="76" t="s">
        <v>85</v>
      </c>
      <c r="C15" s="76" t="s">
        <v>1021</v>
      </c>
      <c r="D15" s="69" t="s">
        <v>71</v>
      </c>
      <c r="E15" s="70" t="s">
        <v>85</v>
      </c>
      <c r="F15" s="71">
        <v>0.6</v>
      </c>
      <c r="G15" s="71">
        <v>0.58133561643835618</v>
      </c>
      <c r="H15" s="69">
        <v>750</v>
      </c>
      <c r="I15" s="72">
        <v>5.7</v>
      </c>
      <c r="J15" s="72">
        <v>3.66</v>
      </c>
      <c r="K15" s="73">
        <f t="shared" si="14"/>
        <v>6143.8803915819817</v>
      </c>
      <c r="L15" s="73">
        <v>1</v>
      </c>
      <c r="M15" s="73">
        <f t="shared" si="15"/>
        <v>6143.8803915819817</v>
      </c>
      <c r="N15">
        <f t="shared" si="4"/>
        <v>6143.8803915819817</v>
      </c>
      <c r="R15" s="77">
        <v>78719.172133489861</v>
      </c>
      <c r="S15" s="77">
        <v>81722.707539433293</v>
      </c>
      <c r="T15" s="77">
        <v>90232.403592380026</v>
      </c>
      <c r="U15" s="77">
        <v>97696.728589028135</v>
      </c>
      <c r="V15" s="77">
        <v>100000</v>
      </c>
      <c r="W15" s="77">
        <v>94544.508740750462</v>
      </c>
      <c r="X15" s="77">
        <v>83309.906948454693</v>
      </c>
      <c r="Y15" s="760">
        <f t="shared" ref="Y15:Y17" si="17">324266.041101805/4</f>
        <v>81066.510275451248</v>
      </c>
      <c r="Z15" s="77">
        <v>91776.170494016857</v>
      </c>
      <c r="AA15" s="77">
        <v>89224.421273350745</v>
      </c>
      <c r="AB15" s="77">
        <v>85848.911487279329</v>
      </c>
      <c r="AC15" s="77">
        <v>92136.524550018235</v>
      </c>
      <c r="AE15" s="44">
        <f t="shared" si="9"/>
        <v>0.42708715619608895</v>
      </c>
      <c r="AF15" s="44">
        <f t="shared" si="9"/>
        <v>0.44338269590124946</v>
      </c>
      <c r="AG15" s="44">
        <f t="shared" si="9"/>
        <v>0.48955165053892036</v>
      </c>
      <c r="AH15" s="44">
        <f t="shared" si="9"/>
        <v>0.53004899380792525</v>
      </c>
      <c r="AI15" s="44">
        <f t="shared" si="9"/>
        <v>0.54254528423119852</v>
      </c>
      <c r="AJ15" s="44">
        <f t="shared" si="9"/>
        <v>0.51294677367249486</v>
      </c>
      <c r="AK15" s="44">
        <f t="shared" si="9"/>
        <v>0.45199397144624048</v>
      </c>
      <c r="AL15" s="44">
        <f t="shared" si="9"/>
        <v>0.43982252859026072</v>
      </c>
      <c r="AM15" s="44">
        <f t="shared" si="9"/>
        <v>0.49792728506327305</v>
      </c>
      <c r="AN15" s="44">
        <f t="shared" si="9"/>
        <v>0.48408289000114274</v>
      </c>
      <c r="AO15" s="44">
        <f t="shared" si="9"/>
        <v>0.46576922083804961</v>
      </c>
      <c r="AP15" s="44">
        <f t="shared" si="9"/>
        <v>0.49988236900064437</v>
      </c>
      <c r="AR15" s="75" t="str">
        <f t="shared" si="16"/>
        <v>2</v>
      </c>
      <c r="AS15" s="75" t="str">
        <f t="shared" si="16"/>
        <v>2</v>
      </c>
      <c r="AT15" s="75" t="str">
        <f t="shared" si="16"/>
        <v>2</v>
      </c>
      <c r="AU15" s="75" t="str">
        <f t="shared" si="16"/>
        <v>2</v>
      </c>
      <c r="AV15" s="75" t="str">
        <f t="shared" si="16"/>
        <v>2</v>
      </c>
      <c r="AW15" s="75" t="str">
        <f t="shared" si="16"/>
        <v>2</v>
      </c>
      <c r="AX15" s="75" t="str">
        <f t="shared" si="16"/>
        <v>2</v>
      </c>
      <c r="AY15" s="75" t="str">
        <f t="shared" si="16"/>
        <v>2</v>
      </c>
      <c r="AZ15" s="75" t="str">
        <f t="shared" si="16"/>
        <v>2</v>
      </c>
      <c r="BA15" s="75" t="str">
        <f t="shared" si="16"/>
        <v>2</v>
      </c>
      <c r="BB15" s="75" t="str">
        <f t="shared" si="16"/>
        <v>2</v>
      </c>
      <c r="BC15" s="75" t="str">
        <f t="shared" si="16"/>
        <v>2</v>
      </c>
      <c r="BE15" s="44">
        <f t="shared" si="11"/>
        <v>5</v>
      </c>
      <c r="BF15" s="44">
        <f t="shared" si="11"/>
        <v>5</v>
      </c>
      <c r="BG15" s="44">
        <f t="shared" si="11"/>
        <v>5</v>
      </c>
      <c r="BH15" s="44">
        <f t="shared" si="11"/>
        <v>5</v>
      </c>
      <c r="BI15" s="44">
        <f t="shared" si="11"/>
        <v>5</v>
      </c>
      <c r="BJ15" s="44">
        <f t="shared" si="11"/>
        <v>5</v>
      </c>
      <c r="BK15" s="44">
        <f t="shared" si="11"/>
        <v>5</v>
      </c>
      <c r="BL15" s="44">
        <f t="shared" si="11"/>
        <v>5</v>
      </c>
      <c r="BM15" s="44">
        <f t="shared" si="11"/>
        <v>5</v>
      </c>
      <c r="BN15" s="44">
        <f t="shared" si="11"/>
        <v>5</v>
      </c>
      <c r="BO15" s="44">
        <f t="shared" si="11"/>
        <v>5</v>
      </c>
      <c r="BP15" s="44">
        <f t="shared" si="11"/>
        <v>5</v>
      </c>
    </row>
    <row r="16" spans="1:74">
      <c r="A16" s="367">
        <f t="shared" si="12"/>
        <v>12</v>
      </c>
      <c r="B16" s="76" t="s">
        <v>85</v>
      </c>
      <c r="C16" s="76" t="s">
        <v>1022</v>
      </c>
      <c r="D16" s="69" t="s">
        <v>71</v>
      </c>
      <c r="E16" s="70" t="s">
        <v>85</v>
      </c>
      <c r="F16" s="71">
        <v>0.6</v>
      </c>
      <c r="G16" s="71">
        <v>0.58133561643835618</v>
      </c>
      <c r="H16" s="69">
        <v>750</v>
      </c>
      <c r="I16" s="72">
        <v>6.5</v>
      </c>
      <c r="J16" s="72">
        <v>3.66</v>
      </c>
      <c r="K16" s="73">
        <f t="shared" si="14"/>
        <v>5387.71049723343</v>
      </c>
      <c r="L16" s="73">
        <v>1</v>
      </c>
      <c r="M16" s="73">
        <f t="shared" si="15"/>
        <v>5387.71049723343</v>
      </c>
      <c r="N16">
        <f t="shared" si="4"/>
        <v>5387.71049723343</v>
      </c>
      <c r="R16" s="77">
        <v>78719.172133489861</v>
      </c>
      <c r="S16" s="77">
        <v>81722.707539433293</v>
      </c>
      <c r="T16" s="77">
        <v>90232.403592380026</v>
      </c>
      <c r="U16" s="77">
        <v>97696.728589028135</v>
      </c>
      <c r="V16" s="77">
        <v>70000</v>
      </c>
      <c r="W16" s="77">
        <v>94544.508740750462</v>
      </c>
      <c r="X16" s="77">
        <v>83309.906948454693</v>
      </c>
      <c r="Y16" s="760">
        <f t="shared" si="17"/>
        <v>81066.510275451248</v>
      </c>
      <c r="Z16" s="77">
        <v>91776.170494016857</v>
      </c>
      <c r="AA16" s="77">
        <v>89224.421273350745</v>
      </c>
      <c r="AB16" s="77">
        <v>85848.911487279329</v>
      </c>
      <c r="AC16" s="77">
        <v>92136.524550018235</v>
      </c>
      <c r="AE16" s="44">
        <f t="shared" si="9"/>
        <v>0.48702921320606635</v>
      </c>
      <c r="AF16" s="44">
        <f t="shared" si="9"/>
        <v>0.50561184620317923</v>
      </c>
      <c r="AG16" s="44">
        <f t="shared" si="9"/>
        <v>0.55826065412333026</v>
      </c>
      <c r="AH16" s="44">
        <f t="shared" si="9"/>
        <v>0.6044418350441253</v>
      </c>
      <c r="AI16" s="44">
        <f t="shared" si="9"/>
        <v>0.43308439355297429</v>
      </c>
      <c r="AJ16" s="44">
        <f t="shared" si="9"/>
        <v>0.58493930331073984</v>
      </c>
      <c r="AK16" s="44">
        <f t="shared" si="9"/>
        <v>0.51543172182466024</v>
      </c>
      <c r="AL16" s="44">
        <f t="shared" si="9"/>
        <v>0.50155200628713947</v>
      </c>
      <c r="AM16" s="44">
        <f t="shared" si="9"/>
        <v>0.5678118163002237</v>
      </c>
      <c r="AN16" s="44">
        <f t="shared" si="9"/>
        <v>0.55202434824691715</v>
      </c>
      <c r="AO16" s="44">
        <f t="shared" si="9"/>
        <v>0.53114033955216189</v>
      </c>
      <c r="AP16" s="44">
        <f t="shared" si="9"/>
        <v>0.57004129798319092</v>
      </c>
      <c r="AR16" s="75" t="str">
        <f t="shared" si="16"/>
        <v>2</v>
      </c>
      <c r="AS16" s="75" t="str">
        <f t="shared" si="16"/>
        <v>2</v>
      </c>
      <c r="AT16" s="75" t="str">
        <f t="shared" si="16"/>
        <v>2</v>
      </c>
      <c r="AU16" s="75" t="str">
        <f t="shared" si="16"/>
        <v>2</v>
      </c>
      <c r="AV16" s="75" t="str">
        <f t="shared" si="16"/>
        <v>2</v>
      </c>
      <c r="AW16" s="75" t="str">
        <f t="shared" si="16"/>
        <v>2</v>
      </c>
      <c r="AX16" s="75" t="str">
        <f t="shared" si="16"/>
        <v>2</v>
      </c>
      <c r="AY16" s="75" t="str">
        <f t="shared" si="16"/>
        <v>2</v>
      </c>
      <c r="AZ16" s="75" t="str">
        <f t="shared" si="16"/>
        <v>2</v>
      </c>
      <c r="BA16" s="75" t="str">
        <f t="shared" si="16"/>
        <v>2</v>
      </c>
      <c r="BB16" s="75" t="str">
        <f t="shared" si="16"/>
        <v>2</v>
      </c>
      <c r="BC16" s="75" t="str">
        <f t="shared" si="16"/>
        <v>2</v>
      </c>
      <c r="BE16" s="44">
        <f t="shared" si="11"/>
        <v>5</v>
      </c>
      <c r="BF16" s="44">
        <f t="shared" si="11"/>
        <v>5</v>
      </c>
      <c r="BG16" s="44">
        <f t="shared" si="11"/>
        <v>5</v>
      </c>
      <c r="BH16" s="44">
        <f t="shared" si="11"/>
        <v>5</v>
      </c>
      <c r="BI16" s="44">
        <f t="shared" si="11"/>
        <v>5</v>
      </c>
      <c r="BJ16" s="44">
        <f t="shared" si="11"/>
        <v>5</v>
      </c>
      <c r="BK16" s="44">
        <f t="shared" si="11"/>
        <v>5</v>
      </c>
      <c r="BL16" s="44">
        <f t="shared" si="11"/>
        <v>5</v>
      </c>
      <c r="BM16" s="44">
        <f t="shared" si="11"/>
        <v>5</v>
      </c>
      <c r="BN16" s="44">
        <f t="shared" si="11"/>
        <v>5</v>
      </c>
      <c r="BO16" s="44">
        <f t="shared" si="11"/>
        <v>5</v>
      </c>
      <c r="BP16" s="44">
        <f t="shared" si="11"/>
        <v>5</v>
      </c>
    </row>
    <row r="17" spans="1:68">
      <c r="A17" s="367">
        <f t="shared" si="12"/>
        <v>13</v>
      </c>
      <c r="B17" s="76" t="s">
        <v>85</v>
      </c>
      <c r="C17" s="76" t="s">
        <v>1023</v>
      </c>
      <c r="D17" s="69" t="s">
        <v>71</v>
      </c>
      <c r="E17" s="70" t="s">
        <v>85</v>
      </c>
      <c r="F17" s="71">
        <v>0.49</v>
      </c>
      <c r="G17" s="71">
        <v>0.58133561643835618</v>
      </c>
      <c r="H17" s="69">
        <v>700</v>
      </c>
      <c r="I17" s="72">
        <v>6.5</v>
      </c>
      <c r="J17" s="72">
        <v>4</v>
      </c>
      <c r="K17" s="73">
        <f t="shared" si="14"/>
        <v>4488.123134307386</v>
      </c>
      <c r="L17" s="73">
        <v>1</v>
      </c>
      <c r="M17" s="73">
        <f t="shared" si="15"/>
        <v>4488.123134307386</v>
      </c>
      <c r="N17">
        <f t="shared" si="4"/>
        <v>4488.123134307386</v>
      </c>
      <c r="R17" s="77">
        <v>78719.172133489861</v>
      </c>
      <c r="S17" s="77">
        <v>81722.707539433293</v>
      </c>
      <c r="T17" s="77">
        <v>90232.403592380026</v>
      </c>
      <c r="U17" s="77">
        <v>97696.728589028135</v>
      </c>
      <c r="V17" s="77">
        <v>100000</v>
      </c>
      <c r="W17" s="77">
        <v>94544.508740750462</v>
      </c>
      <c r="X17" s="77">
        <v>83309.906948454693</v>
      </c>
      <c r="Y17" s="760">
        <f t="shared" si="17"/>
        <v>81066.510275451248</v>
      </c>
      <c r="Z17" s="77">
        <v>91776.170494016857</v>
      </c>
      <c r="AA17" s="77">
        <v>89224.421273350745</v>
      </c>
      <c r="AB17" s="77">
        <v>85848.911487279329</v>
      </c>
      <c r="AC17" s="77">
        <v>92136.524550018235</v>
      </c>
      <c r="AE17" s="44">
        <f t="shared" si="9"/>
        <v>0.58464804238366719</v>
      </c>
      <c r="AF17" s="44">
        <f t="shared" si="9"/>
        <v>0.60695532849609057</v>
      </c>
      <c r="AG17" s="44">
        <f t="shared" si="9"/>
        <v>0.67015692226029522</v>
      </c>
      <c r="AH17" s="44">
        <f t="shared" si="9"/>
        <v>0.72559453521696393</v>
      </c>
      <c r="AI17" s="44">
        <f t="shared" si="9"/>
        <v>0.74270095395850555</v>
      </c>
      <c r="AJ17" s="44">
        <f t="shared" si="9"/>
        <v>0.70218296833293636</v>
      </c>
      <c r="AK17" s="44">
        <f t="shared" si="9"/>
        <v>0.61874347364811633</v>
      </c>
      <c r="AL17" s="44">
        <f t="shared" si="9"/>
        <v>0.60208174515664636</v>
      </c>
      <c r="AM17" s="44">
        <f t="shared" si="9"/>
        <v>0.68162249376564765</v>
      </c>
      <c r="AN17" s="44">
        <f t="shared" si="9"/>
        <v>0.66267062796113174</v>
      </c>
      <c r="AO17" s="44">
        <f t="shared" si="9"/>
        <v>0.63760068457901653</v>
      </c>
      <c r="AP17" s="44">
        <f t="shared" si="9"/>
        <v>0.68429884677719799</v>
      </c>
      <c r="AR17" s="75" t="str">
        <f t="shared" si="16"/>
        <v>2</v>
      </c>
      <c r="AS17" s="75" t="str">
        <f t="shared" si="16"/>
        <v>2</v>
      </c>
      <c r="AT17" s="75" t="str">
        <f t="shared" si="16"/>
        <v>3</v>
      </c>
      <c r="AU17" s="75" t="str">
        <f t="shared" si="16"/>
        <v>3</v>
      </c>
      <c r="AV17" s="75" t="str">
        <f t="shared" si="16"/>
        <v>3</v>
      </c>
      <c r="AW17" s="75" t="str">
        <f t="shared" si="16"/>
        <v>3</v>
      </c>
      <c r="AX17" s="75" t="str">
        <f t="shared" si="16"/>
        <v>2</v>
      </c>
      <c r="AY17" s="75" t="str">
        <f t="shared" si="16"/>
        <v>2</v>
      </c>
      <c r="AZ17" s="75" t="str">
        <f t="shared" si="16"/>
        <v>3</v>
      </c>
      <c r="BA17" s="75" t="str">
        <f t="shared" si="16"/>
        <v>3</v>
      </c>
      <c r="BB17" s="75" t="str">
        <f t="shared" si="16"/>
        <v>2</v>
      </c>
      <c r="BC17" s="75" t="str">
        <f t="shared" si="16"/>
        <v>3</v>
      </c>
      <c r="BE17" s="44">
        <f t="shared" si="11"/>
        <v>5</v>
      </c>
      <c r="BF17" s="44">
        <f t="shared" si="11"/>
        <v>5</v>
      </c>
      <c r="BG17" s="44">
        <f t="shared" si="11"/>
        <v>7.5</v>
      </c>
      <c r="BH17" s="44">
        <f t="shared" si="11"/>
        <v>7.5</v>
      </c>
      <c r="BI17" s="44">
        <f t="shared" si="11"/>
        <v>7.5</v>
      </c>
      <c r="BJ17" s="44">
        <f t="shared" si="11"/>
        <v>7.5</v>
      </c>
      <c r="BK17" s="44">
        <f t="shared" si="11"/>
        <v>5</v>
      </c>
      <c r="BL17" s="44">
        <f t="shared" si="11"/>
        <v>5</v>
      </c>
      <c r="BM17" s="44">
        <f t="shared" si="11"/>
        <v>7.5</v>
      </c>
      <c r="BN17" s="44">
        <f t="shared" si="11"/>
        <v>7.5</v>
      </c>
      <c r="BO17" s="44">
        <f t="shared" si="11"/>
        <v>5</v>
      </c>
      <c r="BP17" s="44">
        <f t="shared" si="11"/>
        <v>7.5</v>
      </c>
    </row>
    <row r="18" spans="1:68">
      <c r="A18" s="621">
        <f t="shared" si="12"/>
        <v>14</v>
      </c>
      <c r="B18" s="78" t="s">
        <v>86</v>
      </c>
      <c r="C18" s="76" t="s">
        <v>1024</v>
      </c>
      <c r="D18" s="79" t="s">
        <v>71</v>
      </c>
      <c r="E18" s="80" t="s">
        <v>85</v>
      </c>
      <c r="F18" s="81">
        <v>0.6</v>
      </c>
      <c r="G18" s="71">
        <v>0.58133561643835618</v>
      </c>
      <c r="H18" s="79">
        <v>550</v>
      </c>
      <c r="I18" s="82">
        <v>6.5</v>
      </c>
      <c r="J18" s="82">
        <v>4</v>
      </c>
      <c r="K18" s="83">
        <f t="shared" si="14"/>
        <v>4318.0193420450078</v>
      </c>
      <c r="L18" s="83">
        <v>1</v>
      </c>
      <c r="M18" s="73">
        <f t="shared" si="15"/>
        <v>4318.0193420450078</v>
      </c>
      <c r="N18">
        <f t="shared" si="4"/>
        <v>4318.0193420450078</v>
      </c>
      <c r="R18" s="84">
        <v>78719.172133489861</v>
      </c>
      <c r="S18" s="84">
        <v>81722.707539433293</v>
      </c>
      <c r="T18" s="84">
        <v>90232.403592380026</v>
      </c>
      <c r="U18" s="84">
        <v>97696.728589028135</v>
      </c>
      <c r="V18" s="84">
        <v>70000</v>
      </c>
      <c r="W18" s="84">
        <v>94544.508740750462</v>
      </c>
      <c r="X18" s="84">
        <v>83309.906948454693</v>
      </c>
      <c r="Y18" s="759">
        <f>171536.7574/2</f>
        <v>85768.378700000001</v>
      </c>
      <c r="Z18" s="84">
        <v>91776.170494016857</v>
      </c>
      <c r="AA18" s="84">
        <v>89224.421273350745</v>
      </c>
      <c r="AB18" s="84">
        <v>85848.911487279329</v>
      </c>
      <c r="AC18" s="84">
        <v>92136.524550018235</v>
      </c>
      <c r="AE18" s="44">
        <f t="shared" si="9"/>
        <v>0.60767963193211461</v>
      </c>
      <c r="AF18" s="44">
        <f t="shared" si="9"/>
        <v>0.63086568992169412</v>
      </c>
      <c r="AG18" s="44">
        <f t="shared" si="9"/>
        <v>0.69655704344024616</v>
      </c>
      <c r="AH18" s="44">
        <f t="shared" si="9"/>
        <v>0.75417856236187453</v>
      </c>
      <c r="AI18" s="44">
        <f t="shared" si="9"/>
        <v>0.54037120922859738</v>
      </c>
      <c r="AJ18" s="44">
        <f t="shared" si="9"/>
        <v>0.72984472163090031</v>
      </c>
      <c r="AK18" s="44">
        <f t="shared" si="9"/>
        <v>0.6431182165494056</v>
      </c>
      <c r="AL18" s="44">
        <f t="shared" si="9"/>
        <v>0.66209660730993258</v>
      </c>
      <c r="AM18" s="44">
        <f t="shared" si="9"/>
        <v>0.70847428897459719</v>
      </c>
      <c r="AN18" s="44">
        <f t="shared" si="9"/>
        <v>0.68877583451717617</v>
      </c>
      <c r="AO18" s="44">
        <f t="shared" si="9"/>
        <v>0.66271828730485649</v>
      </c>
      <c r="AP18" s="44">
        <f t="shared" si="9"/>
        <v>0.71125607407448144</v>
      </c>
      <c r="AR18" s="75" t="str">
        <f>IF(AE18&lt;=0,0,(IF(AE18&lt;=0.33,"1",(IF(AE18&gt;0.66,"3","2")))))</f>
        <v>2</v>
      </c>
      <c r="AS18" s="75" t="str">
        <f>IF(AF18&lt;=0,0,(IF(AF18&lt;=0.33,"1",(IF(AF18&gt;0.66,"3","2")))))</f>
        <v>2</v>
      </c>
      <c r="AT18" s="75" t="str">
        <f>IF(AG18&lt;=0,0,(IF(AG18&lt;=0.33,"1",(IF(AG18&gt;0.66,"3","2")))))</f>
        <v>3</v>
      </c>
      <c r="AU18" s="75" t="str">
        <f>IF(AH18&lt;=0,0,(IF(AH18&lt;=0.33,"1",(IF(AH18&gt;0.66,"3","2")))))</f>
        <v>3</v>
      </c>
      <c r="AV18" s="75" t="str">
        <f t="shared" si="16"/>
        <v>2</v>
      </c>
      <c r="AW18" s="75" t="str">
        <f t="shared" si="16"/>
        <v>3</v>
      </c>
      <c r="AX18" s="75" t="str">
        <f t="shared" si="16"/>
        <v>2</v>
      </c>
      <c r="AY18" s="75" t="str">
        <f t="shared" si="16"/>
        <v>3</v>
      </c>
      <c r="AZ18" s="75" t="str">
        <f t="shared" si="16"/>
        <v>3</v>
      </c>
      <c r="BA18" s="75" t="str">
        <f t="shared" si="16"/>
        <v>3</v>
      </c>
      <c r="BB18" s="75" t="str">
        <f t="shared" si="16"/>
        <v>3</v>
      </c>
      <c r="BC18" s="75" t="str">
        <f t="shared" si="16"/>
        <v>3</v>
      </c>
      <c r="BE18" s="44">
        <f t="shared" si="11"/>
        <v>5</v>
      </c>
      <c r="BF18" s="44">
        <f t="shared" si="11"/>
        <v>5</v>
      </c>
      <c r="BG18" s="44">
        <f t="shared" si="11"/>
        <v>7.5</v>
      </c>
      <c r="BH18" s="44">
        <f t="shared" si="11"/>
        <v>7.5</v>
      </c>
      <c r="BI18" s="44">
        <f t="shared" si="11"/>
        <v>5</v>
      </c>
      <c r="BJ18" s="44">
        <f t="shared" si="11"/>
        <v>7.5</v>
      </c>
      <c r="BK18" s="44">
        <f t="shared" si="11"/>
        <v>5</v>
      </c>
      <c r="BL18" s="44">
        <f t="shared" si="11"/>
        <v>7.5</v>
      </c>
      <c r="BM18" s="44">
        <f t="shared" si="11"/>
        <v>7.5</v>
      </c>
      <c r="BN18" s="44">
        <f t="shared" si="11"/>
        <v>7.5</v>
      </c>
      <c r="BO18" s="44">
        <f t="shared" si="11"/>
        <v>7.5</v>
      </c>
      <c r="BP18" s="44">
        <f t="shared" si="11"/>
        <v>7.5</v>
      </c>
    </row>
    <row r="19" spans="1:68">
      <c r="A19" s="367">
        <f t="shared" si="12"/>
        <v>15</v>
      </c>
      <c r="B19" s="76" t="s">
        <v>87</v>
      </c>
      <c r="C19" s="76" t="s">
        <v>1025</v>
      </c>
      <c r="D19" s="69" t="s">
        <v>71</v>
      </c>
      <c r="E19" s="70" t="s">
        <v>87</v>
      </c>
      <c r="F19" s="71">
        <v>0.49</v>
      </c>
      <c r="G19" s="71">
        <v>0.58133561643835618</v>
      </c>
      <c r="H19" s="69">
        <v>500</v>
      </c>
      <c r="I19" s="72">
        <v>5.8</v>
      </c>
      <c r="J19" s="72">
        <v>4</v>
      </c>
      <c r="K19" s="73">
        <f t="shared" si="14"/>
        <v>3592.7094055416269</v>
      </c>
      <c r="L19" s="73">
        <v>1</v>
      </c>
      <c r="M19" s="73">
        <f t="shared" si="15"/>
        <v>3592.7094055416269</v>
      </c>
      <c r="N19">
        <f t="shared" si="4"/>
        <v>3592.7094055416269</v>
      </c>
      <c r="R19" s="74">
        <v>139104.69861465239</v>
      </c>
      <c r="S19" s="74">
        <v>143973.53498213601</v>
      </c>
      <c r="T19" s="74">
        <v>146996.67835716598</v>
      </c>
      <c r="U19" s="74">
        <v>136893.81313350287</v>
      </c>
      <c r="V19" s="77">
        <v>100000</v>
      </c>
      <c r="W19" s="74">
        <v>132477.90552654112</v>
      </c>
      <c r="X19" s="74">
        <v>112062.98374108551</v>
      </c>
      <c r="Y19" s="759">
        <f>171536.7574/2</f>
        <v>85768.378700000001</v>
      </c>
      <c r="Z19" s="74">
        <v>117103.57845423985</v>
      </c>
      <c r="AA19" s="74">
        <v>175012.44862204764</v>
      </c>
      <c r="AB19" s="74">
        <v>161251.34376844278</v>
      </c>
      <c r="AC19" s="74">
        <v>176769.75439324163</v>
      </c>
      <c r="AE19" s="44">
        <f t="shared" si="9"/>
        <v>1.2906201876508421</v>
      </c>
      <c r="AF19" s="44">
        <f t="shared" si="9"/>
        <v>1.3357934892633949</v>
      </c>
      <c r="AG19" s="44">
        <f t="shared" si="9"/>
        <v>1.3638423611479107</v>
      </c>
      <c r="AH19" s="44">
        <f t="shared" si="9"/>
        <v>1.2701074841766031</v>
      </c>
      <c r="AI19" s="44">
        <f t="shared" si="9"/>
        <v>0.92780488402201</v>
      </c>
      <c r="AJ19" s="44">
        <f t="shared" si="9"/>
        <v>1.2291364777253129</v>
      </c>
      <c r="AK19" s="44">
        <f t="shared" si="9"/>
        <v>1.0397258363305821</v>
      </c>
      <c r="AL19" s="44">
        <f t="shared" si="9"/>
        <v>0.79576320652509336</v>
      </c>
      <c r="AM19" s="44">
        <f t="shared" si="9"/>
        <v>1.0864927202629835</v>
      </c>
      <c r="AN19" s="44">
        <f t="shared" si="9"/>
        <v>1.6237740459618688</v>
      </c>
      <c r="AO19" s="44">
        <f t="shared" si="9"/>
        <v>1.4960978430347329</v>
      </c>
      <c r="AP19" s="44">
        <f t="shared" si="9"/>
        <v>1.6400784147342073</v>
      </c>
      <c r="AR19" s="75" t="str">
        <f t="shared" si="16"/>
        <v>3</v>
      </c>
      <c r="AS19" s="75" t="str">
        <f t="shared" si="16"/>
        <v>3</v>
      </c>
      <c r="AT19" s="75" t="str">
        <f t="shared" si="16"/>
        <v>3</v>
      </c>
      <c r="AU19" s="75" t="str">
        <f t="shared" si="16"/>
        <v>3</v>
      </c>
      <c r="AV19" s="75" t="str">
        <f t="shared" si="16"/>
        <v>3</v>
      </c>
      <c r="AW19" s="75" t="str">
        <f t="shared" si="16"/>
        <v>3</v>
      </c>
      <c r="AX19" s="75" t="str">
        <f t="shared" si="16"/>
        <v>3</v>
      </c>
      <c r="AY19" s="75" t="str">
        <f t="shared" si="16"/>
        <v>3</v>
      </c>
      <c r="AZ19" s="75" t="str">
        <f t="shared" si="16"/>
        <v>3</v>
      </c>
      <c r="BA19" s="75" t="str">
        <f t="shared" si="16"/>
        <v>3</v>
      </c>
      <c r="BB19" s="75" t="str">
        <f t="shared" si="16"/>
        <v>3</v>
      </c>
      <c r="BC19" s="75" t="str">
        <f t="shared" si="16"/>
        <v>3</v>
      </c>
      <c r="BE19" s="44">
        <f t="shared" si="11"/>
        <v>7.5</v>
      </c>
      <c r="BF19" s="44">
        <f t="shared" si="11"/>
        <v>7.5</v>
      </c>
      <c r="BG19" s="44">
        <f t="shared" si="11"/>
        <v>7.5</v>
      </c>
      <c r="BH19" s="44">
        <f t="shared" si="11"/>
        <v>7.5</v>
      </c>
      <c r="BI19" s="44">
        <f t="shared" si="11"/>
        <v>7.5</v>
      </c>
      <c r="BJ19" s="44">
        <f t="shared" si="11"/>
        <v>7.5</v>
      </c>
      <c r="BK19" s="44">
        <f t="shared" si="11"/>
        <v>7.5</v>
      </c>
      <c r="BL19" s="44">
        <f t="shared" si="11"/>
        <v>7.5</v>
      </c>
      <c r="BM19" s="44">
        <f t="shared" si="11"/>
        <v>7.5</v>
      </c>
      <c r="BN19" s="44">
        <f t="shared" si="11"/>
        <v>7.5</v>
      </c>
      <c r="BO19" s="44">
        <f t="shared" si="11"/>
        <v>7.5</v>
      </c>
      <c r="BP19" s="44">
        <f t="shared" si="11"/>
        <v>7.5</v>
      </c>
    </row>
    <row r="20" spans="1:68">
      <c r="A20" s="367">
        <f t="shared" si="12"/>
        <v>16</v>
      </c>
      <c r="B20" s="76" t="s">
        <v>88</v>
      </c>
      <c r="C20" s="76" t="s">
        <v>1026</v>
      </c>
      <c r="D20" s="69" t="s">
        <v>71</v>
      </c>
      <c r="E20" s="70" t="s">
        <v>88</v>
      </c>
      <c r="F20" s="71">
        <v>0.55000000000000004</v>
      </c>
      <c r="G20" s="71">
        <v>0.58133561643835618</v>
      </c>
      <c r="H20" s="86">
        <v>450</v>
      </c>
      <c r="I20" s="87">
        <v>8.730415936793511</v>
      </c>
      <c r="J20" s="87">
        <v>3.9</v>
      </c>
      <c r="K20" s="73">
        <f t="shared" si="14"/>
        <v>2350.8714629117335</v>
      </c>
      <c r="L20" s="85">
        <v>1</v>
      </c>
      <c r="M20" s="73">
        <f t="shared" si="15"/>
        <v>2350.8714629117335</v>
      </c>
      <c r="N20">
        <f t="shared" si="4"/>
        <v>2350.8714629117335</v>
      </c>
      <c r="R20" s="88">
        <v>53810.115367975479</v>
      </c>
      <c r="S20" s="88">
        <v>55847.712437944472</v>
      </c>
      <c r="T20" s="88">
        <v>61328.041548097761</v>
      </c>
      <c r="U20" s="88">
        <v>59505.45541732767</v>
      </c>
      <c r="V20" s="88">
        <v>70000</v>
      </c>
      <c r="W20" s="724">
        <v>57586.631980198523</v>
      </c>
      <c r="X20" s="88">
        <v>63637.473420559021</v>
      </c>
      <c r="Y20" s="761">
        <f>123451.196903226/2</f>
        <v>61725.598451612997</v>
      </c>
      <c r="Z20" s="88">
        <v>69203.25421423775</v>
      </c>
      <c r="AA20" s="88">
        <v>54838.497625859767</v>
      </c>
      <c r="AB20" s="88">
        <v>52231.173812074725</v>
      </c>
      <c r="AC20" s="88">
        <v>56332.968301994646</v>
      </c>
      <c r="AE20" s="44">
        <f t="shared" si="9"/>
        <v>0.76298110745887049</v>
      </c>
      <c r="AF20" s="44">
        <f t="shared" si="9"/>
        <v>0.79187247961759144</v>
      </c>
      <c r="AG20" s="44">
        <f t="shared" si="9"/>
        <v>0.86957882804501652</v>
      </c>
      <c r="AH20" s="44">
        <f t="shared" si="9"/>
        <v>0.8437361258879098</v>
      </c>
      <c r="AI20" s="44">
        <f t="shared" si="9"/>
        <v>0.9925397326671882</v>
      </c>
      <c r="AJ20" s="44">
        <f t="shared" si="9"/>
        <v>0.81652886158328553</v>
      </c>
      <c r="AK20" s="44">
        <f t="shared" si="9"/>
        <v>0.90232458366367052</v>
      </c>
      <c r="AL20" s="44">
        <f t="shared" si="9"/>
        <v>0.87521584265551655</v>
      </c>
      <c r="AM20" s="44">
        <f t="shared" si="9"/>
        <v>0.98124256339284288</v>
      </c>
      <c r="AN20" s="44">
        <f t="shared" si="9"/>
        <v>0.77756268247772975</v>
      </c>
      <c r="AO20" s="44">
        <f t="shared" si="9"/>
        <v>0.74059307560471543</v>
      </c>
      <c r="AP20" s="44">
        <f t="shared" si="9"/>
        <v>0.79875298998301358</v>
      </c>
      <c r="AR20" s="75" t="str">
        <f t="shared" si="16"/>
        <v>3</v>
      </c>
      <c r="AS20" s="75" t="str">
        <f t="shared" si="16"/>
        <v>3</v>
      </c>
      <c r="AT20" s="75" t="str">
        <f t="shared" si="16"/>
        <v>3</v>
      </c>
      <c r="AU20" s="75" t="str">
        <f t="shared" si="16"/>
        <v>3</v>
      </c>
      <c r="AV20" s="75" t="str">
        <f t="shared" si="16"/>
        <v>3</v>
      </c>
      <c r="AW20" s="75" t="str">
        <f t="shared" si="16"/>
        <v>3</v>
      </c>
      <c r="AX20" s="75" t="str">
        <f t="shared" si="16"/>
        <v>3</v>
      </c>
      <c r="AY20" s="75" t="str">
        <f t="shared" si="16"/>
        <v>3</v>
      </c>
      <c r="AZ20" s="75" t="str">
        <f t="shared" si="16"/>
        <v>3</v>
      </c>
      <c r="BA20" s="75" t="str">
        <f t="shared" si="16"/>
        <v>3</v>
      </c>
      <c r="BB20" s="75" t="str">
        <f t="shared" si="16"/>
        <v>3</v>
      </c>
      <c r="BC20" s="75" t="str">
        <f t="shared" si="16"/>
        <v>3</v>
      </c>
      <c r="BE20" s="44">
        <f>AR20*3.5</f>
        <v>10.5</v>
      </c>
      <c r="BF20" s="44">
        <f t="shared" ref="BF20:BP21" si="18">AS20*3.5</f>
        <v>10.5</v>
      </c>
      <c r="BG20" s="44">
        <f t="shared" si="18"/>
        <v>10.5</v>
      </c>
      <c r="BH20" s="44">
        <f t="shared" si="18"/>
        <v>10.5</v>
      </c>
      <c r="BI20" s="44">
        <f t="shared" si="18"/>
        <v>10.5</v>
      </c>
      <c r="BJ20" s="44">
        <f t="shared" si="18"/>
        <v>10.5</v>
      </c>
      <c r="BK20" s="44">
        <f t="shared" si="18"/>
        <v>10.5</v>
      </c>
      <c r="BL20" s="44">
        <f t="shared" si="18"/>
        <v>10.5</v>
      </c>
      <c r="BM20" s="44">
        <f t="shared" si="18"/>
        <v>10.5</v>
      </c>
      <c r="BN20" s="44">
        <f t="shared" si="18"/>
        <v>10.5</v>
      </c>
      <c r="BO20" s="44">
        <f t="shared" si="18"/>
        <v>10.5</v>
      </c>
      <c r="BP20" s="44">
        <f t="shared" si="18"/>
        <v>10.5</v>
      </c>
    </row>
    <row r="21" spans="1:68">
      <c r="A21" s="210">
        <f t="shared" si="12"/>
        <v>17</v>
      </c>
      <c r="B21" s="76" t="s">
        <v>88</v>
      </c>
      <c r="C21" s="76" t="s">
        <v>1027</v>
      </c>
      <c r="D21" s="69" t="s">
        <v>71</v>
      </c>
      <c r="E21" s="70" t="s">
        <v>88</v>
      </c>
      <c r="F21" s="71">
        <v>0.55000000000000004</v>
      </c>
      <c r="G21" s="71">
        <v>0.58133561643835618</v>
      </c>
      <c r="H21" s="86">
        <v>450</v>
      </c>
      <c r="I21" s="87">
        <v>8.730415936793511</v>
      </c>
      <c r="J21" s="87">
        <v>3.9</v>
      </c>
      <c r="K21" s="73">
        <f t="shared" si="14"/>
        <v>2350.8714629117335</v>
      </c>
      <c r="L21" s="85">
        <v>1</v>
      </c>
      <c r="M21" s="73">
        <f t="shared" si="15"/>
        <v>2350.8714629117335</v>
      </c>
      <c r="N21">
        <f t="shared" si="4"/>
        <v>2350.8714629117335</v>
      </c>
      <c r="R21" s="74">
        <v>53810.115367975479</v>
      </c>
      <c r="S21" s="74">
        <v>55847.712437944472</v>
      </c>
      <c r="T21" s="74">
        <v>61328.041548097761</v>
      </c>
      <c r="U21" s="74">
        <v>59505.45541732767</v>
      </c>
      <c r="V21" s="74">
        <v>70000</v>
      </c>
      <c r="W21" s="74">
        <v>57586.631980198523</v>
      </c>
      <c r="X21" s="74">
        <v>63637.473420559021</v>
      </c>
      <c r="Y21" s="761">
        <f>123451.196903226/2</f>
        <v>61725.598451612997</v>
      </c>
      <c r="Z21" s="74">
        <v>69203.25421423775</v>
      </c>
      <c r="AA21" s="74">
        <v>54838.497625859767</v>
      </c>
      <c r="AB21" s="74">
        <v>52231.173812074725</v>
      </c>
      <c r="AC21" s="74">
        <v>56332.968301994646</v>
      </c>
      <c r="AE21" s="44">
        <f t="shared" si="9"/>
        <v>0.76298110745887049</v>
      </c>
      <c r="AF21" s="44">
        <f t="shared" si="9"/>
        <v>0.79187247961759144</v>
      </c>
      <c r="AG21" s="44">
        <f t="shared" si="9"/>
        <v>0.86957882804501652</v>
      </c>
      <c r="AH21" s="44">
        <f t="shared" si="9"/>
        <v>0.8437361258879098</v>
      </c>
      <c r="AI21" s="44">
        <f t="shared" si="9"/>
        <v>0.9925397326671882</v>
      </c>
      <c r="AJ21" s="44">
        <f t="shared" si="9"/>
        <v>0.81652886158328553</v>
      </c>
      <c r="AK21" s="44">
        <f t="shared" si="9"/>
        <v>0.90232458366367052</v>
      </c>
      <c r="AL21" s="44">
        <f t="shared" si="9"/>
        <v>0.87521584265551655</v>
      </c>
      <c r="AM21" s="44">
        <f t="shared" si="9"/>
        <v>0.98124256339284288</v>
      </c>
      <c r="AN21" s="44">
        <f t="shared" si="9"/>
        <v>0.77756268247772975</v>
      </c>
      <c r="AO21" s="44">
        <f t="shared" si="9"/>
        <v>0.74059307560471543</v>
      </c>
      <c r="AP21" s="44">
        <f t="shared" si="9"/>
        <v>0.79875298998301358</v>
      </c>
      <c r="AR21" s="75" t="str">
        <f t="shared" si="16"/>
        <v>3</v>
      </c>
      <c r="AS21" s="75" t="str">
        <f t="shared" si="16"/>
        <v>3</v>
      </c>
      <c r="AT21" s="75" t="str">
        <f t="shared" si="16"/>
        <v>3</v>
      </c>
      <c r="AU21" s="75" t="str">
        <f t="shared" si="16"/>
        <v>3</v>
      </c>
      <c r="AV21" s="75" t="str">
        <f t="shared" si="16"/>
        <v>3</v>
      </c>
      <c r="AW21" s="75" t="str">
        <f t="shared" si="16"/>
        <v>3</v>
      </c>
      <c r="AX21" s="75" t="str">
        <f t="shared" si="16"/>
        <v>3</v>
      </c>
      <c r="AY21" s="75" t="str">
        <f t="shared" si="16"/>
        <v>3</v>
      </c>
      <c r="AZ21" s="75" t="str">
        <f t="shared" si="16"/>
        <v>3</v>
      </c>
      <c r="BA21" s="75" t="str">
        <f t="shared" si="16"/>
        <v>3</v>
      </c>
      <c r="BB21" s="75" t="str">
        <f t="shared" si="16"/>
        <v>3</v>
      </c>
      <c r="BC21" s="75" t="str">
        <f t="shared" si="16"/>
        <v>3</v>
      </c>
      <c r="BE21" s="44">
        <f>AR21*3.5</f>
        <v>10.5</v>
      </c>
      <c r="BF21" s="44">
        <f t="shared" si="18"/>
        <v>10.5</v>
      </c>
      <c r="BG21" s="44">
        <f t="shared" si="18"/>
        <v>10.5</v>
      </c>
      <c r="BH21" s="44">
        <f t="shared" si="18"/>
        <v>10.5</v>
      </c>
      <c r="BI21" s="44">
        <f t="shared" si="18"/>
        <v>10.5</v>
      </c>
      <c r="BJ21" s="44">
        <f t="shared" si="18"/>
        <v>10.5</v>
      </c>
      <c r="BK21" s="44">
        <f t="shared" si="18"/>
        <v>10.5</v>
      </c>
      <c r="BL21" s="44">
        <f t="shared" si="18"/>
        <v>10.5</v>
      </c>
      <c r="BM21" s="44">
        <f t="shared" si="18"/>
        <v>10.5</v>
      </c>
      <c r="BN21" s="44">
        <f t="shared" si="18"/>
        <v>10.5</v>
      </c>
      <c r="BO21" s="44">
        <f t="shared" si="18"/>
        <v>10.5</v>
      </c>
      <c r="BP21" s="44">
        <f t="shared" si="18"/>
        <v>10.5</v>
      </c>
    </row>
    <row r="22" spans="1:68">
      <c r="A22" s="210">
        <f t="shared" si="12"/>
        <v>18</v>
      </c>
      <c r="B22" s="653" t="s">
        <v>89</v>
      </c>
      <c r="C22" s="653" t="s">
        <v>1028</v>
      </c>
      <c r="D22" s="69" t="s">
        <v>71</v>
      </c>
      <c r="E22" s="70" t="s">
        <v>90</v>
      </c>
      <c r="F22" s="71">
        <v>0.5</v>
      </c>
      <c r="G22" s="71">
        <v>0.58133561643835618</v>
      </c>
      <c r="H22" s="69">
        <v>800</v>
      </c>
      <c r="I22" s="72">
        <v>10</v>
      </c>
      <c r="J22" s="72">
        <v>4</v>
      </c>
      <c r="K22" s="73">
        <f t="shared" si="14"/>
        <v>3402.0758452475811</v>
      </c>
      <c r="L22" s="73">
        <v>1</v>
      </c>
      <c r="M22" s="73">
        <f t="shared" si="15"/>
        <v>3402.0758452475811</v>
      </c>
      <c r="N22">
        <f t="shared" si="4"/>
        <v>3402.0758452475811</v>
      </c>
      <c r="R22">
        <v>5129.3763628326778</v>
      </c>
      <c r="S22">
        <v>5214.1370345038777</v>
      </c>
      <c r="T22">
        <v>5128.215836516888</v>
      </c>
      <c r="U22">
        <v>10454.396185645135</v>
      </c>
      <c r="V22">
        <v>10000</v>
      </c>
      <c r="W22" s="40">
        <v>10199.434369879395</v>
      </c>
      <c r="X22">
        <v>13201.174536160599</v>
      </c>
      <c r="Y22" s="758">
        <v>16617.446808510642</v>
      </c>
      <c r="Z22">
        <v>13201.174536160599</v>
      </c>
      <c r="AA22">
        <v>13965.410258957294</v>
      </c>
      <c r="AB22">
        <v>13183.527357275696</v>
      </c>
      <c r="AC22">
        <v>13965.410258957294</v>
      </c>
      <c r="AE22" s="44">
        <f t="shared" si="9"/>
        <v>5.025731931675375E-2</v>
      </c>
      <c r="AF22" s="44">
        <f t="shared" si="9"/>
        <v>5.1087799250444856E-2</v>
      </c>
      <c r="AG22" s="44">
        <f t="shared" si="9"/>
        <v>5.024594855011421E-2</v>
      </c>
      <c r="AH22" s="44">
        <f t="shared" si="9"/>
        <v>0.10243154141952344</v>
      </c>
      <c r="AI22" s="44">
        <f t="shared" si="9"/>
        <v>9.7979395079910533E-2</v>
      </c>
      <c r="AJ22" s="44">
        <f t="shared" si="9"/>
        <v>9.9933440971803164E-2</v>
      </c>
      <c r="AK22" s="44">
        <f t="shared" si="9"/>
        <v>0.12934430953973339</v>
      </c>
      <c r="AL22" s="44">
        <f t="shared" si="9"/>
        <v>0.16281673860704629</v>
      </c>
      <c r="AM22" s="44">
        <f t="shared" si="9"/>
        <v>0.12934430953973339</v>
      </c>
      <c r="AN22" s="44">
        <f t="shared" si="9"/>
        <v>0.13683224492154125</v>
      </c>
      <c r="AO22" s="44">
        <f t="shared" si="9"/>
        <v>0.12917140354853243</v>
      </c>
      <c r="AP22" s="44">
        <f t="shared" si="9"/>
        <v>0.13683224492154125</v>
      </c>
      <c r="AR22" s="75" t="str">
        <f t="shared" si="16"/>
        <v>1</v>
      </c>
      <c r="AS22" s="75" t="str">
        <f t="shared" si="16"/>
        <v>1</v>
      </c>
      <c r="AT22" s="75" t="str">
        <f t="shared" si="16"/>
        <v>1</v>
      </c>
      <c r="AU22" s="75" t="str">
        <f t="shared" si="16"/>
        <v>1</v>
      </c>
      <c r="AV22" s="75" t="str">
        <f t="shared" si="16"/>
        <v>1</v>
      </c>
      <c r="AW22" s="75" t="str">
        <f t="shared" si="16"/>
        <v>1</v>
      </c>
      <c r="AX22" s="75" t="str">
        <f t="shared" si="16"/>
        <v>1</v>
      </c>
      <c r="AY22" s="75" t="str">
        <f t="shared" si="16"/>
        <v>1</v>
      </c>
      <c r="AZ22" s="75" t="str">
        <f t="shared" si="16"/>
        <v>1</v>
      </c>
      <c r="BA22" s="75" t="str">
        <f t="shared" si="16"/>
        <v>1</v>
      </c>
      <c r="BB22" s="75" t="str">
        <f t="shared" si="16"/>
        <v>1</v>
      </c>
      <c r="BC22" s="75" t="str">
        <f t="shared" si="16"/>
        <v>1</v>
      </c>
      <c r="BE22" s="44">
        <f t="shared" ref="BE22:BP22" si="19">AR22*2.5</f>
        <v>2.5</v>
      </c>
      <c r="BF22" s="44">
        <f t="shared" si="19"/>
        <v>2.5</v>
      </c>
      <c r="BG22" s="44">
        <f t="shared" si="19"/>
        <v>2.5</v>
      </c>
      <c r="BH22" s="44">
        <f t="shared" si="19"/>
        <v>2.5</v>
      </c>
      <c r="BI22" s="44">
        <f t="shared" si="19"/>
        <v>2.5</v>
      </c>
      <c r="BJ22" s="44">
        <f t="shared" si="19"/>
        <v>2.5</v>
      </c>
      <c r="BK22" s="44">
        <f t="shared" si="19"/>
        <v>2.5</v>
      </c>
      <c r="BL22" s="44">
        <f t="shared" si="19"/>
        <v>2.5</v>
      </c>
      <c r="BM22" s="44">
        <f t="shared" si="19"/>
        <v>2.5</v>
      </c>
      <c r="BN22" s="44">
        <f t="shared" si="19"/>
        <v>2.5</v>
      </c>
      <c r="BO22" s="44">
        <f t="shared" si="19"/>
        <v>2.5</v>
      </c>
      <c r="BP22" s="44">
        <f t="shared" si="19"/>
        <v>2.5</v>
      </c>
    </row>
    <row r="23" spans="1:68" ht="18.5">
      <c r="A23" s="90"/>
      <c r="B23" s="90"/>
      <c r="C23" s="90"/>
      <c r="D23" s="90"/>
      <c r="E23" s="90"/>
      <c r="F23" s="91">
        <f>AVERAGE(F3:F22)</f>
        <v>0.55549999999999999</v>
      </c>
      <c r="G23" s="71">
        <v>0.58133561643835618</v>
      </c>
      <c r="H23" s="92"/>
      <c r="I23" s="652"/>
      <c r="J23" s="94" t="s">
        <v>91</v>
      </c>
      <c r="K23" s="95">
        <f>SUM(K3:K22)</f>
        <v>62960.426402254547</v>
      </c>
      <c r="L23" s="95">
        <f>SUM(L3:L22)</f>
        <v>18</v>
      </c>
      <c r="M23" s="96">
        <f>SUM(M3:M22)</f>
        <v>62960.426402254547</v>
      </c>
      <c r="R23" s="98">
        <f>SUM(R3:R22)</f>
        <v>1034789.5308646819</v>
      </c>
      <c r="S23" s="98">
        <f t="shared" ref="S23:AC23" si="20">SUM(S3:S22)</f>
        <v>1049842.6047086359</v>
      </c>
      <c r="T23" s="98">
        <f t="shared" si="20"/>
        <v>1138272.1491520484</v>
      </c>
      <c r="U23" s="98">
        <f t="shared" si="20"/>
        <v>1241933.8407677466</v>
      </c>
      <c r="V23" s="98">
        <f t="shared" si="20"/>
        <v>1180000</v>
      </c>
      <c r="W23" s="98">
        <f t="shared" si="20"/>
        <v>1196680.2527776589</v>
      </c>
      <c r="X23" s="98">
        <f t="shared" si="20"/>
        <v>1221194.0899570049</v>
      </c>
      <c r="Y23" s="98">
        <f t="shared" si="20"/>
        <v>947380.46153268288</v>
      </c>
      <c r="Z23" s="98">
        <f t="shared" si="20"/>
        <v>1279822.827967074</v>
      </c>
      <c r="AA23" s="98">
        <f t="shared" si="20"/>
        <v>1348271.6001950365</v>
      </c>
      <c r="AB23" s="98">
        <f t="shared" si="20"/>
        <v>1260094.7148705544</v>
      </c>
      <c r="AC23" s="98">
        <f t="shared" si="20"/>
        <v>1368237.190502797</v>
      </c>
      <c r="AE23" s="89">
        <f>SUM(AE3:AE22)+2</f>
        <v>12.516312496839012</v>
      </c>
      <c r="AF23" s="89">
        <f t="shared" ref="AF23:AP23" si="21">SUM(AF3:AF22)+2</f>
        <v>12.606287856486921</v>
      </c>
      <c r="AG23" s="89">
        <f t="shared" si="21"/>
        <v>13.468839490400509</v>
      </c>
      <c r="AH23" s="89">
        <f t="shared" si="21"/>
        <v>14.434508539443993</v>
      </c>
      <c r="AI23" s="89">
        <f>SUM(AI3:AI22)</f>
        <v>11.577475553019106</v>
      </c>
      <c r="AJ23" s="89">
        <f t="shared" si="21"/>
        <v>13.963823010937404</v>
      </c>
      <c r="AK23" s="89">
        <f t="shared" si="21"/>
        <v>14.227964969932938</v>
      </c>
      <c r="AL23" s="89">
        <f t="shared" si="21"/>
        <v>11.335429718892886</v>
      </c>
      <c r="AM23" s="89">
        <f t="shared" si="21"/>
        <v>14.708052015131591</v>
      </c>
      <c r="AN23" s="89">
        <f t="shared" si="21"/>
        <v>15.527355620843284</v>
      </c>
      <c r="AO23" s="89">
        <f t="shared" si="21"/>
        <v>14.542205624305463</v>
      </c>
      <c r="AP23" s="89">
        <f t="shared" si="21"/>
        <v>15.649908533808626</v>
      </c>
      <c r="AQ23" s="44">
        <f>AVERAGE(AE23:AP23)</f>
        <v>13.713180285836811</v>
      </c>
      <c r="AR23" s="89"/>
      <c r="BE23" s="89">
        <f>SUM(BE3:BE22)</f>
        <v>106</v>
      </c>
      <c r="BF23" s="89">
        <f t="shared" ref="BF23:BP23" si="22">SUM(BF3:BF22)</f>
        <v>103.5</v>
      </c>
      <c r="BG23" s="89">
        <f t="shared" si="22"/>
        <v>111</v>
      </c>
      <c r="BH23" s="89">
        <f t="shared" si="22"/>
        <v>113.5</v>
      </c>
      <c r="BI23" s="89">
        <f t="shared" si="22"/>
        <v>111</v>
      </c>
      <c r="BJ23" s="89">
        <f t="shared" si="22"/>
        <v>113.5</v>
      </c>
      <c r="BK23" s="89">
        <f t="shared" si="22"/>
        <v>111</v>
      </c>
      <c r="BL23" s="89">
        <f t="shared" si="22"/>
        <v>98.5</v>
      </c>
      <c r="BM23" s="89">
        <f t="shared" si="22"/>
        <v>116</v>
      </c>
      <c r="BN23" s="89">
        <f t="shared" si="22"/>
        <v>116</v>
      </c>
      <c r="BO23" s="89">
        <f t="shared" si="22"/>
        <v>113.5</v>
      </c>
      <c r="BP23" s="89">
        <f t="shared" si="22"/>
        <v>116</v>
      </c>
    </row>
    <row r="24" spans="1:68">
      <c r="M24" s="98"/>
      <c r="R24" s="97">
        <f t="shared" ref="R24:AC24" si="23">SUM(R3:R22)/30</f>
        <v>34492.984362156065</v>
      </c>
      <c r="S24" s="97">
        <f t="shared" si="23"/>
        <v>34994.753490287861</v>
      </c>
      <c r="T24" s="97">
        <f t="shared" si="23"/>
        <v>37942.404971734948</v>
      </c>
      <c r="U24" s="97">
        <f t="shared" si="23"/>
        <v>41397.79469225822</v>
      </c>
      <c r="V24" s="97">
        <f t="shared" si="23"/>
        <v>39333.333333333336</v>
      </c>
      <c r="W24" s="97">
        <f t="shared" si="23"/>
        <v>39889.341759255294</v>
      </c>
      <c r="X24" s="97">
        <f t="shared" si="23"/>
        <v>40706.469665233497</v>
      </c>
      <c r="Y24" s="97">
        <f t="shared" si="23"/>
        <v>31579.348717756096</v>
      </c>
      <c r="Z24" s="97">
        <f t="shared" si="23"/>
        <v>42660.760932235797</v>
      </c>
      <c r="AA24" s="97">
        <f t="shared" si="23"/>
        <v>44942.386673167886</v>
      </c>
      <c r="AB24" s="97">
        <f t="shared" si="23"/>
        <v>42003.15716235181</v>
      </c>
      <c r="AC24" s="97">
        <f t="shared" si="23"/>
        <v>45607.906350093232</v>
      </c>
      <c r="BE24" s="89">
        <f>SUM('Manpower Allocation'!$D$57:$D$68)+BE23</f>
        <v>165</v>
      </c>
      <c r="BF24" s="89">
        <f>SUM('Manpower Allocation'!$D$57:$D$68)+BF23</f>
        <v>162.5</v>
      </c>
      <c r="BG24" s="89">
        <f>SUM('Manpower Allocation'!$D$57:$D$68)+BG23</f>
        <v>170</v>
      </c>
      <c r="BH24" s="89">
        <f>SUM('Manpower Allocation'!$D$57:$D$68)+BH23</f>
        <v>172.5</v>
      </c>
      <c r="BI24" s="89">
        <f>SUM('Manpower Allocation'!$D$57:$D$68)+BI23</f>
        <v>170</v>
      </c>
      <c r="BJ24" s="89">
        <f>SUM('Manpower Allocation'!$D$57:$D$68)+BJ23</f>
        <v>172.5</v>
      </c>
      <c r="BK24" s="89">
        <f>SUM('Manpower Allocation'!$D$57:$D$68)+BK23</f>
        <v>170</v>
      </c>
      <c r="BL24" s="89">
        <f>SUM('Manpower Allocation'!$D$57:$D$68)+BL23</f>
        <v>157.5</v>
      </c>
      <c r="BM24" s="89">
        <f>SUM('Manpower Allocation'!$D$57:$D$68)+BM23</f>
        <v>175</v>
      </c>
      <c r="BN24" s="89">
        <f>SUM('Manpower Allocation'!$D$57:$D$68)+BN23</f>
        <v>175</v>
      </c>
      <c r="BO24" s="89">
        <f>SUM('Manpower Allocation'!$D$57:$D$68)+BO23</f>
        <v>172.5</v>
      </c>
      <c r="BP24" s="89">
        <f>SUM('Manpower Allocation'!$D$57:$D$68)+BP23</f>
        <v>175</v>
      </c>
    </row>
    <row r="26" spans="1:68">
      <c r="BE26">
        <f>(12*2.5*3)+(2*3.5*3)</f>
        <v>111</v>
      </c>
      <c r="BF26">
        <f>(12*3*3)+(2*4*3)</f>
        <v>132</v>
      </c>
    </row>
    <row r="27" spans="1:68">
      <c r="F27" t="s">
        <v>485</v>
      </c>
      <c r="G27" t="s">
        <v>487</v>
      </c>
      <c r="I27">
        <f>AVERAGE(I28:I31)</f>
        <v>372.5</v>
      </c>
      <c r="BE27">
        <v>59</v>
      </c>
      <c r="BF27">
        <v>59</v>
      </c>
    </row>
    <row r="28" spans="1:68">
      <c r="F28" t="s">
        <v>486</v>
      </c>
      <c r="G28" t="s">
        <v>488</v>
      </c>
      <c r="H28" t="s">
        <v>481</v>
      </c>
      <c r="I28">
        <v>290</v>
      </c>
      <c r="J28" s="155">
        <v>0.15</v>
      </c>
      <c r="K28">
        <f>J28*I28</f>
        <v>43.5</v>
      </c>
      <c r="BE28">
        <f>SUM(BE26:BE27)</f>
        <v>170</v>
      </c>
      <c r="BF28">
        <f>SUM(BF26:BF27)</f>
        <v>191</v>
      </c>
    </row>
    <row r="29" spans="1:68">
      <c r="G29" t="s">
        <v>489</v>
      </c>
      <c r="H29" t="s">
        <v>482</v>
      </c>
      <c r="I29">
        <v>350</v>
      </c>
      <c r="J29" s="155">
        <v>0.37</v>
      </c>
      <c r="K29">
        <f t="shared" ref="K29:K31" si="24">J29*I29</f>
        <v>129.5</v>
      </c>
      <c r="BE29">
        <f>BF28-BE28</f>
        <v>21</v>
      </c>
    </row>
    <row r="30" spans="1:68">
      <c r="G30" t="s">
        <v>490</v>
      </c>
      <c r="H30" t="s">
        <v>252</v>
      </c>
      <c r="I30">
        <v>350</v>
      </c>
      <c r="J30" s="155">
        <v>0.38</v>
      </c>
      <c r="K30">
        <f t="shared" si="24"/>
        <v>133</v>
      </c>
    </row>
    <row r="31" spans="1:68">
      <c r="G31" t="s">
        <v>491</v>
      </c>
      <c r="H31" t="s">
        <v>483</v>
      </c>
      <c r="I31">
        <v>500</v>
      </c>
      <c r="J31" s="155">
        <v>0.1</v>
      </c>
      <c r="K31">
        <f t="shared" si="24"/>
        <v>50</v>
      </c>
    </row>
  </sheetData>
  <mergeCells count="7">
    <mergeCell ref="BE1:BP1"/>
    <mergeCell ref="B3:B4"/>
    <mergeCell ref="A6:A7"/>
    <mergeCell ref="B6:B7"/>
    <mergeCell ref="R1:AC1"/>
    <mergeCell ref="AE1:AP1"/>
    <mergeCell ref="AR1:BC1"/>
  </mergeCells>
  <pageMargins left="0.7" right="0.7" top="0.75" bottom="0.75"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W41"/>
  <sheetViews>
    <sheetView workbookViewId="0">
      <selection activeCell="B38" sqref="B38"/>
    </sheetView>
  </sheetViews>
  <sheetFormatPr defaultRowHeight="14.5"/>
  <cols>
    <col min="1" max="1" width="26.26953125" bestFit="1" customWidth="1"/>
    <col min="3" max="3" width="12.26953125" bestFit="1" customWidth="1"/>
    <col min="11" max="12" width="0" hidden="1" customWidth="1"/>
    <col min="83" max="85" width="11.54296875" bestFit="1" customWidth="1"/>
  </cols>
  <sheetData>
    <row r="1" spans="1:179">
      <c r="CA1">
        <v>1.8</v>
      </c>
      <c r="CE1" s="211">
        <v>300000</v>
      </c>
      <c r="CF1" s="41">
        <f>CE1-CF2</f>
        <v>264000</v>
      </c>
      <c r="CG1" s="41">
        <f>CF1/1.8</f>
        <v>146666.66666666666</v>
      </c>
    </row>
    <row r="2" spans="1:179">
      <c r="CA2">
        <v>0.4</v>
      </c>
      <c r="CF2">
        <v>36000</v>
      </c>
      <c r="CG2">
        <f>CF2/0.3</f>
        <v>120000</v>
      </c>
      <c r="CH2">
        <f>CG2/30</f>
        <v>4000</v>
      </c>
      <c r="CJ2">
        <f>3.14*0.4*0.4</f>
        <v>0.50240000000000007</v>
      </c>
      <c r="CK2">
        <f>36000/0.3</f>
        <v>120000</v>
      </c>
      <c r="DD2">
        <f>DC5/DO27</f>
        <v>26.022056409142749</v>
      </c>
    </row>
    <row r="3" spans="1:179">
      <c r="A3" s="99" t="s">
        <v>92</v>
      </c>
      <c r="B3" s="30" t="s">
        <v>477</v>
      </c>
      <c r="C3" s="30"/>
      <c r="D3" s="30"/>
      <c r="E3" s="30"/>
      <c r="F3" s="30"/>
      <c r="I3" s="100"/>
      <c r="J3" s="100"/>
      <c r="K3" s="30"/>
      <c r="L3" s="30"/>
      <c r="M3" s="100"/>
      <c r="N3" s="100"/>
      <c r="P3" s="99" t="s">
        <v>92</v>
      </c>
      <c r="Q3" s="30"/>
      <c r="R3" s="30"/>
      <c r="S3" s="30"/>
      <c r="T3" s="30"/>
      <c r="U3" s="30"/>
      <c r="X3" s="100"/>
      <c r="Y3" s="100"/>
      <c r="Z3" s="30"/>
      <c r="AA3" s="30"/>
      <c r="AB3" s="100"/>
      <c r="AC3" s="100"/>
      <c r="AE3" s="99" t="s">
        <v>92</v>
      </c>
      <c r="AF3" s="30"/>
      <c r="AG3" s="30"/>
      <c r="AH3" s="30"/>
      <c r="AI3" s="30"/>
      <c r="AJ3" s="30"/>
      <c r="AM3" s="100"/>
      <c r="AN3" s="100"/>
      <c r="AO3" s="30"/>
      <c r="AP3" s="30"/>
      <c r="AQ3" s="100"/>
      <c r="AR3" s="100"/>
      <c r="AT3" s="99" t="s">
        <v>92</v>
      </c>
      <c r="AU3" s="30"/>
      <c r="AV3" s="30"/>
      <c r="AW3" s="30"/>
      <c r="AX3" s="30"/>
      <c r="AY3" s="30"/>
      <c r="BB3" s="100"/>
      <c r="BC3" s="100"/>
      <c r="BD3" s="30"/>
      <c r="BE3" s="30"/>
      <c r="BF3" s="100"/>
      <c r="BG3" s="100"/>
      <c r="BI3" s="99" t="s">
        <v>92</v>
      </c>
      <c r="BJ3" s="30"/>
      <c r="BK3" s="30"/>
      <c r="BL3" s="30"/>
      <c r="BM3" s="30"/>
      <c r="BN3" s="30"/>
      <c r="BQ3" s="100"/>
      <c r="BR3" s="100"/>
      <c r="BS3" s="30"/>
      <c r="BT3" s="30"/>
      <c r="BU3" s="100"/>
      <c r="BV3" s="100"/>
      <c r="BX3" s="99" t="s">
        <v>92</v>
      </c>
      <c r="BY3" s="30"/>
      <c r="BZ3" s="30"/>
      <c r="CA3" s="30"/>
      <c r="CB3" s="30"/>
      <c r="CC3" s="30"/>
      <c r="CF3" s="100"/>
      <c r="CG3" s="100"/>
      <c r="CH3" s="30"/>
      <c r="CI3" s="30"/>
      <c r="CJ3" s="100"/>
      <c r="CK3" s="100"/>
      <c r="CM3" s="99" t="s">
        <v>92</v>
      </c>
      <c r="CN3" s="30"/>
      <c r="CO3" s="30"/>
      <c r="CP3" s="30"/>
      <c r="CQ3" s="30"/>
      <c r="CR3" s="30"/>
      <c r="CU3" s="100"/>
      <c r="CV3" s="100"/>
      <c r="CW3" s="30"/>
      <c r="CX3" s="30"/>
      <c r="CY3" s="100"/>
      <c r="CZ3" s="100"/>
      <c r="DB3" s="99" t="s">
        <v>92</v>
      </c>
      <c r="DC3" s="30"/>
      <c r="DD3" s="30"/>
      <c r="DE3" s="30"/>
      <c r="DF3" s="30"/>
      <c r="DG3" s="30"/>
      <c r="DJ3" s="100"/>
      <c r="DK3" s="100"/>
      <c r="DL3" s="30"/>
      <c r="DM3" s="30"/>
      <c r="DN3" s="100"/>
      <c r="DO3" s="100"/>
      <c r="DQ3" s="99" t="s">
        <v>92</v>
      </c>
      <c r="DR3" s="30"/>
      <c r="DS3" s="30"/>
      <c r="DT3" s="30"/>
      <c r="DU3" s="30"/>
      <c r="DV3" s="30"/>
      <c r="DY3" s="100"/>
      <c r="DZ3" s="100"/>
      <c r="EA3" s="30"/>
      <c r="EB3" s="30"/>
      <c r="EC3" s="100"/>
      <c r="ED3" s="100"/>
      <c r="EF3" s="99" t="s">
        <v>92</v>
      </c>
      <c r="EG3" s="30"/>
      <c r="EH3" s="30"/>
      <c r="EI3" s="30"/>
      <c r="EJ3" s="30"/>
      <c r="EK3" s="30"/>
      <c r="EN3" s="100"/>
      <c r="EO3" s="100"/>
      <c r="EP3" s="30"/>
      <c r="EQ3" s="30"/>
      <c r="ER3" s="100"/>
      <c r="ES3" s="100"/>
      <c r="EU3" s="99" t="s">
        <v>92</v>
      </c>
      <c r="EV3" s="30"/>
      <c r="EW3" s="30"/>
      <c r="EX3" s="30"/>
      <c r="EY3" s="30"/>
      <c r="EZ3" s="30"/>
      <c r="FC3" s="100"/>
      <c r="FD3" s="100"/>
      <c r="FE3" s="30"/>
      <c r="FF3" s="30"/>
      <c r="FG3" s="100"/>
      <c r="FH3" s="100"/>
      <c r="FJ3" s="99" t="s">
        <v>92</v>
      </c>
      <c r="FK3" s="30"/>
      <c r="FL3" s="30"/>
      <c r="FM3" s="30"/>
      <c r="FN3" s="30"/>
      <c r="FO3" s="30"/>
      <c r="FR3" s="100"/>
      <c r="FS3" s="100"/>
      <c r="FT3" s="30"/>
      <c r="FU3" s="30"/>
      <c r="FV3" s="100"/>
      <c r="FW3" s="100"/>
    </row>
    <row r="4" spans="1:179">
      <c r="A4" s="101" t="s">
        <v>93</v>
      </c>
      <c r="B4" s="36">
        <f>BP!D191</f>
        <v>460411.64024567843</v>
      </c>
      <c r="C4" s="30" t="s">
        <v>94</v>
      </c>
      <c r="D4" s="30"/>
      <c r="E4" s="30"/>
      <c r="F4" s="102" t="s">
        <v>95</v>
      </c>
      <c r="I4" s="100"/>
      <c r="J4" s="100"/>
      <c r="K4" s="103">
        <v>0.3</v>
      </c>
      <c r="L4" s="30"/>
      <c r="M4" s="100"/>
      <c r="N4" s="100"/>
      <c r="P4" s="101" t="s">
        <v>93</v>
      </c>
      <c r="Q4" s="36">
        <f>BP!E191</f>
        <v>318864.58668767568</v>
      </c>
      <c r="R4" s="30" t="s">
        <v>94</v>
      </c>
      <c r="S4" s="30"/>
      <c r="T4" s="30"/>
      <c r="U4" s="102" t="s">
        <v>95</v>
      </c>
      <c r="X4" s="100"/>
      <c r="Y4" s="100"/>
      <c r="Z4" s="103">
        <v>0.3</v>
      </c>
      <c r="AA4" s="30"/>
      <c r="AB4" s="100"/>
      <c r="AC4" s="100"/>
      <c r="AE4" s="101" t="s">
        <v>93</v>
      </c>
      <c r="AF4" s="36">
        <f>BP!F191</f>
        <v>276183.06700537977</v>
      </c>
      <c r="AG4" s="30" t="s">
        <v>94</v>
      </c>
      <c r="AH4" s="30"/>
      <c r="AI4" s="30"/>
      <c r="AJ4" s="102" t="s">
        <v>95</v>
      </c>
      <c r="AM4" s="100"/>
      <c r="AN4" s="100"/>
      <c r="AO4" s="103">
        <v>0.3</v>
      </c>
      <c r="AP4" s="30"/>
      <c r="AQ4" s="100"/>
      <c r="AR4" s="100"/>
      <c r="AT4" s="101" t="s">
        <v>93</v>
      </c>
      <c r="AU4" s="36">
        <f>BP!G191</f>
        <v>375130.63631719211</v>
      </c>
      <c r="AV4" s="30" t="s">
        <v>94</v>
      </c>
      <c r="AW4" s="30"/>
      <c r="AX4" s="30"/>
      <c r="AY4" s="102" t="s">
        <v>95</v>
      </c>
      <c r="BB4" s="100"/>
      <c r="BC4" s="100"/>
      <c r="BD4" s="103">
        <v>0.3</v>
      </c>
      <c r="BE4" s="30"/>
      <c r="BF4" s="100"/>
      <c r="BG4" s="100"/>
      <c r="BI4" s="101" t="s">
        <v>93</v>
      </c>
      <c r="BJ4" s="36">
        <f>BP!H191</f>
        <v>636810.07957177632</v>
      </c>
      <c r="BK4" s="30" t="s">
        <v>94</v>
      </c>
      <c r="BL4" s="30"/>
      <c r="BM4" s="30"/>
      <c r="BN4" s="102" t="s">
        <v>95</v>
      </c>
      <c r="BQ4" s="100"/>
      <c r="BR4" s="100"/>
      <c r="BS4" s="103">
        <v>0.3</v>
      </c>
      <c r="BT4" s="30"/>
      <c r="BU4" s="100"/>
      <c r="BV4" s="100"/>
      <c r="BX4" s="101" t="s">
        <v>93</v>
      </c>
      <c r="BY4" s="36">
        <f>BP!I191</f>
        <v>340280.31888946606</v>
      </c>
      <c r="BZ4" s="30" t="s">
        <v>94</v>
      </c>
      <c r="CA4" s="30"/>
      <c r="CB4" s="30"/>
      <c r="CC4" s="102" t="s">
        <v>95</v>
      </c>
      <c r="CF4" s="100"/>
      <c r="CG4" s="100"/>
      <c r="CH4" s="103">
        <v>0.3</v>
      </c>
      <c r="CI4" s="30"/>
      <c r="CJ4" s="100"/>
      <c r="CK4" s="100"/>
      <c r="CM4" s="101" t="s">
        <v>93</v>
      </c>
      <c r="CN4" s="36">
        <f>BP!J191</f>
        <v>290110.77081198042</v>
      </c>
      <c r="CO4" s="30" t="s">
        <v>94</v>
      </c>
      <c r="CP4" s="30"/>
      <c r="CQ4" s="30"/>
      <c r="CR4" s="102" t="s">
        <v>95</v>
      </c>
      <c r="CU4" s="100"/>
      <c r="CV4" s="100"/>
      <c r="CW4" s="103">
        <v>0.3</v>
      </c>
      <c r="CX4" s="30"/>
      <c r="CY4" s="100"/>
      <c r="CZ4" s="100"/>
      <c r="DB4" s="101" t="s">
        <v>93</v>
      </c>
      <c r="DC4" s="36">
        <f>BP!K191</f>
        <v>238101.81614365615</v>
      </c>
      <c r="DD4" s="30" t="s">
        <v>94</v>
      </c>
      <c r="DE4" s="30"/>
      <c r="DF4" s="30"/>
      <c r="DG4" s="102" t="s">
        <v>95</v>
      </c>
      <c r="DJ4" s="100"/>
      <c r="DK4" s="100"/>
      <c r="DL4" s="103">
        <v>0.3</v>
      </c>
      <c r="DM4" s="30"/>
      <c r="DN4" s="100"/>
      <c r="DO4" s="100"/>
      <c r="DQ4" s="101" t="s">
        <v>93</v>
      </c>
      <c r="DR4" s="36">
        <f>BP!L191</f>
        <v>162912.3909009163</v>
      </c>
      <c r="DS4" s="30" t="s">
        <v>94</v>
      </c>
      <c r="DT4" s="30"/>
      <c r="DU4" s="30"/>
      <c r="DV4" s="102" t="s">
        <v>95</v>
      </c>
      <c r="DY4" s="100"/>
      <c r="DZ4" s="100"/>
      <c r="EA4" s="103">
        <v>0.3</v>
      </c>
      <c r="EB4" s="30"/>
      <c r="EC4" s="100"/>
      <c r="ED4" s="100"/>
      <c r="EF4" s="101" t="s">
        <v>93</v>
      </c>
      <c r="EG4" s="36">
        <f>BP!M191</f>
        <v>144536.62180597585</v>
      </c>
      <c r="EH4" s="30" t="s">
        <v>94</v>
      </c>
      <c r="EI4" s="30"/>
      <c r="EJ4" s="30"/>
      <c r="EK4" s="102" t="s">
        <v>95</v>
      </c>
      <c r="EN4" s="100"/>
      <c r="EO4" s="100"/>
      <c r="EP4" s="103">
        <v>0.3</v>
      </c>
      <c r="EQ4" s="30"/>
      <c r="ER4" s="100"/>
      <c r="ES4" s="100"/>
      <c r="EU4" s="101" t="s">
        <v>93</v>
      </c>
      <c r="EV4" s="36">
        <f>BP!N191</f>
        <v>179386.83792063277</v>
      </c>
      <c r="EW4" s="30" t="s">
        <v>94</v>
      </c>
      <c r="EX4" s="30"/>
      <c r="EY4" s="30"/>
      <c r="EZ4" s="102" t="s">
        <v>95</v>
      </c>
      <c r="FC4" s="100"/>
      <c r="FD4" s="100"/>
      <c r="FE4" s="103">
        <v>0.3</v>
      </c>
      <c r="FF4" s="30"/>
      <c r="FG4" s="100"/>
      <c r="FH4" s="100"/>
      <c r="FJ4" s="101" t="s">
        <v>93</v>
      </c>
      <c r="FK4" s="36">
        <f>BP!O191</f>
        <v>197320.77728897543</v>
      </c>
      <c r="FL4" s="30" t="s">
        <v>94</v>
      </c>
      <c r="FM4" s="30"/>
      <c r="FN4" s="30"/>
      <c r="FO4" s="102" t="s">
        <v>95</v>
      </c>
      <c r="FR4" s="100"/>
      <c r="FS4" s="100"/>
      <c r="FT4" s="103">
        <v>0.3</v>
      </c>
      <c r="FU4" s="30"/>
      <c r="FV4" s="100"/>
      <c r="FW4" s="100"/>
    </row>
    <row r="5" spans="1:179">
      <c r="A5" s="99" t="s">
        <v>96</v>
      </c>
      <c r="B5" s="36">
        <f>B4/30</f>
        <v>15347.054674855948</v>
      </c>
      <c r="C5" s="30" t="s">
        <v>94</v>
      </c>
      <c r="D5" s="36">
        <f>B5/1.38</f>
        <v>11121.054112214457</v>
      </c>
      <c r="E5" s="30" t="s">
        <v>97</v>
      </c>
      <c r="F5" s="102" t="s">
        <v>98</v>
      </c>
      <c r="I5" s="100"/>
      <c r="J5" s="100"/>
      <c r="K5" s="103">
        <v>0.7</v>
      </c>
      <c r="L5" s="30"/>
      <c r="M5" s="100"/>
      <c r="N5" s="100"/>
      <c r="P5" s="99" t="s">
        <v>96</v>
      </c>
      <c r="Q5" s="36">
        <f>Q4/30</f>
        <v>10628.819556255856</v>
      </c>
      <c r="R5" s="30" t="s">
        <v>94</v>
      </c>
      <c r="S5" s="36">
        <f>Q5/1.38</f>
        <v>7702.0431567071428</v>
      </c>
      <c r="T5" s="30" t="s">
        <v>97</v>
      </c>
      <c r="U5" s="102" t="s">
        <v>98</v>
      </c>
      <c r="X5" s="100"/>
      <c r="Y5" s="100"/>
      <c r="Z5" s="103">
        <v>0.7</v>
      </c>
      <c r="AA5" s="30"/>
      <c r="AB5" s="100"/>
      <c r="AC5" s="100"/>
      <c r="AE5" s="99" t="s">
        <v>96</v>
      </c>
      <c r="AF5" s="36">
        <f>AF4/30</f>
        <v>9206.1022335126581</v>
      </c>
      <c r="AG5" s="30" t="s">
        <v>94</v>
      </c>
      <c r="AH5" s="36">
        <f>AF5/1.38</f>
        <v>6671.0885750091729</v>
      </c>
      <c r="AI5" s="30" t="s">
        <v>97</v>
      </c>
      <c r="AJ5" s="102" t="s">
        <v>98</v>
      </c>
      <c r="AM5" s="100"/>
      <c r="AN5" s="100"/>
      <c r="AO5" s="103">
        <v>0.7</v>
      </c>
      <c r="AP5" s="30"/>
      <c r="AQ5" s="100"/>
      <c r="AR5" s="100"/>
      <c r="AT5" s="99" t="s">
        <v>96</v>
      </c>
      <c r="AU5" s="36">
        <f>AU4/30</f>
        <v>12504.354543906404</v>
      </c>
      <c r="AV5" s="30" t="s">
        <v>94</v>
      </c>
      <c r="AW5" s="36">
        <f>AU5/1.38</f>
        <v>9061.1264810915982</v>
      </c>
      <c r="AX5" s="30" t="s">
        <v>97</v>
      </c>
      <c r="AY5" s="102" t="s">
        <v>98</v>
      </c>
      <c r="BB5" s="100"/>
      <c r="BC5" s="100"/>
      <c r="BD5" s="103">
        <v>0.7</v>
      </c>
      <c r="BE5" s="30"/>
      <c r="BF5" s="100"/>
      <c r="BG5" s="100"/>
      <c r="BI5" s="99" t="s">
        <v>96</v>
      </c>
      <c r="BJ5" s="36">
        <f>BJ4/30</f>
        <v>21227.002652392544</v>
      </c>
      <c r="BK5" s="30" t="s">
        <v>94</v>
      </c>
      <c r="BL5" s="36">
        <f>BJ5/1.38</f>
        <v>15381.885979994599</v>
      </c>
      <c r="BM5" s="30" t="s">
        <v>97</v>
      </c>
      <c r="BN5" s="102" t="s">
        <v>98</v>
      </c>
      <c r="BQ5" s="100"/>
      <c r="BR5" s="100"/>
      <c r="BS5" s="103">
        <v>0.7</v>
      </c>
      <c r="BT5" s="30"/>
      <c r="BU5" s="100"/>
      <c r="BV5" s="100"/>
      <c r="BX5" s="99" t="s">
        <v>96</v>
      </c>
      <c r="BY5" s="36">
        <f>BY4/30</f>
        <v>11342.677296315534</v>
      </c>
      <c r="BZ5" s="30" t="s">
        <v>94</v>
      </c>
      <c r="CA5" s="36">
        <f>BY5/1.38</f>
        <v>8219.3313741416914</v>
      </c>
      <c r="CB5" s="30" t="s">
        <v>97</v>
      </c>
      <c r="CC5" s="102" t="s">
        <v>98</v>
      </c>
      <c r="CF5" s="100"/>
      <c r="CG5" s="100"/>
      <c r="CH5" s="103">
        <v>0.7</v>
      </c>
      <c r="CI5" s="30"/>
      <c r="CJ5" s="100"/>
      <c r="CK5" s="100"/>
      <c r="CM5" s="99" t="s">
        <v>96</v>
      </c>
      <c r="CN5" s="36">
        <f>CN4/28</f>
        <v>10361.09895757073</v>
      </c>
      <c r="CO5" s="30" t="s">
        <v>94</v>
      </c>
      <c r="CP5" s="36">
        <f>CN5/1.38</f>
        <v>7508.0427228773415</v>
      </c>
      <c r="CQ5" s="30" t="s">
        <v>97</v>
      </c>
      <c r="CR5" s="102" t="s">
        <v>98</v>
      </c>
      <c r="CU5" s="100"/>
      <c r="CV5" s="100"/>
      <c r="CW5" s="103">
        <v>0.7</v>
      </c>
      <c r="CX5" s="30"/>
      <c r="CY5" s="100"/>
      <c r="CZ5" s="100"/>
      <c r="DB5" s="99" t="s">
        <v>96</v>
      </c>
      <c r="DC5" s="36">
        <f>DC4/30</f>
        <v>7936.7272047885381</v>
      </c>
      <c r="DD5" s="30" t="s">
        <v>94</v>
      </c>
      <c r="DE5" s="36">
        <f>DC5/1.38</f>
        <v>5751.2515976728537</v>
      </c>
      <c r="DF5" s="30" t="s">
        <v>97</v>
      </c>
      <c r="DG5" s="102" t="s">
        <v>98</v>
      </c>
      <c r="DJ5" s="100"/>
      <c r="DK5" s="100"/>
      <c r="DL5" s="103">
        <v>0.7</v>
      </c>
      <c r="DM5" s="30"/>
      <c r="DN5" s="100"/>
      <c r="DO5" s="100"/>
      <c r="DQ5" s="99" t="s">
        <v>96</v>
      </c>
      <c r="DR5" s="36">
        <f>DR4/30</f>
        <v>5430.4130300305433</v>
      </c>
      <c r="DS5" s="30" t="s">
        <v>94</v>
      </c>
      <c r="DT5" s="36">
        <f>DR5/1.38</f>
        <v>3935.0819058192346</v>
      </c>
      <c r="DU5" s="30" t="s">
        <v>97</v>
      </c>
      <c r="DV5" s="102" t="s">
        <v>98</v>
      </c>
      <c r="DY5" s="100"/>
      <c r="DZ5" s="100"/>
      <c r="EA5" s="103">
        <v>0.7</v>
      </c>
      <c r="EB5" s="30"/>
      <c r="EC5" s="100"/>
      <c r="ED5" s="100"/>
      <c r="EF5" s="99" t="s">
        <v>96</v>
      </c>
      <c r="EG5" s="36">
        <f>EG4/30</f>
        <v>4817.8873935325282</v>
      </c>
      <c r="EH5" s="30" t="s">
        <v>94</v>
      </c>
      <c r="EI5" s="36">
        <f>EG5/1.38</f>
        <v>3491.2227489366151</v>
      </c>
      <c r="EJ5" s="30" t="s">
        <v>97</v>
      </c>
      <c r="EK5" s="102" t="s">
        <v>98</v>
      </c>
      <c r="EN5" s="100"/>
      <c r="EO5" s="100"/>
      <c r="EP5" s="103">
        <v>0.7</v>
      </c>
      <c r="EQ5" s="30"/>
      <c r="ER5" s="100"/>
      <c r="ES5" s="100"/>
      <c r="EU5" s="99" t="s">
        <v>96</v>
      </c>
      <c r="EV5" s="36">
        <f>EV4/30</f>
        <v>5979.561264021092</v>
      </c>
      <c r="EW5" s="30" t="s">
        <v>94</v>
      </c>
      <c r="EX5" s="36">
        <f>EV5/1.38</f>
        <v>4333.0154087109368</v>
      </c>
      <c r="EY5" s="30" t="s">
        <v>97</v>
      </c>
      <c r="EZ5" s="102" t="s">
        <v>98</v>
      </c>
      <c r="FC5" s="100"/>
      <c r="FD5" s="100"/>
      <c r="FE5" s="103">
        <v>0.7</v>
      </c>
      <c r="FF5" s="30"/>
      <c r="FG5" s="100"/>
      <c r="FH5" s="100"/>
      <c r="FJ5" s="99" t="s">
        <v>96</v>
      </c>
      <c r="FK5" s="36">
        <f>FK4/30</f>
        <v>6577.3592429658474</v>
      </c>
      <c r="FL5" s="30" t="s">
        <v>94</v>
      </c>
      <c r="FM5" s="36">
        <f>FK5/1.38</f>
        <v>4766.2023499752522</v>
      </c>
      <c r="FN5" s="30" t="s">
        <v>97</v>
      </c>
      <c r="FO5" s="102" t="s">
        <v>98</v>
      </c>
      <c r="FR5" s="100"/>
      <c r="FS5" s="100"/>
      <c r="FT5" s="103">
        <v>0.7</v>
      </c>
      <c r="FU5" s="30"/>
      <c r="FV5" s="100"/>
      <c r="FW5" s="100"/>
    </row>
    <row r="6" spans="1:179">
      <c r="A6" s="99" t="s">
        <v>96</v>
      </c>
      <c r="B6" s="36">
        <f>B5/4</f>
        <v>3836.763668713987</v>
      </c>
      <c r="C6" s="30" t="s">
        <v>99</v>
      </c>
      <c r="D6" s="30"/>
      <c r="E6" s="30"/>
      <c r="F6" s="104"/>
      <c r="I6" s="100"/>
      <c r="J6" s="100"/>
      <c r="K6" s="104"/>
      <c r="L6" s="104"/>
      <c r="M6" s="100"/>
      <c r="N6" s="100"/>
      <c r="P6" s="99" t="s">
        <v>96</v>
      </c>
      <c r="Q6" s="36">
        <f>Q5/4</f>
        <v>2657.2048890639639</v>
      </c>
      <c r="R6" s="30" t="s">
        <v>99</v>
      </c>
      <c r="S6" s="30"/>
      <c r="T6" s="30"/>
      <c r="U6" s="104"/>
      <c r="X6" s="100"/>
      <c r="Y6" s="100"/>
      <c r="Z6" s="104"/>
      <c r="AA6" s="104"/>
      <c r="AB6" s="100"/>
      <c r="AC6" s="100"/>
      <c r="AE6" s="99" t="s">
        <v>96</v>
      </c>
      <c r="AF6" s="36">
        <f>AF5/4</f>
        <v>2301.5255583781645</v>
      </c>
      <c r="AG6" s="30" t="s">
        <v>99</v>
      </c>
      <c r="AH6" s="30"/>
      <c r="AI6" s="30"/>
      <c r="AJ6" s="104"/>
      <c r="AM6" s="100"/>
      <c r="AN6" s="100"/>
      <c r="AO6" s="104"/>
      <c r="AP6" s="104"/>
      <c r="AQ6" s="100"/>
      <c r="AR6" s="100"/>
      <c r="AT6" s="99" t="s">
        <v>96</v>
      </c>
      <c r="AU6" s="36">
        <f>AU5/4</f>
        <v>3126.0886359766009</v>
      </c>
      <c r="AV6" s="30" t="s">
        <v>99</v>
      </c>
      <c r="AW6" s="30"/>
      <c r="AX6" s="30"/>
      <c r="AY6" s="104"/>
      <c r="BB6" s="100"/>
      <c r="BC6" s="100"/>
      <c r="BD6" s="104"/>
      <c r="BE6" s="104"/>
      <c r="BF6" s="100"/>
      <c r="BG6" s="100"/>
      <c r="BI6" s="99" t="s">
        <v>96</v>
      </c>
      <c r="BJ6" s="36">
        <f>BJ5/4</f>
        <v>5306.7506630981361</v>
      </c>
      <c r="BK6" s="30" t="s">
        <v>99</v>
      </c>
      <c r="BL6" s="30"/>
      <c r="BM6" s="30"/>
      <c r="BN6" s="104"/>
      <c r="BQ6" s="100"/>
      <c r="BR6" s="100"/>
      <c r="BS6" s="104"/>
      <c r="BT6" s="104"/>
      <c r="BU6" s="100"/>
      <c r="BV6" s="100"/>
      <c r="BX6" s="99" t="s">
        <v>96</v>
      </c>
      <c r="BY6" s="36">
        <f>BY5/4</f>
        <v>2835.6693240788836</v>
      </c>
      <c r="BZ6" s="30" t="s">
        <v>99</v>
      </c>
      <c r="CA6" s="30"/>
      <c r="CB6" s="30"/>
      <c r="CC6" s="104"/>
      <c r="CF6" s="100"/>
      <c r="CG6" s="100"/>
      <c r="CH6" s="104"/>
      <c r="CI6" s="104"/>
      <c r="CJ6" s="100"/>
      <c r="CK6" s="100"/>
      <c r="CM6" s="99" t="s">
        <v>96</v>
      </c>
      <c r="CN6" s="36">
        <f>CN5/4</f>
        <v>2590.2747393926825</v>
      </c>
      <c r="CO6" s="30" t="s">
        <v>99</v>
      </c>
      <c r="CP6" s="30"/>
      <c r="CQ6" s="30"/>
      <c r="CR6" s="104"/>
      <c r="CU6" s="100"/>
      <c r="CV6" s="100"/>
      <c r="CW6" s="104"/>
      <c r="CX6" s="104"/>
      <c r="CY6" s="100"/>
      <c r="CZ6" s="100"/>
      <c r="DB6" s="99" t="s">
        <v>96</v>
      </c>
      <c r="DC6" s="36">
        <f>DC5/4</f>
        <v>1984.1818011971345</v>
      </c>
      <c r="DD6" s="30" t="s">
        <v>99</v>
      </c>
      <c r="DE6" s="30"/>
      <c r="DF6" s="30"/>
      <c r="DG6" s="104"/>
      <c r="DJ6" s="100"/>
      <c r="DK6" s="100"/>
      <c r="DL6" s="104"/>
      <c r="DM6" s="104"/>
      <c r="DN6" s="100"/>
      <c r="DO6" s="100"/>
      <c r="DQ6" s="99" t="s">
        <v>96</v>
      </c>
      <c r="DR6" s="36">
        <f>DR5/4</f>
        <v>1357.6032575076358</v>
      </c>
      <c r="DS6" s="30" t="s">
        <v>99</v>
      </c>
      <c r="DT6" s="30"/>
      <c r="DU6" s="30"/>
      <c r="DV6" s="104"/>
      <c r="DY6" s="100"/>
      <c r="DZ6" s="100"/>
      <c r="EA6" s="104"/>
      <c r="EB6" s="104"/>
      <c r="EC6" s="100"/>
      <c r="ED6" s="100"/>
      <c r="EF6" s="99" t="s">
        <v>96</v>
      </c>
      <c r="EG6" s="36">
        <f>EG5/4</f>
        <v>1204.4718483831321</v>
      </c>
      <c r="EH6" s="30" t="s">
        <v>99</v>
      </c>
      <c r="EI6" s="30"/>
      <c r="EJ6" s="30"/>
      <c r="EK6" s="104"/>
      <c r="EN6" s="100"/>
      <c r="EO6" s="100"/>
      <c r="EP6" s="104"/>
      <c r="EQ6" s="104"/>
      <c r="ER6" s="100"/>
      <c r="ES6" s="100"/>
      <c r="EU6" s="99" t="s">
        <v>96</v>
      </c>
      <c r="EV6" s="36">
        <f>EV5/4</f>
        <v>1494.890316005273</v>
      </c>
      <c r="EW6" s="30" t="s">
        <v>99</v>
      </c>
      <c r="EX6" s="30"/>
      <c r="EY6" s="30"/>
      <c r="EZ6" s="104"/>
      <c r="FC6" s="100"/>
      <c r="FD6" s="100"/>
      <c r="FE6" s="104"/>
      <c r="FF6" s="104"/>
      <c r="FG6" s="100"/>
      <c r="FH6" s="100"/>
      <c r="FJ6" s="99" t="s">
        <v>96</v>
      </c>
      <c r="FK6" s="36">
        <f>FK5/4</f>
        <v>1644.3398107414619</v>
      </c>
      <c r="FL6" s="30" t="s">
        <v>99</v>
      </c>
      <c r="FM6" s="30"/>
      <c r="FN6" s="30"/>
      <c r="FO6" s="104"/>
      <c r="FR6" s="100"/>
      <c r="FS6" s="100"/>
      <c r="FT6" s="104"/>
      <c r="FU6" s="104"/>
      <c r="FV6" s="100"/>
      <c r="FW6" s="100"/>
    </row>
    <row r="7" spans="1:179" ht="43.5">
      <c r="A7" s="99"/>
      <c r="B7" s="105" t="s">
        <v>100</v>
      </c>
      <c r="C7" s="105" t="s">
        <v>101</v>
      </c>
      <c r="D7" s="105" t="s">
        <v>102</v>
      </c>
      <c r="E7" s="105" t="s">
        <v>103</v>
      </c>
      <c r="F7" s="105" t="s">
        <v>104</v>
      </c>
      <c r="G7" s="106" t="s">
        <v>104</v>
      </c>
      <c r="H7" s="106" t="s">
        <v>105</v>
      </c>
      <c r="I7" s="106" t="s">
        <v>106</v>
      </c>
      <c r="J7" s="106" t="s">
        <v>106</v>
      </c>
      <c r="K7" s="106" t="s">
        <v>106</v>
      </c>
      <c r="L7" s="106" t="s">
        <v>106</v>
      </c>
      <c r="M7" s="106" t="s">
        <v>107</v>
      </c>
      <c r="N7" s="106" t="s">
        <v>108</v>
      </c>
      <c r="P7" s="99"/>
      <c r="Q7" s="105" t="s">
        <v>100</v>
      </c>
      <c r="R7" s="105" t="s">
        <v>101</v>
      </c>
      <c r="S7" s="105" t="s">
        <v>102</v>
      </c>
      <c r="T7" s="105" t="s">
        <v>103</v>
      </c>
      <c r="U7" s="105" t="s">
        <v>104</v>
      </c>
      <c r="V7" s="106" t="s">
        <v>104</v>
      </c>
      <c r="W7" s="106" t="s">
        <v>105</v>
      </c>
      <c r="X7" s="106" t="s">
        <v>106</v>
      </c>
      <c r="Y7" s="106" t="s">
        <v>106</v>
      </c>
      <c r="Z7" s="106" t="s">
        <v>106</v>
      </c>
      <c r="AA7" s="106" t="s">
        <v>106</v>
      </c>
      <c r="AB7" s="106" t="s">
        <v>107</v>
      </c>
      <c r="AC7" s="106" t="s">
        <v>108</v>
      </c>
      <c r="AE7" s="99"/>
      <c r="AF7" s="105" t="s">
        <v>100</v>
      </c>
      <c r="AG7" s="105" t="s">
        <v>101</v>
      </c>
      <c r="AH7" s="105" t="s">
        <v>102</v>
      </c>
      <c r="AI7" s="105" t="s">
        <v>103</v>
      </c>
      <c r="AJ7" s="105" t="s">
        <v>104</v>
      </c>
      <c r="AK7" s="106" t="s">
        <v>104</v>
      </c>
      <c r="AL7" s="106" t="s">
        <v>105</v>
      </c>
      <c r="AM7" s="106" t="s">
        <v>106</v>
      </c>
      <c r="AN7" s="106" t="s">
        <v>106</v>
      </c>
      <c r="AO7" s="106" t="s">
        <v>106</v>
      </c>
      <c r="AP7" s="106" t="s">
        <v>106</v>
      </c>
      <c r="AQ7" s="106" t="s">
        <v>107</v>
      </c>
      <c r="AR7" s="106" t="s">
        <v>108</v>
      </c>
      <c r="AT7" s="99"/>
      <c r="AU7" s="105" t="s">
        <v>100</v>
      </c>
      <c r="AV7" s="105" t="s">
        <v>101</v>
      </c>
      <c r="AW7" s="105" t="s">
        <v>102</v>
      </c>
      <c r="AX7" s="105" t="s">
        <v>103</v>
      </c>
      <c r="AY7" s="105" t="s">
        <v>104</v>
      </c>
      <c r="AZ7" s="106" t="s">
        <v>104</v>
      </c>
      <c r="BA7" s="106" t="s">
        <v>105</v>
      </c>
      <c r="BB7" s="106" t="s">
        <v>106</v>
      </c>
      <c r="BC7" s="106" t="s">
        <v>106</v>
      </c>
      <c r="BD7" s="106" t="s">
        <v>106</v>
      </c>
      <c r="BE7" s="106" t="s">
        <v>106</v>
      </c>
      <c r="BF7" s="106" t="s">
        <v>107</v>
      </c>
      <c r="BG7" s="106" t="s">
        <v>108</v>
      </c>
      <c r="BI7" s="99"/>
      <c r="BJ7" s="105" t="s">
        <v>100</v>
      </c>
      <c r="BK7" s="105" t="s">
        <v>101</v>
      </c>
      <c r="BL7" s="105" t="s">
        <v>102</v>
      </c>
      <c r="BM7" s="105" t="s">
        <v>103</v>
      </c>
      <c r="BN7" s="105" t="s">
        <v>104</v>
      </c>
      <c r="BO7" s="106" t="s">
        <v>104</v>
      </c>
      <c r="BP7" s="106" t="s">
        <v>105</v>
      </c>
      <c r="BQ7" s="106" t="s">
        <v>106</v>
      </c>
      <c r="BR7" s="106" t="s">
        <v>106</v>
      </c>
      <c r="BS7" s="106" t="s">
        <v>106</v>
      </c>
      <c r="BT7" s="106" t="s">
        <v>106</v>
      </c>
      <c r="BU7" s="106" t="s">
        <v>107</v>
      </c>
      <c r="BV7" s="106" t="s">
        <v>108</v>
      </c>
      <c r="BX7" s="99"/>
      <c r="BY7" s="105" t="s">
        <v>100</v>
      </c>
      <c r="BZ7" s="105" t="s">
        <v>101</v>
      </c>
      <c r="CA7" s="105" t="s">
        <v>102</v>
      </c>
      <c r="CB7" s="105" t="s">
        <v>103</v>
      </c>
      <c r="CC7" s="105" t="s">
        <v>104</v>
      </c>
      <c r="CD7" s="106" t="s">
        <v>104</v>
      </c>
      <c r="CE7" s="106" t="s">
        <v>105</v>
      </c>
      <c r="CF7" s="106" t="s">
        <v>106</v>
      </c>
      <c r="CG7" s="106" t="s">
        <v>106</v>
      </c>
      <c r="CH7" s="106" t="s">
        <v>106</v>
      </c>
      <c r="CI7" s="106" t="s">
        <v>106</v>
      </c>
      <c r="CJ7" s="106" t="s">
        <v>107</v>
      </c>
      <c r="CK7" s="106" t="s">
        <v>108</v>
      </c>
      <c r="CM7" s="99"/>
      <c r="CN7" s="105" t="s">
        <v>100</v>
      </c>
      <c r="CO7" s="105" t="s">
        <v>101</v>
      </c>
      <c r="CP7" s="105" t="s">
        <v>102</v>
      </c>
      <c r="CQ7" s="105" t="s">
        <v>103</v>
      </c>
      <c r="CR7" s="105" t="s">
        <v>104</v>
      </c>
      <c r="CS7" s="106" t="s">
        <v>104</v>
      </c>
      <c r="CT7" s="106" t="s">
        <v>105</v>
      </c>
      <c r="CU7" s="106" t="s">
        <v>106</v>
      </c>
      <c r="CV7" s="106" t="s">
        <v>106</v>
      </c>
      <c r="CW7" s="106" t="s">
        <v>106</v>
      </c>
      <c r="CX7" s="106" t="s">
        <v>106</v>
      </c>
      <c r="CY7" s="106" t="s">
        <v>107</v>
      </c>
      <c r="CZ7" s="106" t="s">
        <v>108</v>
      </c>
      <c r="DB7" s="99"/>
      <c r="DC7" s="105" t="s">
        <v>100</v>
      </c>
      <c r="DD7" s="105" t="s">
        <v>101</v>
      </c>
      <c r="DE7" s="105" t="s">
        <v>102</v>
      </c>
      <c r="DF7" s="105" t="s">
        <v>103</v>
      </c>
      <c r="DG7" s="105" t="s">
        <v>104</v>
      </c>
      <c r="DH7" s="106" t="s">
        <v>104</v>
      </c>
      <c r="DI7" s="106" t="s">
        <v>105</v>
      </c>
      <c r="DJ7" s="106" t="s">
        <v>106</v>
      </c>
      <c r="DK7" s="106" t="s">
        <v>106</v>
      </c>
      <c r="DL7" s="106" t="s">
        <v>106</v>
      </c>
      <c r="DM7" s="106" t="s">
        <v>106</v>
      </c>
      <c r="DN7" s="106" t="s">
        <v>107</v>
      </c>
      <c r="DO7" s="106" t="s">
        <v>108</v>
      </c>
      <c r="DQ7" s="99"/>
      <c r="DR7" s="105" t="s">
        <v>100</v>
      </c>
      <c r="DS7" s="105" t="s">
        <v>101</v>
      </c>
      <c r="DT7" s="105" t="s">
        <v>102</v>
      </c>
      <c r="DU7" s="105" t="s">
        <v>103</v>
      </c>
      <c r="DV7" s="105" t="s">
        <v>104</v>
      </c>
      <c r="DW7" s="106" t="s">
        <v>104</v>
      </c>
      <c r="DX7" s="106" t="s">
        <v>105</v>
      </c>
      <c r="DY7" s="106" t="s">
        <v>106</v>
      </c>
      <c r="DZ7" s="106" t="s">
        <v>106</v>
      </c>
      <c r="EA7" s="106" t="s">
        <v>106</v>
      </c>
      <c r="EB7" s="106" t="s">
        <v>106</v>
      </c>
      <c r="EC7" s="106" t="s">
        <v>107</v>
      </c>
      <c r="ED7" s="106" t="s">
        <v>108</v>
      </c>
      <c r="EF7" s="99"/>
      <c r="EG7" s="105" t="s">
        <v>100</v>
      </c>
      <c r="EH7" s="105" t="s">
        <v>101</v>
      </c>
      <c r="EI7" s="105" t="s">
        <v>102</v>
      </c>
      <c r="EJ7" s="105" t="s">
        <v>103</v>
      </c>
      <c r="EK7" s="105" t="s">
        <v>104</v>
      </c>
      <c r="EL7" s="106" t="s">
        <v>104</v>
      </c>
      <c r="EM7" s="106" t="s">
        <v>105</v>
      </c>
      <c r="EN7" s="106" t="s">
        <v>106</v>
      </c>
      <c r="EO7" s="106" t="s">
        <v>106</v>
      </c>
      <c r="EP7" s="106" t="s">
        <v>106</v>
      </c>
      <c r="EQ7" s="106" t="s">
        <v>106</v>
      </c>
      <c r="ER7" s="106" t="s">
        <v>107</v>
      </c>
      <c r="ES7" s="106" t="s">
        <v>108</v>
      </c>
      <c r="EU7" s="99"/>
      <c r="EV7" s="105" t="s">
        <v>100</v>
      </c>
      <c r="EW7" s="105" t="s">
        <v>101</v>
      </c>
      <c r="EX7" s="105" t="s">
        <v>102</v>
      </c>
      <c r="EY7" s="105" t="s">
        <v>103</v>
      </c>
      <c r="EZ7" s="105" t="s">
        <v>104</v>
      </c>
      <c r="FA7" s="106" t="s">
        <v>104</v>
      </c>
      <c r="FB7" s="106" t="s">
        <v>105</v>
      </c>
      <c r="FC7" s="106" t="s">
        <v>106</v>
      </c>
      <c r="FD7" s="106" t="s">
        <v>106</v>
      </c>
      <c r="FE7" s="106" t="s">
        <v>106</v>
      </c>
      <c r="FF7" s="106" t="s">
        <v>106</v>
      </c>
      <c r="FG7" s="106" t="s">
        <v>107</v>
      </c>
      <c r="FH7" s="106" t="s">
        <v>108</v>
      </c>
      <c r="FJ7" s="99"/>
      <c r="FK7" s="105" t="s">
        <v>100</v>
      </c>
      <c r="FL7" s="105" t="s">
        <v>101</v>
      </c>
      <c r="FM7" s="105" t="s">
        <v>102</v>
      </c>
      <c r="FN7" s="105" t="s">
        <v>103</v>
      </c>
      <c r="FO7" s="105" t="s">
        <v>104</v>
      </c>
      <c r="FP7" s="106" t="s">
        <v>104</v>
      </c>
      <c r="FQ7" s="106" t="s">
        <v>105</v>
      </c>
      <c r="FR7" s="106" t="s">
        <v>106</v>
      </c>
      <c r="FS7" s="106" t="s">
        <v>106</v>
      </c>
      <c r="FT7" s="106" t="s">
        <v>106</v>
      </c>
      <c r="FU7" s="106" t="s">
        <v>106</v>
      </c>
      <c r="FV7" s="106" t="s">
        <v>107</v>
      </c>
      <c r="FW7" s="106" t="s">
        <v>108</v>
      </c>
    </row>
    <row r="8" spans="1:179">
      <c r="A8" s="107" t="s">
        <v>109</v>
      </c>
      <c r="B8" s="108">
        <f>10*60*24*0.7</f>
        <v>10080</v>
      </c>
      <c r="C8" s="24" t="s">
        <v>99</v>
      </c>
      <c r="D8" s="109">
        <f>B6</f>
        <v>3836.763668713987</v>
      </c>
      <c r="E8" s="24">
        <v>1</v>
      </c>
      <c r="F8" s="110">
        <f t="shared" ref="F8:F14" si="0">D8/B8</f>
        <v>0.38063131634067332</v>
      </c>
      <c r="G8" s="110">
        <f>ROUNDUP(F8,0)</f>
        <v>1</v>
      </c>
      <c r="H8" s="110">
        <f>F8/G8</f>
        <v>0.38063131634067332</v>
      </c>
      <c r="I8" s="111">
        <f>H8/0.33</f>
        <v>1.1534282313353736</v>
      </c>
      <c r="J8" s="24">
        <f>ROUNDUP(I8,0)</f>
        <v>2</v>
      </c>
      <c r="K8" s="110">
        <f>F8/0.33</f>
        <v>1.1534282313353736</v>
      </c>
      <c r="L8" s="24">
        <f>ROUNDUP(K8,0)</f>
        <v>2</v>
      </c>
      <c r="M8" s="111">
        <v>2</v>
      </c>
      <c r="N8" s="111">
        <f t="shared" ref="N8:N13" si="1">M8*G8*J8</f>
        <v>4</v>
      </c>
      <c r="P8" s="107" t="s">
        <v>109</v>
      </c>
      <c r="Q8" s="108">
        <f>10*60*24*0.7</f>
        <v>10080</v>
      </c>
      <c r="R8" s="24" t="s">
        <v>99</v>
      </c>
      <c r="S8" s="109">
        <f>Q6</f>
        <v>2657.2048890639639</v>
      </c>
      <c r="T8" s="24">
        <v>1</v>
      </c>
      <c r="U8" s="110">
        <f t="shared" ref="U8:U14" si="2">S8/Q8</f>
        <v>0.26361159613729801</v>
      </c>
      <c r="V8" s="110">
        <f>ROUNDUP(U8,0)</f>
        <v>1</v>
      </c>
      <c r="W8" s="110">
        <f>U8/V8</f>
        <v>0.26361159613729801</v>
      </c>
      <c r="X8" s="111">
        <f t="shared" ref="X8:X14" si="3">W8/0.33</f>
        <v>0.79882301859787275</v>
      </c>
      <c r="Y8" s="24">
        <f>ROUNDUP(X8,0)</f>
        <v>1</v>
      </c>
      <c r="Z8" s="110">
        <f t="shared" ref="Z8:Z13" si="4">U8/0.33</f>
        <v>0.79882301859787275</v>
      </c>
      <c r="AA8" s="24">
        <f>ROUNDUP(Z8,0)</f>
        <v>1</v>
      </c>
      <c r="AB8" s="111">
        <v>2</v>
      </c>
      <c r="AC8" s="111">
        <f t="shared" ref="AC8:AC13" si="5">AB8*V8*Y8</f>
        <v>2</v>
      </c>
      <c r="AE8" s="107" t="s">
        <v>109</v>
      </c>
      <c r="AF8" s="108">
        <f>10*60*24*0.7</f>
        <v>10080</v>
      </c>
      <c r="AG8" s="24" t="s">
        <v>99</v>
      </c>
      <c r="AH8" s="109">
        <f>AF6</f>
        <v>2301.5255583781645</v>
      </c>
      <c r="AI8" s="24">
        <v>1</v>
      </c>
      <c r="AJ8" s="110">
        <f t="shared" ref="AJ8:AJ14" si="6">AH8/AF8</f>
        <v>0.22832594825180202</v>
      </c>
      <c r="AK8" s="110">
        <f>ROUNDUP(AJ8,0)</f>
        <v>1</v>
      </c>
      <c r="AL8" s="110">
        <f>AJ8/AK8</f>
        <v>0.22832594825180202</v>
      </c>
      <c r="AM8" s="111">
        <f t="shared" ref="AM8:AM14" si="7">AL8/0.33</f>
        <v>0.69189681288424854</v>
      </c>
      <c r="AN8" s="24">
        <f>ROUNDUP(AM8,0)</f>
        <v>1</v>
      </c>
      <c r="AO8" s="110">
        <f t="shared" ref="AO8:AO13" si="8">AJ8/0.33</f>
        <v>0.69189681288424854</v>
      </c>
      <c r="AP8" s="24">
        <f>ROUNDUP(AO8,0)</f>
        <v>1</v>
      </c>
      <c r="AQ8" s="111">
        <v>2</v>
      </c>
      <c r="AR8" s="111">
        <f t="shared" ref="AR8:AR13" si="9">AQ8*AK8*AN8</f>
        <v>2</v>
      </c>
      <c r="AT8" s="107" t="s">
        <v>109</v>
      </c>
      <c r="AU8" s="108">
        <f>10*60*24*0.7</f>
        <v>10080</v>
      </c>
      <c r="AV8" s="24" t="s">
        <v>99</v>
      </c>
      <c r="AW8" s="109">
        <f>AU6</f>
        <v>3126.0886359766009</v>
      </c>
      <c r="AX8" s="24">
        <v>1</v>
      </c>
      <c r="AY8" s="110">
        <f t="shared" ref="AY8:AY14" si="10">AW8/AU8</f>
        <v>0.31012784087069456</v>
      </c>
      <c r="AZ8" s="110">
        <f>ROUNDUP(AY8,0)</f>
        <v>1</v>
      </c>
      <c r="BA8" s="110">
        <f>AY8/AZ8</f>
        <v>0.31012784087069456</v>
      </c>
      <c r="BB8" s="111">
        <f t="shared" ref="BB8:BB14" si="11">BA8/0.33</f>
        <v>0.93978133597180169</v>
      </c>
      <c r="BC8" s="24">
        <f>ROUNDUP(BB8,0)</f>
        <v>1</v>
      </c>
      <c r="BD8" s="110">
        <f t="shared" ref="BD8:BD13" si="12">AY8/0.33</f>
        <v>0.93978133597180169</v>
      </c>
      <c r="BE8" s="24">
        <f>ROUNDUP(BD8,0)</f>
        <v>1</v>
      </c>
      <c r="BF8" s="111">
        <v>2</v>
      </c>
      <c r="BG8" s="111">
        <f t="shared" ref="BG8:BG13" si="13">BF8*AZ8*BC8</f>
        <v>2</v>
      </c>
      <c r="BI8" s="107" t="s">
        <v>109</v>
      </c>
      <c r="BJ8" s="108">
        <f>10*60*24*0.7</f>
        <v>10080</v>
      </c>
      <c r="BK8" s="24" t="s">
        <v>99</v>
      </c>
      <c r="BL8" s="109">
        <f>BJ6</f>
        <v>5306.7506630981361</v>
      </c>
      <c r="BM8" s="24">
        <v>1</v>
      </c>
      <c r="BN8" s="110">
        <f t="shared" ref="BN8:BN14" si="14">BL8/BJ8</f>
        <v>0.52646335943433886</v>
      </c>
      <c r="BO8" s="110">
        <f>ROUNDUP(BN8,0)</f>
        <v>1</v>
      </c>
      <c r="BP8" s="110">
        <f>BN8/BO8</f>
        <v>0.52646335943433886</v>
      </c>
      <c r="BQ8" s="111">
        <f t="shared" ref="BQ8:BQ14" si="15">BP8/0.33</f>
        <v>1.5953435134373903</v>
      </c>
      <c r="BR8" s="24">
        <f>ROUNDUP(BQ8,0)</f>
        <v>2</v>
      </c>
      <c r="BS8" s="110">
        <f t="shared" ref="BS8:BS13" si="16">BN8/0.33</f>
        <v>1.5953435134373903</v>
      </c>
      <c r="BT8" s="24">
        <f>ROUNDUP(BS8,0)</f>
        <v>2</v>
      </c>
      <c r="BU8" s="111">
        <v>2</v>
      </c>
      <c r="BV8" s="111">
        <f t="shared" ref="BV8:BV13" si="17">BU8*BO8*BR8</f>
        <v>4</v>
      </c>
      <c r="BX8" s="107" t="s">
        <v>109</v>
      </c>
      <c r="BY8" s="108">
        <f>10*60*24*0.7</f>
        <v>10080</v>
      </c>
      <c r="BZ8" s="24" t="s">
        <v>99</v>
      </c>
      <c r="CA8" s="109">
        <f>BY6</f>
        <v>2835.6693240788836</v>
      </c>
      <c r="CB8" s="24">
        <v>1</v>
      </c>
      <c r="CC8" s="110">
        <f t="shared" ref="CC8:CC14" si="18">CA8/BY8</f>
        <v>0.28131640119830192</v>
      </c>
      <c r="CD8" s="110">
        <f>ROUNDUP(CC8,0)</f>
        <v>1</v>
      </c>
      <c r="CE8" s="110">
        <f>CC8/CD8</f>
        <v>0.28131640119830192</v>
      </c>
      <c r="CF8" s="111">
        <f t="shared" ref="CF8:CF14" si="19">CE8/0.33</f>
        <v>0.85247394302515733</v>
      </c>
      <c r="CG8" s="24">
        <f>ROUNDUP(CF8,0)</f>
        <v>1</v>
      </c>
      <c r="CH8" s="110">
        <f t="shared" ref="CH8:CH13" si="20">CC8/0.33</f>
        <v>0.85247394302515733</v>
      </c>
      <c r="CI8" s="24">
        <f>ROUNDUP(CH8,0)</f>
        <v>1</v>
      </c>
      <c r="CJ8" s="111">
        <v>2</v>
      </c>
      <c r="CK8" s="111">
        <f t="shared" ref="CK8:CK13" si="21">CJ8*CD8*CG8</f>
        <v>2</v>
      </c>
      <c r="CM8" s="107" t="s">
        <v>109</v>
      </c>
      <c r="CN8" s="108">
        <f>10*60*24*0.7</f>
        <v>10080</v>
      </c>
      <c r="CO8" s="24" t="s">
        <v>99</v>
      </c>
      <c r="CP8" s="109">
        <f>CN6</f>
        <v>2590.2747393926825</v>
      </c>
      <c r="CQ8" s="24">
        <v>1</v>
      </c>
      <c r="CR8" s="110">
        <f t="shared" ref="CR8:CR14" si="22">CP8/CN8</f>
        <v>0.25697170033657563</v>
      </c>
      <c r="CS8" s="110">
        <f>ROUNDUP(CR8,0)</f>
        <v>1</v>
      </c>
      <c r="CT8" s="110">
        <f>CR8/CS8</f>
        <v>0.25697170033657563</v>
      </c>
      <c r="CU8" s="111">
        <f t="shared" ref="CU8:CU14" si="23">CT8/0.33</f>
        <v>0.77870212223204727</v>
      </c>
      <c r="CV8" s="24">
        <f>ROUNDUP(CU8,0)</f>
        <v>1</v>
      </c>
      <c r="CW8" s="110">
        <f t="shared" ref="CW8:CW13" si="24">CR8/0.33</f>
        <v>0.77870212223204727</v>
      </c>
      <c r="CX8" s="24">
        <f>ROUNDUP(CW8,0)</f>
        <v>1</v>
      </c>
      <c r="CY8" s="111">
        <v>2</v>
      </c>
      <c r="CZ8" s="111">
        <f t="shared" ref="CZ8:CZ13" si="25">CY8*CS8*CV8</f>
        <v>2</v>
      </c>
      <c r="DB8" s="107" t="s">
        <v>109</v>
      </c>
      <c r="DC8" s="108">
        <f>10*60*24*0.7</f>
        <v>10080</v>
      </c>
      <c r="DD8" s="24" t="s">
        <v>99</v>
      </c>
      <c r="DE8" s="109">
        <f>DC6</f>
        <v>1984.1818011971345</v>
      </c>
      <c r="DF8" s="24">
        <v>1</v>
      </c>
      <c r="DG8" s="110">
        <f t="shared" ref="DG8:DG14" si="26">DE8/DC8</f>
        <v>0.19684343265844589</v>
      </c>
      <c r="DH8" s="110">
        <f>ROUNDUP(DG8,0)</f>
        <v>1</v>
      </c>
      <c r="DI8" s="110">
        <f>DG8/DH8</f>
        <v>0.19684343265844589</v>
      </c>
      <c r="DJ8" s="111">
        <f t="shared" ref="DJ8:DJ14" si="27">DI8/0.33</f>
        <v>0.59649525048013907</v>
      </c>
      <c r="DK8" s="24">
        <f>ROUNDUP(DJ8,0)</f>
        <v>1</v>
      </c>
      <c r="DL8" s="110">
        <f t="shared" ref="DL8:DL13" si="28">DG8/0.33</f>
        <v>0.59649525048013907</v>
      </c>
      <c r="DM8" s="24">
        <f>ROUNDUP(DL8,0)</f>
        <v>1</v>
      </c>
      <c r="DN8" s="111">
        <v>2</v>
      </c>
      <c r="DO8" s="111">
        <f t="shared" ref="DO8:DO13" si="29">DN8*DH8*DK8</f>
        <v>2</v>
      </c>
      <c r="DQ8" s="107" t="s">
        <v>109</v>
      </c>
      <c r="DR8" s="108">
        <f>10*60*24*0.7</f>
        <v>10080</v>
      </c>
      <c r="DS8" s="24" t="s">
        <v>99</v>
      </c>
      <c r="DT8" s="109">
        <f>DR6</f>
        <v>1357.6032575076358</v>
      </c>
      <c r="DU8" s="24">
        <v>1</v>
      </c>
      <c r="DV8" s="110">
        <f t="shared" ref="DV8:DV14" si="30">DT8/DR8</f>
        <v>0.13468286284797976</v>
      </c>
      <c r="DW8" s="110">
        <f>ROUNDUP(DV8,0)</f>
        <v>1</v>
      </c>
      <c r="DX8" s="110">
        <f>DV8/DW8</f>
        <v>0.13468286284797976</v>
      </c>
      <c r="DY8" s="111">
        <f t="shared" ref="DY8:DY14" si="31">DX8/0.33</f>
        <v>0.40812988741812045</v>
      </c>
      <c r="DZ8" s="24">
        <f>ROUNDUP(DY8,0)</f>
        <v>1</v>
      </c>
      <c r="EA8" s="110">
        <f t="shared" ref="EA8:EA13" si="32">DV8/0.33</f>
        <v>0.40812988741812045</v>
      </c>
      <c r="EB8" s="24">
        <f>ROUNDUP(EA8,0)</f>
        <v>1</v>
      </c>
      <c r="EC8" s="111">
        <v>2</v>
      </c>
      <c r="ED8" s="111">
        <f t="shared" ref="ED8:ED13" si="33">EC8*DW8*DZ8</f>
        <v>2</v>
      </c>
      <c r="EF8" s="107" t="s">
        <v>109</v>
      </c>
      <c r="EG8" s="108">
        <f>10*60*24*0.7</f>
        <v>10080</v>
      </c>
      <c r="EH8" s="24" t="s">
        <v>99</v>
      </c>
      <c r="EI8" s="109">
        <f>EG6</f>
        <v>1204.4718483831321</v>
      </c>
      <c r="EJ8" s="24">
        <v>1</v>
      </c>
      <c r="EK8" s="110">
        <f t="shared" ref="EK8:EK14" si="34">EI8/EG8</f>
        <v>0.11949125479991389</v>
      </c>
      <c r="EL8" s="110">
        <f>ROUNDUP(EK8,0)</f>
        <v>1</v>
      </c>
      <c r="EM8" s="110">
        <f>EK8/EL8</f>
        <v>0.11949125479991389</v>
      </c>
      <c r="EN8" s="111">
        <f t="shared" ref="EN8:EN14" si="35">EM8/0.33</f>
        <v>0.36209471151489053</v>
      </c>
      <c r="EO8" s="24">
        <f>ROUNDUP(EN8,0)</f>
        <v>1</v>
      </c>
      <c r="EP8" s="110">
        <f t="shared" ref="EP8:EP13" si="36">EK8/0.33</f>
        <v>0.36209471151489053</v>
      </c>
      <c r="EQ8" s="24">
        <f>ROUNDUP(EP8,0)</f>
        <v>1</v>
      </c>
      <c r="ER8" s="111">
        <v>2</v>
      </c>
      <c r="ES8" s="111">
        <f t="shared" ref="ES8:ES13" si="37">ER8*EL8*EO8</f>
        <v>2</v>
      </c>
      <c r="EU8" s="107" t="s">
        <v>109</v>
      </c>
      <c r="EV8" s="108">
        <f>10*60*24*0.7</f>
        <v>10080</v>
      </c>
      <c r="EW8" s="24" t="s">
        <v>99</v>
      </c>
      <c r="EX8" s="109">
        <f>EV6</f>
        <v>1494.890316005273</v>
      </c>
      <c r="EY8" s="24">
        <v>1</v>
      </c>
      <c r="EZ8" s="110">
        <f t="shared" ref="EZ8:EZ14" si="38">EX8/EV8</f>
        <v>0.14830261071480882</v>
      </c>
      <c r="FA8" s="110">
        <f>ROUNDUP(EZ8,0)</f>
        <v>1</v>
      </c>
      <c r="FB8" s="110">
        <f>EZ8/FA8</f>
        <v>0.14830261071480882</v>
      </c>
      <c r="FC8" s="111">
        <f t="shared" ref="FC8:FC14" si="39">FB8/0.33</f>
        <v>0.4494018506509358</v>
      </c>
      <c r="FD8" s="24">
        <f>ROUNDUP(FC8,0)</f>
        <v>1</v>
      </c>
      <c r="FE8" s="110">
        <f t="shared" ref="FE8:FE13" si="40">EZ8/0.33</f>
        <v>0.4494018506509358</v>
      </c>
      <c r="FF8" s="24">
        <f>ROUNDUP(FE8,0)</f>
        <v>1</v>
      </c>
      <c r="FG8" s="111">
        <v>2</v>
      </c>
      <c r="FH8" s="111">
        <f t="shared" ref="FH8:FH13" si="41">FG8*FA8*FD8</f>
        <v>2</v>
      </c>
      <c r="FJ8" s="107" t="s">
        <v>109</v>
      </c>
      <c r="FK8" s="108">
        <f>10*60*24*0.7</f>
        <v>10080</v>
      </c>
      <c r="FL8" s="24" t="s">
        <v>99</v>
      </c>
      <c r="FM8" s="109">
        <f>FK6</f>
        <v>1644.3398107414619</v>
      </c>
      <c r="FN8" s="24">
        <v>1</v>
      </c>
      <c r="FO8" s="110">
        <f t="shared" ref="FO8:FO14" si="42">FM8/FK8</f>
        <v>0.16312894947831963</v>
      </c>
      <c r="FP8" s="110">
        <f>ROUNDUP(FO8,0)</f>
        <v>1</v>
      </c>
      <c r="FQ8" s="110">
        <f>FO8/FP8</f>
        <v>0.16312894947831963</v>
      </c>
      <c r="FR8" s="111">
        <f t="shared" ref="FR8:FR14" si="43">FQ8/0.33</f>
        <v>0.49433014993430191</v>
      </c>
      <c r="FS8" s="24">
        <f>ROUNDUP(FR8,0)</f>
        <v>1</v>
      </c>
      <c r="FT8" s="110">
        <f t="shared" ref="FT8:FT13" si="44">FO8/0.33</f>
        <v>0.49433014993430191</v>
      </c>
      <c r="FU8" s="24">
        <f>ROUNDUP(FT8,0)</f>
        <v>1</v>
      </c>
      <c r="FV8" s="111">
        <v>2</v>
      </c>
      <c r="FW8" s="111">
        <f t="shared" ref="FW8:FW13" si="45">FV8*FP8*FS8</f>
        <v>2</v>
      </c>
    </row>
    <row r="9" spans="1:179">
      <c r="A9" s="107" t="s">
        <v>110</v>
      </c>
      <c r="B9" s="108">
        <f>(6*60*24*0.82)</f>
        <v>7084.7999999999993</v>
      </c>
      <c r="C9" s="24" t="s">
        <v>99</v>
      </c>
      <c r="D9" s="109">
        <f>(B6*70%*2)+(B6*30%*4)</f>
        <v>9975.5855386563671</v>
      </c>
      <c r="E9" s="24">
        <v>2</v>
      </c>
      <c r="F9" s="110">
        <f t="shared" si="0"/>
        <v>1.408026414105743</v>
      </c>
      <c r="G9" s="110">
        <f>ROUNDUP(F9,0)</f>
        <v>2</v>
      </c>
      <c r="H9" s="110">
        <f t="shared" ref="H9:H14" si="46">F9/G9</f>
        <v>0.70401320705287151</v>
      </c>
      <c r="I9" s="111">
        <f>H9/0.33</f>
        <v>2.1333733547056712</v>
      </c>
      <c r="J9" s="24">
        <f t="shared" ref="J9:J14" si="47">ROUNDUP(I9,0)</f>
        <v>3</v>
      </c>
      <c r="K9" s="110">
        <f>F9/0.33</f>
        <v>4.2667467094113425</v>
      </c>
      <c r="L9" s="24">
        <f t="shared" ref="L9:L15" si="48">ROUNDUP(K9,0)</f>
        <v>5</v>
      </c>
      <c r="M9" s="111">
        <v>2</v>
      </c>
      <c r="N9" s="111">
        <f t="shared" si="1"/>
        <v>12</v>
      </c>
      <c r="P9" s="107" t="s">
        <v>110</v>
      </c>
      <c r="Q9" s="108">
        <f>(6*60*24*0.82)</f>
        <v>7084.7999999999993</v>
      </c>
      <c r="R9" s="24" t="s">
        <v>99</v>
      </c>
      <c r="S9" s="109">
        <f>(Q6*70%*2)+(Q6*30%*4)</f>
        <v>6908.7327115663065</v>
      </c>
      <c r="T9" s="24">
        <v>2</v>
      </c>
      <c r="U9" s="110">
        <f t="shared" si="2"/>
        <v>0.97514858733715948</v>
      </c>
      <c r="V9" s="110">
        <f>ROUNDUP(U9,0)</f>
        <v>1</v>
      </c>
      <c r="W9" s="110">
        <f t="shared" ref="W9:W14" si="49">U9/V9</f>
        <v>0.97514858733715948</v>
      </c>
      <c r="X9" s="111">
        <f t="shared" si="3"/>
        <v>2.9549957192035134</v>
      </c>
      <c r="Y9" s="24">
        <f t="shared" ref="Y9:Y14" si="50">ROUNDUP(X9,0)</f>
        <v>3</v>
      </c>
      <c r="Z9" s="110">
        <f t="shared" si="4"/>
        <v>2.9549957192035134</v>
      </c>
      <c r="AA9" s="24">
        <f t="shared" ref="AA9:AA13" si="51">ROUNDUP(Z9,0)</f>
        <v>3</v>
      </c>
      <c r="AB9" s="111">
        <v>2</v>
      </c>
      <c r="AC9" s="111">
        <f t="shared" si="5"/>
        <v>6</v>
      </c>
      <c r="AE9" s="107" t="s">
        <v>110</v>
      </c>
      <c r="AF9" s="108">
        <f>(6*60*24*0.82)</f>
        <v>7084.7999999999993</v>
      </c>
      <c r="AG9" s="24" t="s">
        <v>99</v>
      </c>
      <c r="AH9" s="109">
        <f>(AF6*70%*2)+(AF6*30%*4)</f>
        <v>5983.966451783228</v>
      </c>
      <c r="AI9" s="24">
        <v>2</v>
      </c>
      <c r="AJ9" s="110">
        <f t="shared" si="6"/>
        <v>0.84462037767943043</v>
      </c>
      <c r="AK9" s="110">
        <f>ROUNDUP(AJ9,0)</f>
        <v>1</v>
      </c>
      <c r="AL9" s="110">
        <f t="shared" ref="AL9:AL14" si="52">AJ9/AK9</f>
        <v>0.84462037767943043</v>
      </c>
      <c r="AM9" s="111">
        <f t="shared" si="7"/>
        <v>2.5594556899376677</v>
      </c>
      <c r="AN9" s="24">
        <f t="shared" ref="AN9:AN14" si="53">ROUNDUP(AM9,0)</f>
        <v>3</v>
      </c>
      <c r="AO9" s="110">
        <f t="shared" si="8"/>
        <v>2.5594556899376677</v>
      </c>
      <c r="AP9" s="24">
        <f t="shared" ref="AP9:AP13" si="54">ROUNDUP(AO9,0)</f>
        <v>3</v>
      </c>
      <c r="AQ9" s="111">
        <v>2</v>
      </c>
      <c r="AR9" s="111">
        <f t="shared" si="9"/>
        <v>6</v>
      </c>
      <c r="AT9" s="107" t="s">
        <v>110</v>
      </c>
      <c r="AU9" s="108">
        <f>(6*60*24*0.82)</f>
        <v>7084.7999999999993</v>
      </c>
      <c r="AV9" s="24" t="s">
        <v>99</v>
      </c>
      <c r="AW9" s="109">
        <f>(AU6*70%*2)+(AU6*30%*4)</f>
        <v>8127.8304535391617</v>
      </c>
      <c r="AX9" s="24">
        <v>2</v>
      </c>
      <c r="AY9" s="110">
        <f t="shared" si="10"/>
        <v>1.1472208747655774</v>
      </c>
      <c r="AZ9" s="110">
        <f>ROUNDUP(AY9,0)</f>
        <v>2</v>
      </c>
      <c r="BA9" s="110">
        <f t="shared" ref="BA9:BA14" si="55">AY9/AZ9</f>
        <v>0.57361043738278872</v>
      </c>
      <c r="BB9" s="111">
        <f t="shared" si="11"/>
        <v>1.7382134466145112</v>
      </c>
      <c r="BC9" s="24">
        <f t="shared" ref="BC9:BC14" si="56">ROUNDUP(BB9,0)</f>
        <v>2</v>
      </c>
      <c r="BD9" s="110">
        <f t="shared" si="12"/>
        <v>3.4764268932290223</v>
      </c>
      <c r="BE9" s="24">
        <f t="shared" ref="BE9:BE13" si="57">ROUNDUP(BD9,0)</f>
        <v>4</v>
      </c>
      <c r="BF9" s="111">
        <v>2</v>
      </c>
      <c r="BG9" s="111">
        <f t="shared" si="13"/>
        <v>8</v>
      </c>
      <c r="BI9" s="107" t="s">
        <v>110</v>
      </c>
      <c r="BJ9" s="108">
        <f>(6*60*24*0.82)</f>
        <v>7084.7999999999993</v>
      </c>
      <c r="BK9" s="24" t="s">
        <v>99</v>
      </c>
      <c r="BL9" s="109">
        <f>(BJ6*70%*2)+(BJ6*30%*4)</f>
        <v>13797.551724055153</v>
      </c>
      <c r="BM9" s="24">
        <v>2</v>
      </c>
      <c r="BN9" s="110">
        <f t="shared" si="14"/>
        <v>1.947486410915644</v>
      </c>
      <c r="BO9" s="110">
        <f>ROUNDUP(BN9,0)</f>
        <v>2</v>
      </c>
      <c r="BP9" s="110">
        <f t="shared" ref="BP9:BP14" si="58">BN9/BO9</f>
        <v>0.973743205457822</v>
      </c>
      <c r="BQ9" s="111">
        <f t="shared" si="15"/>
        <v>2.9507369862358241</v>
      </c>
      <c r="BR9" s="24">
        <f t="shared" ref="BR9:BR14" si="59">ROUNDUP(BQ9,0)</f>
        <v>3</v>
      </c>
      <c r="BS9" s="110">
        <f t="shared" si="16"/>
        <v>5.9014739724716483</v>
      </c>
      <c r="BT9" s="24">
        <f t="shared" ref="BT9:BT13" si="60">ROUNDUP(BS9,0)</f>
        <v>6</v>
      </c>
      <c r="BU9" s="111">
        <v>2</v>
      </c>
      <c r="BV9" s="111">
        <f t="shared" si="17"/>
        <v>12</v>
      </c>
      <c r="BX9" s="107" t="s">
        <v>110</v>
      </c>
      <c r="BY9" s="108">
        <f>(6*60*24*0.82)</f>
        <v>7084.7999999999993</v>
      </c>
      <c r="BZ9" s="24" t="s">
        <v>99</v>
      </c>
      <c r="CA9" s="109">
        <f>(BY6*70%*3)+(BY6*30%*7)</f>
        <v>11909.811161131311</v>
      </c>
      <c r="CB9" s="24">
        <v>2</v>
      </c>
      <c r="CC9" s="110">
        <f t="shared" si="18"/>
        <v>1.6810370315508287</v>
      </c>
      <c r="CD9" s="110">
        <f>ROUNDUP(CC9,0)</f>
        <v>2</v>
      </c>
      <c r="CE9" s="110">
        <f t="shared" ref="CE9:CE14" si="61">CC9/CD9</f>
        <v>0.84051851577541437</v>
      </c>
      <c r="CF9" s="111">
        <f t="shared" si="19"/>
        <v>2.5470258053800432</v>
      </c>
      <c r="CG9" s="24">
        <f t="shared" ref="CG9:CG14" si="62">ROUNDUP(CF9,0)</f>
        <v>3</v>
      </c>
      <c r="CH9" s="110">
        <f t="shared" si="20"/>
        <v>5.0940516107600864</v>
      </c>
      <c r="CI9" s="24">
        <f t="shared" ref="CI9:CI13" si="63">ROUNDUP(CH9,0)</f>
        <v>6</v>
      </c>
      <c r="CJ9" s="111">
        <v>2</v>
      </c>
      <c r="CK9" s="111">
        <f t="shared" si="21"/>
        <v>12</v>
      </c>
      <c r="CM9" s="107" t="s">
        <v>110</v>
      </c>
      <c r="CN9" s="108">
        <f>(6*60*24*0.82)</f>
        <v>7084.7999999999993</v>
      </c>
      <c r="CO9" s="24" t="s">
        <v>99</v>
      </c>
      <c r="CP9" s="109">
        <f>(CN6*70%*2)+(CN6*30%*4)</f>
        <v>6734.714322420974</v>
      </c>
      <c r="CQ9" s="24">
        <v>2</v>
      </c>
      <c r="CR9" s="110">
        <f t="shared" si="22"/>
        <v>0.95058637116375544</v>
      </c>
      <c r="CS9" s="110">
        <f>ROUNDUP(CR9,0)</f>
        <v>1</v>
      </c>
      <c r="CT9" s="110">
        <f t="shared" ref="CT9:CT14" si="64">CR9/CS9</f>
        <v>0.95058637116375544</v>
      </c>
      <c r="CU9" s="111">
        <f t="shared" si="23"/>
        <v>2.8805647611022889</v>
      </c>
      <c r="CV9" s="24">
        <f t="shared" ref="CV9:CV14" si="65">ROUNDUP(CU9,0)</f>
        <v>3</v>
      </c>
      <c r="CW9" s="110">
        <f t="shared" si="24"/>
        <v>2.8805647611022889</v>
      </c>
      <c r="CX9" s="24">
        <f t="shared" ref="CX9:CX13" si="66">ROUNDUP(CW9,0)</f>
        <v>3</v>
      </c>
      <c r="CY9" s="111">
        <v>2</v>
      </c>
      <c r="CZ9" s="111">
        <f t="shared" si="25"/>
        <v>6</v>
      </c>
      <c r="DB9" s="107" t="s">
        <v>110</v>
      </c>
      <c r="DC9" s="108">
        <f>(6*60*24*0.82)</f>
        <v>7084.7999999999993</v>
      </c>
      <c r="DD9" s="24" t="s">
        <v>99</v>
      </c>
      <c r="DE9" s="109">
        <f>(DC6*70%*2)+(DC6*30%*4)</f>
        <v>5158.8726831125496</v>
      </c>
      <c r="DF9" s="24">
        <v>2</v>
      </c>
      <c r="DG9" s="110">
        <f t="shared" si="26"/>
        <v>0.72816066552514536</v>
      </c>
      <c r="DH9" s="110">
        <f>ROUNDUP(DG9,0)</f>
        <v>1</v>
      </c>
      <c r="DI9" s="110">
        <f t="shared" ref="DI9:DI14" si="67">DG9/DH9</f>
        <v>0.72816066552514536</v>
      </c>
      <c r="DJ9" s="111">
        <f t="shared" si="27"/>
        <v>2.2065474712883191</v>
      </c>
      <c r="DK9" s="24">
        <f t="shared" ref="DK9:DK14" si="68">ROUNDUP(DJ9,0)</f>
        <v>3</v>
      </c>
      <c r="DL9" s="110">
        <f t="shared" si="28"/>
        <v>2.2065474712883191</v>
      </c>
      <c r="DM9" s="24">
        <f t="shared" ref="DM9:DM13" si="69">ROUNDUP(DL9,0)</f>
        <v>3</v>
      </c>
      <c r="DN9" s="111">
        <v>2</v>
      </c>
      <c r="DO9" s="111">
        <f t="shared" si="29"/>
        <v>6</v>
      </c>
      <c r="DQ9" s="107" t="s">
        <v>110</v>
      </c>
      <c r="DR9" s="108">
        <f>(6*60*24*0.82)</f>
        <v>7084.7999999999993</v>
      </c>
      <c r="DS9" s="24" t="s">
        <v>99</v>
      </c>
      <c r="DT9" s="109">
        <f>(DR6*70%*2)+(DR6*30%*4)</f>
        <v>3529.7684695198532</v>
      </c>
      <c r="DU9" s="24">
        <v>2</v>
      </c>
      <c r="DV9" s="110">
        <f t="shared" si="30"/>
        <v>0.49821709427504707</v>
      </c>
      <c r="DW9" s="110">
        <f>ROUNDUP(DV9,0)</f>
        <v>1</v>
      </c>
      <c r="DX9" s="110">
        <f t="shared" ref="DX9:DX14" si="70">DV9/DW9</f>
        <v>0.49821709427504707</v>
      </c>
      <c r="DY9" s="111">
        <f t="shared" si="31"/>
        <v>1.5097487705304455</v>
      </c>
      <c r="DZ9" s="24">
        <f t="shared" ref="DZ9:DZ14" si="71">ROUNDUP(DY9,0)</f>
        <v>2</v>
      </c>
      <c r="EA9" s="110">
        <f t="shared" si="32"/>
        <v>1.5097487705304455</v>
      </c>
      <c r="EB9" s="24">
        <f t="shared" ref="EB9:EB13" si="72">ROUNDUP(EA9,0)</f>
        <v>2</v>
      </c>
      <c r="EC9" s="111">
        <v>2</v>
      </c>
      <c r="ED9" s="111">
        <f t="shared" si="33"/>
        <v>4</v>
      </c>
      <c r="EF9" s="107" t="s">
        <v>110</v>
      </c>
      <c r="EG9" s="108">
        <f>(6*60*24*0.82)</f>
        <v>7084.7999999999993</v>
      </c>
      <c r="EH9" s="24" t="s">
        <v>99</v>
      </c>
      <c r="EI9" s="109">
        <f>(EG6*70%*2)+(EG6*30%*4)</f>
        <v>3131.6268057961433</v>
      </c>
      <c r="EJ9" s="24">
        <v>2</v>
      </c>
      <c r="EK9" s="110">
        <f t="shared" si="34"/>
        <v>0.44202049539805549</v>
      </c>
      <c r="EL9" s="110">
        <f>ROUNDUP(EK9,0)</f>
        <v>1</v>
      </c>
      <c r="EM9" s="110">
        <f t="shared" ref="EM9:EM14" si="73">EK9/EL9</f>
        <v>0.44202049539805549</v>
      </c>
      <c r="EN9" s="111">
        <f t="shared" si="35"/>
        <v>1.3394560466607741</v>
      </c>
      <c r="EO9" s="24">
        <f t="shared" ref="EO9:EO14" si="74">ROUNDUP(EN9,0)</f>
        <v>2</v>
      </c>
      <c r="EP9" s="110">
        <f t="shared" si="36"/>
        <v>1.3394560466607741</v>
      </c>
      <c r="EQ9" s="24">
        <f t="shared" ref="EQ9:EQ13" si="75">ROUNDUP(EP9,0)</f>
        <v>2</v>
      </c>
      <c r="ER9" s="111">
        <v>2</v>
      </c>
      <c r="ES9" s="111">
        <f t="shared" si="37"/>
        <v>4</v>
      </c>
      <c r="EU9" s="107" t="s">
        <v>110</v>
      </c>
      <c r="EV9" s="108">
        <f>(6*60*24*0.82)</f>
        <v>7084.7999999999993</v>
      </c>
      <c r="EW9" s="24" t="s">
        <v>99</v>
      </c>
      <c r="EX9" s="109">
        <f>(EV6*70%*2)+(EV6*30%*4)</f>
        <v>3886.7148216137098</v>
      </c>
      <c r="EY9" s="24">
        <v>2</v>
      </c>
      <c r="EZ9" s="110">
        <f t="shared" si="38"/>
        <v>0.54859908841656935</v>
      </c>
      <c r="FA9" s="110">
        <f>ROUNDUP(EZ9,0)</f>
        <v>1</v>
      </c>
      <c r="FB9" s="110">
        <f t="shared" ref="FB9:FB14" si="76">EZ9/FA9</f>
        <v>0.54859908841656935</v>
      </c>
      <c r="FC9" s="111">
        <f t="shared" si="39"/>
        <v>1.66242148005021</v>
      </c>
      <c r="FD9" s="24">
        <f t="shared" ref="FD9:FD14" si="77">ROUNDUP(FC9,0)</f>
        <v>2</v>
      </c>
      <c r="FE9" s="110">
        <f t="shared" si="40"/>
        <v>1.66242148005021</v>
      </c>
      <c r="FF9" s="24">
        <f t="shared" ref="FF9:FF13" si="78">ROUNDUP(FE9,0)</f>
        <v>2</v>
      </c>
      <c r="FG9" s="111">
        <v>2</v>
      </c>
      <c r="FH9" s="111">
        <f t="shared" si="41"/>
        <v>4</v>
      </c>
      <c r="FJ9" s="107" t="s">
        <v>110</v>
      </c>
      <c r="FK9" s="108">
        <f>(6*60*24*0.82)</f>
        <v>7084.7999999999993</v>
      </c>
      <c r="FL9" s="24" t="s">
        <v>99</v>
      </c>
      <c r="FM9" s="109">
        <f>(FK6*70%*2)+(FK6*30%*4)</f>
        <v>4275.2835079278002</v>
      </c>
      <c r="FN9" s="24">
        <v>2</v>
      </c>
      <c r="FO9" s="110">
        <f t="shared" si="42"/>
        <v>0.60344448790760508</v>
      </c>
      <c r="FP9" s="110">
        <f>ROUNDUP(FO9,0)</f>
        <v>1</v>
      </c>
      <c r="FQ9" s="110">
        <f t="shared" ref="FQ9:FQ14" si="79">FO9/FP9</f>
        <v>0.60344448790760508</v>
      </c>
      <c r="FR9" s="111">
        <f t="shared" si="43"/>
        <v>1.8286196603260758</v>
      </c>
      <c r="FS9" s="24">
        <f t="shared" ref="FS9:FS14" si="80">ROUNDUP(FR9,0)</f>
        <v>2</v>
      </c>
      <c r="FT9" s="110">
        <f t="shared" si="44"/>
        <v>1.8286196603260758</v>
      </c>
      <c r="FU9" s="24">
        <f t="shared" ref="FU9:FU13" si="81">ROUNDUP(FT9,0)</f>
        <v>2</v>
      </c>
      <c r="FV9" s="111">
        <v>2</v>
      </c>
      <c r="FW9" s="111">
        <f t="shared" si="45"/>
        <v>4</v>
      </c>
    </row>
    <row r="10" spans="1:179" ht="43.5">
      <c r="A10" s="112" t="s">
        <v>111</v>
      </c>
      <c r="B10" s="113">
        <f>6.5*60*24*0.7</f>
        <v>6552</v>
      </c>
      <c r="C10" s="24" t="s">
        <v>99</v>
      </c>
      <c r="D10" s="109">
        <f>D9*62%</f>
        <v>6184.863033966948</v>
      </c>
      <c r="E10" s="24">
        <v>1</v>
      </c>
      <c r="F10" s="110">
        <f t="shared" si="0"/>
        <v>0.94396566452486996</v>
      </c>
      <c r="G10" s="110">
        <f>ROUNDUP(F10,0)</f>
        <v>1</v>
      </c>
      <c r="H10" s="110">
        <f t="shared" si="46"/>
        <v>0.94396566452486996</v>
      </c>
      <c r="I10" s="111">
        <f>H10/0.33</f>
        <v>2.8605020137117272</v>
      </c>
      <c r="J10" s="24">
        <f t="shared" si="47"/>
        <v>3</v>
      </c>
      <c r="K10" s="110">
        <f>F10/0.33</f>
        <v>2.8605020137117272</v>
      </c>
      <c r="L10" s="24">
        <f t="shared" si="48"/>
        <v>3</v>
      </c>
      <c r="M10" s="111">
        <v>3</v>
      </c>
      <c r="N10" s="111">
        <f t="shared" si="1"/>
        <v>9</v>
      </c>
      <c r="P10" s="112" t="s">
        <v>111</v>
      </c>
      <c r="Q10" s="113">
        <f>6.5*60*24*0.7</f>
        <v>6552</v>
      </c>
      <c r="R10" s="24" t="s">
        <v>99</v>
      </c>
      <c r="S10" s="109">
        <f>S9*62%</f>
        <v>4283.4142811711099</v>
      </c>
      <c r="T10" s="24">
        <v>1</v>
      </c>
      <c r="U10" s="110">
        <f t="shared" si="2"/>
        <v>0.65375675842049907</v>
      </c>
      <c r="V10" s="110">
        <f>ROUNDUP(U10,0)</f>
        <v>1</v>
      </c>
      <c r="W10" s="110">
        <f t="shared" si="49"/>
        <v>0.65375675842049907</v>
      </c>
      <c r="X10" s="111">
        <f t="shared" si="3"/>
        <v>1.9810810861227244</v>
      </c>
      <c r="Y10" s="24">
        <f t="shared" si="50"/>
        <v>2</v>
      </c>
      <c r="Z10" s="110">
        <f t="shared" si="4"/>
        <v>1.9810810861227244</v>
      </c>
      <c r="AA10" s="24">
        <f t="shared" si="51"/>
        <v>2</v>
      </c>
      <c r="AB10" s="111">
        <v>3</v>
      </c>
      <c r="AC10" s="111">
        <f t="shared" si="5"/>
        <v>6</v>
      </c>
      <c r="AE10" s="112" t="s">
        <v>111</v>
      </c>
      <c r="AF10" s="113">
        <f>6.5*60*24*0.7</f>
        <v>6552</v>
      </c>
      <c r="AG10" s="24" t="s">
        <v>99</v>
      </c>
      <c r="AH10" s="109">
        <f>AH9*62%</f>
        <v>3710.0592001056011</v>
      </c>
      <c r="AI10" s="24">
        <v>1</v>
      </c>
      <c r="AJ10" s="110">
        <f t="shared" si="6"/>
        <v>0.56624835166446907</v>
      </c>
      <c r="AK10" s="110">
        <f>ROUNDUP(AJ10,0)</f>
        <v>1</v>
      </c>
      <c r="AL10" s="110">
        <f t="shared" si="52"/>
        <v>0.56624835166446907</v>
      </c>
      <c r="AM10" s="111">
        <f t="shared" si="7"/>
        <v>1.7159040959529366</v>
      </c>
      <c r="AN10" s="24">
        <f t="shared" si="53"/>
        <v>2</v>
      </c>
      <c r="AO10" s="110">
        <f t="shared" si="8"/>
        <v>1.7159040959529366</v>
      </c>
      <c r="AP10" s="24">
        <f t="shared" si="54"/>
        <v>2</v>
      </c>
      <c r="AQ10" s="111">
        <v>3</v>
      </c>
      <c r="AR10" s="111">
        <f t="shared" si="9"/>
        <v>6</v>
      </c>
      <c r="AT10" s="112" t="s">
        <v>111</v>
      </c>
      <c r="AU10" s="113">
        <f>6.5*60*24*0.7</f>
        <v>6552</v>
      </c>
      <c r="AV10" s="24" t="s">
        <v>99</v>
      </c>
      <c r="AW10" s="109">
        <f>AW9*62%</f>
        <v>5039.2548811942806</v>
      </c>
      <c r="AX10" s="24">
        <v>1</v>
      </c>
      <c r="AY10" s="110">
        <f t="shared" si="10"/>
        <v>0.76911704535932246</v>
      </c>
      <c r="AZ10" s="110">
        <f>ROUNDUP(AY10,0)</f>
        <v>1</v>
      </c>
      <c r="BA10" s="110">
        <f t="shared" si="55"/>
        <v>0.76911704535932246</v>
      </c>
      <c r="BB10" s="111">
        <f t="shared" si="11"/>
        <v>2.3306577132100679</v>
      </c>
      <c r="BC10" s="24">
        <f t="shared" si="56"/>
        <v>3</v>
      </c>
      <c r="BD10" s="110">
        <f t="shared" si="12"/>
        <v>2.3306577132100679</v>
      </c>
      <c r="BE10" s="24">
        <f t="shared" si="57"/>
        <v>3</v>
      </c>
      <c r="BF10" s="111">
        <v>3</v>
      </c>
      <c r="BG10" s="111">
        <f t="shared" si="13"/>
        <v>9</v>
      </c>
      <c r="BI10" s="112" t="s">
        <v>111</v>
      </c>
      <c r="BJ10" s="113">
        <f>6.5*60*24*0.7</f>
        <v>6552</v>
      </c>
      <c r="BK10" s="24" t="s">
        <v>99</v>
      </c>
      <c r="BL10" s="109">
        <f>BL9*62%</f>
        <v>8554.4820689141943</v>
      </c>
      <c r="BM10" s="24">
        <v>1</v>
      </c>
      <c r="BN10" s="110">
        <f t="shared" si="14"/>
        <v>1.3056291313971604</v>
      </c>
      <c r="BO10" s="110">
        <f>ROUNDUP(BN10,0)</f>
        <v>2</v>
      </c>
      <c r="BP10" s="110">
        <f t="shared" si="58"/>
        <v>0.65281456569858021</v>
      </c>
      <c r="BQ10" s="111">
        <f t="shared" si="15"/>
        <v>1.9782259566623641</v>
      </c>
      <c r="BR10" s="24">
        <f t="shared" si="59"/>
        <v>2</v>
      </c>
      <c r="BS10" s="110">
        <f t="shared" si="16"/>
        <v>3.9564519133247282</v>
      </c>
      <c r="BT10" s="24">
        <f t="shared" si="60"/>
        <v>4</v>
      </c>
      <c r="BU10" s="111">
        <v>3</v>
      </c>
      <c r="BV10" s="111">
        <f t="shared" si="17"/>
        <v>12</v>
      </c>
      <c r="BX10" s="112" t="s">
        <v>111</v>
      </c>
      <c r="BY10" s="113">
        <f>6.5*60*24*0.7</f>
        <v>6552</v>
      </c>
      <c r="BZ10" s="24" t="s">
        <v>99</v>
      </c>
      <c r="CA10" s="109">
        <f>CA9*62%</f>
        <v>7384.0829199014124</v>
      </c>
      <c r="CB10" s="24">
        <v>1</v>
      </c>
      <c r="CC10" s="110">
        <f t="shared" si="18"/>
        <v>1.1269967826467358</v>
      </c>
      <c r="CD10" s="110">
        <f>ROUNDUP(CC10,0)</f>
        <v>2</v>
      </c>
      <c r="CE10" s="110">
        <f t="shared" si="61"/>
        <v>0.56349839132336788</v>
      </c>
      <c r="CF10" s="111">
        <f t="shared" si="19"/>
        <v>1.7075708827980844</v>
      </c>
      <c r="CG10" s="24">
        <f t="shared" si="62"/>
        <v>2</v>
      </c>
      <c r="CH10" s="110">
        <f t="shared" si="20"/>
        <v>3.4151417655961689</v>
      </c>
      <c r="CI10" s="24">
        <f t="shared" si="63"/>
        <v>4</v>
      </c>
      <c r="CJ10" s="111">
        <v>3</v>
      </c>
      <c r="CK10" s="111">
        <f t="shared" si="21"/>
        <v>12</v>
      </c>
      <c r="CM10" s="112" t="s">
        <v>111</v>
      </c>
      <c r="CN10" s="113">
        <f>6.5*60*24*0.7</f>
        <v>6552</v>
      </c>
      <c r="CO10" s="24" t="s">
        <v>99</v>
      </c>
      <c r="CP10" s="109">
        <f>CP9*62%</f>
        <v>4175.5228799010038</v>
      </c>
      <c r="CQ10" s="24">
        <v>1</v>
      </c>
      <c r="CR10" s="110">
        <f t="shared" si="22"/>
        <v>0.63728981683470753</v>
      </c>
      <c r="CS10" s="110">
        <f>ROUNDUP(CR10,0)</f>
        <v>1</v>
      </c>
      <c r="CT10" s="110">
        <f t="shared" si="64"/>
        <v>0.63728981683470753</v>
      </c>
      <c r="CU10" s="111">
        <f t="shared" si="23"/>
        <v>1.9311812631354772</v>
      </c>
      <c r="CV10" s="24">
        <f t="shared" si="65"/>
        <v>2</v>
      </c>
      <c r="CW10" s="110">
        <f t="shared" si="24"/>
        <v>1.9311812631354772</v>
      </c>
      <c r="CX10" s="24">
        <f t="shared" si="66"/>
        <v>2</v>
      </c>
      <c r="CY10" s="111">
        <v>3</v>
      </c>
      <c r="CZ10" s="111">
        <f t="shared" si="25"/>
        <v>6</v>
      </c>
      <c r="DB10" s="112" t="s">
        <v>111</v>
      </c>
      <c r="DC10" s="113">
        <f>6.5*60*24*0.7</f>
        <v>6552</v>
      </c>
      <c r="DD10" s="24" t="s">
        <v>99</v>
      </c>
      <c r="DE10" s="109">
        <f>DE9*62%</f>
        <v>3198.5010635297808</v>
      </c>
      <c r="DF10" s="24">
        <v>1</v>
      </c>
      <c r="DG10" s="110">
        <f t="shared" si="26"/>
        <v>0.48817171299294582</v>
      </c>
      <c r="DH10" s="110">
        <f>ROUNDUP(DG10,0)</f>
        <v>1</v>
      </c>
      <c r="DI10" s="110">
        <f t="shared" si="67"/>
        <v>0.48817171299294582</v>
      </c>
      <c r="DJ10" s="111">
        <f t="shared" si="27"/>
        <v>1.4793082211907449</v>
      </c>
      <c r="DK10" s="24">
        <f t="shared" si="68"/>
        <v>2</v>
      </c>
      <c r="DL10" s="110">
        <f t="shared" si="28"/>
        <v>1.4793082211907449</v>
      </c>
      <c r="DM10" s="24">
        <f t="shared" si="69"/>
        <v>2</v>
      </c>
      <c r="DN10" s="111">
        <v>3</v>
      </c>
      <c r="DO10" s="111">
        <f t="shared" si="29"/>
        <v>6</v>
      </c>
      <c r="DQ10" s="112" t="s">
        <v>111</v>
      </c>
      <c r="DR10" s="113">
        <f>6.5*60*24*0.7</f>
        <v>6552</v>
      </c>
      <c r="DS10" s="24" t="s">
        <v>99</v>
      </c>
      <c r="DT10" s="109">
        <f>DT9*62%</f>
        <v>2188.4564511023091</v>
      </c>
      <c r="DU10" s="24">
        <v>1</v>
      </c>
      <c r="DV10" s="110">
        <f t="shared" si="30"/>
        <v>0.33401349986298978</v>
      </c>
      <c r="DW10" s="110">
        <f>ROUNDUP(DV10,0)</f>
        <v>1</v>
      </c>
      <c r="DX10" s="110">
        <f t="shared" si="70"/>
        <v>0.33401349986298978</v>
      </c>
      <c r="DY10" s="111">
        <f t="shared" si="31"/>
        <v>1.0121621207969387</v>
      </c>
      <c r="DZ10" s="24">
        <f t="shared" si="71"/>
        <v>2</v>
      </c>
      <c r="EA10" s="110">
        <f t="shared" si="32"/>
        <v>1.0121621207969387</v>
      </c>
      <c r="EB10" s="24">
        <f t="shared" si="72"/>
        <v>2</v>
      </c>
      <c r="EC10" s="111">
        <v>3</v>
      </c>
      <c r="ED10" s="111">
        <f t="shared" si="33"/>
        <v>6</v>
      </c>
      <c r="EF10" s="112" t="s">
        <v>111</v>
      </c>
      <c r="EG10" s="113">
        <f>6.5*60*24*0.7</f>
        <v>6552</v>
      </c>
      <c r="EH10" s="24" t="s">
        <v>99</v>
      </c>
      <c r="EI10" s="109">
        <f>EI9*62%</f>
        <v>1941.6086195936089</v>
      </c>
      <c r="EJ10" s="24">
        <v>1</v>
      </c>
      <c r="EK10" s="110">
        <f t="shared" si="34"/>
        <v>0.29633831190378646</v>
      </c>
      <c r="EL10" s="110">
        <f>ROUNDUP(EK10,0)</f>
        <v>1</v>
      </c>
      <c r="EM10" s="110">
        <f t="shared" si="73"/>
        <v>0.29633831190378646</v>
      </c>
      <c r="EN10" s="111">
        <f t="shared" si="35"/>
        <v>0.89799488455692866</v>
      </c>
      <c r="EO10" s="24">
        <f t="shared" si="74"/>
        <v>1</v>
      </c>
      <c r="EP10" s="110">
        <f t="shared" si="36"/>
        <v>0.89799488455692866</v>
      </c>
      <c r="EQ10" s="24">
        <f t="shared" si="75"/>
        <v>1</v>
      </c>
      <c r="ER10" s="111">
        <v>3</v>
      </c>
      <c r="ES10" s="111">
        <f t="shared" si="37"/>
        <v>3</v>
      </c>
      <c r="EU10" s="112" t="s">
        <v>111</v>
      </c>
      <c r="EV10" s="113">
        <f>6.5*60*24*0.7</f>
        <v>6552</v>
      </c>
      <c r="EW10" s="24" t="s">
        <v>99</v>
      </c>
      <c r="EX10" s="109">
        <f>EX9*62%</f>
        <v>2409.7631894004999</v>
      </c>
      <c r="EY10" s="24">
        <v>1</v>
      </c>
      <c r="EZ10" s="110">
        <f t="shared" si="38"/>
        <v>0.36779047457272585</v>
      </c>
      <c r="FA10" s="110">
        <f>ROUNDUP(EZ10,0)</f>
        <v>1</v>
      </c>
      <c r="FB10" s="110">
        <f t="shared" si="76"/>
        <v>0.36779047457272585</v>
      </c>
      <c r="FC10" s="111">
        <f t="shared" si="39"/>
        <v>1.1145165896143208</v>
      </c>
      <c r="FD10" s="24">
        <f t="shared" si="77"/>
        <v>2</v>
      </c>
      <c r="FE10" s="110">
        <f t="shared" si="40"/>
        <v>1.1145165896143208</v>
      </c>
      <c r="FF10" s="24">
        <f t="shared" si="78"/>
        <v>2</v>
      </c>
      <c r="FG10" s="111">
        <v>3</v>
      </c>
      <c r="FH10" s="111">
        <f t="shared" si="41"/>
        <v>6</v>
      </c>
      <c r="FJ10" s="112" t="s">
        <v>111</v>
      </c>
      <c r="FK10" s="113">
        <f>6.5*60*24*0.7</f>
        <v>6552</v>
      </c>
      <c r="FL10" s="24" t="s">
        <v>99</v>
      </c>
      <c r="FM10" s="109">
        <f>FM9*62%</f>
        <v>2650.6757749152362</v>
      </c>
      <c r="FN10" s="24">
        <v>1</v>
      </c>
      <c r="FO10" s="110">
        <f t="shared" si="42"/>
        <v>0.4045597947062326</v>
      </c>
      <c r="FP10" s="110">
        <f>ROUNDUP(FO10,0)</f>
        <v>1</v>
      </c>
      <c r="FQ10" s="110">
        <f t="shared" si="79"/>
        <v>0.4045597947062326</v>
      </c>
      <c r="FR10" s="111">
        <f t="shared" si="43"/>
        <v>1.2259387718370685</v>
      </c>
      <c r="FS10" s="24">
        <f t="shared" si="80"/>
        <v>2</v>
      </c>
      <c r="FT10" s="110">
        <f t="shared" si="44"/>
        <v>1.2259387718370685</v>
      </c>
      <c r="FU10" s="24">
        <f t="shared" si="81"/>
        <v>2</v>
      </c>
      <c r="FV10" s="111">
        <v>3</v>
      </c>
      <c r="FW10" s="111">
        <f t="shared" si="45"/>
        <v>6</v>
      </c>
    </row>
    <row r="11" spans="1:179" ht="43.5">
      <c r="A11" s="112" t="s">
        <v>112</v>
      </c>
      <c r="B11" s="109">
        <f>((1440*60)/61)*0.7</f>
        <v>991.47540983606541</v>
      </c>
      <c r="C11" s="24" t="s">
        <v>97</v>
      </c>
      <c r="D11" s="109">
        <f>D5*30%</f>
        <v>3336.3162336643368</v>
      </c>
      <c r="E11" s="24">
        <v>2</v>
      </c>
      <c r="F11" s="110">
        <f t="shared" si="0"/>
        <v>3.3650014922871128</v>
      </c>
      <c r="G11" s="110">
        <f t="shared" ref="G11:G13" si="82">ROUNDUP(F11,0)</f>
        <v>4</v>
      </c>
      <c r="H11" s="114">
        <f t="shared" si="46"/>
        <v>0.84125037307177819</v>
      </c>
      <c r="I11" s="111">
        <f>H11/0.34</f>
        <v>2.4742658031522886</v>
      </c>
      <c r="J11" s="24">
        <f t="shared" si="47"/>
        <v>3</v>
      </c>
      <c r="K11" s="110">
        <f>F11/0.34</f>
        <v>9.8970632126091544</v>
      </c>
      <c r="L11" s="24">
        <f t="shared" si="48"/>
        <v>10</v>
      </c>
      <c r="M11" s="111">
        <v>6</v>
      </c>
      <c r="N11" s="111">
        <f t="shared" si="1"/>
        <v>72</v>
      </c>
      <c r="P11" s="112" t="s">
        <v>112</v>
      </c>
      <c r="Q11" s="109">
        <f>((1440*60)/61)*0.7</f>
        <v>991.47540983606541</v>
      </c>
      <c r="R11" s="24" t="s">
        <v>97</v>
      </c>
      <c r="S11" s="109">
        <f>S5*30%</f>
        <v>2310.6129470121427</v>
      </c>
      <c r="T11" s="24">
        <v>2</v>
      </c>
      <c r="U11" s="110">
        <f t="shared" si="2"/>
        <v>2.3304793281703162</v>
      </c>
      <c r="V11" s="110">
        <f t="shared" ref="V11:V13" si="83">ROUNDUP(U11,0)</f>
        <v>3</v>
      </c>
      <c r="W11" s="114">
        <f t="shared" si="49"/>
        <v>0.7768264427234387</v>
      </c>
      <c r="X11" s="111">
        <f t="shared" si="3"/>
        <v>2.3540195234043595</v>
      </c>
      <c r="Y11" s="24">
        <f t="shared" si="50"/>
        <v>3</v>
      </c>
      <c r="Z11" s="110">
        <f t="shared" si="4"/>
        <v>7.0620585702130789</v>
      </c>
      <c r="AA11" s="24">
        <f t="shared" si="51"/>
        <v>8</v>
      </c>
      <c r="AB11" s="111">
        <v>6</v>
      </c>
      <c r="AC11" s="111">
        <f t="shared" si="5"/>
        <v>54</v>
      </c>
      <c r="AE11" s="112" t="s">
        <v>112</v>
      </c>
      <c r="AF11" s="109">
        <f>((1440*60)/61)*0.7</f>
        <v>991.47540983606541</v>
      </c>
      <c r="AG11" s="24" t="s">
        <v>97</v>
      </c>
      <c r="AH11" s="109">
        <f>AH5*30%</f>
        <v>2001.3265725027518</v>
      </c>
      <c r="AI11" s="24">
        <v>2</v>
      </c>
      <c r="AJ11" s="110">
        <f t="shared" si="6"/>
        <v>2.0185337454144823</v>
      </c>
      <c r="AK11" s="110">
        <f t="shared" ref="AK11:AK13" si="84">ROUNDUP(AJ11,0)</f>
        <v>3</v>
      </c>
      <c r="AL11" s="114">
        <f t="shared" si="52"/>
        <v>0.67284458180482742</v>
      </c>
      <c r="AM11" s="111">
        <f t="shared" si="7"/>
        <v>2.0389229751661437</v>
      </c>
      <c r="AN11" s="24">
        <f t="shared" si="53"/>
        <v>3</v>
      </c>
      <c r="AO11" s="110">
        <f t="shared" si="8"/>
        <v>6.1167689254984312</v>
      </c>
      <c r="AP11" s="24">
        <f t="shared" si="54"/>
        <v>7</v>
      </c>
      <c r="AQ11" s="111">
        <v>6</v>
      </c>
      <c r="AR11" s="111">
        <f t="shared" si="9"/>
        <v>54</v>
      </c>
      <c r="AT11" s="112" t="s">
        <v>112</v>
      </c>
      <c r="AU11" s="109">
        <f>((1440*60)/61)*0.7</f>
        <v>991.47540983606541</v>
      </c>
      <c r="AV11" s="24" t="s">
        <v>97</v>
      </c>
      <c r="AW11" s="109">
        <f>AW5*30%</f>
        <v>2718.3379443274794</v>
      </c>
      <c r="AX11" s="24">
        <v>2</v>
      </c>
      <c r="AY11" s="110">
        <f t="shared" si="10"/>
        <v>2.7417098975525178</v>
      </c>
      <c r="AZ11" s="110">
        <f t="shared" ref="AZ11:AZ13" si="85">ROUNDUP(AY11,0)</f>
        <v>3</v>
      </c>
      <c r="BA11" s="114">
        <f t="shared" si="55"/>
        <v>0.91390329918417257</v>
      </c>
      <c r="BB11" s="111">
        <f t="shared" si="11"/>
        <v>2.7694039369217349</v>
      </c>
      <c r="BC11" s="24">
        <f t="shared" si="56"/>
        <v>3</v>
      </c>
      <c r="BD11" s="110">
        <f t="shared" si="12"/>
        <v>8.3082118107652043</v>
      </c>
      <c r="BE11" s="24">
        <f t="shared" si="57"/>
        <v>9</v>
      </c>
      <c r="BF11" s="111">
        <v>6</v>
      </c>
      <c r="BG11" s="111">
        <f t="shared" si="13"/>
        <v>54</v>
      </c>
      <c r="BI11" s="112" t="s">
        <v>112</v>
      </c>
      <c r="BJ11" s="109">
        <f>((1440*60)/61)*0.7</f>
        <v>991.47540983606541</v>
      </c>
      <c r="BK11" s="24" t="s">
        <v>97</v>
      </c>
      <c r="BL11" s="109">
        <f>BL5*30%</f>
        <v>4614.5657939983794</v>
      </c>
      <c r="BM11" s="24">
        <v>2</v>
      </c>
      <c r="BN11" s="110">
        <f t="shared" si="14"/>
        <v>4.6542412935499531</v>
      </c>
      <c r="BO11" s="110">
        <f t="shared" ref="BO11:BO13" si="86">ROUNDUP(BN11,0)</f>
        <v>5</v>
      </c>
      <c r="BP11" s="114">
        <f t="shared" si="58"/>
        <v>0.93084825870999066</v>
      </c>
      <c r="BQ11" s="111">
        <f t="shared" si="15"/>
        <v>2.8207522991211835</v>
      </c>
      <c r="BR11" s="24">
        <f t="shared" si="59"/>
        <v>3</v>
      </c>
      <c r="BS11" s="110">
        <f t="shared" si="16"/>
        <v>14.103761495605918</v>
      </c>
      <c r="BT11" s="24">
        <f t="shared" si="60"/>
        <v>15</v>
      </c>
      <c r="BU11" s="111">
        <v>6</v>
      </c>
      <c r="BV11" s="111">
        <f t="shared" si="17"/>
        <v>90</v>
      </c>
      <c r="BX11" s="112" t="s">
        <v>112</v>
      </c>
      <c r="BY11" s="109">
        <f>((1440*60)/61)*0.7</f>
        <v>991.47540983606541</v>
      </c>
      <c r="BZ11" s="24" t="s">
        <v>97</v>
      </c>
      <c r="CA11" s="109">
        <f>CA5*30%</f>
        <v>2465.7994122425075</v>
      </c>
      <c r="CB11" s="24">
        <v>2</v>
      </c>
      <c r="CC11" s="110">
        <f t="shared" si="18"/>
        <v>2.4870000685646989</v>
      </c>
      <c r="CD11" s="110">
        <f t="shared" ref="CD11:CD13" si="87">ROUNDUP(CC11,0)</f>
        <v>3</v>
      </c>
      <c r="CE11" s="114">
        <f t="shared" si="61"/>
        <v>0.8290000228548996</v>
      </c>
      <c r="CF11" s="111">
        <f t="shared" si="19"/>
        <v>2.5121212813784837</v>
      </c>
      <c r="CG11" s="24">
        <f t="shared" si="62"/>
        <v>3</v>
      </c>
      <c r="CH11" s="110">
        <f t="shared" si="20"/>
        <v>7.536363844135451</v>
      </c>
      <c r="CI11" s="24">
        <f t="shared" si="63"/>
        <v>8</v>
      </c>
      <c r="CJ11" s="111">
        <v>6</v>
      </c>
      <c r="CK11" s="111">
        <f t="shared" si="21"/>
        <v>54</v>
      </c>
      <c r="CM11" s="112" t="s">
        <v>112</v>
      </c>
      <c r="CN11" s="109">
        <f>((1440*60)/61)*0.7</f>
        <v>991.47540983606541</v>
      </c>
      <c r="CO11" s="24" t="s">
        <v>97</v>
      </c>
      <c r="CP11" s="109">
        <f>CP5*30%</f>
        <v>2252.4128168632024</v>
      </c>
      <c r="CQ11" s="24">
        <v>2</v>
      </c>
      <c r="CR11" s="110">
        <f t="shared" si="22"/>
        <v>2.2717788000769739</v>
      </c>
      <c r="CS11" s="110">
        <f t="shared" ref="CS11:CS13" si="88">ROUNDUP(CR11,0)</f>
        <v>3</v>
      </c>
      <c r="CT11" s="114">
        <f t="shared" si="64"/>
        <v>0.75725960002565795</v>
      </c>
      <c r="CU11" s="111">
        <f t="shared" si="23"/>
        <v>2.294726060683812</v>
      </c>
      <c r="CV11" s="24">
        <f t="shared" si="65"/>
        <v>3</v>
      </c>
      <c r="CW11" s="110">
        <f t="shared" si="24"/>
        <v>6.8841781820514356</v>
      </c>
      <c r="CX11" s="24">
        <f t="shared" si="66"/>
        <v>7</v>
      </c>
      <c r="CY11" s="111">
        <v>6</v>
      </c>
      <c r="CZ11" s="111">
        <f t="shared" si="25"/>
        <v>54</v>
      </c>
      <c r="DB11" s="112" t="s">
        <v>112</v>
      </c>
      <c r="DC11" s="109">
        <f>((1440*60)/61)*0.7</f>
        <v>991.47540983606541</v>
      </c>
      <c r="DD11" s="24" t="s">
        <v>97</v>
      </c>
      <c r="DE11" s="109">
        <f>DE5*30%</f>
        <v>1725.3754793018561</v>
      </c>
      <c r="DF11" s="24">
        <v>2</v>
      </c>
      <c r="DG11" s="110">
        <f t="shared" si="26"/>
        <v>1.7402100568355363</v>
      </c>
      <c r="DH11" s="110">
        <f t="shared" ref="DH11:DH13" si="89">ROUNDUP(DG11,0)</f>
        <v>2</v>
      </c>
      <c r="DI11" s="114">
        <f t="shared" si="67"/>
        <v>0.87010502841776816</v>
      </c>
      <c r="DJ11" s="111">
        <f t="shared" si="27"/>
        <v>2.636681904296267</v>
      </c>
      <c r="DK11" s="24">
        <f t="shared" si="68"/>
        <v>3</v>
      </c>
      <c r="DL11" s="110">
        <f t="shared" si="28"/>
        <v>5.2733638085925341</v>
      </c>
      <c r="DM11" s="24">
        <f t="shared" si="69"/>
        <v>6</v>
      </c>
      <c r="DN11" s="111">
        <v>6</v>
      </c>
      <c r="DO11" s="111">
        <f t="shared" si="29"/>
        <v>36</v>
      </c>
      <c r="DQ11" s="112" t="s">
        <v>112</v>
      </c>
      <c r="DR11" s="109">
        <f>((1440*60)/61)*0.7</f>
        <v>991.47540983606541</v>
      </c>
      <c r="DS11" s="24" t="s">
        <v>97</v>
      </c>
      <c r="DT11" s="109">
        <f>DT5*30%</f>
        <v>1180.5245717457703</v>
      </c>
      <c r="DU11" s="24">
        <v>2</v>
      </c>
      <c r="DV11" s="110">
        <f t="shared" si="30"/>
        <v>1.190674584598082</v>
      </c>
      <c r="DW11" s="110">
        <f t="shared" ref="DW11:DW13" si="90">ROUNDUP(DV11,0)</f>
        <v>2</v>
      </c>
      <c r="DX11" s="114">
        <f t="shared" si="70"/>
        <v>0.59533729229904098</v>
      </c>
      <c r="DY11" s="111">
        <f t="shared" si="31"/>
        <v>1.8040524009061847</v>
      </c>
      <c r="DZ11" s="24">
        <f t="shared" si="71"/>
        <v>2</v>
      </c>
      <c r="EA11" s="110">
        <f t="shared" si="32"/>
        <v>3.6081048018123694</v>
      </c>
      <c r="EB11" s="24">
        <f t="shared" si="72"/>
        <v>4</v>
      </c>
      <c r="EC11" s="111">
        <v>6</v>
      </c>
      <c r="ED11" s="111">
        <f t="shared" si="33"/>
        <v>24</v>
      </c>
      <c r="EF11" s="112" t="s">
        <v>112</v>
      </c>
      <c r="EG11" s="109">
        <f>((1440*60)/61)*0.7</f>
        <v>991.47540983606541</v>
      </c>
      <c r="EH11" s="24" t="s">
        <v>97</v>
      </c>
      <c r="EI11" s="109">
        <f>EI5*30%</f>
        <v>1047.3668246809846</v>
      </c>
      <c r="EJ11" s="24">
        <v>2</v>
      </c>
      <c r="EK11" s="110">
        <f t="shared" si="34"/>
        <v>1.0563719627238768</v>
      </c>
      <c r="EL11" s="110">
        <f t="shared" ref="EL11:EL13" si="91">ROUNDUP(EK11,0)</f>
        <v>2</v>
      </c>
      <c r="EM11" s="114">
        <f t="shared" si="73"/>
        <v>0.52818598136193839</v>
      </c>
      <c r="EN11" s="111">
        <f t="shared" si="35"/>
        <v>1.6005635798846618</v>
      </c>
      <c r="EO11" s="24">
        <f t="shared" si="74"/>
        <v>2</v>
      </c>
      <c r="EP11" s="110">
        <f t="shared" si="36"/>
        <v>3.2011271597693236</v>
      </c>
      <c r="EQ11" s="24">
        <f t="shared" si="75"/>
        <v>4</v>
      </c>
      <c r="ER11" s="111">
        <v>6</v>
      </c>
      <c r="ES11" s="111">
        <f t="shared" si="37"/>
        <v>24</v>
      </c>
      <c r="EU11" s="112" t="s">
        <v>112</v>
      </c>
      <c r="EV11" s="109">
        <f>((1440*60)/61)*0.7</f>
        <v>991.47540983606541</v>
      </c>
      <c r="EW11" s="24" t="s">
        <v>97</v>
      </c>
      <c r="EX11" s="109">
        <f>EX5*30%</f>
        <v>1299.9046226132809</v>
      </c>
      <c r="EY11" s="24">
        <v>2</v>
      </c>
      <c r="EZ11" s="110">
        <f t="shared" si="38"/>
        <v>1.3110810512468609</v>
      </c>
      <c r="FA11" s="110">
        <f t="shared" ref="FA11:FA13" si="92">ROUNDUP(EZ11,0)</f>
        <v>2</v>
      </c>
      <c r="FB11" s="114">
        <f t="shared" si="76"/>
        <v>0.65554052562343046</v>
      </c>
      <c r="FC11" s="111">
        <f t="shared" si="39"/>
        <v>1.9864864412831225</v>
      </c>
      <c r="FD11" s="24">
        <f t="shared" si="77"/>
        <v>2</v>
      </c>
      <c r="FE11" s="110">
        <f t="shared" si="40"/>
        <v>3.9729728825662449</v>
      </c>
      <c r="FF11" s="24">
        <f t="shared" si="78"/>
        <v>4</v>
      </c>
      <c r="FG11" s="111">
        <v>6</v>
      </c>
      <c r="FH11" s="111">
        <f t="shared" si="41"/>
        <v>24</v>
      </c>
      <c r="FJ11" s="112" t="s">
        <v>112</v>
      </c>
      <c r="FK11" s="109">
        <f>((1440*60)/61)*0.7</f>
        <v>991.47540983606541</v>
      </c>
      <c r="FL11" s="24" t="s">
        <v>97</v>
      </c>
      <c r="FM11" s="109">
        <f>FM5*30%</f>
        <v>1429.8607049925756</v>
      </c>
      <c r="FN11" s="24">
        <v>2</v>
      </c>
      <c r="FO11" s="110">
        <f t="shared" si="42"/>
        <v>1.4421544808952897</v>
      </c>
      <c r="FP11" s="110">
        <f t="shared" ref="FP11:FP13" si="93">ROUNDUP(FO11,0)</f>
        <v>2</v>
      </c>
      <c r="FQ11" s="114">
        <f t="shared" si="79"/>
        <v>0.72107724044764487</v>
      </c>
      <c r="FR11" s="111">
        <f t="shared" si="43"/>
        <v>2.1850825468110449</v>
      </c>
      <c r="FS11" s="24">
        <f t="shared" si="80"/>
        <v>3</v>
      </c>
      <c r="FT11" s="110">
        <f t="shared" si="44"/>
        <v>4.3701650936220897</v>
      </c>
      <c r="FU11" s="24">
        <f t="shared" si="81"/>
        <v>5</v>
      </c>
      <c r="FV11" s="111">
        <v>6</v>
      </c>
      <c r="FW11" s="111">
        <f t="shared" si="45"/>
        <v>36</v>
      </c>
    </row>
    <row r="12" spans="1:179">
      <c r="A12" s="107" t="s">
        <v>113</v>
      </c>
      <c r="B12" s="109">
        <v>600</v>
      </c>
      <c r="C12" s="24" t="s">
        <v>97</v>
      </c>
      <c r="D12" s="109">
        <f>D5</f>
        <v>11121.054112214457</v>
      </c>
      <c r="E12" s="24">
        <v>8</v>
      </c>
      <c r="F12" s="110">
        <f t="shared" si="0"/>
        <v>18.535090187024096</v>
      </c>
      <c r="G12" s="110">
        <f t="shared" si="82"/>
        <v>19</v>
      </c>
      <c r="H12" s="110">
        <f t="shared" si="46"/>
        <v>0.97553106247495247</v>
      </c>
      <c r="I12" s="111">
        <f>H12/0.33</f>
        <v>2.9561547347725829</v>
      </c>
      <c r="J12" s="24">
        <f t="shared" si="47"/>
        <v>3</v>
      </c>
      <c r="K12" s="110">
        <f>F12/0.33</f>
        <v>56.166939960679073</v>
      </c>
      <c r="L12" s="24">
        <f t="shared" si="48"/>
        <v>57</v>
      </c>
      <c r="M12" s="115">
        <v>1.5</v>
      </c>
      <c r="N12" s="111">
        <f t="shared" si="1"/>
        <v>85.5</v>
      </c>
      <c r="P12" s="107" t="s">
        <v>113</v>
      </c>
      <c r="Q12" s="109">
        <v>600</v>
      </c>
      <c r="R12" s="24" t="s">
        <v>97</v>
      </c>
      <c r="S12" s="109">
        <f>S5</f>
        <v>7702.0431567071428</v>
      </c>
      <c r="T12" s="24">
        <v>8</v>
      </c>
      <c r="U12" s="110">
        <f t="shared" si="2"/>
        <v>12.836738594511905</v>
      </c>
      <c r="V12" s="110">
        <f t="shared" si="83"/>
        <v>13</v>
      </c>
      <c r="W12" s="110">
        <f t="shared" si="49"/>
        <v>0.98744143034706966</v>
      </c>
      <c r="X12" s="111">
        <f t="shared" si="3"/>
        <v>2.9922467586274837</v>
      </c>
      <c r="Y12" s="24">
        <f t="shared" si="50"/>
        <v>3</v>
      </c>
      <c r="Z12" s="110">
        <f t="shared" si="4"/>
        <v>38.899207862157283</v>
      </c>
      <c r="AA12" s="24">
        <f t="shared" si="51"/>
        <v>39</v>
      </c>
      <c r="AB12" s="115">
        <v>1</v>
      </c>
      <c r="AC12" s="111">
        <f t="shared" si="5"/>
        <v>39</v>
      </c>
      <c r="AE12" s="107" t="s">
        <v>113</v>
      </c>
      <c r="AF12" s="109">
        <v>600</v>
      </c>
      <c r="AG12" s="24" t="s">
        <v>97</v>
      </c>
      <c r="AH12" s="109">
        <f>AH5</f>
        <v>6671.0885750091729</v>
      </c>
      <c r="AI12" s="24">
        <v>8</v>
      </c>
      <c r="AJ12" s="110">
        <f t="shared" si="6"/>
        <v>11.118480958348622</v>
      </c>
      <c r="AK12" s="110">
        <f t="shared" si="84"/>
        <v>12</v>
      </c>
      <c r="AL12" s="110">
        <f t="shared" si="52"/>
        <v>0.92654007986238518</v>
      </c>
      <c r="AM12" s="111">
        <f t="shared" si="7"/>
        <v>2.8076972117041974</v>
      </c>
      <c r="AN12" s="24">
        <f t="shared" si="53"/>
        <v>3</v>
      </c>
      <c r="AO12" s="110">
        <f t="shared" si="8"/>
        <v>33.692366540450365</v>
      </c>
      <c r="AP12" s="24">
        <f t="shared" si="54"/>
        <v>34</v>
      </c>
      <c r="AQ12" s="115">
        <v>1</v>
      </c>
      <c r="AR12" s="111">
        <f t="shared" si="9"/>
        <v>36</v>
      </c>
      <c r="AT12" s="107" t="s">
        <v>113</v>
      </c>
      <c r="AU12" s="109">
        <v>600</v>
      </c>
      <c r="AV12" s="24" t="s">
        <v>97</v>
      </c>
      <c r="AW12" s="109">
        <f>AW5</f>
        <v>9061.1264810915982</v>
      </c>
      <c r="AX12" s="24">
        <v>8</v>
      </c>
      <c r="AY12" s="110">
        <f t="shared" si="10"/>
        <v>15.101877468485997</v>
      </c>
      <c r="AZ12" s="110">
        <f t="shared" si="85"/>
        <v>16</v>
      </c>
      <c r="BA12" s="110">
        <f t="shared" si="55"/>
        <v>0.94386734178037479</v>
      </c>
      <c r="BB12" s="111">
        <f t="shared" si="11"/>
        <v>2.8602040660011356</v>
      </c>
      <c r="BC12" s="24">
        <f t="shared" si="56"/>
        <v>3</v>
      </c>
      <c r="BD12" s="110">
        <f t="shared" si="12"/>
        <v>45.76326505601817</v>
      </c>
      <c r="BE12" s="24">
        <f t="shared" si="57"/>
        <v>46</v>
      </c>
      <c r="BF12" s="115">
        <v>1</v>
      </c>
      <c r="BG12" s="111">
        <f t="shared" si="13"/>
        <v>48</v>
      </c>
      <c r="BI12" s="107" t="s">
        <v>113</v>
      </c>
      <c r="BJ12" s="109">
        <v>600</v>
      </c>
      <c r="BK12" s="24" t="s">
        <v>97</v>
      </c>
      <c r="BL12" s="109">
        <f>BL5</f>
        <v>15381.885979994599</v>
      </c>
      <c r="BM12" s="24">
        <v>8</v>
      </c>
      <c r="BN12" s="110">
        <f t="shared" si="14"/>
        <v>25.636476633324332</v>
      </c>
      <c r="BO12" s="110">
        <f t="shared" si="86"/>
        <v>26</v>
      </c>
      <c r="BP12" s="110">
        <f t="shared" si="58"/>
        <v>0.98601833205093581</v>
      </c>
      <c r="BQ12" s="111">
        <f t="shared" si="15"/>
        <v>2.98793433954829</v>
      </c>
      <c r="BR12" s="24">
        <f t="shared" si="59"/>
        <v>3</v>
      </c>
      <c r="BS12" s="110">
        <f t="shared" si="16"/>
        <v>77.686292828255546</v>
      </c>
      <c r="BT12" s="24">
        <f t="shared" si="60"/>
        <v>78</v>
      </c>
      <c r="BU12" s="115">
        <v>1</v>
      </c>
      <c r="BV12" s="111">
        <f t="shared" si="17"/>
        <v>78</v>
      </c>
      <c r="BX12" s="107" t="s">
        <v>113</v>
      </c>
      <c r="BY12" s="109">
        <v>600</v>
      </c>
      <c r="BZ12" s="24" t="s">
        <v>97</v>
      </c>
      <c r="CA12" s="109">
        <f>CA5</f>
        <v>8219.3313741416914</v>
      </c>
      <c r="CB12" s="24">
        <v>8</v>
      </c>
      <c r="CC12" s="110">
        <f t="shared" si="18"/>
        <v>13.698885623569486</v>
      </c>
      <c r="CD12" s="110">
        <f t="shared" si="87"/>
        <v>14</v>
      </c>
      <c r="CE12" s="110">
        <f t="shared" si="61"/>
        <v>0.97849183025496334</v>
      </c>
      <c r="CF12" s="111">
        <f t="shared" si="19"/>
        <v>2.9651267583483736</v>
      </c>
      <c r="CG12" s="24">
        <f t="shared" si="62"/>
        <v>3</v>
      </c>
      <c r="CH12" s="110">
        <f t="shared" si="20"/>
        <v>41.511774616877233</v>
      </c>
      <c r="CI12" s="24">
        <f t="shared" si="63"/>
        <v>42</v>
      </c>
      <c r="CJ12" s="115">
        <v>1.5</v>
      </c>
      <c r="CK12" s="111">
        <f t="shared" si="21"/>
        <v>63</v>
      </c>
      <c r="CM12" s="107" t="s">
        <v>113</v>
      </c>
      <c r="CN12" s="109">
        <v>600</v>
      </c>
      <c r="CO12" s="24" t="s">
        <v>97</v>
      </c>
      <c r="CP12" s="109">
        <f>CP5</f>
        <v>7508.0427228773415</v>
      </c>
      <c r="CQ12" s="24">
        <v>8</v>
      </c>
      <c r="CR12" s="110">
        <f t="shared" si="22"/>
        <v>12.513404538128903</v>
      </c>
      <c r="CS12" s="110">
        <f t="shared" si="88"/>
        <v>13</v>
      </c>
      <c r="CT12" s="110">
        <f t="shared" si="64"/>
        <v>0.96256957985606939</v>
      </c>
      <c r="CU12" s="111">
        <f t="shared" si="23"/>
        <v>2.9168775147153618</v>
      </c>
      <c r="CV12" s="24">
        <f t="shared" si="65"/>
        <v>3</v>
      </c>
      <c r="CW12" s="110">
        <f t="shared" si="24"/>
        <v>37.919407691299703</v>
      </c>
      <c r="CX12" s="24">
        <f t="shared" si="66"/>
        <v>38</v>
      </c>
      <c r="CY12" s="115">
        <v>1.5</v>
      </c>
      <c r="CZ12" s="111">
        <f t="shared" si="25"/>
        <v>58.5</v>
      </c>
      <c r="DB12" s="107" t="s">
        <v>113</v>
      </c>
      <c r="DC12" s="109">
        <v>600</v>
      </c>
      <c r="DD12" s="24" t="s">
        <v>97</v>
      </c>
      <c r="DE12" s="109">
        <f>DE5</f>
        <v>5751.2515976728537</v>
      </c>
      <c r="DF12" s="24">
        <v>8</v>
      </c>
      <c r="DG12" s="110">
        <f t="shared" si="26"/>
        <v>9.5854193294547567</v>
      </c>
      <c r="DH12" s="110">
        <f t="shared" si="89"/>
        <v>10</v>
      </c>
      <c r="DI12" s="110">
        <f t="shared" si="67"/>
        <v>0.95854193294547563</v>
      </c>
      <c r="DJ12" s="111">
        <f t="shared" si="27"/>
        <v>2.9046725240771987</v>
      </c>
      <c r="DK12" s="24">
        <f t="shared" si="68"/>
        <v>3</v>
      </c>
      <c r="DL12" s="110">
        <f t="shared" si="28"/>
        <v>29.046725240771988</v>
      </c>
      <c r="DM12" s="24">
        <f t="shared" si="69"/>
        <v>30</v>
      </c>
      <c r="DN12" s="115">
        <v>1.5</v>
      </c>
      <c r="DO12" s="111">
        <f t="shared" si="29"/>
        <v>45</v>
      </c>
      <c r="DQ12" s="107" t="s">
        <v>113</v>
      </c>
      <c r="DR12" s="109">
        <v>600</v>
      </c>
      <c r="DS12" s="24" t="s">
        <v>97</v>
      </c>
      <c r="DT12" s="109">
        <f>DT5</f>
        <v>3935.0819058192346</v>
      </c>
      <c r="DU12" s="24">
        <v>8</v>
      </c>
      <c r="DV12" s="110">
        <f t="shared" si="30"/>
        <v>6.558469843032058</v>
      </c>
      <c r="DW12" s="110">
        <f t="shared" si="90"/>
        <v>7</v>
      </c>
      <c r="DX12" s="110">
        <f t="shared" si="70"/>
        <v>0.93692426329029399</v>
      </c>
      <c r="DY12" s="111">
        <f t="shared" si="31"/>
        <v>2.839164434213012</v>
      </c>
      <c r="DZ12" s="24">
        <f t="shared" si="71"/>
        <v>3</v>
      </c>
      <c r="EA12" s="110">
        <f t="shared" si="32"/>
        <v>19.874151039491085</v>
      </c>
      <c r="EB12" s="24">
        <f t="shared" si="72"/>
        <v>20</v>
      </c>
      <c r="EC12" s="115">
        <v>1.5</v>
      </c>
      <c r="ED12" s="111">
        <f t="shared" si="33"/>
        <v>31.5</v>
      </c>
      <c r="EF12" s="107" t="s">
        <v>113</v>
      </c>
      <c r="EG12" s="109">
        <v>600</v>
      </c>
      <c r="EH12" s="24" t="s">
        <v>97</v>
      </c>
      <c r="EI12" s="109">
        <f>EI5</f>
        <v>3491.2227489366151</v>
      </c>
      <c r="EJ12" s="24">
        <v>8</v>
      </c>
      <c r="EK12" s="110">
        <f t="shared" si="34"/>
        <v>5.8187045815610254</v>
      </c>
      <c r="EL12" s="110">
        <f t="shared" si="91"/>
        <v>6</v>
      </c>
      <c r="EM12" s="110">
        <f t="shared" si="73"/>
        <v>0.96978409692683754</v>
      </c>
      <c r="EN12" s="111">
        <f t="shared" si="35"/>
        <v>2.9387396876570833</v>
      </c>
      <c r="EO12" s="24">
        <f t="shared" si="74"/>
        <v>3</v>
      </c>
      <c r="EP12" s="110">
        <f t="shared" si="36"/>
        <v>17.6324381259425</v>
      </c>
      <c r="EQ12" s="24">
        <f t="shared" si="75"/>
        <v>18</v>
      </c>
      <c r="ER12" s="115">
        <v>1.5</v>
      </c>
      <c r="ES12" s="111">
        <f t="shared" si="37"/>
        <v>27</v>
      </c>
      <c r="EU12" s="107" t="s">
        <v>113</v>
      </c>
      <c r="EV12" s="109">
        <v>600</v>
      </c>
      <c r="EW12" s="24" t="s">
        <v>97</v>
      </c>
      <c r="EX12" s="109">
        <f>EX5</f>
        <v>4333.0154087109368</v>
      </c>
      <c r="EY12" s="24">
        <v>8</v>
      </c>
      <c r="EZ12" s="110">
        <f t="shared" si="38"/>
        <v>7.2216923478515609</v>
      </c>
      <c r="FA12" s="110">
        <f t="shared" si="92"/>
        <v>8</v>
      </c>
      <c r="FB12" s="110">
        <f t="shared" si="76"/>
        <v>0.90271154348144511</v>
      </c>
      <c r="FC12" s="111">
        <f t="shared" si="39"/>
        <v>2.7354895257013485</v>
      </c>
      <c r="FD12" s="24">
        <f t="shared" si="77"/>
        <v>3</v>
      </c>
      <c r="FE12" s="110">
        <f t="shared" si="40"/>
        <v>21.883916205610788</v>
      </c>
      <c r="FF12" s="24">
        <f t="shared" si="78"/>
        <v>22</v>
      </c>
      <c r="FG12" s="115">
        <v>1.5</v>
      </c>
      <c r="FH12" s="111">
        <f t="shared" si="41"/>
        <v>36</v>
      </c>
      <c r="FJ12" s="107" t="s">
        <v>113</v>
      </c>
      <c r="FK12" s="109">
        <v>600</v>
      </c>
      <c r="FL12" s="24" t="s">
        <v>97</v>
      </c>
      <c r="FM12" s="109">
        <f>FM5</f>
        <v>4766.2023499752522</v>
      </c>
      <c r="FN12" s="24">
        <v>8</v>
      </c>
      <c r="FO12" s="110">
        <f t="shared" si="42"/>
        <v>7.9436705832920866</v>
      </c>
      <c r="FP12" s="110">
        <f t="shared" si="93"/>
        <v>8</v>
      </c>
      <c r="FQ12" s="110">
        <f t="shared" si="79"/>
        <v>0.99295882291151083</v>
      </c>
      <c r="FR12" s="111">
        <f t="shared" si="43"/>
        <v>3.0089661300348811</v>
      </c>
      <c r="FS12" s="24">
        <f t="shared" si="80"/>
        <v>4</v>
      </c>
      <c r="FT12" s="110">
        <f t="shared" si="44"/>
        <v>24.071729040279049</v>
      </c>
      <c r="FU12" s="24">
        <f t="shared" si="81"/>
        <v>25</v>
      </c>
      <c r="FV12" s="115">
        <v>1.5</v>
      </c>
      <c r="FW12" s="111">
        <f t="shared" si="45"/>
        <v>48</v>
      </c>
    </row>
    <row r="13" spans="1:179">
      <c r="A13" s="107" t="s">
        <v>114</v>
      </c>
      <c r="B13" s="109">
        <v>2465</v>
      </c>
      <c r="C13" s="24" t="s">
        <v>97</v>
      </c>
      <c r="D13" s="109">
        <f>D5</f>
        <v>11121.054112214457</v>
      </c>
      <c r="E13" s="24">
        <v>3</v>
      </c>
      <c r="F13" s="110">
        <f t="shared" si="0"/>
        <v>4.5115838183425785</v>
      </c>
      <c r="G13" s="110">
        <f t="shared" si="82"/>
        <v>5</v>
      </c>
      <c r="H13" s="110">
        <f t="shared" si="46"/>
        <v>0.90231676366851565</v>
      </c>
      <c r="I13" s="111">
        <f>H13/0.33</f>
        <v>2.734293223237926</v>
      </c>
      <c r="J13" s="24">
        <f t="shared" si="47"/>
        <v>3</v>
      </c>
      <c r="K13" s="110">
        <f>F13/0.33</f>
        <v>13.671466116189631</v>
      </c>
      <c r="L13" s="24">
        <f t="shared" si="48"/>
        <v>14</v>
      </c>
      <c r="M13" s="115">
        <v>1</v>
      </c>
      <c r="N13" s="111">
        <f t="shared" si="1"/>
        <v>15</v>
      </c>
      <c r="P13" s="107" t="s">
        <v>114</v>
      </c>
      <c r="Q13" s="109">
        <v>2465</v>
      </c>
      <c r="R13" s="24" t="s">
        <v>97</v>
      </c>
      <c r="S13" s="109">
        <f>S5</f>
        <v>7702.0431567071428</v>
      </c>
      <c r="T13" s="24">
        <v>3</v>
      </c>
      <c r="U13" s="110">
        <f t="shared" si="2"/>
        <v>3.1245611183396118</v>
      </c>
      <c r="V13" s="110">
        <f t="shared" si="83"/>
        <v>4</v>
      </c>
      <c r="W13" s="110">
        <f t="shared" si="49"/>
        <v>0.78114027958490295</v>
      </c>
      <c r="X13" s="111">
        <f t="shared" si="3"/>
        <v>2.3670917563178877</v>
      </c>
      <c r="Y13" s="24">
        <f t="shared" si="50"/>
        <v>3</v>
      </c>
      <c r="Z13" s="110">
        <f t="shared" si="4"/>
        <v>9.4683670252715508</v>
      </c>
      <c r="AA13" s="24">
        <f t="shared" si="51"/>
        <v>10</v>
      </c>
      <c r="AB13" s="115">
        <v>1</v>
      </c>
      <c r="AC13" s="111">
        <f t="shared" si="5"/>
        <v>12</v>
      </c>
      <c r="AE13" s="107" t="s">
        <v>114</v>
      </c>
      <c r="AF13" s="109">
        <v>2465</v>
      </c>
      <c r="AG13" s="24" t="s">
        <v>97</v>
      </c>
      <c r="AH13" s="109">
        <f>AH5</f>
        <v>6671.0885750091729</v>
      </c>
      <c r="AI13" s="24">
        <v>3</v>
      </c>
      <c r="AJ13" s="110">
        <f t="shared" si="6"/>
        <v>2.7063239655209625</v>
      </c>
      <c r="AK13" s="110">
        <f t="shared" si="84"/>
        <v>3</v>
      </c>
      <c r="AL13" s="110">
        <f t="shared" si="52"/>
        <v>0.90210798850698748</v>
      </c>
      <c r="AM13" s="111">
        <f t="shared" si="7"/>
        <v>2.7336605712332953</v>
      </c>
      <c r="AN13" s="24">
        <f t="shared" si="53"/>
        <v>3</v>
      </c>
      <c r="AO13" s="110">
        <f t="shared" si="8"/>
        <v>8.2009817136998855</v>
      </c>
      <c r="AP13" s="24">
        <f t="shared" si="54"/>
        <v>9</v>
      </c>
      <c r="AQ13" s="115">
        <v>1</v>
      </c>
      <c r="AR13" s="111">
        <f t="shared" si="9"/>
        <v>9</v>
      </c>
      <c r="AT13" s="107" t="s">
        <v>114</v>
      </c>
      <c r="AU13" s="109">
        <v>2465</v>
      </c>
      <c r="AV13" s="24" t="s">
        <v>97</v>
      </c>
      <c r="AW13" s="109">
        <f>AW5</f>
        <v>9061.1264810915982</v>
      </c>
      <c r="AX13" s="24">
        <v>3</v>
      </c>
      <c r="AY13" s="110">
        <f t="shared" si="10"/>
        <v>3.675913379753184</v>
      </c>
      <c r="AZ13" s="110">
        <f t="shared" si="85"/>
        <v>4</v>
      </c>
      <c r="BA13" s="110">
        <f t="shared" si="55"/>
        <v>0.918978344938296</v>
      </c>
      <c r="BB13" s="111">
        <f t="shared" si="11"/>
        <v>2.7847828634493816</v>
      </c>
      <c r="BC13" s="24">
        <f t="shared" si="56"/>
        <v>3</v>
      </c>
      <c r="BD13" s="110">
        <f t="shared" si="12"/>
        <v>11.139131453797527</v>
      </c>
      <c r="BE13" s="24">
        <f t="shared" si="57"/>
        <v>12</v>
      </c>
      <c r="BF13" s="115">
        <v>1</v>
      </c>
      <c r="BG13" s="111">
        <f t="shared" si="13"/>
        <v>12</v>
      </c>
      <c r="BI13" s="107" t="s">
        <v>114</v>
      </c>
      <c r="BJ13" s="109">
        <v>2465</v>
      </c>
      <c r="BK13" s="24" t="s">
        <v>97</v>
      </c>
      <c r="BL13" s="109">
        <f>BL5</f>
        <v>15381.885979994599</v>
      </c>
      <c r="BM13" s="24">
        <v>3</v>
      </c>
      <c r="BN13" s="110">
        <f t="shared" si="14"/>
        <v>6.2401160162249889</v>
      </c>
      <c r="BO13" s="110">
        <f t="shared" si="86"/>
        <v>7</v>
      </c>
      <c r="BP13" s="110">
        <f t="shared" si="58"/>
        <v>0.8914451451749984</v>
      </c>
      <c r="BQ13" s="111">
        <f t="shared" si="15"/>
        <v>2.7013489247727223</v>
      </c>
      <c r="BR13" s="24">
        <f t="shared" si="59"/>
        <v>3</v>
      </c>
      <c r="BS13" s="110">
        <f t="shared" si="16"/>
        <v>18.909442473409058</v>
      </c>
      <c r="BT13" s="24">
        <f t="shared" si="60"/>
        <v>19</v>
      </c>
      <c r="BU13" s="115">
        <v>1</v>
      </c>
      <c r="BV13" s="111">
        <f t="shared" si="17"/>
        <v>21</v>
      </c>
      <c r="BX13" s="107" t="s">
        <v>114</v>
      </c>
      <c r="BY13" s="109">
        <v>2465</v>
      </c>
      <c r="BZ13" s="24" t="s">
        <v>97</v>
      </c>
      <c r="CA13" s="109">
        <f>CA5</f>
        <v>8219.3313741416914</v>
      </c>
      <c r="CB13" s="24">
        <v>3</v>
      </c>
      <c r="CC13" s="110">
        <f t="shared" si="18"/>
        <v>3.3344143505645807</v>
      </c>
      <c r="CD13" s="110">
        <f t="shared" si="87"/>
        <v>4</v>
      </c>
      <c r="CE13" s="110">
        <f t="shared" si="61"/>
        <v>0.83360358764114517</v>
      </c>
      <c r="CF13" s="111">
        <f t="shared" si="19"/>
        <v>2.5260714777004396</v>
      </c>
      <c r="CG13" s="24">
        <f t="shared" si="62"/>
        <v>3</v>
      </c>
      <c r="CH13" s="110">
        <f t="shared" si="20"/>
        <v>10.104285910801758</v>
      </c>
      <c r="CI13" s="24">
        <f t="shared" si="63"/>
        <v>11</v>
      </c>
      <c r="CJ13" s="115">
        <v>1</v>
      </c>
      <c r="CK13" s="111">
        <f t="shared" si="21"/>
        <v>12</v>
      </c>
      <c r="CM13" s="107" t="s">
        <v>114</v>
      </c>
      <c r="CN13" s="109">
        <v>2465</v>
      </c>
      <c r="CO13" s="24" t="s">
        <v>97</v>
      </c>
      <c r="CP13" s="109">
        <f>CP5</f>
        <v>7508.0427228773415</v>
      </c>
      <c r="CQ13" s="24">
        <v>3</v>
      </c>
      <c r="CR13" s="110">
        <f t="shared" si="22"/>
        <v>3.0458591167859397</v>
      </c>
      <c r="CS13" s="110">
        <f t="shared" si="88"/>
        <v>4</v>
      </c>
      <c r="CT13" s="110">
        <f t="shared" si="64"/>
        <v>0.76146477919648492</v>
      </c>
      <c r="CU13" s="111">
        <f t="shared" si="23"/>
        <v>2.307469027868136</v>
      </c>
      <c r="CV13" s="24">
        <f t="shared" si="65"/>
        <v>3</v>
      </c>
      <c r="CW13" s="110">
        <f t="shared" si="24"/>
        <v>9.2298761114725441</v>
      </c>
      <c r="CX13" s="24">
        <f t="shared" si="66"/>
        <v>10</v>
      </c>
      <c r="CY13" s="115">
        <v>1</v>
      </c>
      <c r="CZ13" s="111">
        <f t="shared" si="25"/>
        <v>12</v>
      </c>
      <c r="DB13" s="107" t="s">
        <v>114</v>
      </c>
      <c r="DC13" s="109">
        <v>2465</v>
      </c>
      <c r="DD13" s="24" t="s">
        <v>97</v>
      </c>
      <c r="DE13" s="109">
        <f>DE5</f>
        <v>5751.2515976728537</v>
      </c>
      <c r="DF13" s="24">
        <v>3</v>
      </c>
      <c r="DG13" s="110">
        <f t="shared" si="26"/>
        <v>2.3331649483459853</v>
      </c>
      <c r="DH13" s="110">
        <f t="shared" si="89"/>
        <v>3</v>
      </c>
      <c r="DI13" s="110">
        <f t="shared" si="67"/>
        <v>0.77772164944866173</v>
      </c>
      <c r="DJ13" s="111">
        <f t="shared" si="27"/>
        <v>2.3567322710565506</v>
      </c>
      <c r="DK13" s="24">
        <f t="shared" si="68"/>
        <v>3</v>
      </c>
      <c r="DL13" s="110">
        <f t="shared" si="28"/>
        <v>7.0701968131696518</v>
      </c>
      <c r="DM13" s="24">
        <f t="shared" si="69"/>
        <v>8</v>
      </c>
      <c r="DN13" s="115">
        <v>1</v>
      </c>
      <c r="DO13" s="111">
        <f t="shared" si="29"/>
        <v>9</v>
      </c>
      <c r="DQ13" s="107" t="s">
        <v>114</v>
      </c>
      <c r="DR13" s="109">
        <v>2465</v>
      </c>
      <c r="DS13" s="24" t="s">
        <v>97</v>
      </c>
      <c r="DT13" s="109">
        <f>DT5</f>
        <v>3935.0819058192346</v>
      </c>
      <c r="DU13" s="24">
        <v>3</v>
      </c>
      <c r="DV13" s="110">
        <f t="shared" si="30"/>
        <v>1.5963821118942128</v>
      </c>
      <c r="DW13" s="110">
        <f t="shared" si="90"/>
        <v>2</v>
      </c>
      <c r="DX13" s="110">
        <f t="shared" si="70"/>
        <v>0.79819105594710638</v>
      </c>
      <c r="DY13" s="111">
        <f t="shared" si="31"/>
        <v>2.418760775597292</v>
      </c>
      <c r="DZ13" s="24">
        <f t="shared" si="71"/>
        <v>3</v>
      </c>
      <c r="EA13" s="110">
        <f t="shared" si="32"/>
        <v>4.8375215511945839</v>
      </c>
      <c r="EB13" s="24">
        <f t="shared" si="72"/>
        <v>5</v>
      </c>
      <c r="EC13" s="115">
        <v>1</v>
      </c>
      <c r="ED13" s="111">
        <f t="shared" si="33"/>
        <v>6</v>
      </c>
      <c r="EF13" s="107" t="s">
        <v>114</v>
      </c>
      <c r="EG13" s="109">
        <v>2465</v>
      </c>
      <c r="EH13" s="24" t="s">
        <v>97</v>
      </c>
      <c r="EI13" s="109">
        <f>EI5</f>
        <v>3491.2227489366151</v>
      </c>
      <c r="EJ13" s="24">
        <v>3</v>
      </c>
      <c r="EK13" s="110">
        <f t="shared" si="34"/>
        <v>1.4163175452075518</v>
      </c>
      <c r="EL13" s="110">
        <f t="shared" si="91"/>
        <v>2</v>
      </c>
      <c r="EM13" s="110">
        <f t="shared" si="73"/>
        <v>0.70815877260377591</v>
      </c>
      <c r="EN13" s="111">
        <f t="shared" si="35"/>
        <v>2.1459356745568967</v>
      </c>
      <c r="EO13" s="24">
        <f t="shared" si="74"/>
        <v>3</v>
      </c>
      <c r="EP13" s="110">
        <f t="shared" si="36"/>
        <v>4.2918713491137934</v>
      </c>
      <c r="EQ13" s="24">
        <f t="shared" si="75"/>
        <v>5</v>
      </c>
      <c r="ER13" s="115">
        <v>1</v>
      </c>
      <c r="ES13" s="111">
        <f t="shared" si="37"/>
        <v>6</v>
      </c>
      <c r="EU13" s="107" t="s">
        <v>114</v>
      </c>
      <c r="EV13" s="109">
        <v>2465</v>
      </c>
      <c r="EW13" s="24" t="s">
        <v>97</v>
      </c>
      <c r="EX13" s="109">
        <f>EX5</f>
        <v>4333.0154087109368</v>
      </c>
      <c r="EY13" s="24">
        <v>3</v>
      </c>
      <c r="EZ13" s="110">
        <f t="shared" si="38"/>
        <v>1.7578155816271548</v>
      </c>
      <c r="FA13" s="110">
        <f t="shared" si="92"/>
        <v>2</v>
      </c>
      <c r="FB13" s="110">
        <f t="shared" si="76"/>
        <v>0.87890779081357739</v>
      </c>
      <c r="FC13" s="111">
        <f t="shared" si="39"/>
        <v>2.6633569418593255</v>
      </c>
      <c r="FD13" s="24">
        <f t="shared" si="77"/>
        <v>3</v>
      </c>
      <c r="FE13" s="110">
        <f t="shared" si="40"/>
        <v>5.326713883718651</v>
      </c>
      <c r="FF13" s="24">
        <f t="shared" si="78"/>
        <v>6</v>
      </c>
      <c r="FG13" s="115">
        <v>1</v>
      </c>
      <c r="FH13" s="111">
        <f t="shared" si="41"/>
        <v>6</v>
      </c>
      <c r="FJ13" s="107" t="s">
        <v>114</v>
      </c>
      <c r="FK13" s="109">
        <v>2465</v>
      </c>
      <c r="FL13" s="24" t="s">
        <v>97</v>
      </c>
      <c r="FM13" s="109">
        <f>FM5</f>
        <v>4766.2023499752522</v>
      </c>
      <c r="FN13" s="24">
        <v>3</v>
      </c>
      <c r="FO13" s="110">
        <f t="shared" si="42"/>
        <v>1.9335506490771814</v>
      </c>
      <c r="FP13" s="110">
        <f t="shared" si="93"/>
        <v>2</v>
      </c>
      <c r="FQ13" s="110">
        <f t="shared" si="79"/>
        <v>0.96677532453859072</v>
      </c>
      <c r="FR13" s="111">
        <f t="shared" si="43"/>
        <v>2.9296221955714867</v>
      </c>
      <c r="FS13" s="24">
        <f t="shared" si="80"/>
        <v>3</v>
      </c>
      <c r="FT13" s="110">
        <f t="shared" si="44"/>
        <v>5.8592443911429735</v>
      </c>
      <c r="FU13" s="24">
        <f t="shared" si="81"/>
        <v>6</v>
      </c>
      <c r="FV13" s="115">
        <v>1</v>
      </c>
      <c r="FW13" s="111">
        <f t="shared" si="45"/>
        <v>6</v>
      </c>
    </row>
    <row r="14" spans="1:179">
      <c r="A14" s="116" t="s">
        <v>115</v>
      </c>
      <c r="B14" s="1514">
        <v>1700</v>
      </c>
      <c r="C14" s="1517" t="s">
        <v>97</v>
      </c>
      <c r="D14" s="1514">
        <f>D5</f>
        <v>11121.054112214457</v>
      </c>
      <c r="E14" s="1520">
        <v>3</v>
      </c>
      <c r="F14" s="1521">
        <f t="shared" si="0"/>
        <v>6.5417965365967392</v>
      </c>
      <c r="G14" s="1510">
        <f>ROUNDUP(F14,0)</f>
        <v>7</v>
      </c>
      <c r="H14" s="1510">
        <f t="shared" si="46"/>
        <v>0.93454236237096278</v>
      </c>
      <c r="I14" s="1510">
        <f>H14/0.33</f>
        <v>2.8319465526392809</v>
      </c>
      <c r="J14" s="1511">
        <f t="shared" si="47"/>
        <v>3</v>
      </c>
      <c r="K14" s="110"/>
      <c r="L14" s="24"/>
      <c r="M14" s="1512">
        <v>12</v>
      </c>
      <c r="N14" s="1513">
        <f>G14*J14*M14</f>
        <v>252</v>
      </c>
      <c r="P14" s="116" t="s">
        <v>115</v>
      </c>
      <c r="Q14" s="1514">
        <v>1700</v>
      </c>
      <c r="R14" s="1517" t="s">
        <v>97</v>
      </c>
      <c r="S14" s="1514">
        <f>S5</f>
        <v>7702.0431567071428</v>
      </c>
      <c r="T14" s="1520">
        <v>3</v>
      </c>
      <c r="U14" s="1521">
        <f t="shared" si="2"/>
        <v>4.5306136215924369</v>
      </c>
      <c r="V14" s="1510">
        <f>ROUNDUP(U14,0)</f>
        <v>5</v>
      </c>
      <c r="W14" s="1510">
        <f t="shared" si="49"/>
        <v>0.90612272431848739</v>
      </c>
      <c r="X14" s="1510">
        <f t="shared" si="3"/>
        <v>2.7458264373287498</v>
      </c>
      <c r="Y14" s="1511">
        <f t="shared" si="50"/>
        <v>3</v>
      </c>
      <c r="Z14" s="110"/>
      <c r="AA14" s="24"/>
      <c r="AB14" s="1512">
        <v>12</v>
      </c>
      <c r="AC14" s="1513">
        <f>V14*Y14*AB14</f>
        <v>180</v>
      </c>
      <c r="AE14" s="116" t="s">
        <v>115</v>
      </c>
      <c r="AF14" s="1514">
        <v>1700</v>
      </c>
      <c r="AG14" s="1517" t="s">
        <v>97</v>
      </c>
      <c r="AH14" s="1514">
        <f>AH5</f>
        <v>6671.0885750091729</v>
      </c>
      <c r="AI14" s="1520">
        <v>3</v>
      </c>
      <c r="AJ14" s="1521">
        <f t="shared" si="6"/>
        <v>3.924169750005396</v>
      </c>
      <c r="AK14" s="1510">
        <f>ROUNDUP(AJ14,0)</f>
        <v>4</v>
      </c>
      <c r="AL14" s="1510">
        <f t="shared" si="52"/>
        <v>0.98104243750134901</v>
      </c>
      <c r="AM14" s="1510">
        <f t="shared" si="7"/>
        <v>2.972855871216209</v>
      </c>
      <c r="AN14" s="1511">
        <f t="shared" si="53"/>
        <v>3</v>
      </c>
      <c r="AO14" s="110"/>
      <c r="AP14" s="24"/>
      <c r="AQ14" s="1512">
        <v>12</v>
      </c>
      <c r="AR14" s="1513">
        <f>AK14*AN14*AQ14</f>
        <v>144</v>
      </c>
      <c r="AT14" s="116" t="s">
        <v>115</v>
      </c>
      <c r="AU14" s="1514">
        <v>1700</v>
      </c>
      <c r="AV14" s="1517" t="s">
        <v>97</v>
      </c>
      <c r="AW14" s="1514">
        <f>AW5</f>
        <v>9061.1264810915982</v>
      </c>
      <c r="AX14" s="1520">
        <v>3</v>
      </c>
      <c r="AY14" s="1521">
        <f t="shared" si="10"/>
        <v>5.3300744006421166</v>
      </c>
      <c r="AZ14" s="1510">
        <f>ROUNDUP(AY14,0)</f>
        <v>6</v>
      </c>
      <c r="BA14" s="1510">
        <f t="shared" si="55"/>
        <v>0.88834573344035273</v>
      </c>
      <c r="BB14" s="1510">
        <f t="shared" si="11"/>
        <v>2.6919567680010688</v>
      </c>
      <c r="BC14" s="1511">
        <f t="shared" si="56"/>
        <v>3</v>
      </c>
      <c r="BD14" s="110"/>
      <c r="BE14" s="24"/>
      <c r="BF14" s="1512">
        <v>12</v>
      </c>
      <c r="BG14" s="1513">
        <f>AZ14*BC14*BF14</f>
        <v>216</v>
      </c>
      <c r="BI14" s="116" t="s">
        <v>115</v>
      </c>
      <c r="BJ14" s="1514">
        <v>1700</v>
      </c>
      <c r="BK14" s="1517" t="s">
        <v>97</v>
      </c>
      <c r="BL14" s="1514">
        <f>BL5</f>
        <v>15381.885979994599</v>
      </c>
      <c r="BM14" s="1520">
        <v>3</v>
      </c>
      <c r="BN14" s="1521">
        <f t="shared" si="14"/>
        <v>9.0481682235262344</v>
      </c>
      <c r="BO14" s="1510">
        <f>ROUNDUP(BN14,0)</f>
        <v>10</v>
      </c>
      <c r="BP14" s="1510">
        <f t="shared" si="58"/>
        <v>0.9048168223526234</v>
      </c>
      <c r="BQ14" s="1510">
        <f t="shared" si="15"/>
        <v>2.7418691586443131</v>
      </c>
      <c r="BR14" s="1511">
        <f t="shared" si="59"/>
        <v>3</v>
      </c>
      <c r="BS14" s="110"/>
      <c r="BT14" s="24"/>
      <c r="BU14" s="1512">
        <v>12</v>
      </c>
      <c r="BV14" s="1513">
        <f>BO14*BR14*BU14</f>
        <v>360</v>
      </c>
      <c r="BX14" s="116" t="s">
        <v>115</v>
      </c>
      <c r="BY14" s="1514">
        <v>1700</v>
      </c>
      <c r="BZ14" s="1517" t="s">
        <v>97</v>
      </c>
      <c r="CA14" s="1514">
        <f>CA5</f>
        <v>8219.3313741416914</v>
      </c>
      <c r="CB14" s="1520">
        <v>3</v>
      </c>
      <c r="CC14" s="1521">
        <f t="shared" si="18"/>
        <v>4.8349008083186424</v>
      </c>
      <c r="CD14" s="1510">
        <f>ROUNDUP(CC14,0)</f>
        <v>5</v>
      </c>
      <c r="CE14" s="1510">
        <f t="shared" si="61"/>
        <v>0.96698016166372847</v>
      </c>
      <c r="CF14" s="1510">
        <f t="shared" si="19"/>
        <v>2.9302429141325104</v>
      </c>
      <c r="CG14" s="1511">
        <f t="shared" si="62"/>
        <v>3</v>
      </c>
      <c r="CH14" s="110"/>
      <c r="CI14" s="24"/>
      <c r="CJ14" s="1512">
        <v>12</v>
      </c>
      <c r="CK14" s="1513">
        <f>CD14*CG14*CJ14</f>
        <v>180</v>
      </c>
      <c r="CM14" s="116" t="s">
        <v>115</v>
      </c>
      <c r="CN14" s="1514">
        <v>1700</v>
      </c>
      <c r="CO14" s="1517" t="s">
        <v>97</v>
      </c>
      <c r="CP14" s="1514">
        <f>CP5</f>
        <v>7508.0427228773415</v>
      </c>
      <c r="CQ14" s="1520">
        <v>3</v>
      </c>
      <c r="CR14" s="1521">
        <f t="shared" si="22"/>
        <v>4.416495719339613</v>
      </c>
      <c r="CS14" s="1510">
        <f>ROUNDUP(CR14,0)</f>
        <v>5</v>
      </c>
      <c r="CT14" s="1510">
        <f t="shared" si="64"/>
        <v>0.88329914386792263</v>
      </c>
      <c r="CU14" s="1510">
        <f t="shared" si="23"/>
        <v>2.6766640723270383</v>
      </c>
      <c r="CV14" s="1511">
        <f t="shared" si="65"/>
        <v>3</v>
      </c>
      <c r="CW14" s="110"/>
      <c r="CX14" s="24"/>
      <c r="CY14" s="1512">
        <v>12</v>
      </c>
      <c r="CZ14" s="1513">
        <f>CS14*CV14*CY14</f>
        <v>180</v>
      </c>
      <c r="DB14" s="116" t="s">
        <v>115</v>
      </c>
      <c r="DC14" s="1514">
        <v>1700</v>
      </c>
      <c r="DD14" s="1517" t="s">
        <v>97</v>
      </c>
      <c r="DE14" s="1514">
        <f>DE5</f>
        <v>5751.2515976728537</v>
      </c>
      <c r="DF14" s="1520">
        <v>3</v>
      </c>
      <c r="DG14" s="1521">
        <f t="shared" si="26"/>
        <v>3.3830891751016785</v>
      </c>
      <c r="DH14" s="1510">
        <f>ROUNDUP(DG14,0)</f>
        <v>4</v>
      </c>
      <c r="DI14" s="1510">
        <f t="shared" si="67"/>
        <v>0.84577229377541963</v>
      </c>
      <c r="DJ14" s="1510">
        <f t="shared" si="27"/>
        <v>2.5629463447739989</v>
      </c>
      <c r="DK14" s="1511">
        <f t="shared" si="68"/>
        <v>3</v>
      </c>
      <c r="DL14" s="110"/>
      <c r="DM14" s="24"/>
      <c r="DN14" s="1512">
        <v>12</v>
      </c>
      <c r="DO14" s="1513">
        <f>DH14*DK14*DN14</f>
        <v>144</v>
      </c>
      <c r="DQ14" s="116" t="s">
        <v>115</v>
      </c>
      <c r="DR14" s="1514">
        <v>1700</v>
      </c>
      <c r="DS14" s="1517" t="s">
        <v>97</v>
      </c>
      <c r="DT14" s="1514">
        <f>DT5</f>
        <v>3935.0819058192346</v>
      </c>
      <c r="DU14" s="1520">
        <v>3</v>
      </c>
      <c r="DV14" s="1521">
        <f t="shared" si="30"/>
        <v>2.3147540622466085</v>
      </c>
      <c r="DW14" s="1510">
        <f>ROUNDUP(DV14,0)</f>
        <v>3</v>
      </c>
      <c r="DX14" s="1510">
        <f t="shared" si="70"/>
        <v>0.77158468741553621</v>
      </c>
      <c r="DY14" s="1510">
        <f t="shared" si="31"/>
        <v>2.3381354164107155</v>
      </c>
      <c r="DZ14" s="1511">
        <f t="shared" si="71"/>
        <v>3</v>
      </c>
      <c r="EA14" s="110"/>
      <c r="EB14" s="24"/>
      <c r="EC14" s="1512">
        <v>12</v>
      </c>
      <c r="ED14" s="1513">
        <f>DW14*DZ14*EC14</f>
        <v>108</v>
      </c>
      <c r="EF14" s="116" t="s">
        <v>115</v>
      </c>
      <c r="EG14" s="1514">
        <v>1700</v>
      </c>
      <c r="EH14" s="1517" t="s">
        <v>97</v>
      </c>
      <c r="EI14" s="1514">
        <f>EI5</f>
        <v>3491.2227489366151</v>
      </c>
      <c r="EJ14" s="1520">
        <v>3</v>
      </c>
      <c r="EK14" s="1521">
        <f t="shared" si="34"/>
        <v>2.0536604405509502</v>
      </c>
      <c r="EL14" s="1510">
        <f>ROUNDUP(EK14,0)</f>
        <v>3</v>
      </c>
      <c r="EM14" s="1510">
        <f t="shared" si="73"/>
        <v>0.68455348018365003</v>
      </c>
      <c r="EN14" s="1510">
        <f t="shared" si="35"/>
        <v>2.0744044854050001</v>
      </c>
      <c r="EO14" s="1511">
        <f t="shared" si="74"/>
        <v>3</v>
      </c>
      <c r="EP14" s="110"/>
      <c r="EQ14" s="24"/>
      <c r="ER14" s="1512">
        <v>12</v>
      </c>
      <c r="ES14" s="1513">
        <f>EL14*EO14*ER14</f>
        <v>108</v>
      </c>
      <c r="EU14" s="116" t="s">
        <v>115</v>
      </c>
      <c r="EV14" s="1514">
        <v>1700</v>
      </c>
      <c r="EW14" s="1517" t="s">
        <v>97</v>
      </c>
      <c r="EX14" s="1514">
        <f>EX5</f>
        <v>4333.0154087109368</v>
      </c>
      <c r="EY14" s="1520">
        <v>3</v>
      </c>
      <c r="EZ14" s="1521">
        <f t="shared" si="38"/>
        <v>2.5488325933593745</v>
      </c>
      <c r="FA14" s="1510">
        <f>ROUNDUP(EZ14,0)</f>
        <v>3</v>
      </c>
      <c r="FB14" s="1510">
        <f t="shared" si="76"/>
        <v>0.84961086445312484</v>
      </c>
      <c r="FC14" s="1510">
        <f t="shared" si="39"/>
        <v>2.5745783771306812</v>
      </c>
      <c r="FD14" s="1511">
        <f t="shared" si="77"/>
        <v>3</v>
      </c>
      <c r="FE14" s="110"/>
      <c r="FF14" s="24"/>
      <c r="FG14" s="1512">
        <v>12</v>
      </c>
      <c r="FH14" s="1513">
        <f>FA14*FD14*FG14</f>
        <v>108</v>
      </c>
      <c r="FJ14" s="116" t="s">
        <v>115</v>
      </c>
      <c r="FK14" s="1514">
        <v>1700</v>
      </c>
      <c r="FL14" s="1517" t="s">
        <v>97</v>
      </c>
      <c r="FM14" s="1514">
        <f>FM5</f>
        <v>4766.2023499752522</v>
      </c>
      <c r="FN14" s="1520">
        <v>3</v>
      </c>
      <c r="FO14" s="1521">
        <f t="shared" si="42"/>
        <v>2.8036484411619131</v>
      </c>
      <c r="FP14" s="1510">
        <f>ROUNDUP(FO14,0)</f>
        <v>3</v>
      </c>
      <c r="FQ14" s="1510">
        <f t="shared" si="79"/>
        <v>0.93454948038730434</v>
      </c>
      <c r="FR14" s="1510">
        <f t="shared" si="43"/>
        <v>2.8319681223857707</v>
      </c>
      <c r="FS14" s="1511">
        <f t="shared" si="80"/>
        <v>3</v>
      </c>
      <c r="FT14" s="110"/>
      <c r="FU14" s="24"/>
      <c r="FV14" s="1512">
        <v>12</v>
      </c>
      <c r="FW14" s="1513">
        <f>FP14*FS14*FV14</f>
        <v>108</v>
      </c>
    </row>
    <row r="15" spans="1:179" ht="58">
      <c r="A15" s="117" t="s">
        <v>116</v>
      </c>
      <c r="B15" s="1515"/>
      <c r="C15" s="1518"/>
      <c r="D15" s="1515"/>
      <c r="E15" s="1520"/>
      <c r="F15" s="1521"/>
      <c r="G15" s="1510"/>
      <c r="H15" s="1510"/>
      <c r="I15" s="1510"/>
      <c r="J15" s="1511"/>
      <c r="K15" s="110">
        <f>F14/0.33</f>
        <v>19.823625868474966</v>
      </c>
      <c r="L15" s="24">
        <f t="shared" si="48"/>
        <v>20</v>
      </c>
      <c r="M15" s="1512"/>
      <c r="N15" s="1513"/>
      <c r="P15" s="117" t="s">
        <v>116</v>
      </c>
      <c r="Q15" s="1515"/>
      <c r="R15" s="1518"/>
      <c r="S15" s="1515"/>
      <c r="T15" s="1520"/>
      <c r="U15" s="1521"/>
      <c r="V15" s="1510"/>
      <c r="W15" s="1510"/>
      <c r="X15" s="1510"/>
      <c r="Y15" s="1511"/>
      <c r="Z15" s="110">
        <f>U14/0.33</f>
        <v>13.729132186643747</v>
      </c>
      <c r="AA15" s="24">
        <f t="shared" ref="AA15" si="94">ROUNDUP(Z15,0)</f>
        <v>14</v>
      </c>
      <c r="AB15" s="1512"/>
      <c r="AC15" s="1513"/>
      <c r="AE15" s="117" t="s">
        <v>116</v>
      </c>
      <c r="AF15" s="1515"/>
      <c r="AG15" s="1518"/>
      <c r="AH15" s="1515"/>
      <c r="AI15" s="1520"/>
      <c r="AJ15" s="1521"/>
      <c r="AK15" s="1510"/>
      <c r="AL15" s="1510"/>
      <c r="AM15" s="1510"/>
      <c r="AN15" s="1511"/>
      <c r="AO15" s="110">
        <f>AJ14/0.33</f>
        <v>11.891423484864836</v>
      </c>
      <c r="AP15" s="24">
        <f t="shared" ref="AP15" si="95">ROUNDUP(AO15,0)</f>
        <v>12</v>
      </c>
      <c r="AQ15" s="1512"/>
      <c r="AR15" s="1513"/>
      <c r="AT15" s="117" t="s">
        <v>116</v>
      </c>
      <c r="AU15" s="1515"/>
      <c r="AV15" s="1518"/>
      <c r="AW15" s="1515"/>
      <c r="AX15" s="1520"/>
      <c r="AY15" s="1521"/>
      <c r="AZ15" s="1510"/>
      <c r="BA15" s="1510"/>
      <c r="BB15" s="1510"/>
      <c r="BC15" s="1511"/>
      <c r="BD15" s="110">
        <f>AY14/0.33</f>
        <v>16.151740608006413</v>
      </c>
      <c r="BE15" s="24">
        <f t="shared" ref="BE15" si="96">ROUNDUP(BD15,0)</f>
        <v>17</v>
      </c>
      <c r="BF15" s="1512"/>
      <c r="BG15" s="1513"/>
      <c r="BI15" s="117" t="s">
        <v>116</v>
      </c>
      <c r="BJ15" s="1515"/>
      <c r="BK15" s="1518"/>
      <c r="BL15" s="1515"/>
      <c r="BM15" s="1520"/>
      <c r="BN15" s="1521"/>
      <c r="BO15" s="1510"/>
      <c r="BP15" s="1510"/>
      <c r="BQ15" s="1510"/>
      <c r="BR15" s="1511"/>
      <c r="BS15" s="110">
        <f>BN14/0.33</f>
        <v>27.418691586443135</v>
      </c>
      <c r="BT15" s="24">
        <f t="shared" ref="BT15" si="97">ROUNDUP(BS15,0)</f>
        <v>28</v>
      </c>
      <c r="BU15" s="1512"/>
      <c r="BV15" s="1513"/>
      <c r="BX15" s="117" t="s">
        <v>116</v>
      </c>
      <c r="BY15" s="1515"/>
      <c r="BZ15" s="1518"/>
      <c r="CA15" s="1515"/>
      <c r="CB15" s="1520"/>
      <c r="CC15" s="1521"/>
      <c r="CD15" s="1510"/>
      <c r="CE15" s="1510"/>
      <c r="CF15" s="1510"/>
      <c r="CG15" s="1511"/>
      <c r="CH15" s="110">
        <f>CC14/0.33</f>
        <v>14.651214570662551</v>
      </c>
      <c r="CI15" s="24">
        <f t="shared" ref="CI15" si="98">ROUNDUP(CH15,0)</f>
        <v>15</v>
      </c>
      <c r="CJ15" s="1512"/>
      <c r="CK15" s="1513"/>
      <c r="CM15" s="117" t="s">
        <v>116</v>
      </c>
      <c r="CN15" s="1515"/>
      <c r="CO15" s="1518"/>
      <c r="CP15" s="1515"/>
      <c r="CQ15" s="1520"/>
      <c r="CR15" s="1521"/>
      <c r="CS15" s="1510"/>
      <c r="CT15" s="1510"/>
      <c r="CU15" s="1510"/>
      <c r="CV15" s="1511"/>
      <c r="CW15" s="110">
        <f>CR14/0.33</f>
        <v>13.383320361635191</v>
      </c>
      <c r="CX15" s="24">
        <f t="shared" ref="CX15" si="99">ROUNDUP(CW15,0)</f>
        <v>14</v>
      </c>
      <c r="CY15" s="1512"/>
      <c r="CZ15" s="1513"/>
      <c r="DB15" s="117" t="s">
        <v>116</v>
      </c>
      <c r="DC15" s="1515"/>
      <c r="DD15" s="1518"/>
      <c r="DE15" s="1515"/>
      <c r="DF15" s="1520"/>
      <c r="DG15" s="1521"/>
      <c r="DH15" s="1510"/>
      <c r="DI15" s="1510"/>
      <c r="DJ15" s="1510"/>
      <c r="DK15" s="1511"/>
      <c r="DL15" s="110">
        <f>DG14/0.33</f>
        <v>10.251785379095995</v>
      </c>
      <c r="DM15" s="24">
        <f t="shared" ref="DM15" si="100">ROUNDUP(DL15,0)</f>
        <v>11</v>
      </c>
      <c r="DN15" s="1512"/>
      <c r="DO15" s="1513"/>
      <c r="DQ15" s="117" t="s">
        <v>116</v>
      </c>
      <c r="DR15" s="1515"/>
      <c r="DS15" s="1518"/>
      <c r="DT15" s="1515"/>
      <c r="DU15" s="1520"/>
      <c r="DV15" s="1521"/>
      <c r="DW15" s="1510"/>
      <c r="DX15" s="1510"/>
      <c r="DY15" s="1510"/>
      <c r="DZ15" s="1511"/>
      <c r="EA15" s="110">
        <f>DV14/0.33</f>
        <v>7.0144062492321471</v>
      </c>
      <c r="EB15" s="24">
        <f t="shared" ref="EB15" si="101">ROUNDUP(EA15,0)</f>
        <v>8</v>
      </c>
      <c r="EC15" s="1512"/>
      <c r="ED15" s="1513"/>
      <c r="EF15" s="117" t="s">
        <v>116</v>
      </c>
      <c r="EG15" s="1515"/>
      <c r="EH15" s="1518"/>
      <c r="EI15" s="1515"/>
      <c r="EJ15" s="1520"/>
      <c r="EK15" s="1521"/>
      <c r="EL15" s="1510"/>
      <c r="EM15" s="1510"/>
      <c r="EN15" s="1510"/>
      <c r="EO15" s="1511"/>
      <c r="EP15" s="110">
        <f>EK14/0.33</f>
        <v>6.2232134562150003</v>
      </c>
      <c r="EQ15" s="24">
        <f t="shared" ref="EQ15" si="102">ROUNDUP(EP15,0)</f>
        <v>7</v>
      </c>
      <c r="ER15" s="1512"/>
      <c r="ES15" s="1513"/>
      <c r="EU15" s="117" t="s">
        <v>116</v>
      </c>
      <c r="EV15" s="1515"/>
      <c r="EW15" s="1518"/>
      <c r="EX15" s="1515"/>
      <c r="EY15" s="1520"/>
      <c r="EZ15" s="1521"/>
      <c r="FA15" s="1510"/>
      <c r="FB15" s="1510"/>
      <c r="FC15" s="1510"/>
      <c r="FD15" s="1511"/>
      <c r="FE15" s="110">
        <f>EZ14/0.33</f>
        <v>7.7237351313920435</v>
      </c>
      <c r="FF15" s="24">
        <f t="shared" ref="FF15" si="103">ROUNDUP(FE15,0)</f>
        <v>8</v>
      </c>
      <c r="FG15" s="1512"/>
      <c r="FH15" s="1513"/>
      <c r="FJ15" s="117" t="s">
        <v>116</v>
      </c>
      <c r="FK15" s="1515"/>
      <c r="FL15" s="1518"/>
      <c r="FM15" s="1515"/>
      <c r="FN15" s="1520"/>
      <c r="FO15" s="1521"/>
      <c r="FP15" s="1510"/>
      <c r="FQ15" s="1510"/>
      <c r="FR15" s="1510"/>
      <c r="FS15" s="1511"/>
      <c r="FT15" s="110">
        <f>FO14/0.33</f>
        <v>8.495904367157312</v>
      </c>
      <c r="FU15" s="24">
        <f t="shared" ref="FU15" si="104">ROUNDUP(FT15,0)</f>
        <v>9</v>
      </c>
      <c r="FV15" s="1512"/>
      <c r="FW15" s="1513"/>
    </row>
    <row r="16" spans="1:179" ht="72.5">
      <c r="A16" s="117" t="s">
        <v>117</v>
      </c>
      <c r="B16" s="1515"/>
      <c r="C16" s="1518"/>
      <c r="D16" s="1515"/>
      <c r="E16" s="1520"/>
      <c r="F16" s="1521"/>
      <c r="G16" s="1510"/>
      <c r="H16" s="1510"/>
      <c r="I16" s="1510"/>
      <c r="J16" s="1511"/>
      <c r="K16" s="24"/>
      <c r="L16" s="24"/>
      <c r="M16" s="1512"/>
      <c r="N16" s="1513"/>
      <c r="P16" s="117" t="s">
        <v>117</v>
      </c>
      <c r="Q16" s="1515"/>
      <c r="R16" s="1518"/>
      <c r="S16" s="1515"/>
      <c r="T16" s="1520"/>
      <c r="U16" s="1521"/>
      <c r="V16" s="1510"/>
      <c r="W16" s="1510"/>
      <c r="X16" s="1510"/>
      <c r="Y16" s="1511"/>
      <c r="Z16" s="24"/>
      <c r="AA16" s="24"/>
      <c r="AB16" s="1512"/>
      <c r="AC16" s="1513"/>
      <c r="AE16" s="117" t="s">
        <v>117</v>
      </c>
      <c r="AF16" s="1515"/>
      <c r="AG16" s="1518"/>
      <c r="AH16" s="1515"/>
      <c r="AI16" s="1520"/>
      <c r="AJ16" s="1521"/>
      <c r="AK16" s="1510"/>
      <c r="AL16" s="1510"/>
      <c r="AM16" s="1510"/>
      <c r="AN16" s="1511"/>
      <c r="AO16" s="24"/>
      <c r="AP16" s="24"/>
      <c r="AQ16" s="1512"/>
      <c r="AR16" s="1513"/>
      <c r="AT16" s="117" t="s">
        <v>117</v>
      </c>
      <c r="AU16" s="1515"/>
      <c r="AV16" s="1518"/>
      <c r="AW16" s="1515"/>
      <c r="AX16" s="1520"/>
      <c r="AY16" s="1521"/>
      <c r="AZ16" s="1510"/>
      <c r="BA16" s="1510"/>
      <c r="BB16" s="1510"/>
      <c r="BC16" s="1511"/>
      <c r="BD16" s="24"/>
      <c r="BE16" s="24"/>
      <c r="BF16" s="1512"/>
      <c r="BG16" s="1513"/>
      <c r="BI16" s="117" t="s">
        <v>117</v>
      </c>
      <c r="BJ16" s="1515"/>
      <c r="BK16" s="1518"/>
      <c r="BL16" s="1515"/>
      <c r="BM16" s="1520"/>
      <c r="BN16" s="1521"/>
      <c r="BO16" s="1510"/>
      <c r="BP16" s="1510"/>
      <c r="BQ16" s="1510"/>
      <c r="BR16" s="1511"/>
      <c r="BS16" s="24"/>
      <c r="BT16" s="24"/>
      <c r="BU16" s="1512"/>
      <c r="BV16" s="1513"/>
      <c r="BX16" s="117" t="s">
        <v>117</v>
      </c>
      <c r="BY16" s="1515"/>
      <c r="BZ16" s="1518"/>
      <c r="CA16" s="1515"/>
      <c r="CB16" s="1520"/>
      <c r="CC16" s="1521"/>
      <c r="CD16" s="1510"/>
      <c r="CE16" s="1510"/>
      <c r="CF16" s="1510"/>
      <c r="CG16" s="1511"/>
      <c r="CH16" s="24"/>
      <c r="CI16" s="24"/>
      <c r="CJ16" s="1512"/>
      <c r="CK16" s="1513"/>
      <c r="CM16" s="117" t="s">
        <v>117</v>
      </c>
      <c r="CN16" s="1515"/>
      <c r="CO16" s="1518"/>
      <c r="CP16" s="1515"/>
      <c r="CQ16" s="1520"/>
      <c r="CR16" s="1521"/>
      <c r="CS16" s="1510"/>
      <c r="CT16" s="1510"/>
      <c r="CU16" s="1510"/>
      <c r="CV16" s="1511"/>
      <c r="CW16" s="24"/>
      <c r="CX16" s="24"/>
      <c r="CY16" s="1512"/>
      <c r="CZ16" s="1513"/>
      <c r="DB16" s="117" t="s">
        <v>117</v>
      </c>
      <c r="DC16" s="1515"/>
      <c r="DD16" s="1518"/>
      <c r="DE16" s="1515"/>
      <c r="DF16" s="1520"/>
      <c r="DG16" s="1521"/>
      <c r="DH16" s="1510"/>
      <c r="DI16" s="1510"/>
      <c r="DJ16" s="1510"/>
      <c r="DK16" s="1511"/>
      <c r="DL16" s="24"/>
      <c r="DM16" s="24"/>
      <c r="DN16" s="1512"/>
      <c r="DO16" s="1513"/>
      <c r="DQ16" s="117" t="s">
        <v>117</v>
      </c>
      <c r="DR16" s="1515"/>
      <c r="DS16" s="1518"/>
      <c r="DT16" s="1515"/>
      <c r="DU16" s="1520"/>
      <c r="DV16" s="1521"/>
      <c r="DW16" s="1510"/>
      <c r="DX16" s="1510"/>
      <c r="DY16" s="1510"/>
      <c r="DZ16" s="1511"/>
      <c r="EA16" s="24"/>
      <c r="EB16" s="24"/>
      <c r="EC16" s="1512"/>
      <c r="ED16" s="1513"/>
      <c r="EF16" s="117" t="s">
        <v>117</v>
      </c>
      <c r="EG16" s="1515"/>
      <c r="EH16" s="1518"/>
      <c r="EI16" s="1515"/>
      <c r="EJ16" s="1520"/>
      <c r="EK16" s="1521"/>
      <c r="EL16" s="1510"/>
      <c r="EM16" s="1510"/>
      <c r="EN16" s="1510"/>
      <c r="EO16" s="1511"/>
      <c r="EP16" s="24"/>
      <c r="EQ16" s="24"/>
      <c r="ER16" s="1512"/>
      <c r="ES16" s="1513"/>
      <c r="EU16" s="117" t="s">
        <v>117</v>
      </c>
      <c r="EV16" s="1515"/>
      <c r="EW16" s="1518"/>
      <c r="EX16" s="1515"/>
      <c r="EY16" s="1520"/>
      <c r="EZ16" s="1521"/>
      <c r="FA16" s="1510"/>
      <c r="FB16" s="1510"/>
      <c r="FC16" s="1510"/>
      <c r="FD16" s="1511"/>
      <c r="FE16" s="24"/>
      <c r="FF16" s="24"/>
      <c r="FG16" s="1512"/>
      <c r="FH16" s="1513"/>
      <c r="FJ16" s="117" t="s">
        <v>117</v>
      </c>
      <c r="FK16" s="1515"/>
      <c r="FL16" s="1518"/>
      <c r="FM16" s="1515"/>
      <c r="FN16" s="1520"/>
      <c r="FO16" s="1521"/>
      <c r="FP16" s="1510"/>
      <c r="FQ16" s="1510"/>
      <c r="FR16" s="1510"/>
      <c r="FS16" s="1511"/>
      <c r="FT16" s="24"/>
      <c r="FU16" s="24"/>
      <c r="FV16" s="1512"/>
      <c r="FW16" s="1513"/>
    </row>
    <row r="17" spans="1:179">
      <c r="A17" s="116" t="s">
        <v>118</v>
      </c>
      <c r="B17" s="1516"/>
      <c r="C17" s="1519"/>
      <c r="D17" s="1516"/>
      <c r="E17" s="1520"/>
      <c r="F17" s="1521"/>
      <c r="G17" s="1510"/>
      <c r="H17" s="1510"/>
      <c r="I17" s="1510"/>
      <c r="J17" s="1511"/>
      <c r="K17" s="24"/>
      <c r="L17" s="24"/>
      <c r="M17" s="1512"/>
      <c r="N17" s="1513"/>
      <c r="P17" s="116" t="s">
        <v>118</v>
      </c>
      <c r="Q17" s="1516"/>
      <c r="R17" s="1519"/>
      <c r="S17" s="1516"/>
      <c r="T17" s="1520"/>
      <c r="U17" s="1521"/>
      <c r="V17" s="1510"/>
      <c r="W17" s="1510"/>
      <c r="X17" s="1510"/>
      <c r="Y17" s="1511"/>
      <c r="Z17" s="24"/>
      <c r="AA17" s="24"/>
      <c r="AB17" s="1512"/>
      <c r="AC17" s="1513"/>
      <c r="AE17" s="116" t="s">
        <v>118</v>
      </c>
      <c r="AF17" s="1516"/>
      <c r="AG17" s="1519"/>
      <c r="AH17" s="1516"/>
      <c r="AI17" s="1520"/>
      <c r="AJ17" s="1521"/>
      <c r="AK17" s="1510"/>
      <c r="AL17" s="1510"/>
      <c r="AM17" s="1510"/>
      <c r="AN17" s="1511"/>
      <c r="AO17" s="24"/>
      <c r="AP17" s="24"/>
      <c r="AQ17" s="1512"/>
      <c r="AR17" s="1513"/>
      <c r="AT17" s="116" t="s">
        <v>118</v>
      </c>
      <c r="AU17" s="1516"/>
      <c r="AV17" s="1519"/>
      <c r="AW17" s="1516"/>
      <c r="AX17" s="1520"/>
      <c r="AY17" s="1521"/>
      <c r="AZ17" s="1510"/>
      <c r="BA17" s="1510"/>
      <c r="BB17" s="1510"/>
      <c r="BC17" s="1511"/>
      <c r="BD17" s="24"/>
      <c r="BE17" s="24"/>
      <c r="BF17" s="1512"/>
      <c r="BG17" s="1513"/>
      <c r="BI17" s="116" t="s">
        <v>118</v>
      </c>
      <c r="BJ17" s="1516"/>
      <c r="BK17" s="1519"/>
      <c r="BL17" s="1516"/>
      <c r="BM17" s="1520"/>
      <c r="BN17" s="1521"/>
      <c r="BO17" s="1510"/>
      <c r="BP17" s="1510"/>
      <c r="BQ17" s="1510"/>
      <c r="BR17" s="1511"/>
      <c r="BS17" s="24"/>
      <c r="BT17" s="24"/>
      <c r="BU17" s="1512"/>
      <c r="BV17" s="1513"/>
      <c r="BX17" s="116" t="s">
        <v>118</v>
      </c>
      <c r="BY17" s="1516"/>
      <c r="BZ17" s="1519"/>
      <c r="CA17" s="1516"/>
      <c r="CB17" s="1520"/>
      <c r="CC17" s="1521"/>
      <c r="CD17" s="1510"/>
      <c r="CE17" s="1510"/>
      <c r="CF17" s="1510"/>
      <c r="CG17" s="1511"/>
      <c r="CH17" s="24"/>
      <c r="CI17" s="24"/>
      <c r="CJ17" s="1512"/>
      <c r="CK17" s="1513"/>
      <c r="CM17" s="116" t="s">
        <v>118</v>
      </c>
      <c r="CN17" s="1516"/>
      <c r="CO17" s="1519"/>
      <c r="CP17" s="1516"/>
      <c r="CQ17" s="1520"/>
      <c r="CR17" s="1521"/>
      <c r="CS17" s="1510"/>
      <c r="CT17" s="1510"/>
      <c r="CU17" s="1510"/>
      <c r="CV17" s="1511"/>
      <c r="CW17" s="24"/>
      <c r="CX17" s="24"/>
      <c r="CY17" s="1512"/>
      <c r="CZ17" s="1513"/>
      <c r="DB17" s="116" t="s">
        <v>118</v>
      </c>
      <c r="DC17" s="1516"/>
      <c r="DD17" s="1519"/>
      <c r="DE17" s="1516"/>
      <c r="DF17" s="1520"/>
      <c r="DG17" s="1521"/>
      <c r="DH17" s="1510"/>
      <c r="DI17" s="1510"/>
      <c r="DJ17" s="1510"/>
      <c r="DK17" s="1511"/>
      <c r="DL17" s="24"/>
      <c r="DM17" s="24"/>
      <c r="DN17" s="1512"/>
      <c r="DO17" s="1513"/>
      <c r="DQ17" s="116" t="s">
        <v>118</v>
      </c>
      <c r="DR17" s="1516"/>
      <c r="DS17" s="1519"/>
      <c r="DT17" s="1516"/>
      <c r="DU17" s="1520"/>
      <c r="DV17" s="1521"/>
      <c r="DW17" s="1510"/>
      <c r="DX17" s="1510"/>
      <c r="DY17" s="1510"/>
      <c r="DZ17" s="1511"/>
      <c r="EA17" s="24"/>
      <c r="EB17" s="24"/>
      <c r="EC17" s="1512"/>
      <c r="ED17" s="1513"/>
      <c r="EF17" s="116" t="s">
        <v>118</v>
      </c>
      <c r="EG17" s="1516"/>
      <c r="EH17" s="1519"/>
      <c r="EI17" s="1516"/>
      <c r="EJ17" s="1520"/>
      <c r="EK17" s="1521"/>
      <c r="EL17" s="1510"/>
      <c r="EM17" s="1510"/>
      <c r="EN17" s="1510"/>
      <c r="EO17" s="1511"/>
      <c r="EP17" s="24"/>
      <c r="EQ17" s="24"/>
      <c r="ER17" s="1512"/>
      <c r="ES17" s="1513"/>
      <c r="EU17" s="116" t="s">
        <v>118</v>
      </c>
      <c r="EV17" s="1516"/>
      <c r="EW17" s="1519"/>
      <c r="EX17" s="1516"/>
      <c r="EY17" s="1520"/>
      <c r="EZ17" s="1521"/>
      <c r="FA17" s="1510"/>
      <c r="FB17" s="1510"/>
      <c r="FC17" s="1510"/>
      <c r="FD17" s="1511"/>
      <c r="FE17" s="24"/>
      <c r="FF17" s="24"/>
      <c r="FG17" s="1512"/>
      <c r="FH17" s="1513"/>
      <c r="FJ17" s="116" t="s">
        <v>118</v>
      </c>
      <c r="FK17" s="1516"/>
      <c r="FL17" s="1519"/>
      <c r="FM17" s="1516"/>
      <c r="FN17" s="1520"/>
      <c r="FO17" s="1521"/>
      <c r="FP17" s="1510"/>
      <c r="FQ17" s="1510"/>
      <c r="FR17" s="1510"/>
      <c r="FS17" s="1511"/>
      <c r="FT17" s="24"/>
      <c r="FU17" s="24"/>
      <c r="FV17" s="1512"/>
      <c r="FW17" s="1513"/>
    </row>
    <row r="18" spans="1:179">
      <c r="A18" s="116" t="s">
        <v>119</v>
      </c>
      <c r="B18" s="111">
        <v>1</v>
      </c>
      <c r="C18" s="24"/>
      <c r="D18" s="30"/>
      <c r="E18" s="118"/>
      <c r="F18" s="118"/>
      <c r="G18" s="30"/>
      <c r="H18" s="30"/>
      <c r="I18" s="119"/>
      <c r="J18" s="119"/>
      <c r="K18" s="118"/>
      <c r="L18" s="118">
        <v>3</v>
      </c>
      <c r="M18" s="120"/>
      <c r="N18" s="121">
        <f>L18*B18</f>
        <v>3</v>
      </c>
      <c r="P18" s="116" t="s">
        <v>119</v>
      </c>
      <c r="Q18" s="111">
        <v>1</v>
      </c>
      <c r="R18" s="24"/>
      <c r="S18" s="30"/>
      <c r="T18" s="118"/>
      <c r="U18" s="118"/>
      <c r="V18" s="30"/>
      <c r="W18" s="30"/>
      <c r="X18" s="119"/>
      <c r="Y18" s="119"/>
      <c r="Z18" s="118"/>
      <c r="AA18" s="118">
        <v>3</v>
      </c>
      <c r="AB18" s="120"/>
      <c r="AC18" s="121">
        <f>AA18*Q18</f>
        <v>3</v>
      </c>
      <c r="AE18" s="116" t="s">
        <v>119</v>
      </c>
      <c r="AF18" s="111">
        <v>1</v>
      </c>
      <c r="AG18" s="24"/>
      <c r="AH18" s="30"/>
      <c r="AI18" s="118"/>
      <c r="AJ18" s="118"/>
      <c r="AK18" s="30"/>
      <c r="AL18" s="30"/>
      <c r="AM18" s="119"/>
      <c r="AN18" s="119"/>
      <c r="AO18" s="118"/>
      <c r="AP18" s="118">
        <v>3</v>
      </c>
      <c r="AQ18" s="120"/>
      <c r="AR18" s="121">
        <f>AP18*AF18</f>
        <v>3</v>
      </c>
      <c r="AT18" s="116" t="s">
        <v>119</v>
      </c>
      <c r="AU18" s="111">
        <v>1</v>
      </c>
      <c r="AV18" s="24"/>
      <c r="AW18" s="30"/>
      <c r="AX18" s="118"/>
      <c r="AY18" s="118"/>
      <c r="AZ18" s="30"/>
      <c r="BA18" s="30"/>
      <c r="BB18" s="119"/>
      <c r="BC18" s="119"/>
      <c r="BD18" s="118"/>
      <c r="BE18" s="118">
        <v>3</v>
      </c>
      <c r="BF18" s="120"/>
      <c r="BG18" s="121">
        <f>BE18*AU18</f>
        <v>3</v>
      </c>
      <c r="BI18" s="116" t="s">
        <v>119</v>
      </c>
      <c r="BJ18" s="111">
        <v>1</v>
      </c>
      <c r="BK18" s="24"/>
      <c r="BL18" s="30"/>
      <c r="BM18" s="118"/>
      <c r="BN18" s="118"/>
      <c r="BO18" s="30"/>
      <c r="BP18" s="30"/>
      <c r="BQ18" s="119"/>
      <c r="BR18" s="119"/>
      <c r="BS18" s="118"/>
      <c r="BT18" s="118">
        <v>3</v>
      </c>
      <c r="BU18" s="120"/>
      <c r="BV18" s="121">
        <f>BT18*BJ18</f>
        <v>3</v>
      </c>
      <c r="BX18" s="116" t="s">
        <v>119</v>
      </c>
      <c r="BY18" s="111">
        <v>1</v>
      </c>
      <c r="BZ18" s="24"/>
      <c r="CA18" s="30"/>
      <c r="CB18" s="118"/>
      <c r="CC18" s="118"/>
      <c r="CD18" s="30"/>
      <c r="CE18" s="30"/>
      <c r="CF18" s="119"/>
      <c r="CG18" s="119"/>
      <c r="CH18" s="118"/>
      <c r="CI18" s="118">
        <v>3</v>
      </c>
      <c r="CJ18" s="120"/>
      <c r="CK18" s="121">
        <f>CI18*BY18</f>
        <v>3</v>
      </c>
      <c r="CM18" s="116" t="s">
        <v>119</v>
      </c>
      <c r="CN18" s="111">
        <v>1</v>
      </c>
      <c r="CO18" s="24"/>
      <c r="CP18" s="30"/>
      <c r="CQ18" s="118"/>
      <c r="CR18" s="118"/>
      <c r="CS18" s="30"/>
      <c r="CT18" s="30"/>
      <c r="CU18" s="119"/>
      <c r="CV18" s="119"/>
      <c r="CW18" s="118"/>
      <c r="CX18" s="118">
        <v>3</v>
      </c>
      <c r="CY18" s="120"/>
      <c r="CZ18" s="121">
        <f>CX18*CN18</f>
        <v>3</v>
      </c>
      <c r="DB18" s="116" t="s">
        <v>119</v>
      </c>
      <c r="DC18" s="111">
        <v>1</v>
      </c>
      <c r="DD18" s="24"/>
      <c r="DE18" s="30"/>
      <c r="DF18" s="118"/>
      <c r="DG18" s="118"/>
      <c r="DH18" s="30"/>
      <c r="DI18" s="30"/>
      <c r="DJ18" s="119"/>
      <c r="DK18" s="119"/>
      <c r="DL18" s="118"/>
      <c r="DM18" s="118">
        <v>3</v>
      </c>
      <c r="DN18" s="120"/>
      <c r="DO18" s="121">
        <f>DM18*DC18</f>
        <v>3</v>
      </c>
      <c r="DQ18" s="116" t="s">
        <v>119</v>
      </c>
      <c r="DR18" s="111">
        <v>1</v>
      </c>
      <c r="DS18" s="24"/>
      <c r="DT18" s="30"/>
      <c r="DU18" s="118"/>
      <c r="DV18" s="118"/>
      <c r="DW18" s="30"/>
      <c r="DX18" s="30"/>
      <c r="DY18" s="119"/>
      <c r="DZ18" s="119"/>
      <c r="EA18" s="118"/>
      <c r="EB18" s="118">
        <v>3</v>
      </c>
      <c r="EC18" s="120"/>
      <c r="ED18" s="121">
        <f>EB18*DR18</f>
        <v>3</v>
      </c>
      <c r="EF18" s="116" t="s">
        <v>119</v>
      </c>
      <c r="EG18" s="111">
        <v>1</v>
      </c>
      <c r="EH18" s="24"/>
      <c r="EI18" s="30"/>
      <c r="EJ18" s="118"/>
      <c r="EK18" s="118"/>
      <c r="EL18" s="30"/>
      <c r="EM18" s="30"/>
      <c r="EN18" s="119"/>
      <c r="EO18" s="119"/>
      <c r="EP18" s="118"/>
      <c r="EQ18" s="118">
        <v>3</v>
      </c>
      <c r="ER18" s="120"/>
      <c r="ES18" s="121">
        <f>EQ18*EG18</f>
        <v>3</v>
      </c>
      <c r="EU18" s="116" t="s">
        <v>119</v>
      </c>
      <c r="EV18" s="111">
        <v>1</v>
      </c>
      <c r="EW18" s="24"/>
      <c r="EX18" s="30"/>
      <c r="EY18" s="118"/>
      <c r="EZ18" s="118"/>
      <c r="FA18" s="30"/>
      <c r="FB18" s="30"/>
      <c r="FC18" s="119"/>
      <c r="FD18" s="119"/>
      <c r="FE18" s="118"/>
      <c r="FF18" s="118">
        <v>3</v>
      </c>
      <c r="FG18" s="120"/>
      <c r="FH18" s="121">
        <f>FF18*EV18</f>
        <v>3</v>
      </c>
      <c r="FJ18" s="116" t="s">
        <v>119</v>
      </c>
      <c r="FK18" s="111">
        <v>1</v>
      </c>
      <c r="FL18" s="24"/>
      <c r="FM18" s="30"/>
      <c r="FN18" s="118"/>
      <c r="FO18" s="118"/>
      <c r="FP18" s="30"/>
      <c r="FQ18" s="30"/>
      <c r="FR18" s="119"/>
      <c r="FS18" s="119"/>
      <c r="FT18" s="118"/>
      <c r="FU18" s="118">
        <v>3</v>
      </c>
      <c r="FV18" s="120"/>
      <c r="FW18" s="121">
        <f>FU18*FK18</f>
        <v>3</v>
      </c>
    </row>
    <row r="19" spans="1:179">
      <c r="A19" s="116" t="s">
        <v>120</v>
      </c>
      <c r="B19" s="111">
        <v>2</v>
      </c>
      <c r="C19" s="24"/>
      <c r="D19" s="30"/>
      <c r="E19" s="30"/>
      <c r="F19" s="30"/>
      <c r="G19" s="30"/>
      <c r="H19" s="30"/>
      <c r="I19" s="119"/>
      <c r="J19" s="119"/>
      <c r="K19" s="30"/>
      <c r="L19" s="30">
        <v>3</v>
      </c>
      <c r="M19" s="119"/>
      <c r="N19" s="122">
        <v>3</v>
      </c>
      <c r="P19" s="116" t="s">
        <v>120</v>
      </c>
      <c r="Q19" s="111">
        <v>2</v>
      </c>
      <c r="R19" s="24"/>
      <c r="S19" s="30"/>
      <c r="T19" s="30"/>
      <c r="U19" s="30"/>
      <c r="V19" s="30"/>
      <c r="W19" s="30"/>
      <c r="X19" s="119"/>
      <c r="Y19" s="119"/>
      <c r="Z19" s="30"/>
      <c r="AA19" s="30">
        <v>3</v>
      </c>
      <c r="AB19" s="119"/>
      <c r="AC19" s="122">
        <v>3</v>
      </c>
      <c r="AE19" s="116" t="s">
        <v>120</v>
      </c>
      <c r="AF19" s="111">
        <v>2</v>
      </c>
      <c r="AG19" s="24"/>
      <c r="AH19" s="30"/>
      <c r="AI19" s="30"/>
      <c r="AJ19" s="30"/>
      <c r="AK19" s="30"/>
      <c r="AL19" s="30"/>
      <c r="AM19" s="119"/>
      <c r="AN19" s="119"/>
      <c r="AO19" s="30"/>
      <c r="AP19" s="30">
        <v>3</v>
      </c>
      <c r="AQ19" s="119"/>
      <c r="AR19" s="122">
        <v>3</v>
      </c>
      <c r="AT19" s="116" t="s">
        <v>120</v>
      </c>
      <c r="AU19" s="111">
        <v>2</v>
      </c>
      <c r="AV19" s="24"/>
      <c r="AW19" s="30"/>
      <c r="AX19" s="30"/>
      <c r="AY19" s="30"/>
      <c r="AZ19" s="30"/>
      <c r="BA19" s="30"/>
      <c r="BB19" s="119"/>
      <c r="BC19" s="119"/>
      <c r="BD19" s="30"/>
      <c r="BE19" s="30">
        <v>3</v>
      </c>
      <c r="BF19" s="119"/>
      <c r="BG19" s="122">
        <v>3</v>
      </c>
      <c r="BI19" s="116" t="s">
        <v>120</v>
      </c>
      <c r="BJ19" s="111">
        <v>2</v>
      </c>
      <c r="BK19" s="24"/>
      <c r="BL19" s="30"/>
      <c r="BM19" s="30"/>
      <c r="BN19" s="30"/>
      <c r="BO19" s="30"/>
      <c r="BP19" s="30"/>
      <c r="BQ19" s="119"/>
      <c r="BR19" s="119"/>
      <c r="BS19" s="30"/>
      <c r="BT19" s="30">
        <v>3</v>
      </c>
      <c r="BU19" s="119"/>
      <c r="BV19" s="122">
        <v>3</v>
      </c>
      <c r="BX19" s="116" t="s">
        <v>120</v>
      </c>
      <c r="BY19" s="111">
        <v>2</v>
      </c>
      <c r="BZ19" s="24"/>
      <c r="CA19" s="30"/>
      <c r="CB19" s="30"/>
      <c r="CC19" s="30"/>
      <c r="CD19" s="30"/>
      <c r="CE19" s="30"/>
      <c r="CF19" s="119"/>
      <c r="CG19" s="119"/>
      <c r="CH19" s="30"/>
      <c r="CI19" s="30">
        <v>3</v>
      </c>
      <c r="CJ19" s="119"/>
      <c r="CK19" s="122">
        <v>3</v>
      </c>
      <c r="CM19" s="116" t="s">
        <v>120</v>
      </c>
      <c r="CN19" s="111">
        <v>2</v>
      </c>
      <c r="CO19" s="24"/>
      <c r="CP19" s="30"/>
      <c r="CQ19" s="30"/>
      <c r="CR19" s="30"/>
      <c r="CS19" s="30"/>
      <c r="CT19" s="30"/>
      <c r="CU19" s="119"/>
      <c r="CV19" s="119"/>
      <c r="CW19" s="30"/>
      <c r="CX19" s="30">
        <v>3</v>
      </c>
      <c r="CY19" s="119"/>
      <c r="CZ19" s="122">
        <v>3</v>
      </c>
      <c r="DB19" s="116" t="s">
        <v>120</v>
      </c>
      <c r="DC19" s="111">
        <v>2</v>
      </c>
      <c r="DD19" s="24"/>
      <c r="DE19" s="30"/>
      <c r="DF19" s="30"/>
      <c r="DG19" s="30"/>
      <c r="DH19" s="30"/>
      <c r="DI19" s="30"/>
      <c r="DJ19" s="119"/>
      <c r="DK19" s="119"/>
      <c r="DL19" s="30"/>
      <c r="DM19" s="30">
        <v>3</v>
      </c>
      <c r="DN19" s="119"/>
      <c r="DO19" s="122">
        <v>3</v>
      </c>
      <c r="DQ19" s="116" t="s">
        <v>120</v>
      </c>
      <c r="DR19" s="111">
        <v>2</v>
      </c>
      <c r="DS19" s="24"/>
      <c r="DT19" s="30"/>
      <c r="DU19" s="30"/>
      <c r="DV19" s="30"/>
      <c r="DW19" s="30"/>
      <c r="DX19" s="30"/>
      <c r="DY19" s="119"/>
      <c r="DZ19" s="119"/>
      <c r="EA19" s="30"/>
      <c r="EB19" s="30">
        <v>3</v>
      </c>
      <c r="EC19" s="119"/>
      <c r="ED19" s="122">
        <v>3</v>
      </c>
      <c r="EF19" s="116" t="s">
        <v>120</v>
      </c>
      <c r="EG19" s="111">
        <v>2</v>
      </c>
      <c r="EH19" s="24"/>
      <c r="EI19" s="30"/>
      <c r="EJ19" s="30"/>
      <c r="EK19" s="30"/>
      <c r="EL19" s="30"/>
      <c r="EM19" s="30"/>
      <c r="EN19" s="119"/>
      <c r="EO19" s="119"/>
      <c r="EP19" s="30"/>
      <c r="EQ19" s="30">
        <v>3</v>
      </c>
      <c r="ER19" s="119"/>
      <c r="ES19" s="122">
        <v>3</v>
      </c>
      <c r="EU19" s="116" t="s">
        <v>120</v>
      </c>
      <c r="EV19" s="111">
        <v>2</v>
      </c>
      <c r="EW19" s="24"/>
      <c r="EX19" s="30"/>
      <c r="EY19" s="30"/>
      <c r="EZ19" s="30"/>
      <c r="FA19" s="30"/>
      <c r="FB19" s="30"/>
      <c r="FC19" s="119"/>
      <c r="FD19" s="119"/>
      <c r="FE19" s="30"/>
      <c r="FF19" s="30">
        <v>3</v>
      </c>
      <c r="FG19" s="119"/>
      <c r="FH19" s="122">
        <v>3</v>
      </c>
      <c r="FJ19" s="116" t="s">
        <v>120</v>
      </c>
      <c r="FK19" s="111">
        <v>2</v>
      </c>
      <c r="FL19" s="24"/>
      <c r="FM19" s="30"/>
      <c r="FN19" s="30"/>
      <c r="FO19" s="30"/>
      <c r="FP19" s="30"/>
      <c r="FQ19" s="30"/>
      <c r="FR19" s="119"/>
      <c r="FS19" s="119"/>
      <c r="FT19" s="30"/>
      <c r="FU19" s="30">
        <v>3</v>
      </c>
      <c r="FV19" s="119"/>
      <c r="FW19" s="122">
        <v>3</v>
      </c>
    </row>
    <row r="20" spans="1:179">
      <c r="A20" s="116" t="s">
        <v>121</v>
      </c>
      <c r="B20" s="111">
        <v>1</v>
      </c>
      <c r="C20" s="24"/>
      <c r="D20" s="30"/>
      <c r="E20" s="30"/>
      <c r="F20" s="30"/>
      <c r="G20" s="30"/>
      <c r="H20" s="30"/>
      <c r="I20" s="119"/>
      <c r="J20" s="119"/>
      <c r="K20" s="30"/>
      <c r="L20" s="30">
        <v>3</v>
      </c>
      <c r="M20" s="119"/>
      <c r="N20" s="123">
        <f>L20*B20</f>
        <v>3</v>
      </c>
      <c r="P20" s="116" t="s">
        <v>121</v>
      </c>
      <c r="Q20" s="111">
        <v>1</v>
      </c>
      <c r="R20" s="24"/>
      <c r="S20" s="30"/>
      <c r="T20" s="30"/>
      <c r="U20" s="30"/>
      <c r="V20" s="30"/>
      <c r="W20" s="30"/>
      <c r="X20" s="119"/>
      <c r="Y20" s="119"/>
      <c r="Z20" s="30"/>
      <c r="AA20" s="30">
        <v>3</v>
      </c>
      <c r="AB20" s="119"/>
      <c r="AC20" s="123">
        <f>AA20*Q20</f>
        <v>3</v>
      </c>
      <c r="AE20" s="116" t="s">
        <v>121</v>
      </c>
      <c r="AF20" s="111">
        <v>1</v>
      </c>
      <c r="AG20" s="24"/>
      <c r="AH20" s="30"/>
      <c r="AI20" s="30"/>
      <c r="AJ20" s="30"/>
      <c r="AK20" s="30"/>
      <c r="AL20" s="30"/>
      <c r="AM20" s="119"/>
      <c r="AN20" s="119"/>
      <c r="AO20" s="30"/>
      <c r="AP20" s="30">
        <v>3</v>
      </c>
      <c r="AQ20" s="119"/>
      <c r="AR20" s="123">
        <f>AP20*AF20</f>
        <v>3</v>
      </c>
      <c r="AT20" s="116" t="s">
        <v>121</v>
      </c>
      <c r="AU20" s="111">
        <v>1</v>
      </c>
      <c r="AV20" s="24"/>
      <c r="AW20" s="30"/>
      <c r="AX20" s="30"/>
      <c r="AY20" s="30"/>
      <c r="AZ20" s="30"/>
      <c r="BA20" s="30"/>
      <c r="BB20" s="119"/>
      <c r="BC20" s="119"/>
      <c r="BD20" s="30"/>
      <c r="BE20" s="30">
        <v>3</v>
      </c>
      <c r="BF20" s="119"/>
      <c r="BG20" s="123">
        <f>BE20*AU20</f>
        <v>3</v>
      </c>
      <c r="BI20" s="116" t="s">
        <v>121</v>
      </c>
      <c r="BJ20" s="111">
        <v>1</v>
      </c>
      <c r="BK20" s="24"/>
      <c r="BL20" s="30"/>
      <c r="BM20" s="30"/>
      <c r="BN20" s="30"/>
      <c r="BO20" s="30"/>
      <c r="BP20" s="30"/>
      <c r="BQ20" s="119"/>
      <c r="BR20" s="119"/>
      <c r="BS20" s="30"/>
      <c r="BT20" s="30">
        <v>3</v>
      </c>
      <c r="BU20" s="119"/>
      <c r="BV20" s="123">
        <f>BT20*BJ20</f>
        <v>3</v>
      </c>
      <c r="BX20" s="116" t="s">
        <v>121</v>
      </c>
      <c r="BY20" s="111">
        <v>1</v>
      </c>
      <c r="BZ20" s="24"/>
      <c r="CA20" s="30"/>
      <c r="CB20" s="30"/>
      <c r="CC20" s="30"/>
      <c r="CD20" s="30"/>
      <c r="CE20" s="30"/>
      <c r="CF20" s="119"/>
      <c r="CG20" s="119"/>
      <c r="CH20" s="30"/>
      <c r="CI20" s="30">
        <v>3</v>
      </c>
      <c r="CJ20" s="119"/>
      <c r="CK20" s="123">
        <f>CI20*BY20</f>
        <v>3</v>
      </c>
      <c r="CM20" s="116" t="s">
        <v>121</v>
      </c>
      <c r="CN20" s="111">
        <v>1</v>
      </c>
      <c r="CO20" s="24"/>
      <c r="CP20" s="30"/>
      <c r="CQ20" s="30"/>
      <c r="CR20" s="30"/>
      <c r="CS20" s="30"/>
      <c r="CT20" s="30"/>
      <c r="CU20" s="119"/>
      <c r="CV20" s="119"/>
      <c r="CW20" s="30"/>
      <c r="CX20" s="30">
        <v>3</v>
      </c>
      <c r="CY20" s="119"/>
      <c r="CZ20" s="123">
        <f>CX20*CN20</f>
        <v>3</v>
      </c>
      <c r="DB20" s="116" t="s">
        <v>121</v>
      </c>
      <c r="DC20" s="111">
        <v>1</v>
      </c>
      <c r="DD20" s="24"/>
      <c r="DE20" s="30"/>
      <c r="DF20" s="30"/>
      <c r="DG20" s="30"/>
      <c r="DH20" s="30"/>
      <c r="DI20" s="30"/>
      <c r="DJ20" s="119"/>
      <c r="DK20" s="119"/>
      <c r="DL20" s="30"/>
      <c r="DM20" s="30">
        <v>3</v>
      </c>
      <c r="DN20" s="119"/>
      <c r="DO20" s="123">
        <f>DM20*DC20</f>
        <v>3</v>
      </c>
      <c r="DQ20" s="116" t="s">
        <v>121</v>
      </c>
      <c r="DR20" s="111">
        <v>1</v>
      </c>
      <c r="DS20" s="24"/>
      <c r="DT20" s="30"/>
      <c r="DU20" s="30"/>
      <c r="DV20" s="30"/>
      <c r="DW20" s="30"/>
      <c r="DX20" s="30"/>
      <c r="DY20" s="119"/>
      <c r="DZ20" s="119"/>
      <c r="EA20" s="30"/>
      <c r="EB20" s="30">
        <v>3</v>
      </c>
      <c r="EC20" s="119"/>
      <c r="ED20" s="123">
        <f>EB20*DR20</f>
        <v>3</v>
      </c>
      <c r="EF20" s="116" t="s">
        <v>121</v>
      </c>
      <c r="EG20" s="111">
        <v>1</v>
      </c>
      <c r="EH20" s="24"/>
      <c r="EI20" s="30"/>
      <c r="EJ20" s="30"/>
      <c r="EK20" s="30"/>
      <c r="EL20" s="30"/>
      <c r="EM20" s="30"/>
      <c r="EN20" s="119"/>
      <c r="EO20" s="119"/>
      <c r="EP20" s="30"/>
      <c r="EQ20" s="30">
        <v>3</v>
      </c>
      <c r="ER20" s="119"/>
      <c r="ES20" s="123">
        <f>EQ20*EG20</f>
        <v>3</v>
      </c>
      <c r="EU20" s="116" t="s">
        <v>121</v>
      </c>
      <c r="EV20" s="111">
        <v>1</v>
      </c>
      <c r="EW20" s="24"/>
      <c r="EX20" s="30"/>
      <c r="EY20" s="30"/>
      <c r="EZ20" s="30"/>
      <c r="FA20" s="30"/>
      <c r="FB20" s="30"/>
      <c r="FC20" s="119"/>
      <c r="FD20" s="119"/>
      <c r="FE20" s="30"/>
      <c r="FF20" s="30">
        <v>3</v>
      </c>
      <c r="FG20" s="119"/>
      <c r="FH20" s="123">
        <f>FF20*EV20</f>
        <v>3</v>
      </c>
      <c r="FJ20" s="116" t="s">
        <v>121</v>
      </c>
      <c r="FK20" s="111">
        <v>1</v>
      </c>
      <c r="FL20" s="24"/>
      <c r="FM20" s="30"/>
      <c r="FN20" s="30"/>
      <c r="FO20" s="30"/>
      <c r="FP20" s="30"/>
      <c r="FQ20" s="30"/>
      <c r="FR20" s="119"/>
      <c r="FS20" s="119"/>
      <c r="FT20" s="30"/>
      <c r="FU20" s="30">
        <v>3</v>
      </c>
      <c r="FV20" s="119"/>
      <c r="FW20" s="123">
        <f>FU20*FK20</f>
        <v>3</v>
      </c>
    </row>
    <row r="21" spans="1:179">
      <c r="A21" s="116" t="s">
        <v>122</v>
      </c>
      <c r="B21" s="111">
        <v>2</v>
      </c>
      <c r="C21" s="24"/>
      <c r="D21" s="30"/>
      <c r="E21" s="30"/>
      <c r="F21" s="30"/>
      <c r="G21" s="30"/>
      <c r="H21" s="30"/>
      <c r="I21" s="119"/>
      <c r="J21" s="119"/>
      <c r="K21" s="30"/>
      <c r="L21" s="30">
        <v>3</v>
      </c>
      <c r="M21" s="119"/>
      <c r="N21" s="123">
        <f>L21*B21</f>
        <v>6</v>
      </c>
      <c r="P21" s="116" t="s">
        <v>122</v>
      </c>
      <c r="Q21" s="111">
        <v>2</v>
      </c>
      <c r="R21" s="24"/>
      <c r="S21" s="30"/>
      <c r="T21" s="30"/>
      <c r="U21" s="30"/>
      <c r="V21" s="30"/>
      <c r="W21" s="30"/>
      <c r="X21" s="119"/>
      <c r="Y21" s="119"/>
      <c r="Z21" s="30"/>
      <c r="AA21" s="30">
        <v>3</v>
      </c>
      <c r="AB21" s="119"/>
      <c r="AC21" s="123">
        <f>AA21*Q21</f>
        <v>6</v>
      </c>
      <c r="AE21" s="116" t="s">
        <v>122</v>
      </c>
      <c r="AF21" s="111">
        <v>2</v>
      </c>
      <c r="AG21" s="24"/>
      <c r="AH21" s="30"/>
      <c r="AI21" s="30"/>
      <c r="AJ21" s="30"/>
      <c r="AK21" s="30"/>
      <c r="AL21" s="30"/>
      <c r="AM21" s="119"/>
      <c r="AN21" s="119"/>
      <c r="AO21" s="30"/>
      <c r="AP21" s="30">
        <v>3</v>
      </c>
      <c r="AQ21" s="119"/>
      <c r="AR21" s="123">
        <f>AP21*AF21</f>
        <v>6</v>
      </c>
      <c r="AT21" s="116" t="s">
        <v>122</v>
      </c>
      <c r="AU21" s="111">
        <v>2</v>
      </c>
      <c r="AV21" s="24"/>
      <c r="AW21" s="30"/>
      <c r="AX21" s="30"/>
      <c r="AY21" s="30"/>
      <c r="AZ21" s="30"/>
      <c r="BA21" s="30"/>
      <c r="BB21" s="119"/>
      <c r="BC21" s="119"/>
      <c r="BD21" s="30"/>
      <c r="BE21" s="30">
        <v>3</v>
      </c>
      <c r="BF21" s="119"/>
      <c r="BG21" s="123">
        <f>BE21*AU21</f>
        <v>6</v>
      </c>
      <c r="BI21" s="116" t="s">
        <v>122</v>
      </c>
      <c r="BJ21" s="111">
        <v>2</v>
      </c>
      <c r="BK21" s="24"/>
      <c r="BL21" s="30"/>
      <c r="BM21" s="30"/>
      <c r="BN21" s="30"/>
      <c r="BO21" s="30"/>
      <c r="BP21" s="30"/>
      <c r="BQ21" s="119"/>
      <c r="BR21" s="119"/>
      <c r="BS21" s="30"/>
      <c r="BT21" s="30">
        <v>3</v>
      </c>
      <c r="BU21" s="119"/>
      <c r="BV21" s="123">
        <f>BT21*BJ21</f>
        <v>6</v>
      </c>
      <c r="BX21" s="116" t="s">
        <v>122</v>
      </c>
      <c r="BY21" s="111">
        <v>2</v>
      </c>
      <c r="BZ21" s="24"/>
      <c r="CA21" s="30"/>
      <c r="CB21" s="30"/>
      <c r="CC21" s="30"/>
      <c r="CD21" s="30"/>
      <c r="CE21" s="30"/>
      <c r="CF21" s="119"/>
      <c r="CG21" s="119"/>
      <c r="CH21" s="30"/>
      <c r="CI21" s="30">
        <v>3</v>
      </c>
      <c r="CJ21" s="119"/>
      <c r="CK21" s="123">
        <f>CI21*BY21</f>
        <v>6</v>
      </c>
      <c r="CM21" s="116" t="s">
        <v>122</v>
      </c>
      <c r="CN21" s="111">
        <v>2</v>
      </c>
      <c r="CO21" s="24"/>
      <c r="CP21" s="30"/>
      <c r="CQ21" s="30"/>
      <c r="CR21" s="30"/>
      <c r="CS21" s="30"/>
      <c r="CT21" s="30"/>
      <c r="CU21" s="119"/>
      <c r="CV21" s="119"/>
      <c r="CW21" s="30"/>
      <c r="CX21" s="30">
        <v>3</v>
      </c>
      <c r="CY21" s="119"/>
      <c r="CZ21" s="123">
        <f>CX21*CN21</f>
        <v>6</v>
      </c>
      <c r="DB21" s="116" t="s">
        <v>122</v>
      </c>
      <c r="DC21" s="111">
        <v>2</v>
      </c>
      <c r="DD21" s="24"/>
      <c r="DE21" s="30"/>
      <c r="DF21" s="30"/>
      <c r="DG21" s="30"/>
      <c r="DH21" s="30"/>
      <c r="DI21" s="30"/>
      <c r="DJ21" s="119"/>
      <c r="DK21" s="119"/>
      <c r="DL21" s="30"/>
      <c r="DM21" s="30">
        <v>3</v>
      </c>
      <c r="DN21" s="119"/>
      <c r="DO21" s="123">
        <f>DM21*DC21</f>
        <v>6</v>
      </c>
      <c r="DQ21" s="116" t="s">
        <v>122</v>
      </c>
      <c r="DR21" s="111">
        <v>2</v>
      </c>
      <c r="DS21" s="24"/>
      <c r="DT21" s="30"/>
      <c r="DU21" s="30"/>
      <c r="DV21" s="30"/>
      <c r="DW21" s="30"/>
      <c r="DX21" s="30"/>
      <c r="DY21" s="119"/>
      <c r="DZ21" s="119"/>
      <c r="EA21" s="30"/>
      <c r="EB21" s="30">
        <v>3</v>
      </c>
      <c r="EC21" s="119"/>
      <c r="ED21" s="123">
        <f>EB21*DR21</f>
        <v>6</v>
      </c>
      <c r="EF21" s="116" t="s">
        <v>122</v>
      </c>
      <c r="EG21" s="111">
        <v>2</v>
      </c>
      <c r="EH21" s="24"/>
      <c r="EI21" s="30"/>
      <c r="EJ21" s="30"/>
      <c r="EK21" s="30"/>
      <c r="EL21" s="30"/>
      <c r="EM21" s="30"/>
      <c r="EN21" s="119"/>
      <c r="EO21" s="119"/>
      <c r="EP21" s="30"/>
      <c r="EQ21" s="30">
        <v>3</v>
      </c>
      <c r="ER21" s="119"/>
      <c r="ES21" s="123">
        <f>EQ21*EG21</f>
        <v>6</v>
      </c>
      <c r="EU21" s="116" t="s">
        <v>122</v>
      </c>
      <c r="EV21" s="111">
        <v>2</v>
      </c>
      <c r="EW21" s="24"/>
      <c r="EX21" s="30"/>
      <c r="EY21" s="30"/>
      <c r="EZ21" s="30"/>
      <c r="FA21" s="30"/>
      <c r="FB21" s="30"/>
      <c r="FC21" s="119"/>
      <c r="FD21" s="119"/>
      <c r="FE21" s="30"/>
      <c r="FF21" s="30">
        <v>3</v>
      </c>
      <c r="FG21" s="119"/>
      <c r="FH21" s="123">
        <f>FF21*EV21</f>
        <v>6</v>
      </c>
      <c r="FJ21" s="116" t="s">
        <v>122</v>
      </c>
      <c r="FK21" s="111">
        <v>2</v>
      </c>
      <c r="FL21" s="24"/>
      <c r="FM21" s="30"/>
      <c r="FN21" s="30"/>
      <c r="FO21" s="30"/>
      <c r="FP21" s="30"/>
      <c r="FQ21" s="30"/>
      <c r="FR21" s="119"/>
      <c r="FS21" s="119"/>
      <c r="FT21" s="30"/>
      <c r="FU21" s="30">
        <v>3</v>
      </c>
      <c r="FV21" s="119"/>
      <c r="FW21" s="123">
        <f>FU21*FK21</f>
        <v>6</v>
      </c>
    </row>
    <row r="22" spans="1:179">
      <c r="A22" s="116" t="s">
        <v>123</v>
      </c>
      <c r="B22" s="111">
        <v>1</v>
      </c>
      <c r="C22" s="24"/>
      <c r="D22" s="30"/>
      <c r="E22" s="30"/>
      <c r="F22" s="30"/>
      <c r="G22" s="30"/>
      <c r="H22" s="30"/>
      <c r="I22" s="119"/>
      <c r="J22" s="119"/>
      <c r="K22" s="30"/>
      <c r="L22" s="30">
        <v>3</v>
      </c>
      <c r="M22" s="119"/>
      <c r="N22" s="123">
        <f>L22*B22</f>
        <v>3</v>
      </c>
      <c r="P22" s="116" t="s">
        <v>123</v>
      </c>
      <c r="Q22" s="111">
        <v>1</v>
      </c>
      <c r="R22" s="24"/>
      <c r="S22" s="30"/>
      <c r="T22" s="30"/>
      <c r="U22" s="30"/>
      <c r="V22" s="30"/>
      <c r="W22" s="30"/>
      <c r="X22" s="119"/>
      <c r="Y22" s="119"/>
      <c r="Z22" s="30"/>
      <c r="AA22" s="30">
        <v>3</v>
      </c>
      <c r="AB22" s="119"/>
      <c r="AC22" s="123">
        <f>AA22*Q22</f>
        <v>3</v>
      </c>
      <c r="AE22" s="116" t="s">
        <v>123</v>
      </c>
      <c r="AF22" s="111">
        <v>1</v>
      </c>
      <c r="AG22" s="24"/>
      <c r="AH22" s="30"/>
      <c r="AI22" s="30"/>
      <c r="AJ22" s="30"/>
      <c r="AK22" s="30"/>
      <c r="AL22" s="30"/>
      <c r="AM22" s="119"/>
      <c r="AN22" s="119"/>
      <c r="AO22" s="30"/>
      <c r="AP22" s="30">
        <v>3</v>
      </c>
      <c r="AQ22" s="119"/>
      <c r="AR22" s="123">
        <f>AP22*AF22</f>
        <v>3</v>
      </c>
      <c r="AT22" s="116" t="s">
        <v>123</v>
      </c>
      <c r="AU22" s="111">
        <v>1</v>
      </c>
      <c r="AV22" s="24"/>
      <c r="AW22" s="30"/>
      <c r="AX22" s="30"/>
      <c r="AY22" s="30"/>
      <c r="AZ22" s="30"/>
      <c r="BA22" s="30"/>
      <c r="BB22" s="119"/>
      <c r="BC22" s="119"/>
      <c r="BD22" s="30"/>
      <c r="BE22" s="30">
        <v>3</v>
      </c>
      <c r="BF22" s="119"/>
      <c r="BG22" s="123">
        <f>BE22*AU22</f>
        <v>3</v>
      </c>
      <c r="BI22" s="116" t="s">
        <v>123</v>
      </c>
      <c r="BJ22" s="111">
        <v>1</v>
      </c>
      <c r="BK22" s="24"/>
      <c r="BL22" s="30"/>
      <c r="BM22" s="30"/>
      <c r="BN22" s="30"/>
      <c r="BO22" s="30"/>
      <c r="BP22" s="30"/>
      <c r="BQ22" s="119"/>
      <c r="BR22" s="119"/>
      <c r="BS22" s="30"/>
      <c r="BT22" s="30">
        <v>3</v>
      </c>
      <c r="BU22" s="119"/>
      <c r="BV22" s="123">
        <f>BT22*BJ22</f>
        <v>3</v>
      </c>
      <c r="BX22" s="116" t="s">
        <v>123</v>
      </c>
      <c r="BY22" s="111">
        <v>1</v>
      </c>
      <c r="BZ22" s="24"/>
      <c r="CA22" s="30"/>
      <c r="CB22" s="30"/>
      <c r="CC22" s="30"/>
      <c r="CD22" s="30"/>
      <c r="CE22" s="30"/>
      <c r="CF22" s="119"/>
      <c r="CG22" s="119"/>
      <c r="CH22" s="30"/>
      <c r="CI22" s="30">
        <v>3</v>
      </c>
      <c r="CJ22" s="119"/>
      <c r="CK22" s="123">
        <f>CI22*BY22</f>
        <v>3</v>
      </c>
      <c r="CM22" s="116" t="s">
        <v>123</v>
      </c>
      <c r="CN22" s="111">
        <v>1</v>
      </c>
      <c r="CO22" s="24"/>
      <c r="CP22" s="30"/>
      <c r="CQ22" s="30"/>
      <c r="CR22" s="30"/>
      <c r="CS22" s="30"/>
      <c r="CT22" s="30"/>
      <c r="CU22" s="119"/>
      <c r="CV22" s="119"/>
      <c r="CW22" s="30"/>
      <c r="CX22" s="30">
        <v>3</v>
      </c>
      <c r="CY22" s="119"/>
      <c r="CZ22" s="123">
        <f>CX22*CN22</f>
        <v>3</v>
      </c>
      <c r="DB22" s="116" t="s">
        <v>123</v>
      </c>
      <c r="DC22" s="111">
        <v>1</v>
      </c>
      <c r="DD22" s="24"/>
      <c r="DE22" s="30"/>
      <c r="DF22" s="30"/>
      <c r="DG22" s="30"/>
      <c r="DH22" s="30"/>
      <c r="DI22" s="30"/>
      <c r="DJ22" s="119"/>
      <c r="DK22" s="119"/>
      <c r="DL22" s="30"/>
      <c r="DM22" s="30">
        <v>3</v>
      </c>
      <c r="DN22" s="119"/>
      <c r="DO22" s="123">
        <f>DM22*DC22</f>
        <v>3</v>
      </c>
      <c r="DQ22" s="116" t="s">
        <v>123</v>
      </c>
      <c r="DR22" s="111">
        <v>1</v>
      </c>
      <c r="DS22" s="24"/>
      <c r="DT22" s="30"/>
      <c r="DU22" s="30"/>
      <c r="DV22" s="30"/>
      <c r="DW22" s="30"/>
      <c r="DX22" s="30"/>
      <c r="DY22" s="119"/>
      <c r="DZ22" s="119"/>
      <c r="EA22" s="30"/>
      <c r="EB22" s="30">
        <v>3</v>
      </c>
      <c r="EC22" s="119"/>
      <c r="ED22" s="123">
        <f>EB22*DR22</f>
        <v>3</v>
      </c>
      <c r="EF22" s="116" t="s">
        <v>123</v>
      </c>
      <c r="EG22" s="111">
        <v>1</v>
      </c>
      <c r="EH22" s="24"/>
      <c r="EI22" s="30"/>
      <c r="EJ22" s="30"/>
      <c r="EK22" s="30"/>
      <c r="EL22" s="30"/>
      <c r="EM22" s="30"/>
      <c r="EN22" s="119"/>
      <c r="EO22" s="119"/>
      <c r="EP22" s="30"/>
      <c r="EQ22" s="30">
        <v>3</v>
      </c>
      <c r="ER22" s="119"/>
      <c r="ES22" s="123">
        <f>EQ22*EG22</f>
        <v>3</v>
      </c>
      <c r="EU22" s="116" t="s">
        <v>123</v>
      </c>
      <c r="EV22" s="111">
        <v>1</v>
      </c>
      <c r="EW22" s="24"/>
      <c r="EX22" s="30"/>
      <c r="EY22" s="30"/>
      <c r="EZ22" s="30"/>
      <c r="FA22" s="30"/>
      <c r="FB22" s="30"/>
      <c r="FC22" s="119"/>
      <c r="FD22" s="119"/>
      <c r="FE22" s="30"/>
      <c r="FF22" s="30">
        <v>3</v>
      </c>
      <c r="FG22" s="119"/>
      <c r="FH22" s="123">
        <f>FF22*EV22</f>
        <v>3</v>
      </c>
      <c r="FJ22" s="116" t="s">
        <v>123</v>
      </c>
      <c r="FK22" s="111">
        <v>1</v>
      </c>
      <c r="FL22" s="24"/>
      <c r="FM22" s="30"/>
      <c r="FN22" s="30"/>
      <c r="FO22" s="30"/>
      <c r="FP22" s="30"/>
      <c r="FQ22" s="30"/>
      <c r="FR22" s="119"/>
      <c r="FS22" s="119"/>
      <c r="FT22" s="30"/>
      <c r="FU22" s="30">
        <v>3</v>
      </c>
      <c r="FV22" s="119"/>
      <c r="FW22" s="123">
        <f>FU22*FK22</f>
        <v>3</v>
      </c>
    </row>
    <row r="23" spans="1:179">
      <c r="A23" s="116" t="s">
        <v>124</v>
      </c>
      <c r="B23" s="111">
        <v>1</v>
      </c>
      <c r="C23" s="24"/>
      <c r="D23" s="30"/>
      <c r="E23" s="30"/>
      <c r="F23" s="30"/>
      <c r="G23" s="30"/>
      <c r="H23" s="30"/>
      <c r="I23" s="119"/>
      <c r="J23" s="119"/>
      <c r="K23" s="30"/>
      <c r="L23" s="30">
        <v>3</v>
      </c>
      <c r="M23" s="119"/>
      <c r="N23" s="124">
        <v>6</v>
      </c>
      <c r="P23" s="116" t="s">
        <v>124</v>
      </c>
      <c r="Q23" s="111">
        <v>1</v>
      </c>
      <c r="R23" s="24"/>
      <c r="S23" s="30"/>
      <c r="T23" s="30"/>
      <c r="U23" s="30"/>
      <c r="V23" s="30"/>
      <c r="W23" s="30"/>
      <c r="X23" s="119"/>
      <c r="Y23" s="119"/>
      <c r="Z23" s="30"/>
      <c r="AA23" s="30">
        <v>3</v>
      </c>
      <c r="AB23" s="119"/>
      <c r="AC23" s="124">
        <v>6</v>
      </c>
      <c r="AE23" s="116" t="s">
        <v>124</v>
      </c>
      <c r="AF23" s="111">
        <v>1</v>
      </c>
      <c r="AG23" s="24"/>
      <c r="AH23" s="30"/>
      <c r="AI23" s="30"/>
      <c r="AJ23" s="30"/>
      <c r="AK23" s="30"/>
      <c r="AL23" s="30"/>
      <c r="AM23" s="119"/>
      <c r="AN23" s="119"/>
      <c r="AO23" s="30"/>
      <c r="AP23" s="30">
        <v>3</v>
      </c>
      <c r="AQ23" s="119"/>
      <c r="AR23" s="124">
        <v>6</v>
      </c>
      <c r="AT23" s="116" t="s">
        <v>124</v>
      </c>
      <c r="AU23" s="111">
        <v>1</v>
      </c>
      <c r="AV23" s="24"/>
      <c r="AW23" s="30"/>
      <c r="AX23" s="30"/>
      <c r="AY23" s="30"/>
      <c r="AZ23" s="30"/>
      <c r="BA23" s="30"/>
      <c r="BB23" s="119"/>
      <c r="BC23" s="119"/>
      <c r="BD23" s="30"/>
      <c r="BE23" s="30">
        <v>3</v>
      </c>
      <c r="BF23" s="119"/>
      <c r="BG23" s="124">
        <v>6</v>
      </c>
      <c r="BI23" s="116" t="s">
        <v>124</v>
      </c>
      <c r="BJ23" s="111">
        <v>1</v>
      </c>
      <c r="BK23" s="24"/>
      <c r="BL23" s="30"/>
      <c r="BM23" s="30"/>
      <c r="BN23" s="30"/>
      <c r="BO23" s="30"/>
      <c r="BP23" s="30"/>
      <c r="BQ23" s="119"/>
      <c r="BR23" s="119"/>
      <c r="BS23" s="30"/>
      <c r="BT23" s="30">
        <v>3</v>
      </c>
      <c r="BU23" s="119"/>
      <c r="BV23" s="124">
        <v>6</v>
      </c>
      <c r="BX23" s="116" t="s">
        <v>124</v>
      </c>
      <c r="BY23" s="111">
        <v>1</v>
      </c>
      <c r="BZ23" s="24"/>
      <c r="CA23" s="30"/>
      <c r="CB23" s="30"/>
      <c r="CC23" s="30"/>
      <c r="CD23" s="30"/>
      <c r="CE23" s="30"/>
      <c r="CF23" s="119"/>
      <c r="CG23" s="119"/>
      <c r="CH23" s="30"/>
      <c r="CI23" s="30">
        <v>3</v>
      </c>
      <c r="CJ23" s="119"/>
      <c r="CK23" s="124">
        <v>6</v>
      </c>
      <c r="CM23" s="116" t="s">
        <v>124</v>
      </c>
      <c r="CN23" s="111">
        <v>1</v>
      </c>
      <c r="CO23" s="24"/>
      <c r="CP23" s="30"/>
      <c r="CQ23" s="30"/>
      <c r="CR23" s="30"/>
      <c r="CS23" s="30"/>
      <c r="CT23" s="30"/>
      <c r="CU23" s="119"/>
      <c r="CV23" s="119"/>
      <c r="CW23" s="30"/>
      <c r="CX23" s="30">
        <v>3</v>
      </c>
      <c r="CY23" s="119"/>
      <c r="CZ23" s="124">
        <v>6</v>
      </c>
      <c r="DB23" s="116" t="s">
        <v>124</v>
      </c>
      <c r="DC23" s="111">
        <v>1</v>
      </c>
      <c r="DD23" s="24"/>
      <c r="DE23" s="30"/>
      <c r="DF23" s="30"/>
      <c r="DG23" s="30"/>
      <c r="DH23" s="30"/>
      <c r="DI23" s="30"/>
      <c r="DJ23" s="119"/>
      <c r="DK23" s="119"/>
      <c r="DL23" s="30"/>
      <c r="DM23" s="30">
        <v>3</v>
      </c>
      <c r="DN23" s="119"/>
      <c r="DO23" s="124">
        <v>6</v>
      </c>
      <c r="DQ23" s="116" t="s">
        <v>124</v>
      </c>
      <c r="DR23" s="111">
        <v>1</v>
      </c>
      <c r="DS23" s="24"/>
      <c r="DT23" s="30"/>
      <c r="DU23" s="30"/>
      <c r="DV23" s="30"/>
      <c r="DW23" s="30"/>
      <c r="DX23" s="30"/>
      <c r="DY23" s="119"/>
      <c r="DZ23" s="119"/>
      <c r="EA23" s="30"/>
      <c r="EB23" s="30">
        <v>3</v>
      </c>
      <c r="EC23" s="119"/>
      <c r="ED23" s="124">
        <v>6</v>
      </c>
      <c r="EF23" s="116" t="s">
        <v>124</v>
      </c>
      <c r="EG23" s="111">
        <v>1</v>
      </c>
      <c r="EH23" s="24"/>
      <c r="EI23" s="30"/>
      <c r="EJ23" s="30"/>
      <c r="EK23" s="30"/>
      <c r="EL23" s="30"/>
      <c r="EM23" s="30"/>
      <c r="EN23" s="119"/>
      <c r="EO23" s="119"/>
      <c r="EP23" s="30"/>
      <c r="EQ23" s="30">
        <v>3</v>
      </c>
      <c r="ER23" s="119"/>
      <c r="ES23" s="124">
        <v>6</v>
      </c>
      <c r="EU23" s="116" t="s">
        <v>124</v>
      </c>
      <c r="EV23" s="111">
        <v>1</v>
      </c>
      <c r="EW23" s="24"/>
      <c r="EX23" s="30"/>
      <c r="EY23" s="30"/>
      <c r="EZ23" s="30"/>
      <c r="FA23" s="30"/>
      <c r="FB23" s="30"/>
      <c r="FC23" s="119"/>
      <c r="FD23" s="119"/>
      <c r="FE23" s="30"/>
      <c r="FF23" s="30">
        <v>3</v>
      </c>
      <c r="FG23" s="119"/>
      <c r="FH23" s="124">
        <v>6</v>
      </c>
      <c r="FJ23" s="116" t="s">
        <v>124</v>
      </c>
      <c r="FK23" s="111">
        <v>1</v>
      </c>
      <c r="FL23" s="24"/>
      <c r="FM23" s="30"/>
      <c r="FN23" s="30"/>
      <c r="FO23" s="30"/>
      <c r="FP23" s="30"/>
      <c r="FQ23" s="30"/>
      <c r="FR23" s="119"/>
      <c r="FS23" s="119"/>
      <c r="FT23" s="30"/>
      <c r="FU23" s="30">
        <v>3</v>
      </c>
      <c r="FV23" s="119"/>
      <c r="FW23" s="124">
        <v>6</v>
      </c>
    </row>
    <row r="24" spans="1:179">
      <c r="A24" s="116" t="s">
        <v>125</v>
      </c>
      <c r="B24" s="111">
        <v>1</v>
      </c>
      <c r="C24" s="24"/>
      <c r="D24" s="30"/>
      <c r="E24" s="30"/>
      <c r="F24" s="30"/>
      <c r="G24" s="30"/>
      <c r="H24" s="30"/>
      <c r="I24" s="119"/>
      <c r="J24" s="119"/>
      <c r="K24" s="30"/>
      <c r="L24" s="30">
        <v>3</v>
      </c>
      <c r="M24" s="119"/>
      <c r="N24" s="123">
        <f>L24*B24</f>
        <v>3</v>
      </c>
      <c r="P24" s="116" t="s">
        <v>125</v>
      </c>
      <c r="Q24" s="111">
        <v>1</v>
      </c>
      <c r="R24" s="24"/>
      <c r="S24" s="30"/>
      <c r="T24" s="30"/>
      <c r="U24" s="30"/>
      <c r="V24" s="30"/>
      <c r="W24" s="30"/>
      <c r="X24" s="119"/>
      <c r="Y24" s="119"/>
      <c r="Z24" s="30"/>
      <c r="AA24" s="30">
        <v>3</v>
      </c>
      <c r="AB24" s="119"/>
      <c r="AC24" s="123">
        <f>AA24*Q24</f>
        <v>3</v>
      </c>
      <c r="AE24" s="116" t="s">
        <v>125</v>
      </c>
      <c r="AF24" s="111">
        <v>1</v>
      </c>
      <c r="AG24" s="24"/>
      <c r="AH24" s="30"/>
      <c r="AI24" s="30"/>
      <c r="AJ24" s="30"/>
      <c r="AK24" s="30"/>
      <c r="AL24" s="30"/>
      <c r="AM24" s="119"/>
      <c r="AN24" s="119"/>
      <c r="AO24" s="30"/>
      <c r="AP24" s="30">
        <v>3</v>
      </c>
      <c r="AQ24" s="119"/>
      <c r="AR24" s="123">
        <f>AP24*AF24</f>
        <v>3</v>
      </c>
      <c r="AT24" s="116" t="s">
        <v>125</v>
      </c>
      <c r="AU24" s="111">
        <v>1</v>
      </c>
      <c r="AV24" s="24"/>
      <c r="AW24" s="30"/>
      <c r="AX24" s="30"/>
      <c r="AY24" s="30"/>
      <c r="AZ24" s="30"/>
      <c r="BA24" s="30"/>
      <c r="BB24" s="119"/>
      <c r="BC24" s="119"/>
      <c r="BD24" s="30"/>
      <c r="BE24" s="30">
        <v>3</v>
      </c>
      <c r="BF24" s="119"/>
      <c r="BG24" s="123">
        <f>BE24*AU24</f>
        <v>3</v>
      </c>
      <c r="BI24" s="116" t="s">
        <v>125</v>
      </c>
      <c r="BJ24" s="111">
        <v>1</v>
      </c>
      <c r="BK24" s="24"/>
      <c r="BL24" s="30"/>
      <c r="BM24" s="30"/>
      <c r="BN24" s="30"/>
      <c r="BO24" s="30"/>
      <c r="BP24" s="30"/>
      <c r="BQ24" s="119"/>
      <c r="BR24" s="119"/>
      <c r="BS24" s="30"/>
      <c r="BT24" s="30">
        <v>3</v>
      </c>
      <c r="BU24" s="119"/>
      <c r="BV24" s="123">
        <f>BT24*BJ24</f>
        <v>3</v>
      </c>
      <c r="BX24" s="116" t="s">
        <v>125</v>
      </c>
      <c r="BY24" s="111">
        <v>1</v>
      </c>
      <c r="BZ24" s="24"/>
      <c r="CA24" s="30"/>
      <c r="CB24" s="30"/>
      <c r="CC24" s="30"/>
      <c r="CD24" s="30"/>
      <c r="CE24" s="30"/>
      <c r="CF24" s="119"/>
      <c r="CG24" s="119"/>
      <c r="CH24" s="30"/>
      <c r="CI24" s="30">
        <v>3</v>
      </c>
      <c r="CJ24" s="119"/>
      <c r="CK24" s="123">
        <f>CI24*BY24</f>
        <v>3</v>
      </c>
      <c r="CM24" s="116" t="s">
        <v>125</v>
      </c>
      <c r="CN24" s="111">
        <v>1</v>
      </c>
      <c r="CO24" s="24"/>
      <c r="CP24" s="30"/>
      <c r="CQ24" s="30"/>
      <c r="CR24" s="30"/>
      <c r="CS24" s="30"/>
      <c r="CT24" s="30"/>
      <c r="CU24" s="119"/>
      <c r="CV24" s="119"/>
      <c r="CW24" s="30"/>
      <c r="CX24" s="30">
        <v>3</v>
      </c>
      <c r="CY24" s="119"/>
      <c r="CZ24" s="123">
        <f>CX24*CN24</f>
        <v>3</v>
      </c>
      <c r="DB24" s="116" t="s">
        <v>125</v>
      </c>
      <c r="DC24" s="111">
        <v>1</v>
      </c>
      <c r="DD24" s="24"/>
      <c r="DE24" s="30"/>
      <c r="DF24" s="30"/>
      <c r="DG24" s="30"/>
      <c r="DH24" s="30"/>
      <c r="DI24" s="30"/>
      <c r="DJ24" s="119"/>
      <c r="DK24" s="119"/>
      <c r="DL24" s="30"/>
      <c r="DM24" s="30">
        <v>3</v>
      </c>
      <c r="DN24" s="119"/>
      <c r="DO24" s="123">
        <f>DM24*DC24</f>
        <v>3</v>
      </c>
      <c r="DQ24" s="116" t="s">
        <v>125</v>
      </c>
      <c r="DR24" s="111">
        <v>1</v>
      </c>
      <c r="DS24" s="24"/>
      <c r="DT24" s="30"/>
      <c r="DU24" s="30"/>
      <c r="DV24" s="30"/>
      <c r="DW24" s="30"/>
      <c r="DX24" s="30"/>
      <c r="DY24" s="119"/>
      <c r="DZ24" s="119"/>
      <c r="EA24" s="30"/>
      <c r="EB24" s="30">
        <v>3</v>
      </c>
      <c r="EC24" s="119"/>
      <c r="ED24" s="123">
        <f>EB24*DR24</f>
        <v>3</v>
      </c>
      <c r="EF24" s="116" t="s">
        <v>125</v>
      </c>
      <c r="EG24" s="111">
        <v>1</v>
      </c>
      <c r="EH24" s="24"/>
      <c r="EI24" s="30"/>
      <c r="EJ24" s="30"/>
      <c r="EK24" s="30"/>
      <c r="EL24" s="30"/>
      <c r="EM24" s="30"/>
      <c r="EN24" s="119"/>
      <c r="EO24" s="119"/>
      <c r="EP24" s="30"/>
      <c r="EQ24" s="30">
        <v>3</v>
      </c>
      <c r="ER24" s="119"/>
      <c r="ES24" s="123">
        <f>EQ24*EG24</f>
        <v>3</v>
      </c>
      <c r="EU24" s="116" t="s">
        <v>125</v>
      </c>
      <c r="EV24" s="111">
        <v>1</v>
      </c>
      <c r="EW24" s="24"/>
      <c r="EX24" s="30"/>
      <c r="EY24" s="30"/>
      <c r="EZ24" s="30"/>
      <c r="FA24" s="30"/>
      <c r="FB24" s="30"/>
      <c r="FC24" s="119"/>
      <c r="FD24" s="119"/>
      <c r="FE24" s="30"/>
      <c r="FF24" s="30">
        <v>3</v>
      </c>
      <c r="FG24" s="119"/>
      <c r="FH24" s="123">
        <f>FF24*EV24</f>
        <v>3</v>
      </c>
      <c r="FJ24" s="116" t="s">
        <v>125</v>
      </c>
      <c r="FK24" s="111">
        <v>1</v>
      </c>
      <c r="FL24" s="24"/>
      <c r="FM24" s="30"/>
      <c r="FN24" s="30"/>
      <c r="FO24" s="30"/>
      <c r="FP24" s="30"/>
      <c r="FQ24" s="30"/>
      <c r="FR24" s="119"/>
      <c r="FS24" s="119"/>
      <c r="FT24" s="30"/>
      <c r="FU24" s="30">
        <v>3</v>
      </c>
      <c r="FV24" s="119"/>
      <c r="FW24" s="123">
        <f>FU24*FK24</f>
        <v>3</v>
      </c>
    </row>
    <row r="25" spans="1:179" ht="26">
      <c r="A25" s="116" t="s">
        <v>126</v>
      </c>
      <c r="B25" s="111">
        <v>1</v>
      </c>
      <c r="C25" s="125"/>
      <c r="D25" s="125"/>
      <c r="E25" s="125"/>
      <c r="F25" s="125"/>
      <c r="I25" s="100"/>
      <c r="J25" s="100"/>
      <c r="K25" s="125"/>
      <c r="M25" s="100"/>
      <c r="N25" s="126">
        <f>SUM(N8:N24)</f>
        <v>476.5</v>
      </c>
      <c r="P25" s="116" t="s">
        <v>126</v>
      </c>
      <c r="Q25" s="111">
        <v>1</v>
      </c>
      <c r="R25" s="125"/>
      <c r="S25" s="125"/>
      <c r="T25" s="125"/>
      <c r="U25" s="125"/>
      <c r="X25" s="100"/>
      <c r="Y25" s="100"/>
      <c r="Z25" s="125"/>
      <c r="AB25" s="100"/>
      <c r="AC25" s="126">
        <f>SUM(AC8:AC24)</f>
        <v>326</v>
      </c>
      <c r="AE25" s="116" t="s">
        <v>126</v>
      </c>
      <c r="AF25" s="111">
        <v>1</v>
      </c>
      <c r="AG25" s="125"/>
      <c r="AH25" s="125"/>
      <c r="AI25" s="125"/>
      <c r="AJ25" s="125"/>
      <c r="AM25" s="100"/>
      <c r="AN25" s="100"/>
      <c r="AO25" s="125"/>
      <c r="AQ25" s="100"/>
      <c r="AR25" s="126">
        <f>SUM(AR8:AR24)</f>
        <v>284</v>
      </c>
      <c r="AT25" s="116" t="s">
        <v>126</v>
      </c>
      <c r="AU25" s="111">
        <v>1</v>
      </c>
      <c r="AV25" s="125"/>
      <c r="AW25" s="125"/>
      <c r="AX25" s="125"/>
      <c r="AY25" s="125"/>
      <c r="BB25" s="100"/>
      <c r="BC25" s="100"/>
      <c r="BD25" s="125"/>
      <c r="BF25" s="100"/>
      <c r="BG25" s="126">
        <f>SUM(BG8:BG24)</f>
        <v>376</v>
      </c>
      <c r="BI25" s="116" t="s">
        <v>126</v>
      </c>
      <c r="BJ25" s="111">
        <v>1</v>
      </c>
      <c r="BK25" s="125"/>
      <c r="BL25" s="125"/>
      <c r="BM25" s="125"/>
      <c r="BN25" s="125"/>
      <c r="BQ25" s="100"/>
      <c r="BR25" s="100"/>
      <c r="BS25" s="125"/>
      <c r="BU25" s="100"/>
      <c r="BV25" s="126">
        <f>SUM(BV8:BV24)</f>
        <v>604</v>
      </c>
      <c r="BX25" s="116" t="s">
        <v>126</v>
      </c>
      <c r="BY25" s="111">
        <v>1</v>
      </c>
      <c r="BZ25" s="125"/>
      <c r="CA25" s="125"/>
      <c r="CB25" s="125"/>
      <c r="CC25" s="125"/>
      <c r="CF25" s="100"/>
      <c r="CG25" s="100"/>
      <c r="CH25" s="125"/>
      <c r="CJ25" s="100"/>
      <c r="CK25" s="126">
        <f>SUM(CK8:CK24)</f>
        <v>362</v>
      </c>
      <c r="CM25" s="116" t="s">
        <v>126</v>
      </c>
      <c r="CN25" s="111">
        <v>1</v>
      </c>
      <c r="CO25" s="125"/>
      <c r="CP25" s="125"/>
      <c r="CQ25" s="125"/>
      <c r="CR25" s="125"/>
      <c r="CU25" s="100"/>
      <c r="CV25" s="100"/>
      <c r="CW25" s="125"/>
      <c r="CY25" s="100"/>
      <c r="CZ25" s="126">
        <f>SUM(CZ8:CZ24)</f>
        <v>345.5</v>
      </c>
      <c r="DB25" s="116" t="s">
        <v>126</v>
      </c>
      <c r="DC25" s="111">
        <v>1</v>
      </c>
      <c r="DD25" s="125"/>
      <c r="DE25" s="125"/>
      <c r="DF25" s="125"/>
      <c r="DG25" s="125"/>
      <c r="DJ25" s="100"/>
      <c r="DK25" s="100"/>
      <c r="DL25" s="125"/>
      <c r="DN25" s="100"/>
      <c r="DO25" s="126">
        <f>SUM(DO8:DO24)</f>
        <v>275</v>
      </c>
      <c r="DQ25" s="116" t="s">
        <v>126</v>
      </c>
      <c r="DR25" s="111">
        <v>1</v>
      </c>
      <c r="DS25" s="125"/>
      <c r="DT25" s="125"/>
      <c r="DU25" s="125"/>
      <c r="DV25" s="125"/>
      <c r="DY25" s="100"/>
      <c r="DZ25" s="100"/>
      <c r="EA25" s="125"/>
      <c r="EC25" s="100"/>
      <c r="ED25" s="126">
        <f>SUM(ED8:ED24)</f>
        <v>208.5</v>
      </c>
      <c r="EF25" s="116" t="s">
        <v>126</v>
      </c>
      <c r="EG25" s="111">
        <v>1</v>
      </c>
      <c r="EH25" s="125"/>
      <c r="EI25" s="125"/>
      <c r="EJ25" s="125"/>
      <c r="EK25" s="125"/>
      <c r="EN25" s="100"/>
      <c r="EO25" s="100"/>
      <c r="EP25" s="125"/>
      <c r="ER25" s="100"/>
      <c r="ES25" s="126">
        <f>SUM(ES8:ES24)</f>
        <v>201</v>
      </c>
      <c r="EU25" s="116" t="s">
        <v>126</v>
      </c>
      <c r="EV25" s="111">
        <v>1</v>
      </c>
      <c r="EW25" s="125"/>
      <c r="EX25" s="125"/>
      <c r="EY25" s="125"/>
      <c r="EZ25" s="125"/>
      <c r="FC25" s="100"/>
      <c r="FD25" s="100"/>
      <c r="FE25" s="125"/>
      <c r="FG25" s="100"/>
      <c r="FH25" s="126">
        <f>SUM(FH8:FH24)</f>
        <v>213</v>
      </c>
      <c r="FJ25" s="116" t="s">
        <v>126</v>
      </c>
      <c r="FK25" s="111">
        <v>1</v>
      </c>
      <c r="FL25" s="125"/>
      <c r="FM25" s="125"/>
      <c r="FN25" s="125"/>
      <c r="FO25" s="125"/>
      <c r="FR25" s="100"/>
      <c r="FS25" s="100"/>
      <c r="FT25" s="125"/>
      <c r="FV25" s="100"/>
      <c r="FW25" s="126">
        <f>SUM(FW8:FW24)</f>
        <v>237</v>
      </c>
    </row>
    <row r="26" spans="1:179">
      <c r="DO26">
        <f>24+6</f>
        <v>30</v>
      </c>
    </row>
    <row r="27" spans="1:179">
      <c r="DO27" s="128">
        <f>SUM(DO25:DO26)</f>
        <v>305</v>
      </c>
    </row>
    <row r="30" spans="1:179">
      <c r="A30" s="127">
        <v>45748</v>
      </c>
      <c r="B30" s="128">
        <f>N25</f>
        <v>476.5</v>
      </c>
      <c r="J30" t="s">
        <v>368</v>
      </c>
      <c r="K30">
        <v>2</v>
      </c>
    </row>
    <row r="31" spans="1:179">
      <c r="A31" s="127">
        <v>45778</v>
      </c>
      <c r="B31" s="128">
        <f>AC25</f>
        <v>326</v>
      </c>
      <c r="D31" t="s">
        <v>371</v>
      </c>
      <c r="G31" t="s">
        <v>377</v>
      </c>
      <c r="H31" t="s">
        <v>378</v>
      </c>
      <c r="J31" t="s">
        <v>369</v>
      </c>
      <c r="K31">
        <v>2</v>
      </c>
    </row>
    <row r="32" spans="1:179">
      <c r="A32" s="127">
        <v>45809</v>
      </c>
      <c r="B32" s="128">
        <f>AR25</f>
        <v>284</v>
      </c>
      <c r="D32" t="s">
        <v>372</v>
      </c>
      <c r="G32" t="s">
        <v>379</v>
      </c>
      <c r="J32" t="s">
        <v>370</v>
      </c>
    </row>
    <row r="33" spans="1:7">
      <c r="A33" s="127">
        <v>45839</v>
      </c>
      <c r="B33" s="128">
        <f>BG25</f>
        <v>376</v>
      </c>
      <c r="D33" t="s">
        <v>373</v>
      </c>
      <c r="G33" t="s">
        <v>380</v>
      </c>
    </row>
    <row r="34" spans="1:7">
      <c r="A34" s="127">
        <v>45870</v>
      </c>
      <c r="B34" s="128">
        <f>BV25</f>
        <v>604</v>
      </c>
      <c r="D34" t="s">
        <v>374</v>
      </c>
      <c r="G34" t="s">
        <v>382</v>
      </c>
    </row>
    <row r="35" spans="1:7">
      <c r="A35" s="127">
        <v>45901</v>
      </c>
      <c r="B35" s="128">
        <f>CK25</f>
        <v>362</v>
      </c>
      <c r="D35" t="s">
        <v>375</v>
      </c>
      <c r="G35" t="s">
        <v>377</v>
      </c>
    </row>
    <row r="36" spans="1:7">
      <c r="A36" s="127">
        <v>45931</v>
      </c>
      <c r="B36" s="128">
        <f>CZ25</f>
        <v>345.5</v>
      </c>
      <c r="D36" t="s">
        <v>376</v>
      </c>
      <c r="G36" t="s">
        <v>379</v>
      </c>
    </row>
    <row r="37" spans="1:7">
      <c r="A37" s="127">
        <v>45962</v>
      </c>
      <c r="B37" s="128">
        <f>DO25</f>
        <v>275</v>
      </c>
      <c r="D37" t="s">
        <v>381</v>
      </c>
      <c r="G37" t="s">
        <v>380</v>
      </c>
    </row>
    <row r="38" spans="1:7">
      <c r="A38" s="127">
        <v>45992</v>
      </c>
      <c r="B38" s="128">
        <f>ED25</f>
        <v>208.5</v>
      </c>
    </row>
    <row r="39" spans="1:7">
      <c r="A39" s="127">
        <v>46023</v>
      </c>
      <c r="B39" s="128">
        <f>ES25</f>
        <v>201</v>
      </c>
    </row>
    <row r="40" spans="1:7">
      <c r="A40" s="127">
        <v>46054</v>
      </c>
      <c r="B40" s="128">
        <f>FH25</f>
        <v>213</v>
      </c>
    </row>
    <row r="41" spans="1:7">
      <c r="A41" s="127">
        <v>46082</v>
      </c>
      <c r="B41" s="128">
        <f>FW25</f>
        <v>237</v>
      </c>
    </row>
  </sheetData>
  <mergeCells count="132">
    <mergeCell ref="H14:H17"/>
    <mergeCell ref="I14:I17"/>
    <mergeCell ref="J14:J17"/>
    <mergeCell ref="M14:M17"/>
    <mergeCell ref="N14:N17"/>
    <mergeCell ref="Q14:Q17"/>
    <mergeCell ref="B14:B17"/>
    <mergeCell ref="C14:C17"/>
    <mergeCell ref="D14:D17"/>
    <mergeCell ref="E14:E17"/>
    <mergeCell ref="F14:F17"/>
    <mergeCell ref="G14:G17"/>
    <mergeCell ref="X14:X17"/>
    <mergeCell ref="Y14:Y17"/>
    <mergeCell ref="AB14:AB17"/>
    <mergeCell ref="AC14:AC17"/>
    <mergeCell ref="AF14:AF17"/>
    <mergeCell ref="AG14:AG17"/>
    <mergeCell ref="R14:R17"/>
    <mergeCell ref="S14:S17"/>
    <mergeCell ref="T14:T17"/>
    <mergeCell ref="U14:U17"/>
    <mergeCell ref="V14:V17"/>
    <mergeCell ref="W14:W17"/>
    <mergeCell ref="AN14:AN17"/>
    <mergeCell ref="AQ14:AQ17"/>
    <mergeCell ref="AR14:AR17"/>
    <mergeCell ref="AU14:AU17"/>
    <mergeCell ref="AV14:AV17"/>
    <mergeCell ref="AW14:AW17"/>
    <mergeCell ref="AH14:AH17"/>
    <mergeCell ref="AI14:AI17"/>
    <mergeCell ref="AJ14:AJ17"/>
    <mergeCell ref="AK14:AK17"/>
    <mergeCell ref="AL14:AL17"/>
    <mergeCell ref="AM14:AM17"/>
    <mergeCell ref="BF14:BF17"/>
    <mergeCell ref="BG14:BG17"/>
    <mergeCell ref="BJ14:BJ17"/>
    <mergeCell ref="BK14:BK17"/>
    <mergeCell ref="BL14:BL17"/>
    <mergeCell ref="BM14:BM17"/>
    <mergeCell ref="AX14:AX17"/>
    <mergeCell ref="AY14:AY17"/>
    <mergeCell ref="AZ14:AZ17"/>
    <mergeCell ref="BA14:BA17"/>
    <mergeCell ref="BB14:BB17"/>
    <mergeCell ref="BC14:BC17"/>
    <mergeCell ref="BV14:BV17"/>
    <mergeCell ref="BY14:BY17"/>
    <mergeCell ref="BZ14:BZ17"/>
    <mergeCell ref="CA14:CA17"/>
    <mergeCell ref="CB14:CB17"/>
    <mergeCell ref="CC14:CC17"/>
    <mergeCell ref="BN14:BN17"/>
    <mergeCell ref="BO14:BO17"/>
    <mergeCell ref="BP14:BP17"/>
    <mergeCell ref="BQ14:BQ17"/>
    <mergeCell ref="BR14:BR17"/>
    <mergeCell ref="BU14:BU17"/>
    <mergeCell ref="CN14:CN17"/>
    <mergeCell ref="CO14:CO17"/>
    <mergeCell ref="CP14:CP17"/>
    <mergeCell ref="CQ14:CQ17"/>
    <mergeCell ref="CR14:CR17"/>
    <mergeCell ref="CS14:CS17"/>
    <mergeCell ref="CD14:CD17"/>
    <mergeCell ref="CE14:CE17"/>
    <mergeCell ref="CF14:CF17"/>
    <mergeCell ref="CG14:CG17"/>
    <mergeCell ref="CJ14:CJ17"/>
    <mergeCell ref="CK14:CK17"/>
    <mergeCell ref="DD14:DD17"/>
    <mergeCell ref="DE14:DE17"/>
    <mergeCell ref="DF14:DF17"/>
    <mergeCell ref="DG14:DG17"/>
    <mergeCell ref="DH14:DH17"/>
    <mergeCell ref="DI14:DI17"/>
    <mergeCell ref="CT14:CT17"/>
    <mergeCell ref="CU14:CU17"/>
    <mergeCell ref="CV14:CV17"/>
    <mergeCell ref="CY14:CY17"/>
    <mergeCell ref="CZ14:CZ17"/>
    <mergeCell ref="DC14:DC17"/>
    <mergeCell ref="DT14:DT17"/>
    <mergeCell ref="DU14:DU17"/>
    <mergeCell ref="DV14:DV17"/>
    <mergeCell ref="DW14:DW17"/>
    <mergeCell ref="DX14:DX17"/>
    <mergeCell ref="DY14:DY17"/>
    <mergeCell ref="DJ14:DJ17"/>
    <mergeCell ref="DK14:DK17"/>
    <mergeCell ref="DN14:DN17"/>
    <mergeCell ref="DO14:DO17"/>
    <mergeCell ref="DR14:DR17"/>
    <mergeCell ref="DS14:DS17"/>
    <mergeCell ref="EJ14:EJ17"/>
    <mergeCell ref="EK14:EK17"/>
    <mergeCell ref="EL14:EL17"/>
    <mergeCell ref="EM14:EM17"/>
    <mergeCell ref="EN14:EN17"/>
    <mergeCell ref="EO14:EO17"/>
    <mergeCell ref="DZ14:DZ17"/>
    <mergeCell ref="EC14:EC17"/>
    <mergeCell ref="ED14:ED17"/>
    <mergeCell ref="EG14:EG17"/>
    <mergeCell ref="EH14:EH17"/>
    <mergeCell ref="EI14:EI17"/>
    <mergeCell ref="EZ14:EZ17"/>
    <mergeCell ref="FA14:FA17"/>
    <mergeCell ref="FB14:FB17"/>
    <mergeCell ref="FC14:FC17"/>
    <mergeCell ref="FD14:FD17"/>
    <mergeCell ref="FG14:FG17"/>
    <mergeCell ref="ER14:ER17"/>
    <mergeCell ref="ES14:ES17"/>
    <mergeCell ref="EV14:EV17"/>
    <mergeCell ref="EW14:EW17"/>
    <mergeCell ref="EX14:EX17"/>
    <mergeCell ref="EY14:EY17"/>
    <mergeCell ref="FP14:FP17"/>
    <mergeCell ref="FQ14:FQ17"/>
    <mergeCell ref="FR14:FR17"/>
    <mergeCell ref="FS14:FS17"/>
    <mergeCell ref="FV14:FV17"/>
    <mergeCell ref="FW14:FW17"/>
    <mergeCell ref="FH14:FH17"/>
    <mergeCell ref="FK14:FK17"/>
    <mergeCell ref="FL14:FL17"/>
    <mergeCell ref="FM14:FM17"/>
    <mergeCell ref="FN14:FN17"/>
    <mergeCell ref="FO14:FO17"/>
  </mergeCell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52"/>
  <sheetViews>
    <sheetView topLeftCell="A9" workbookViewId="0">
      <selection activeCell="O2" sqref="O2"/>
    </sheetView>
  </sheetViews>
  <sheetFormatPr defaultRowHeight="14.5"/>
  <cols>
    <col min="2" max="2" width="26.26953125" bestFit="1" customWidth="1"/>
    <col min="3" max="3" width="15.26953125" bestFit="1" customWidth="1"/>
    <col min="15" max="15" width="19.81640625" bestFit="1" customWidth="1"/>
    <col min="16" max="16" width="21.7265625" bestFit="1" customWidth="1"/>
  </cols>
  <sheetData>
    <row r="1" spans="1:16">
      <c r="A1" t="s">
        <v>1042</v>
      </c>
    </row>
    <row r="2" spans="1:16">
      <c r="B2" s="13"/>
      <c r="C2" s="731" t="s">
        <v>1043</v>
      </c>
      <c r="D2" s="731" t="s">
        <v>1044</v>
      </c>
      <c r="E2" s="132" t="s">
        <v>1045</v>
      </c>
      <c r="F2" s="731" t="s">
        <v>1046</v>
      </c>
      <c r="G2" s="731" t="s">
        <v>1047</v>
      </c>
      <c r="H2" s="731" t="s">
        <v>1048</v>
      </c>
      <c r="I2" s="731" t="s">
        <v>99</v>
      </c>
      <c r="O2" t="s">
        <v>206</v>
      </c>
      <c r="P2" t="s">
        <v>1071</v>
      </c>
    </row>
    <row r="3" spans="1:16">
      <c r="B3" s="132" t="s">
        <v>1049</v>
      </c>
      <c r="C3" s="10">
        <f>300000-C4</f>
        <v>264000</v>
      </c>
      <c r="D3" s="10">
        <f>C3/30</f>
        <v>8800</v>
      </c>
      <c r="E3" s="6">
        <v>1.8</v>
      </c>
      <c r="F3" s="10">
        <f>D3/E3</f>
        <v>4888.8888888888887</v>
      </c>
      <c r="G3" s="43">
        <f>F3*30</f>
        <v>146666.66666666666</v>
      </c>
      <c r="H3" s="13">
        <v>4</v>
      </c>
      <c r="I3" s="308">
        <f>D3/3.98</f>
        <v>2211.0552763819096</v>
      </c>
      <c r="P3" t="s">
        <v>134</v>
      </c>
    </row>
    <row r="4" spans="1:16">
      <c r="B4" s="132" t="s">
        <v>1050</v>
      </c>
      <c r="C4" s="10">
        <v>36000</v>
      </c>
      <c r="D4" s="10">
        <f>C4/30</f>
        <v>1200</v>
      </c>
      <c r="E4" s="6">
        <f>0.4*0.6</f>
        <v>0.24</v>
      </c>
      <c r="F4" s="10">
        <f>D4/E4</f>
        <v>5000</v>
      </c>
      <c r="G4" s="43">
        <f>F4*30</f>
        <v>150000</v>
      </c>
      <c r="H4" s="13">
        <v>7</v>
      </c>
      <c r="I4" s="308">
        <f>D4/3.98</f>
        <v>301.5075376884422</v>
      </c>
      <c r="P4" t="s">
        <v>122</v>
      </c>
    </row>
    <row r="5" spans="1:16">
      <c r="B5" s="132" t="s">
        <v>1051</v>
      </c>
      <c r="C5" s="10"/>
      <c r="D5" s="10"/>
      <c r="E5" s="6"/>
      <c r="F5" s="10"/>
      <c r="G5" s="43">
        <f>F5*30</f>
        <v>0</v>
      </c>
      <c r="H5" s="13">
        <v>7</v>
      </c>
      <c r="I5" s="308">
        <f>D5/3.98</f>
        <v>0</v>
      </c>
      <c r="P5" t="s">
        <v>144</v>
      </c>
    </row>
    <row r="6" spans="1:16">
      <c r="B6" s="132" t="s">
        <v>1052</v>
      </c>
      <c r="C6" s="10"/>
      <c r="D6" s="10"/>
      <c r="E6" s="6"/>
      <c r="F6" s="10"/>
      <c r="G6" s="43">
        <f>F6*30</f>
        <v>0</v>
      </c>
      <c r="H6" s="13">
        <v>7</v>
      </c>
      <c r="I6" s="308">
        <f>D6/3.98</f>
        <v>0</v>
      </c>
    </row>
    <row r="7" spans="1:16">
      <c r="B7" s="132" t="s">
        <v>482</v>
      </c>
      <c r="C7" s="10"/>
      <c r="D7" s="10"/>
      <c r="E7" s="6"/>
      <c r="F7" s="10"/>
      <c r="G7" s="43">
        <f>F7*30</f>
        <v>0</v>
      </c>
      <c r="H7" s="13">
        <v>7</v>
      </c>
      <c r="I7" s="308">
        <f>D7/3.98</f>
        <v>0</v>
      </c>
      <c r="O7" t="s">
        <v>1072</v>
      </c>
      <c r="P7" t="s">
        <v>462</v>
      </c>
    </row>
    <row r="8" spans="1:16">
      <c r="B8" s="132" t="s">
        <v>91</v>
      </c>
      <c r="C8" s="10">
        <f>SUM(C3:C7)</f>
        <v>300000</v>
      </c>
      <c r="D8" s="10">
        <f>SUM(D3:D7)</f>
        <v>10000</v>
      </c>
      <c r="E8" s="13"/>
      <c r="F8" s="10"/>
      <c r="G8" s="10">
        <f>SUM(G3:G7)</f>
        <v>296666.66666666663</v>
      </c>
      <c r="H8" s="13"/>
      <c r="I8" s="10">
        <f>SUM(I3:I7)</f>
        <v>2512.562814070352</v>
      </c>
      <c r="P8" t="s">
        <v>134</v>
      </c>
    </row>
    <row r="9" spans="1:16">
      <c r="B9" s="13"/>
      <c r="C9" s="13"/>
      <c r="D9" s="308">
        <f>(D3+D4)/3.8</f>
        <v>2631.5789473684213</v>
      </c>
      <c r="E9" s="13" t="s">
        <v>99</v>
      </c>
      <c r="F9" s="13"/>
      <c r="G9" s="13"/>
      <c r="H9" s="13"/>
      <c r="I9" s="13"/>
    </row>
    <row r="10" spans="1:16">
      <c r="B10" s="13"/>
      <c r="C10" s="13"/>
      <c r="D10" s="308">
        <f>(D5+D6)/3.8</f>
        <v>0</v>
      </c>
      <c r="E10" s="13" t="s">
        <v>99</v>
      </c>
      <c r="F10" s="13"/>
      <c r="G10" s="13"/>
      <c r="H10" s="13"/>
      <c r="I10" s="13"/>
      <c r="O10" t="s">
        <v>1073</v>
      </c>
      <c r="P10" t="s">
        <v>462</v>
      </c>
    </row>
    <row r="11" spans="1:16">
      <c r="P11" t="s">
        <v>134</v>
      </c>
    </row>
    <row r="12" spans="1:16" ht="43.5">
      <c r="B12" s="731" t="s">
        <v>1053</v>
      </c>
      <c r="C12" s="731" t="s">
        <v>100</v>
      </c>
      <c r="D12" s="731" t="s">
        <v>101</v>
      </c>
      <c r="E12" s="731" t="s">
        <v>1054</v>
      </c>
      <c r="F12" s="732" t="s">
        <v>1046</v>
      </c>
      <c r="G12" s="732" t="s">
        <v>1055</v>
      </c>
      <c r="H12" s="732" t="s">
        <v>1056</v>
      </c>
      <c r="I12" s="732" t="s">
        <v>1057</v>
      </c>
    </row>
    <row r="13" spans="1:16">
      <c r="B13" s="733" t="s">
        <v>109</v>
      </c>
      <c r="C13" s="734">
        <f>9*60*24*0.7</f>
        <v>9072</v>
      </c>
      <c r="D13" s="735" t="s">
        <v>99</v>
      </c>
      <c r="E13" s="736" t="s">
        <v>276</v>
      </c>
      <c r="F13" s="10">
        <f>(C13*4)/0.4</f>
        <v>90720</v>
      </c>
      <c r="G13" s="10">
        <f>SUM(D4:D7)/3.8</f>
        <v>315.78947368421052</v>
      </c>
      <c r="H13" s="308">
        <f t="shared" ref="H13:H20" si="0">G13/C13</f>
        <v>3.4809245335561123E-2</v>
      </c>
      <c r="I13" s="308">
        <f>SUM(H13:H14)</f>
        <v>0.29007704446300941</v>
      </c>
      <c r="K13">
        <f>2*3</f>
        <v>6</v>
      </c>
      <c r="O13" t="s">
        <v>208</v>
      </c>
      <c r="P13" t="s">
        <v>462</v>
      </c>
    </row>
    <row r="14" spans="1:16">
      <c r="B14" s="733" t="s">
        <v>109</v>
      </c>
      <c r="C14" s="734">
        <f>9*60*24*0.7</f>
        <v>9072</v>
      </c>
      <c r="D14" s="735" t="s">
        <v>99</v>
      </c>
      <c r="E14" s="736" t="s">
        <v>92</v>
      </c>
      <c r="F14" s="10">
        <f>(C14*4)/1.8</f>
        <v>20160</v>
      </c>
      <c r="G14" s="10">
        <f>D3/3.8</f>
        <v>2315.7894736842109</v>
      </c>
      <c r="H14" s="308">
        <f t="shared" si="0"/>
        <v>0.25526779912744829</v>
      </c>
      <c r="I14" s="308"/>
      <c r="P14" t="s">
        <v>134</v>
      </c>
    </row>
    <row r="15" spans="1:16">
      <c r="B15" s="737" t="s">
        <v>110</v>
      </c>
      <c r="C15" s="738">
        <f>(7*60*24*0.8)</f>
        <v>8064</v>
      </c>
      <c r="D15" s="589" t="s">
        <v>99</v>
      </c>
      <c r="E15" s="396" t="s">
        <v>276</v>
      </c>
      <c r="F15" s="10">
        <f>(C15*4)/0.4</f>
        <v>80640</v>
      </c>
      <c r="G15" s="10">
        <f>(((D4*70%)+(D5)+(D7))/3.8)*H4</f>
        <v>1547.3684210526317</v>
      </c>
      <c r="H15" s="308">
        <f t="shared" si="0"/>
        <v>0.19188596491228072</v>
      </c>
      <c r="I15" s="308">
        <f>SUM(H15:H16)</f>
        <v>1.3405910609857981</v>
      </c>
      <c r="K15">
        <f>2*2*3</f>
        <v>12</v>
      </c>
    </row>
    <row r="16" spans="1:16">
      <c r="B16" s="737" t="s">
        <v>110</v>
      </c>
      <c r="C16" s="738">
        <f>(7*60*24*0.8)</f>
        <v>8064</v>
      </c>
      <c r="D16" s="589" t="s">
        <v>99</v>
      </c>
      <c r="E16" s="396" t="s">
        <v>92</v>
      </c>
      <c r="F16" s="10">
        <f>(C16*4)/1.8</f>
        <v>17920</v>
      </c>
      <c r="G16" s="10">
        <f>(D3/3.8)*H3</f>
        <v>9263.1578947368434</v>
      </c>
      <c r="H16" s="308">
        <f t="shared" si="0"/>
        <v>1.1487050960735172</v>
      </c>
      <c r="I16" s="308"/>
      <c r="O16" t="s">
        <v>1074</v>
      </c>
      <c r="P16" t="s">
        <v>369</v>
      </c>
    </row>
    <row r="17" spans="2:16">
      <c r="B17" s="739" t="s">
        <v>111</v>
      </c>
      <c r="C17" s="740">
        <f>10*60*24*0.8</f>
        <v>11520</v>
      </c>
      <c r="D17" s="735" t="s">
        <v>97</v>
      </c>
      <c r="E17" s="736" t="s">
        <v>276</v>
      </c>
      <c r="F17" s="10">
        <f>C17</f>
        <v>11520</v>
      </c>
      <c r="G17" s="10">
        <f>(F4*0.8)+F5+(F7*0.8)</f>
        <v>4000</v>
      </c>
      <c r="H17" s="308">
        <f t="shared" si="0"/>
        <v>0.34722222222222221</v>
      </c>
      <c r="I17" s="308">
        <f>SUM(H17:H18)</f>
        <v>0.84233539094650189</v>
      </c>
      <c r="K17">
        <f>1*3*3</f>
        <v>9</v>
      </c>
      <c r="P17" t="s">
        <v>134</v>
      </c>
    </row>
    <row r="18" spans="2:16">
      <c r="B18" s="739" t="s">
        <v>111</v>
      </c>
      <c r="C18" s="740">
        <f>6*60*24*0.8</f>
        <v>6912</v>
      </c>
      <c r="D18" s="735" t="s">
        <v>97</v>
      </c>
      <c r="E18" s="736" t="s">
        <v>92</v>
      </c>
      <c r="F18" s="10">
        <f>C18</f>
        <v>6912</v>
      </c>
      <c r="G18" s="10">
        <f>+F3*0.7</f>
        <v>3422.2222222222217</v>
      </c>
      <c r="H18" s="308">
        <f t="shared" si="0"/>
        <v>0.49511316872427974</v>
      </c>
      <c r="I18" s="308"/>
      <c r="P18" t="s">
        <v>738</v>
      </c>
    </row>
    <row r="19" spans="2:16">
      <c r="B19" s="396" t="s">
        <v>1058</v>
      </c>
      <c r="C19" s="741">
        <f>216*24*0.8</f>
        <v>4147.2</v>
      </c>
      <c r="D19" s="589" t="s">
        <v>97</v>
      </c>
      <c r="E19" s="396" t="s">
        <v>276</v>
      </c>
      <c r="F19" s="10">
        <f>C19</f>
        <v>4147.2</v>
      </c>
      <c r="G19" s="10">
        <f>F6+(F4*0.3)+(F7*0.2)+(F4*0.2)</f>
        <v>2500</v>
      </c>
      <c r="H19" s="308">
        <f t="shared" si="0"/>
        <v>0.60281635802469136</v>
      </c>
      <c r="I19" s="308">
        <f>SUM(H19:H20)</f>
        <v>1.3985339506172838</v>
      </c>
      <c r="K19">
        <f>2*7*3</f>
        <v>42</v>
      </c>
    </row>
    <row r="20" spans="2:16">
      <c r="B20" s="396" t="s">
        <v>1058</v>
      </c>
      <c r="C20" s="741">
        <f>96*24*0.8</f>
        <v>1843.2</v>
      </c>
      <c r="D20" s="589" t="s">
        <v>97</v>
      </c>
      <c r="E20" s="396" t="s">
        <v>92</v>
      </c>
      <c r="F20" s="10">
        <f>C20</f>
        <v>1843.2</v>
      </c>
      <c r="G20" s="10">
        <f>F3*30%</f>
        <v>1466.6666666666665</v>
      </c>
      <c r="H20" s="308">
        <f t="shared" si="0"/>
        <v>0.79571759259259245</v>
      </c>
      <c r="I20" s="308"/>
      <c r="O20" t="s">
        <v>1075</v>
      </c>
      <c r="P20" t="s">
        <v>729</v>
      </c>
    </row>
    <row r="21" spans="2:16">
      <c r="B21" s="742"/>
      <c r="C21" s="740"/>
      <c r="D21" s="735"/>
      <c r="E21" s="736"/>
      <c r="F21" s="10"/>
      <c r="G21" s="10"/>
      <c r="H21" s="13"/>
      <c r="I21" s="13"/>
      <c r="P21" t="s">
        <v>134</v>
      </c>
    </row>
    <row r="22" spans="2:16">
      <c r="B22" s="743" t="s">
        <v>1059</v>
      </c>
      <c r="C22" s="741"/>
      <c r="D22" s="589"/>
      <c r="E22" s="396"/>
      <c r="F22" s="10"/>
      <c r="G22" s="10"/>
      <c r="H22" s="13"/>
      <c r="I22" s="13"/>
    </row>
    <row r="23" spans="2:16">
      <c r="B23" s="744" t="s">
        <v>113</v>
      </c>
      <c r="C23" s="745">
        <f>500*3</f>
        <v>1500</v>
      </c>
      <c r="D23" s="746" t="s">
        <v>97</v>
      </c>
      <c r="E23" s="747" t="s">
        <v>1060</v>
      </c>
      <c r="F23" s="10">
        <f>C23</f>
        <v>1500</v>
      </c>
      <c r="G23" s="10">
        <f>F4+F5+(F7*0.5)</f>
        <v>5000</v>
      </c>
      <c r="H23" s="308">
        <f>G23/C23</f>
        <v>3.3333333333333335</v>
      </c>
      <c r="I23" s="308">
        <f>SUM(H23:H26)</f>
        <v>5.7777777777777777</v>
      </c>
      <c r="K23" s="41">
        <f>4*1*3</f>
        <v>12</v>
      </c>
      <c r="O23" t="s">
        <v>1076</v>
      </c>
      <c r="P23" t="s">
        <v>729</v>
      </c>
    </row>
    <row r="24" spans="2:16">
      <c r="B24" s="744" t="s">
        <v>113</v>
      </c>
      <c r="C24" s="745">
        <v>900</v>
      </c>
      <c r="D24" s="746" t="s">
        <v>97</v>
      </c>
      <c r="E24" s="747" t="s">
        <v>1061</v>
      </c>
      <c r="F24" s="10">
        <f>C24</f>
        <v>900</v>
      </c>
      <c r="G24" s="10">
        <f>F6</f>
        <v>0</v>
      </c>
      <c r="H24" s="308">
        <f>G24/C24</f>
        <v>0</v>
      </c>
      <c r="I24" s="308"/>
      <c r="P24" t="s">
        <v>134</v>
      </c>
    </row>
    <row r="25" spans="2:16">
      <c r="B25" s="744" t="s">
        <v>113</v>
      </c>
      <c r="C25" s="748">
        <v>600</v>
      </c>
      <c r="D25" s="746" t="s">
        <v>97</v>
      </c>
      <c r="E25" s="747" t="s">
        <v>92</v>
      </c>
      <c r="F25" s="10">
        <f>C25</f>
        <v>600</v>
      </c>
      <c r="G25" s="10">
        <f>F3*30%</f>
        <v>1466.6666666666665</v>
      </c>
      <c r="H25" s="308">
        <f>G25/C25</f>
        <v>2.4444444444444442</v>
      </c>
      <c r="I25" s="308"/>
      <c r="K25" s="41">
        <f>3*2*3</f>
        <v>18</v>
      </c>
    </row>
    <row r="26" spans="2:16">
      <c r="B26" s="749" t="s">
        <v>1062</v>
      </c>
      <c r="C26" s="748" t="s">
        <v>1063</v>
      </c>
      <c r="D26" s="746"/>
      <c r="E26" s="747"/>
      <c r="F26" s="10"/>
      <c r="G26" s="10"/>
      <c r="H26" s="13"/>
      <c r="I26" s="13"/>
      <c r="O26" t="s">
        <v>1077</v>
      </c>
      <c r="P26" t="s">
        <v>729</v>
      </c>
    </row>
    <row r="27" spans="2:16">
      <c r="B27" s="737" t="s">
        <v>1064</v>
      </c>
      <c r="C27" s="738">
        <v>3000</v>
      </c>
      <c r="D27" s="589" t="s">
        <v>97</v>
      </c>
      <c r="E27" s="396" t="s">
        <v>92</v>
      </c>
      <c r="F27" s="10">
        <f t="shared" ref="F27:F31" si="1">C27</f>
        <v>3000</v>
      </c>
      <c r="G27" s="10">
        <f>F3*0.7+(F7*0.5)</f>
        <v>3422.2222222222217</v>
      </c>
      <c r="H27" s="308">
        <f t="shared" ref="H27:H31" si="2">G27/C27</f>
        <v>1.1407407407407406</v>
      </c>
      <c r="I27" s="308">
        <f>H27</f>
        <v>1.1407407407407406</v>
      </c>
      <c r="K27" s="39">
        <f>I27*7*3</f>
        <v>23.955555555555552</v>
      </c>
      <c r="P27" t="s">
        <v>134</v>
      </c>
    </row>
    <row r="28" spans="2:16">
      <c r="B28" s="744" t="s">
        <v>114</v>
      </c>
      <c r="C28" s="745">
        <v>5400</v>
      </c>
      <c r="D28" s="746" t="s">
        <v>97</v>
      </c>
      <c r="E28" s="747" t="s">
        <v>276</v>
      </c>
      <c r="F28" s="10">
        <f t="shared" si="1"/>
        <v>5400</v>
      </c>
      <c r="G28" s="10">
        <f>SUM(F4:F7)</f>
        <v>5000</v>
      </c>
      <c r="H28" s="308">
        <f t="shared" si="2"/>
        <v>0.92592592592592593</v>
      </c>
      <c r="I28" s="308">
        <f>SUM(H28:H29)</f>
        <v>4.1851851851851851</v>
      </c>
      <c r="K28">
        <f>5*1*3</f>
        <v>15</v>
      </c>
      <c r="P28" t="s">
        <v>122</v>
      </c>
    </row>
    <row r="29" spans="2:16">
      <c r="B29" s="744" t="s">
        <v>114</v>
      </c>
      <c r="C29" s="746">
        <v>1500</v>
      </c>
      <c r="D29" s="746" t="s">
        <v>97</v>
      </c>
      <c r="E29" s="747" t="s">
        <v>92</v>
      </c>
      <c r="F29" s="10">
        <f t="shared" si="1"/>
        <v>1500</v>
      </c>
      <c r="G29" s="10">
        <f>F3</f>
        <v>4888.8888888888887</v>
      </c>
      <c r="H29" s="308">
        <f t="shared" si="2"/>
        <v>3.2592592592592591</v>
      </c>
      <c r="I29" s="308"/>
    </row>
    <row r="30" spans="2:16">
      <c r="B30" s="750" t="s">
        <v>770</v>
      </c>
      <c r="C30" s="595">
        <v>3000</v>
      </c>
      <c r="D30" s="589" t="s">
        <v>97</v>
      </c>
      <c r="E30" s="396" t="s">
        <v>276</v>
      </c>
      <c r="F30" s="10">
        <f t="shared" si="1"/>
        <v>3000</v>
      </c>
      <c r="G30" s="10">
        <f>SUM(F4:F7)</f>
        <v>5000</v>
      </c>
      <c r="H30" s="308">
        <f t="shared" si="2"/>
        <v>1.6666666666666667</v>
      </c>
      <c r="I30" s="308">
        <f>SUM(H30:H31)</f>
        <v>5.4113475177304968</v>
      </c>
      <c r="K30">
        <f>5*12*3</f>
        <v>180</v>
      </c>
      <c r="O30" t="s">
        <v>763</v>
      </c>
      <c r="P30" t="s">
        <v>729</v>
      </c>
    </row>
    <row r="31" spans="2:16">
      <c r="B31" s="750" t="s">
        <v>770</v>
      </c>
      <c r="C31" s="751">
        <f>2350/1.8</f>
        <v>1305.5555555555554</v>
      </c>
      <c r="D31" s="589" t="s">
        <v>97</v>
      </c>
      <c r="E31" s="396" t="s">
        <v>92</v>
      </c>
      <c r="F31" s="10">
        <f t="shared" si="1"/>
        <v>1305.5555555555554</v>
      </c>
      <c r="G31" s="10">
        <f>F3</f>
        <v>4888.8888888888887</v>
      </c>
      <c r="H31" s="308">
        <f t="shared" si="2"/>
        <v>3.7446808510638299</v>
      </c>
      <c r="I31" s="308"/>
    </row>
    <row r="32" spans="2:16">
      <c r="K32" s="40">
        <f>SUM(K13:K31)</f>
        <v>317.95555555555552</v>
      </c>
      <c r="O32" t="s">
        <v>1078</v>
      </c>
      <c r="P32" t="s">
        <v>755</v>
      </c>
    </row>
    <row r="33" spans="10:16">
      <c r="J33" t="s">
        <v>1065</v>
      </c>
      <c r="K33">
        <v>2</v>
      </c>
      <c r="P33" t="s">
        <v>756</v>
      </c>
    </row>
    <row r="34" spans="10:16">
      <c r="J34" t="s">
        <v>1066</v>
      </c>
      <c r="K34">
        <v>3</v>
      </c>
      <c r="P34" t="s">
        <v>1079</v>
      </c>
    </row>
    <row r="35" spans="10:16">
      <c r="J35" t="s">
        <v>1067</v>
      </c>
      <c r="K35">
        <v>3</v>
      </c>
      <c r="P35" t="s">
        <v>1080</v>
      </c>
    </row>
    <row r="36" spans="10:16">
      <c r="J36" t="s">
        <v>120</v>
      </c>
      <c r="K36">
        <v>3</v>
      </c>
      <c r="P36" t="s">
        <v>769</v>
      </c>
    </row>
    <row r="37" spans="10:16">
      <c r="J37" t="s">
        <v>1068</v>
      </c>
      <c r="K37">
        <v>3</v>
      </c>
      <c r="P37" t="s">
        <v>122</v>
      </c>
    </row>
    <row r="38" spans="10:16">
      <c r="J38" t="s">
        <v>1069</v>
      </c>
      <c r="K38">
        <v>3</v>
      </c>
      <c r="P38" t="s">
        <v>120</v>
      </c>
    </row>
    <row r="39" spans="10:16">
      <c r="J39" t="s">
        <v>1070</v>
      </c>
      <c r="K39">
        <f>4*3</f>
        <v>12</v>
      </c>
    </row>
    <row r="40" spans="10:16">
      <c r="J40" t="s">
        <v>780</v>
      </c>
      <c r="K40">
        <v>4</v>
      </c>
      <c r="O40" t="s">
        <v>118</v>
      </c>
      <c r="P40" t="s">
        <v>144</v>
      </c>
    </row>
    <row r="41" spans="10:16">
      <c r="J41" t="s">
        <v>215</v>
      </c>
      <c r="K41">
        <v>3</v>
      </c>
      <c r="P41" t="s">
        <v>122</v>
      </c>
    </row>
    <row r="42" spans="10:16">
      <c r="J42" t="s">
        <v>125</v>
      </c>
      <c r="K42">
        <v>9</v>
      </c>
    </row>
    <row r="43" spans="10:16">
      <c r="K43" s="40">
        <f>SUM(K32:K42)</f>
        <v>362.95555555555552</v>
      </c>
      <c r="O43" t="s">
        <v>785</v>
      </c>
      <c r="P43" t="s">
        <v>122</v>
      </c>
    </row>
    <row r="44" spans="10:16">
      <c r="P44" t="s">
        <v>1081</v>
      </c>
    </row>
    <row r="45" spans="10:16">
      <c r="P45" t="s">
        <v>134</v>
      </c>
    </row>
    <row r="47" spans="10:16">
      <c r="O47" t="s">
        <v>780</v>
      </c>
      <c r="P47" t="s">
        <v>781</v>
      </c>
    </row>
    <row r="48" spans="10:16">
      <c r="P48" t="s">
        <v>121</v>
      </c>
    </row>
    <row r="50" spans="16:16">
      <c r="P50" t="s">
        <v>215</v>
      </c>
    </row>
    <row r="51" spans="16:16">
      <c r="P51" t="s">
        <v>1082</v>
      </c>
    </row>
    <row r="52" spans="16:16">
      <c r="P52" t="s">
        <v>125</v>
      </c>
    </row>
  </sheetData>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69"/>
  <sheetViews>
    <sheetView topLeftCell="F173" workbookViewId="0">
      <selection activeCell="D191" sqref="D191:O191"/>
    </sheetView>
  </sheetViews>
  <sheetFormatPr defaultRowHeight="14.5"/>
  <cols>
    <col min="1" max="1" width="26.7265625" bestFit="1" customWidth="1"/>
    <col min="2" max="2" width="21.7265625" bestFit="1" customWidth="1"/>
    <col min="3" max="3" width="23.1796875" bestFit="1" customWidth="1"/>
    <col min="4" max="6" width="11.81640625" bestFit="1" customWidth="1"/>
    <col min="7" max="7" width="12.6328125" bestFit="1" customWidth="1"/>
    <col min="8" max="17" width="11.81640625" bestFit="1" customWidth="1"/>
    <col min="18" max="18" width="12.1796875" bestFit="1" customWidth="1"/>
    <col min="19" max="19" width="11.1796875" bestFit="1" customWidth="1"/>
    <col min="20" max="21" width="9.7265625" bestFit="1" customWidth="1"/>
    <col min="22" max="32" width="6.26953125" bestFit="1" customWidth="1"/>
    <col min="33" max="33" width="4.36328125" bestFit="1" customWidth="1"/>
    <col min="34" max="39" width="12.54296875" bestFit="1" customWidth="1"/>
    <col min="40" max="40" width="14.26953125" bestFit="1" customWidth="1"/>
    <col min="41" max="41" width="12.54296875" bestFit="1" customWidth="1"/>
  </cols>
  <sheetData>
    <row r="1" spans="1:19">
      <c r="D1" t="s">
        <v>217</v>
      </c>
      <c r="E1">
        <v>30</v>
      </c>
      <c r="F1">
        <f>31</f>
        <v>31</v>
      </c>
      <c r="G1">
        <v>30</v>
      </c>
      <c r="H1">
        <v>31</v>
      </c>
      <c r="I1">
        <f>31</f>
        <v>31</v>
      </c>
      <c r="J1">
        <v>30</v>
      </c>
      <c r="K1">
        <f>31</f>
        <v>31</v>
      </c>
      <c r="L1">
        <v>30</v>
      </c>
      <c r="M1">
        <f>31</f>
        <v>31</v>
      </c>
      <c r="N1">
        <f>31</f>
        <v>31</v>
      </c>
      <c r="O1">
        <v>28</v>
      </c>
      <c r="P1">
        <f>31</f>
        <v>31</v>
      </c>
    </row>
    <row r="2" spans="1:19" ht="15" thickBot="1">
      <c r="A2" s="19"/>
      <c r="B2" s="19"/>
      <c r="C2" s="19"/>
      <c r="D2" s="19"/>
      <c r="E2" s="19"/>
      <c r="F2" s="19"/>
      <c r="G2" s="19"/>
      <c r="H2" s="19"/>
      <c r="I2" s="19"/>
      <c r="J2" s="19"/>
      <c r="K2" s="19"/>
      <c r="L2" s="19"/>
      <c r="M2" s="19"/>
      <c r="N2" s="19"/>
      <c r="O2" s="19"/>
      <c r="P2" s="19"/>
      <c r="Q2" s="19"/>
      <c r="R2" s="19"/>
    </row>
    <row r="3" spans="1:19" ht="15" thickBot="1">
      <c r="A3" s="153" t="s">
        <v>1</v>
      </c>
      <c r="B3" s="153" t="s">
        <v>218</v>
      </c>
      <c r="C3" s="153" t="s">
        <v>219</v>
      </c>
      <c r="D3" s="153" t="s">
        <v>220</v>
      </c>
      <c r="E3" s="619">
        <v>46113</v>
      </c>
      <c r="F3" s="619">
        <v>46143</v>
      </c>
      <c r="G3" s="619">
        <v>46174</v>
      </c>
      <c r="H3" s="619">
        <v>46204</v>
      </c>
      <c r="I3" s="619">
        <v>46235</v>
      </c>
      <c r="J3" s="619">
        <v>46266</v>
      </c>
      <c r="K3" s="619">
        <v>46296</v>
      </c>
      <c r="L3" s="619">
        <v>46327</v>
      </c>
      <c r="M3" s="619">
        <v>46357</v>
      </c>
      <c r="N3" s="619">
        <v>46388</v>
      </c>
      <c r="O3" s="619">
        <v>46419</v>
      </c>
      <c r="P3" s="619">
        <v>46447</v>
      </c>
      <c r="Q3" s="19" t="s">
        <v>91</v>
      </c>
      <c r="R3" s="19" t="s">
        <v>221</v>
      </c>
    </row>
    <row r="4" spans="1:19" hidden="1">
      <c r="A4" s="1522" t="s">
        <v>18</v>
      </c>
      <c r="B4" s="19" t="s">
        <v>222</v>
      </c>
      <c r="C4" s="19" t="s">
        <v>223</v>
      </c>
      <c r="D4" s="19" t="s">
        <v>224</v>
      </c>
      <c r="E4" s="19">
        <v>0</v>
      </c>
      <c r="F4" s="19">
        <v>0</v>
      </c>
      <c r="G4" s="19">
        <v>0</v>
      </c>
      <c r="H4" s="19">
        <v>0</v>
      </c>
      <c r="I4" s="19">
        <v>0</v>
      </c>
      <c r="J4" s="19">
        <v>0</v>
      </c>
      <c r="K4" s="752">
        <v>0</v>
      </c>
      <c r="L4" s="752">
        <v>0</v>
      </c>
      <c r="M4" s="752">
        <v>0</v>
      </c>
      <c r="N4" s="19">
        <v>0</v>
      </c>
      <c r="O4" s="19">
        <v>0</v>
      </c>
      <c r="P4" s="19">
        <v>0</v>
      </c>
      <c r="Q4" s="19">
        <v>0</v>
      </c>
      <c r="R4" s="19">
        <v>0</v>
      </c>
    </row>
    <row r="5" spans="1:19" hidden="1">
      <c r="A5" s="1522"/>
      <c r="B5" s="19" t="s">
        <v>225</v>
      </c>
      <c r="C5" s="19" t="s">
        <v>223</v>
      </c>
      <c r="D5" s="19" t="s">
        <v>224</v>
      </c>
      <c r="E5" s="19">
        <v>93502.583378378389</v>
      </c>
      <c r="F5" s="19">
        <v>156349.18918918917</v>
      </c>
      <c r="G5" s="19">
        <v>155894.33587675678</v>
      </c>
      <c r="H5" s="19">
        <v>240040.35288108111</v>
      </c>
      <c r="I5" s="19">
        <v>252484.42</v>
      </c>
      <c r="J5" s="19">
        <v>425898.27963783778</v>
      </c>
      <c r="K5" s="752">
        <v>295139.60993081087</v>
      </c>
      <c r="L5" s="752">
        <v>373256.09368972975</v>
      </c>
      <c r="M5" s="752">
        <v>347552.23006358108</v>
      </c>
      <c r="N5" s="19">
        <v>430184.88162162161</v>
      </c>
      <c r="O5" s="19">
        <v>295307.41221837833</v>
      </c>
      <c r="P5" s="19">
        <v>322960.18504324323</v>
      </c>
      <c r="Q5" s="19">
        <f>SUM(E5:P5)</f>
        <v>3388569.5735306083</v>
      </c>
      <c r="R5" s="212">
        <f>Q5/12</f>
        <v>282380.79779421736</v>
      </c>
    </row>
    <row r="6" spans="1:19" hidden="1">
      <c r="A6" s="1522"/>
      <c r="B6" s="19" t="s">
        <v>222</v>
      </c>
      <c r="C6" s="19" t="s">
        <v>226</v>
      </c>
      <c r="D6" s="19" t="s">
        <v>224</v>
      </c>
      <c r="E6" s="19">
        <v>0</v>
      </c>
      <c r="F6" s="19">
        <v>0</v>
      </c>
      <c r="G6" s="19">
        <v>0</v>
      </c>
      <c r="H6" s="19">
        <v>0</v>
      </c>
      <c r="I6" s="19">
        <v>0</v>
      </c>
      <c r="J6" s="19">
        <v>0</v>
      </c>
      <c r="K6" s="752">
        <v>0</v>
      </c>
      <c r="L6" s="752">
        <v>0</v>
      </c>
      <c r="M6" s="752">
        <v>0</v>
      </c>
      <c r="N6" s="19">
        <v>0</v>
      </c>
      <c r="O6" s="19">
        <v>0</v>
      </c>
      <c r="P6" s="19">
        <v>0</v>
      </c>
      <c r="Q6" s="19">
        <v>0</v>
      </c>
      <c r="R6" s="19">
        <v>0</v>
      </c>
    </row>
    <row r="7" spans="1:19" hidden="1">
      <c r="A7" s="1522"/>
      <c r="B7" s="19" t="s">
        <v>225</v>
      </c>
      <c r="C7" s="19" t="s">
        <v>226</v>
      </c>
      <c r="D7" s="19" t="s">
        <v>224</v>
      </c>
      <c r="E7" s="19">
        <v>3550.8555603254667</v>
      </c>
      <c r="F7" s="19">
        <v>3104.1259402772926</v>
      </c>
      <c r="G7" s="19">
        <v>4368.3215959639992</v>
      </c>
      <c r="H7" s="19">
        <v>3014.3515639264383</v>
      </c>
      <c r="I7" s="19">
        <v>4468.8351431925676</v>
      </c>
      <c r="J7" s="19">
        <v>4754.4685629486075</v>
      </c>
      <c r="K7" s="752">
        <v>8094.8685996027943</v>
      </c>
      <c r="L7" s="752">
        <v>5637.3562607637796</v>
      </c>
      <c r="M7" s="752">
        <v>4656.954182519321</v>
      </c>
      <c r="N7" s="19">
        <v>5187.7483639756338</v>
      </c>
      <c r="O7" s="19">
        <v>8777.0580964553756</v>
      </c>
      <c r="P7" s="19">
        <v>38294.035692570942</v>
      </c>
      <c r="Q7" s="19">
        <f>SUM(E7:P7)</f>
        <v>93908.979562522218</v>
      </c>
      <c r="R7" s="212">
        <f>Q7/12</f>
        <v>7825.7482968768518</v>
      </c>
    </row>
    <row r="8" spans="1:19" hidden="1">
      <c r="A8" s="1522"/>
      <c r="B8" s="19" t="s">
        <v>222</v>
      </c>
      <c r="C8" s="19" t="s">
        <v>227</v>
      </c>
      <c r="D8" s="19" t="s">
        <v>224</v>
      </c>
      <c r="E8" s="19">
        <v>0</v>
      </c>
      <c r="F8" s="19">
        <v>0</v>
      </c>
      <c r="G8" s="19">
        <v>0</v>
      </c>
      <c r="H8" s="19">
        <v>0</v>
      </c>
      <c r="I8" s="19">
        <v>0</v>
      </c>
      <c r="J8" s="19">
        <v>0</v>
      </c>
      <c r="K8" s="752">
        <v>0</v>
      </c>
      <c r="L8" s="752">
        <v>0</v>
      </c>
      <c r="M8" s="752">
        <v>0</v>
      </c>
      <c r="N8" s="19">
        <v>0</v>
      </c>
      <c r="O8" s="19">
        <v>0</v>
      </c>
      <c r="P8" s="19">
        <v>0</v>
      </c>
      <c r="Q8" s="19">
        <v>0</v>
      </c>
      <c r="R8" s="19">
        <v>0</v>
      </c>
    </row>
    <row r="9" spans="1:19" hidden="1">
      <c r="A9" s="1522"/>
      <c r="B9" s="19" t="s">
        <v>225</v>
      </c>
      <c r="C9" s="19" t="s">
        <v>227</v>
      </c>
      <c r="D9" s="19" t="s">
        <v>224</v>
      </c>
      <c r="E9" s="19">
        <v>69765.141444499663</v>
      </c>
      <c r="F9" s="19">
        <v>67837.092138122563</v>
      </c>
      <c r="G9" s="19">
        <v>69765.997279995456</v>
      </c>
      <c r="H9" s="19">
        <v>76270.706399877556</v>
      </c>
      <c r="I9" s="19">
        <v>74616.141312400039</v>
      </c>
      <c r="J9" s="19">
        <v>76560.417133023628</v>
      </c>
      <c r="K9" s="752">
        <v>91231.484303631747</v>
      </c>
      <c r="L9" s="752">
        <v>128904.5510603885</v>
      </c>
      <c r="M9" s="752">
        <v>53179.570227528086</v>
      </c>
      <c r="N9" s="19">
        <v>88747.833538737512</v>
      </c>
      <c r="O9" s="19">
        <v>88747.833538737512</v>
      </c>
      <c r="P9" s="19">
        <v>88747.833538737512</v>
      </c>
      <c r="Q9" s="19">
        <f>SUM(E9:P9)</f>
        <v>974374.60191567964</v>
      </c>
      <c r="R9" s="212">
        <f>Q9/12</f>
        <v>81197.883492973298</v>
      </c>
    </row>
    <row r="10" spans="1:19" hidden="1">
      <c r="A10" s="1522"/>
      <c r="B10" s="19" t="s">
        <v>222</v>
      </c>
      <c r="C10" s="19" t="s">
        <v>228</v>
      </c>
      <c r="D10" s="19" t="s">
        <v>224</v>
      </c>
      <c r="E10" s="19">
        <v>0</v>
      </c>
      <c r="F10" s="19">
        <v>0</v>
      </c>
      <c r="G10" s="19">
        <v>0</v>
      </c>
      <c r="H10" s="19">
        <v>0</v>
      </c>
      <c r="I10" s="19">
        <v>0</v>
      </c>
      <c r="J10" s="19">
        <v>0</v>
      </c>
      <c r="K10" s="752">
        <v>0</v>
      </c>
      <c r="L10" s="752">
        <v>0</v>
      </c>
      <c r="M10" s="752">
        <v>0</v>
      </c>
      <c r="N10" s="19">
        <v>0</v>
      </c>
      <c r="O10" s="19">
        <v>0</v>
      </c>
      <c r="P10" s="19">
        <v>0</v>
      </c>
      <c r="Q10" s="19">
        <v>0</v>
      </c>
      <c r="R10" s="19">
        <v>0</v>
      </c>
    </row>
    <row r="11" spans="1:19" hidden="1">
      <c r="A11" s="1522"/>
      <c r="B11" s="19" t="s">
        <v>225</v>
      </c>
      <c r="C11" s="19" t="s">
        <v>228</v>
      </c>
      <c r="D11" s="19" t="s">
        <v>224</v>
      </c>
      <c r="E11" s="19">
        <v>49343.753089103564</v>
      </c>
      <c r="F11" s="19">
        <v>52361.052786112348</v>
      </c>
      <c r="G11" s="19">
        <v>55394.757888966175</v>
      </c>
      <c r="H11" s="19">
        <v>50057.707086414419</v>
      </c>
      <c r="I11" s="19">
        <v>46007.516370353565</v>
      </c>
      <c r="J11" s="19">
        <v>45004.454433333565</v>
      </c>
      <c r="K11" s="752">
        <v>45505.985401843565</v>
      </c>
      <c r="L11" s="752">
        <v>51870.413392235467</v>
      </c>
      <c r="M11" s="752">
        <v>33624.716757841663</v>
      </c>
      <c r="N11" s="19">
        <v>44001.392496313565</v>
      </c>
      <c r="O11" s="19">
        <v>41995.268622273565</v>
      </c>
      <c r="P11" s="19">
        <v>41733.915262016686</v>
      </c>
      <c r="Q11" s="19">
        <f>SUM(E11:P11)</f>
        <v>556900.93358680804</v>
      </c>
      <c r="R11" s="212">
        <f>Q11/12</f>
        <v>46408.411132234003</v>
      </c>
    </row>
    <row r="12" spans="1:19" hidden="1">
      <c r="A12" s="1522"/>
      <c r="B12" s="19" t="s">
        <v>222</v>
      </c>
      <c r="C12" s="19" t="s">
        <v>229</v>
      </c>
      <c r="D12" s="19" t="s">
        <v>224</v>
      </c>
      <c r="E12" s="19"/>
      <c r="F12" s="19"/>
      <c r="G12" s="19"/>
      <c r="H12" s="19"/>
      <c r="I12" s="19"/>
      <c r="J12" s="19"/>
      <c r="K12" s="752">
        <v>0</v>
      </c>
      <c r="L12" s="752">
        <v>0</v>
      </c>
      <c r="M12" s="752">
        <v>0</v>
      </c>
      <c r="N12" s="19"/>
      <c r="O12" s="19"/>
      <c r="P12" s="19"/>
      <c r="Q12" s="19">
        <v>0</v>
      </c>
      <c r="R12" s="19">
        <v>0</v>
      </c>
    </row>
    <row r="13" spans="1:19" hidden="1">
      <c r="A13" s="1522"/>
      <c r="B13" s="19" t="s">
        <v>225</v>
      </c>
      <c r="C13" s="19" t="s">
        <v>229</v>
      </c>
      <c r="D13" s="19" t="s">
        <v>224</v>
      </c>
      <c r="E13" s="19"/>
      <c r="F13" s="19"/>
      <c r="G13" s="19"/>
      <c r="H13" s="19"/>
      <c r="I13" s="19"/>
      <c r="J13" s="19"/>
      <c r="K13" s="752">
        <v>0</v>
      </c>
      <c r="L13" s="752">
        <v>0</v>
      </c>
      <c r="M13" s="752">
        <v>0</v>
      </c>
      <c r="N13" s="19"/>
      <c r="O13" s="19"/>
      <c r="P13" s="19"/>
      <c r="Q13" s="19">
        <v>0</v>
      </c>
      <c r="R13" s="19">
        <v>0</v>
      </c>
    </row>
    <row r="14" spans="1:19">
      <c r="A14" s="1522"/>
      <c r="B14" s="19"/>
      <c r="C14" s="19" t="s">
        <v>230</v>
      </c>
      <c r="D14" s="19" t="s">
        <v>224</v>
      </c>
      <c r="E14" s="1010">
        <v>190053.55776565865</v>
      </c>
      <c r="F14" s="1010">
        <v>227636.65632478247</v>
      </c>
      <c r="G14" s="1010">
        <v>172736.18071804062</v>
      </c>
      <c r="H14" s="1010">
        <v>205578.84821213907</v>
      </c>
      <c r="I14" s="1010">
        <v>250826.70786830582</v>
      </c>
      <c r="J14" s="1010">
        <v>393717.01019461418</v>
      </c>
      <c r="K14" s="1010">
        <v>288952.27130070742</v>
      </c>
      <c r="L14" s="1010">
        <v>367132.6221504276</v>
      </c>
      <c r="M14" s="1010">
        <v>677193.28139733523</v>
      </c>
      <c r="N14" s="1010">
        <v>528044.3611370225</v>
      </c>
      <c r="O14" s="1010">
        <v>487687.56708971126</v>
      </c>
      <c r="P14" s="1010">
        <v>451556.31916267134</v>
      </c>
      <c r="Q14" s="752">
        <f>SUM(E14:P14)</f>
        <v>4241115.3833214166</v>
      </c>
      <c r="R14" s="753">
        <f>Q14/12</f>
        <v>353426.28194345138</v>
      </c>
      <c r="S14" s="922">
        <f>R14/30</f>
        <v>11780.876064781713</v>
      </c>
    </row>
    <row r="15" spans="1:19" hidden="1">
      <c r="A15" s="1522"/>
      <c r="B15" s="19"/>
      <c r="C15" s="19" t="s">
        <v>231</v>
      </c>
      <c r="D15" s="19" t="s">
        <v>224</v>
      </c>
      <c r="E15" s="1010">
        <v>646787.05882912397</v>
      </c>
      <c r="F15" s="1010">
        <v>668346.62745676143</v>
      </c>
      <c r="G15" s="1010">
        <v>646787.05882912397</v>
      </c>
      <c r="H15" s="1010">
        <v>668346.62745676143</v>
      </c>
      <c r="I15" s="1010">
        <v>646787.05882912397</v>
      </c>
      <c r="J15" s="1010">
        <v>668346.62745676143</v>
      </c>
      <c r="K15" s="1010">
        <v>668346.62745676143</v>
      </c>
      <c r="L15" s="1010">
        <v>646787.05882912397</v>
      </c>
      <c r="M15" s="1010">
        <v>668346.62745676143</v>
      </c>
      <c r="N15" s="1010">
        <v>668346.62745676143</v>
      </c>
      <c r="O15" s="1010">
        <v>603667.92157384905</v>
      </c>
      <c r="P15" s="1010">
        <v>668346.62745676143</v>
      </c>
      <c r="Q15" s="19">
        <f>SUM(E15:P15)</f>
        <v>7869242.5490876772</v>
      </c>
      <c r="R15" s="212">
        <f t="shared" ref="R15:R17" si="0">Q15/12</f>
        <v>655770.21242397313</v>
      </c>
      <c r="S15" s="40"/>
    </row>
    <row r="16" spans="1:19" hidden="1">
      <c r="A16" s="1522"/>
      <c r="B16" s="19"/>
      <c r="C16" s="19" t="s">
        <v>232</v>
      </c>
      <c r="D16" s="19" t="s">
        <v>224</v>
      </c>
      <c r="E16" s="1010"/>
      <c r="F16" s="1010"/>
      <c r="G16" s="1010"/>
      <c r="H16" s="1010"/>
      <c r="I16" s="1010"/>
      <c r="J16" s="1010"/>
      <c r="K16" s="1010"/>
      <c r="L16" s="1010"/>
      <c r="M16" s="1010"/>
      <c r="N16" s="1010"/>
      <c r="O16" s="1010"/>
      <c r="P16" s="1010"/>
      <c r="Q16" s="19"/>
      <c r="R16" s="212"/>
      <c r="S16" s="40"/>
    </row>
    <row r="17" spans="1:19" hidden="1">
      <c r="A17" s="1522"/>
      <c r="B17" s="19"/>
      <c r="C17" s="19" t="s">
        <v>233</v>
      </c>
      <c r="D17" s="19" t="s">
        <v>224</v>
      </c>
      <c r="E17" s="1010">
        <v>421624.7253568169</v>
      </c>
      <c r="F17" s="1010">
        <v>379395.16740306007</v>
      </c>
      <c r="G17" s="1010">
        <v>352363.64618744154</v>
      </c>
      <c r="H17" s="1010">
        <v>289663.50952546194</v>
      </c>
      <c r="I17" s="1010">
        <v>260210.1460031778</v>
      </c>
      <c r="J17" s="1010">
        <v>106829.00768961781</v>
      </c>
      <c r="K17" s="1010">
        <v>219074.67922087247</v>
      </c>
      <c r="L17" s="1010">
        <v>78118.644426006475</v>
      </c>
      <c r="M17" s="1010">
        <v>220033.15622529126</v>
      </c>
      <c r="N17" s="1010">
        <v>90924.771436113166</v>
      </c>
      <c r="O17" s="1010">
        <v>160440.34909800428</v>
      </c>
      <c r="P17" s="1010">
        <v>167310.65792019304</v>
      </c>
      <c r="Q17" s="19">
        <f>SUM(E17:P17)</f>
        <v>2745988.4604920568</v>
      </c>
      <c r="R17" s="212">
        <f t="shared" si="0"/>
        <v>228832.37170767141</v>
      </c>
      <c r="S17" s="40"/>
    </row>
    <row r="18" spans="1:19" hidden="1">
      <c r="A18" s="1522"/>
      <c r="B18" s="19"/>
      <c r="C18" s="19" t="s">
        <v>234</v>
      </c>
      <c r="D18" s="19" t="s">
        <v>224</v>
      </c>
      <c r="E18" s="1010"/>
      <c r="F18" s="1010"/>
      <c r="G18" s="1010"/>
      <c r="H18" s="1010"/>
      <c r="I18" s="1010"/>
      <c r="J18" s="1010"/>
      <c r="K18" s="1010"/>
      <c r="L18" s="1010"/>
      <c r="M18" s="1010"/>
      <c r="N18" s="1010"/>
      <c r="O18" s="1010"/>
      <c r="P18" s="1010"/>
      <c r="Q18" s="19"/>
      <c r="R18" s="19"/>
      <c r="S18" s="40"/>
    </row>
    <row r="19" spans="1:19" hidden="1">
      <c r="A19" s="1522"/>
      <c r="B19" s="19"/>
      <c r="C19" s="19" t="s">
        <v>235</v>
      </c>
      <c r="D19" s="19" t="s">
        <v>236</v>
      </c>
      <c r="E19" s="1010">
        <v>0.6518756360402177</v>
      </c>
      <c r="F19" s="1010">
        <v>0.56766227555716209</v>
      </c>
      <c r="G19" s="1010">
        <v>0.54479081078913982</v>
      </c>
      <c r="H19" s="1010">
        <v>0.43340311393162773</v>
      </c>
      <c r="I19" s="1010">
        <v>0.4023119239185694</v>
      </c>
      <c r="J19" s="1010">
        <v>0.15984072231520177</v>
      </c>
      <c r="K19" s="1010">
        <v>0.3277860173462841</v>
      </c>
      <c r="L19" s="1010">
        <v>0.12077954151931293</v>
      </c>
      <c r="M19" s="1010">
        <v>0.32922011900108866</v>
      </c>
      <c r="N19" s="1010">
        <v>0.13604433343534084</v>
      </c>
      <c r="O19" s="1010">
        <v>0.26577584026614043</v>
      </c>
      <c r="P19" s="1010">
        <v>0.25033515700805592</v>
      </c>
      <c r="Q19" s="19"/>
      <c r="R19" s="19">
        <v>0.3990393260828225</v>
      </c>
      <c r="S19" s="40"/>
    </row>
    <row r="20" spans="1:19" hidden="1">
      <c r="A20" s="19"/>
      <c r="B20" s="19"/>
      <c r="C20" s="19"/>
      <c r="D20" s="19"/>
      <c r="E20" s="1010"/>
      <c r="F20" s="1010"/>
      <c r="G20" s="1010"/>
      <c r="H20" s="1010"/>
      <c r="I20" s="1010"/>
      <c r="J20" s="1010"/>
      <c r="K20" s="1010"/>
      <c r="L20" s="1010"/>
      <c r="M20" s="1010"/>
      <c r="N20" s="1010"/>
      <c r="O20" s="1010"/>
      <c r="P20" s="1010"/>
      <c r="Q20" s="19"/>
      <c r="R20" s="19"/>
      <c r="S20" s="40"/>
    </row>
    <row r="21" spans="1:19" hidden="1">
      <c r="A21" s="19">
        <v>0</v>
      </c>
      <c r="B21" s="19"/>
      <c r="C21" s="19"/>
      <c r="D21" s="19"/>
      <c r="E21" s="1010"/>
      <c r="F21" s="1010"/>
      <c r="G21" s="1010"/>
      <c r="H21" s="1010"/>
      <c r="I21" s="1010"/>
      <c r="J21" s="1010"/>
      <c r="K21" s="1010"/>
      <c r="L21" s="1010"/>
      <c r="M21" s="1010"/>
      <c r="N21" s="1010"/>
      <c r="O21" s="1010"/>
      <c r="P21" s="1010"/>
      <c r="Q21" s="19"/>
      <c r="R21" s="19"/>
      <c r="S21" s="40"/>
    </row>
    <row r="22" spans="1:19" hidden="1">
      <c r="A22" s="1522" t="s">
        <v>23</v>
      </c>
      <c r="B22" s="19" t="s">
        <v>222</v>
      </c>
      <c r="C22" s="19" t="s">
        <v>223</v>
      </c>
      <c r="D22" s="19" t="s">
        <v>224</v>
      </c>
      <c r="E22" s="1010">
        <v>0</v>
      </c>
      <c r="F22" s="1010">
        <v>0</v>
      </c>
      <c r="G22" s="1010">
        <v>0</v>
      </c>
      <c r="H22" s="1010">
        <v>0</v>
      </c>
      <c r="I22" s="1010">
        <v>0</v>
      </c>
      <c r="J22" s="1010">
        <v>0</v>
      </c>
      <c r="K22" s="1010">
        <v>0</v>
      </c>
      <c r="L22" s="1010">
        <v>0</v>
      </c>
      <c r="M22" s="1010">
        <v>0</v>
      </c>
      <c r="N22" s="1010">
        <v>0</v>
      </c>
      <c r="O22" s="1010">
        <v>0</v>
      </c>
      <c r="P22" s="1010">
        <v>0</v>
      </c>
      <c r="Q22" s="19">
        <v>0</v>
      </c>
      <c r="R22" s="19">
        <v>0</v>
      </c>
      <c r="S22" s="40"/>
    </row>
    <row r="23" spans="1:19" hidden="1">
      <c r="A23" s="1522"/>
      <c r="B23" s="19" t="s">
        <v>225</v>
      </c>
      <c r="C23" s="19" t="s">
        <v>223</v>
      </c>
      <c r="D23" s="19" t="s">
        <v>224</v>
      </c>
      <c r="E23" s="1010">
        <v>73225.990900818913</v>
      </c>
      <c r="F23" s="1010">
        <v>119752.50227479526</v>
      </c>
      <c r="G23" s="1010">
        <v>139402.93130118289</v>
      </c>
      <c r="H23" s="1010">
        <v>204824.8989990901</v>
      </c>
      <c r="I23" s="1010">
        <v>230734.54640582344</v>
      </c>
      <c r="J23" s="1010">
        <v>351640.94631483161</v>
      </c>
      <c r="K23" s="1010">
        <v>273657.31073703355</v>
      </c>
      <c r="L23" s="1010">
        <v>332524.1667406733</v>
      </c>
      <c r="M23" s="1010">
        <v>252165.30709736125</v>
      </c>
      <c r="N23" s="1010">
        <v>312268.51683348499</v>
      </c>
      <c r="O23" s="1010">
        <v>236283.50778161967</v>
      </c>
      <c r="P23" s="1010">
        <v>310873.84258416737</v>
      </c>
      <c r="Q23" s="19">
        <v>2837354.4679708825</v>
      </c>
      <c r="R23" s="19">
        <v>236446.2056642402</v>
      </c>
      <c r="S23" s="40"/>
    </row>
    <row r="24" spans="1:19" hidden="1">
      <c r="A24" s="1522"/>
      <c r="B24" s="19" t="s">
        <v>222</v>
      </c>
      <c r="C24" s="19" t="s">
        <v>226</v>
      </c>
      <c r="D24" s="19" t="s">
        <v>224</v>
      </c>
      <c r="E24" s="1010">
        <v>0</v>
      </c>
      <c r="F24" s="1010">
        <v>0</v>
      </c>
      <c r="G24" s="1010">
        <v>0</v>
      </c>
      <c r="H24" s="1010">
        <v>0</v>
      </c>
      <c r="I24" s="1010">
        <v>0</v>
      </c>
      <c r="J24" s="1010">
        <v>0</v>
      </c>
      <c r="K24" s="1010">
        <v>0</v>
      </c>
      <c r="L24" s="1010">
        <v>0</v>
      </c>
      <c r="M24" s="1010">
        <v>0</v>
      </c>
      <c r="N24" s="1010">
        <v>0</v>
      </c>
      <c r="O24" s="1010">
        <v>0</v>
      </c>
      <c r="P24" s="1010">
        <v>0</v>
      </c>
      <c r="Q24" s="19">
        <v>0</v>
      </c>
      <c r="R24" s="19">
        <v>0</v>
      </c>
      <c r="S24" s="40"/>
    </row>
    <row r="25" spans="1:19" hidden="1">
      <c r="A25" s="1522"/>
      <c r="B25" s="19" t="s">
        <v>225</v>
      </c>
      <c r="C25" s="19" t="s">
        <v>226</v>
      </c>
      <c r="D25" s="19" t="s">
        <v>224</v>
      </c>
      <c r="E25" s="1010">
        <v>74880.268214118812</v>
      </c>
      <c r="F25" s="1010">
        <v>47432.121031978459</v>
      </c>
      <c r="G25" s="1010">
        <v>54501.177764732798</v>
      </c>
      <c r="H25" s="1010">
        <v>52934.512181393846</v>
      </c>
      <c r="I25" s="1010">
        <v>63570.312490577191</v>
      </c>
      <c r="J25" s="1010">
        <v>51770.758282394745</v>
      </c>
      <c r="K25" s="1010">
        <v>59857.718618114195</v>
      </c>
      <c r="L25" s="1010">
        <v>58618.213453444841</v>
      </c>
      <c r="M25" s="1010">
        <v>46326.396476675451</v>
      </c>
      <c r="N25" s="1010">
        <v>53846.918450805591</v>
      </c>
      <c r="O25" s="1010">
        <v>69556.00023956607</v>
      </c>
      <c r="P25" s="1010">
        <v>400974.36842003249</v>
      </c>
      <c r="Q25" s="19">
        <v>1034268.7656238344</v>
      </c>
      <c r="R25" s="19">
        <v>86189.063801986209</v>
      </c>
      <c r="S25" s="40"/>
    </row>
    <row r="26" spans="1:19" hidden="1">
      <c r="A26" s="1522"/>
      <c r="B26" s="19" t="s">
        <v>222</v>
      </c>
      <c r="C26" s="19" t="s">
        <v>227</v>
      </c>
      <c r="D26" s="19" t="s">
        <v>224</v>
      </c>
      <c r="E26" s="1010">
        <v>0</v>
      </c>
      <c r="F26" s="1010">
        <v>0</v>
      </c>
      <c r="G26" s="1010">
        <v>0</v>
      </c>
      <c r="H26" s="1010">
        <v>0</v>
      </c>
      <c r="I26" s="1010">
        <v>0</v>
      </c>
      <c r="J26" s="1010">
        <v>0</v>
      </c>
      <c r="K26" s="1010">
        <v>0</v>
      </c>
      <c r="L26" s="1010">
        <v>0</v>
      </c>
      <c r="M26" s="1010">
        <v>0</v>
      </c>
      <c r="N26" s="1010">
        <v>0</v>
      </c>
      <c r="O26" s="1010">
        <v>0</v>
      </c>
      <c r="P26" s="1010">
        <v>0</v>
      </c>
      <c r="Q26" s="19">
        <v>0</v>
      </c>
      <c r="R26" s="19">
        <v>0</v>
      </c>
      <c r="S26" s="40"/>
    </row>
    <row r="27" spans="1:19" hidden="1">
      <c r="A27" s="1522"/>
      <c r="B27" s="19" t="s">
        <v>225</v>
      </c>
      <c r="C27" s="19" t="s">
        <v>227</v>
      </c>
      <c r="D27" s="19" t="s">
        <v>224</v>
      </c>
      <c r="E27" s="1010">
        <v>24226.279367606916</v>
      </c>
      <c r="F27" s="1010">
        <v>24226.279367606916</v>
      </c>
      <c r="G27" s="1010">
        <v>24226.279367606916</v>
      </c>
      <c r="H27" s="1010">
        <v>27980.323020928121</v>
      </c>
      <c r="I27" s="1010">
        <v>27980.323020928121</v>
      </c>
      <c r="J27" s="1010">
        <v>27980.323020928121</v>
      </c>
      <c r="K27" s="1010">
        <v>31708.450181983615</v>
      </c>
      <c r="L27" s="1010">
        <v>31708.450181983615</v>
      </c>
      <c r="M27" s="1010">
        <v>31708.450181983615</v>
      </c>
      <c r="N27" s="1010">
        <v>29481.892629663329</v>
      </c>
      <c r="O27" s="1010">
        <v>29481.892629663329</v>
      </c>
      <c r="P27" s="1010">
        <v>29481.892629663329</v>
      </c>
      <c r="Q27" s="19">
        <v>340190.83560054598</v>
      </c>
      <c r="R27" s="19">
        <v>28349.236300045497</v>
      </c>
      <c r="S27" s="40"/>
    </row>
    <row r="28" spans="1:19" hidden="1">
      <c r="A28" s="1522"/>
      <c r="B28" s="19" t="s">
        <v>222</v>
      </c>
      <c r="C28" s="19" t="s">
        <v>228</v>
      </c>
      <c r="D28" s="19" t="s">
        <v>224</v>
      </c>
      <c r="E28" s="1010">
        <v>0</v>
      </c>
      <c r="F28" s="1010">
        <v>0</v>
      </c>
      <c r="G28" s="1010">
        <v>0</v>
      </c>
      <c r="H28" s="1010">
        <v>0</v>
      </c>
      <c r="I28" s="1010">
        <v>0</v>
      </c>
      <c r="J28" s="1010">
        <v>0</v>
      </c>
      <c r="K28" s="1010">
        <v>0</v>
      </c>
      <c r="L28" s="1010">
        <v>0</v>
      </c>
      <c r="M28" s="1010">
        <v>0</v>
      </c>
      <c r="N28" s="1010">
        <v>0</v>
      </c>
      <c r="O28" s="1010">
        <v>0</v>
      </c>
      <c r="P28" s="1010">
        <v>0</v>
      </c>
      <c r="Q28" s="19">
        <v>0</v>
      </c>
      <c r="R28" s="19">
        <v>0</v>
      </c>
      <c r="S28" s="40"/>
    </row>
    <row r="29" spans="1:19" hidden="1">
      <c r="A29" s="1522"/>
      <c r="B29" s="19" t="s">
        <v>225</v>
      </c>
      <c r="C29" s="19" t="s">
        <v>228</v>
      </c>
      <c r="D29" s="19" t="s">
        <v>224</v>
      </c>
      <c r="E29" s="1010">
        <v>500285.86602512392</v>
      </c>
      <c r="F29" s="1010">
        <v>547076.72849646606</v>
      </c>
      <c r="G29" s="1010">
        <v>497638.63856936095</v>
      </c>
      <c r="H29" s="1010">
        <v>587007.99140674574</v>
      </c>
      <c r="I29" s="1010">
        <v>553891.08832263388</v>
      </c>
      <c r="J29" s="1010">
        <v>578657.39194062853</v>
      </c>
      <c r="K29" s="1010">
        <v>401379.11376948946</v>
      </c>
      <c r="L29" s="1010">
        <v>561813.19905885996</v>
      </c>
      <c r="M29" s="1010">
        <v>581515.60946681537</v>
      </c>
      <c r="N29" s="1010">
        <v>530280.4182168144</v>
      </c>
      <c r="O29" s="1010">
        <v>535627.22466969618</v>
      </c>
      <c r="P29" s="1010">
        <v>527711.4365409147</v>
      </c>
      <c r="Q29" s="19">
        <v>6402884.7064835485</v>
      </c>
      <c r="R29" s="19">
        <v>533573.72554029571</v>
      </c>
      <c r="S29" s="40"/>
    </row>
    <row r="30" spans="1:19">
      <c r="A30" s="1522"/>
      <c r="B30" s="19"/>
      <c r="C30" s="752" t="s">
        <v>237</v>
      </c>
      <c r="D30" s="752" t="s">
        <v>224</v>
      </c>
      <c r="E30" s="1010">
        <v>1238788.4569386472</v>
      </c>
      <c r="F30" s="1010">
        <v>1080241.1453683665</v>
      </c>
      <c r="G30" s="1010">
        <v>960682.68380392634</v>
      </c>
      <c r="H30" s="1010">
        <v>1073640.3078553223</v>
      </c>
      <c r="I30" s="1010">
        <v>1193689.1505791745</v>
      </c>
      <c r="J30" s="1010">
        <v>1170212.3547063207</v>
      </c>
      <c r="K30" s="1010">
        <v>1054869.4764985801</v>
      </c>
      <c r="L30" s="1010">
        <v>940619.31850691908</v>
      </c>
      <c r="M30" s="1010">
        <v>1170039.6826852199</v>
      </c>
      <c r="N30" s="1010">
        <v>1163897.3365404399</v>
      </c>
      <c r="O30" s="1010">
        <v>1089413.3619432696</v>
      </c>
      <c r="P30" s="1010">
        <v>1033971.3268590876</v>
      </c>
      <c r="Q30" s="752">
        <f>SUM(E30:P30)</f>
        <v>13170064.602285273</v>
      </c>
      <c r="S30" s="40">
        <f>R30/30</f>
        <v>0</v>
      </c>
    </row>
    <row r="31" spans="1:19" hidden="1">
      <c r="A31" s="1522"/>
      <c r="B31" s="19"/>
      <c r="C31" s="19" t="s">
        <v>238</v>
      </c>
      <c r="D31" s="19" t="s">
        <v>224</v>
      </c>
      <c r="E31" s="19">
        <v>0</v>
      </c>
      <c r="F31" s="19">
        <v>0</v>
      </c>
      <c r="G31" s="19">
        <v>0</v>
      </c>
      <c r="H31" s="19">
        <v>0</v>
      </c>
      <c r="I31" s="19">
        <v>0</v>
      </c>
      <c r="J31" s="19">
        <v>0</v>
      </c>
      <c r="K31" s="752">
        <v>0</v>
      </c>
      <c r="L31" s="752">
        <v>0</v>
      </c>
      <c r="M31" s="752">
        <v>0</v>
      </c>
      <c r="N31" s="19">
        <v>0</v>
      </c>
      <c r="O31" s="19">
        <v>0</v>
      </c>
      <c r="P31" s="19">
        <v>0</v>
      </c>
      <c r="Q31" s="19">
        <v>0</v>
      </c>
      <c r="R31" s="19">
        <v>0</v>
      </c>
      <c r="S31" s="40"/>
    </row>
    <row r="32" spans="1:19" hidden="1">
      <c r="A32" s="1522"/>
      <c r="B32" s="19"/>
      <c r="C32" s="19" t="s">
        <v>232</v>
      </c>
      <c r="D32" s="19" t="s">
        <v>224</v>
      </c>
      <c r="E32" s="19">
        <v>0</v>
      </c>
      <c r="F32" s="19">
        <v>0</v>
      </c>
      <c r="G32" s="19">
        <v>0</v>
      </c>
      <c r="H32" s="19">
        <v>0</v>
      </c>
      <c r="I32" s="19">
        <v>0</v>
      </c>
      <c r="J32" s="19">
        <v>0</v>
      </c>
      <c r="K32" s="752">
        <v>0</v>
      </c>
      <c r="L32" s="752">
        <v>0</v>
      </c>
      <c r="M32" s="752">
        <v>0</v>
      </c>
      <c r="N32" s="19">
        <v>0</v>
      </c>
      <c r="O32" s="19">
        <v>0</v>
      </c>
      <c r="P32" s="19">
        <v>0</v>
      </c>
      <c r="Q32" s="19">
        <v>0</v>
      </c>
      <c r="R32" s="19">
        <v>0</v>
      </c>
      <c r="S32" s="40"/>
    </row>
    <row r="33" spans="1:19" hidden="1">
      <c r="A33" s="1522"/>
      <c r="B33" s="19"/>
      <c r="C33" s="19" t="s">
        <v>231</v>
      </c>
      <c r="D33" s="19" t="s">
        <v>224</v>
      </c>
      <c r="E33" s="19">
        <v>1077934.467954739</v>
      </c>
      <c r="F33" s="19">
        <v>1113865.6168865636</v>
      </c>
      <c r="G33" s="19">
        <v>1077934.467954739</v>
      </c>
      <c r="H33" s="19">
        <v>1113865.6168865636</v>
      </c>
      <c r="I33" s="19">
        <v>1077934.467954739</v>
      </c>
      <c r="J33" s="19">
        <v>1113865.6168865636</v>
      </c>
      <c r="K33" s="752">
        <v>1113865.6168865636</v>
      </c>
      <c r="L33" s="752">
        <v>1077934.467954739</v>
      </c>
      <c r="M33" s="752">
        <v>1113865.6168865636</v>
      </c>
      <c r="N33" s="19">
        <v>1113865.6168865636</v>
      </c>
      <c r="O33" s="19">
        <v>1006072.1700910897</v>
      </c>
      <c r="P33" s="19">
        <v>1113865.6168865636</v>
      </c>
      <c r="Q33" s="19">
        <v>13114869.36011599</v>
      </c>
      <c r="R33" s="19">
        <v>1092905.7800096658</v>
      </c>
      <c r="S33" s="40"/>
    </row>
    <row r="34" spans="1:19" hidden="1">
      <c r="A34" s="1522"/>
      <c r="B34" s="19"/>
      <c r="C34" s="19" t="s">
        <v>233</v>
      </c>
      <c r="D34" s="19" t="s">
        <v>224</v>
      </c>
      <c r="E34" s="19">
        <v>405316.06344707042</v>
      </c>
      <c r="F34" s="19">
        <v>375377.98571571684</v>
      </c>
      <c r="G34" s="19">
        <v>362165.44095185539</v>
      </c>
      <c r="H34" s="19">
        <v>241117.89127840579</v>
      </c>
      <c r="I34" s="19">
        <v>201758.19771477638</v>
      </c>
      <c r="J34" s="19">
        <v>103816.19732778054</v>
      </c>
      <c r="K34" s="752">
        <v>347263.02357994276</v>
      </c>
      <c r="L34" s="752">
        <v>93270.438519777264</v>
      </c>
      <c r="M34" s="752">
        <v>202149.85366372787</v>
      </c>
      <c r="N34" s="19">
        <v>187987.87075579527</v>
      </c>
      <c r="O34" s="19">
        <v>135123.54477054439</v>
      </c>
      <c r="P34" s="19">
        <v>-155175.92328821449</v>
      </c>
      <c r="Q34" s="19">
        <v>2500170.584437178</v>
      </c>
      <c r="R34" s="19">
        <v>208347.54870309817</v>
      </c>
      <c r="S34" s="40"/>
    </row>
    <row r="35" spans="1:19" hidden="1">
      <c r="A35" s="1522"/>
      <c r="B35" s="19"/>
      <c r="C35" s="19" t="s">
        <v>234</v>
      </c>
      <c r="D35" s="19" t="s">
        <v>224</v>
      </c>
      <c r="E35" s="19">
        <v>0</v>
      </c>
      <c r="F35" s="19">
        <v>0</v>
      </c>
      <c r="G35" s="19">
        <v>0</v>
      </c>
      <c r="H35" s="19"/>
      <c r="I35" s="19"/>
      <c r="J35" s="19"/>
      <c r="K35" s="752"/>
      <c r="L35" s="752"/>
      <c r="M35" s="752"/>
      <c r="N35" s="19"/>
      <c r="O35" s="19"/>
      <c r="P35" s="19"/>
      <c r="Q35" s="19">
        <v>0</v>
      </c>
      <c r="R35" s="19">
        <v>0</v>
      </c>
      <c r="S35" s="40"/>
    </row>
    <row r="36" spans="1:19" hidden="1">
      <c r="A36" s="1522"/>
      <c r="B36" s="19"/>
      <c r="C36" s="19" t="s">
        <v>239</v>
      </c>
      <c r="D36" s="19" t="s">
        <v>236</v>
      </c>
      <c r="E36" s="19">
        <v>22420.613483588953</v>
      </c>
      <c r="F36" s="19">
        <v>23822.181650672475</v>
      </c>
      <c r="G36" s="19">
        <v>23858.967566762785</v>
      </c>
      <c r="H36" s="19">
        <v>28153.152438972833</v>
      </c>
      <c r="I36" s="19">
        <v>29205.875674665422</v>
      </c>
      <c r="J36" s="19">
        <v>32582.239340605905</v>
      </c>
      <c r="K36" s="752">
        <v>24729.115913116802</v>
      </c>
      <c r="L36" s="752">
        <v>32822.134314498726</v>
      </c>
      <c r="M36" s="752">
        <v>29410.185910414057</v>
      </c>
      <c r="N36" s="19">
        <v>29867.024068734463</v>
      </c>
      <c r="O36" s="19">
        <v>31105.308047162333</v>
      </c>
      <c r="P36" s="19">
        <v>40936.823876605748</v>
      </c>
      <c r="Q36" s="19">
        <v>348913.62228580052</v>
      </c>
      <c r="R36" s="19">
        <v>29076.135190483375</v>
      </c>
      <c r="S36" s="40"/>
    </row>
    <row r="37" spans="1:19" hidden="1">
      <c r="A37" s="1522"/>
      <c r="B37" s="19"/>
      <c r="C37" s="19" t="s">
        <v>240</v>
      </c>
      <c r="D37" s="19" t="s">
        <v>236</v>
      </c>
      <c r="E37" s="19">
        <v>672618.40450766857</v>
      </c>
      <c r="F37" s="19">
        <v>738487.63117084675</v>
      </c>
      <c r="G37" s="19">
        <v>715769.02700288361</v>
      </c>
      <c r="H37" s="19">
        <v>872747.72560815781</v>
      </c>
      <c r="I37" s="19">
        <v>876176.27023996261</v>
      </c>
      <c r="J37" s="19">
        <v>1010049.4195587831</v>
      </c>
      <c r="K37" s="752">
        <v>766602.59330662084</v>
      </c>
      <c r="L37" s="752">
        <v>984664.02943496173</v>
      </c>
      <c r="M37" s="752">
        <v>911715.76322283573</v>
      </c>
      <c r="N37" s="19">
        <v>925877.74613076833</v>
      </c>
      <c r="O37" s="19">
        <v>870948.62532054528</v>
      </c>
      <c r="P37" s="19">
        <v>1269041.5401747781</v>
      </c>
      <c r="Q37" s="19">
        <v>10614698.775678812</v>
      </c>
      <c r="R37" s="19">
        <v>884558.23130656767</v>
      </c>
      <c r="S37" s="40"/>
    </row>
    <row r="38" spans="1:19" hidden="1">
      <c r="A38" s="1522"/>
      <c r="B38" s="19"/>
      <c r="C38" s="19" t="s">
        <v>240</v>
      </c>
      <c r="D38" s="19" t="s">
        <v>236</v>
      </c>
      <c r="E38" s="19">
        <v>22420.613483588953</v>
      </c>
      <c r="F38" s="19">
        <v>23822.181650672475</v>
      </c>
      <c r="G38" s="19">
        <v>23858.967566762785</v>
      </c>
      <c r="H38" s="19">
        <v>28153.152438972833</v>
      </c>
      <c r="I38" s="19">
        <v>29205.875674665422</v>
      </c>
      <c r="J38" s="19">
        <v>32582.239340605905</v>
      </c>
      <c r="K38" s="752">
        <v>24729.115913116802</v>
      </c>
      <c r="L38" s="752">
        <v>32822.134314498726</v>
      </c>
      <c r="M38" s="752">
        <v>29410.185910414057</v>
      </c>
      <c r="N38" s="19">
        <v>29867.024068734463</v>
      </c>
      <c r="O38" s="19">
        <v>31105.308047162333</v>
      </c>
      <c r="P38" s="19">
        <v>40936.823876605748</v>
      </c>
      <c r="Q38" s="19">
        <v>348913.62228580052</v>
      </c>
      <c r="R38" s="19">
        <v>29076.135190483375</v>
      </c>
      <c r="S38" s="40"/>
    </row>
    <row r="39" spans="1:19" hidden="1">
      <c r="A39" s="1522"/>
      <c r="B39" s="19"/>
      <c r="C39" s="19" t="s">
        <v>235</v>
      </c>
      <c r="D39" s="19" t="s">
        <v>236</v>
      </c>
      <c r="E39" s="19">
        <v>0.37601178503560856</v>
      </c>
      <c r="F39" s="19">
        <v>0.33700473380708135</v>
      </c>
      <c r="G39" s="19">
        <v>0.33598094477767659</v>
      </c>
      <c r="H39" s="19">
        <v>0.21646946240460291</v>
      </c>
      <c r="I39" s="19">
        <v>0.18717111634586672</v>
      </c>
      <c r="J39" s="19">
        <v>9.3203520921997546E-2</v>
      </c>
      <c r="K39" s="752">
        <v>0.31176384145028163</v>
      </c>
      <c r="L39" s="752">
        <v>8.6527002607818607E-2</v>
      </c>
      <c r="M39" s="752">
        <v>0.18148495707118578</v>
      </c>
      <c r="N39" s="19">
        <v>0.16877069181940643</v>
      </c>
      <c r="O39" s="19">
        <v>0.13430800372731741</v>
      </c>
      <c r="P39" s="19">
        <v>-0.13931296642583918</v>
      </c>
      <c r="Q39" s="19"/>
      <c r="R39" s="19">
        <v>0.19063633161612115</v>
      </c>
      <c r="S39" s="40"/>
    </row>
    <row r="40" spans="1:19" hidden="1">
      <c r="A40" s="19">
        <v>0</v>
      </c>
      <c r="B40" s="19"/>
      <c r="C40" s="19"/>
      <c r="D40" s="19"/>
      <c r="E40" s="19"/>
      <c r="F40" s="19"/>
      <c r="G40" s="19"/>
      <c r="H40" s="19"/>
      <c r="I40" s="19"/>
      <c r="J40" s="19"/>
      <c r="K40" s="752"/>
      <c r="L40" s="752"/>
      <c r="M40" s="752"/>
      <c r="N40" s="19"/>
      <c r="O40" s="19"/>
      <c r="P40" s="19"/>
      <c r="Q40" s="19"/>
      <c r="R40" s="19"/>
      <c r="S40" s="40"/>
    </row>
    <row r="41" spans="1:19" hidden="1">
      <c r="A41" s="1522" t="s">
        <v>241</v>
      </c>
      <c r="B41" s="19" t="s">
        <v>222</v>
      </c>
      <c r="C41" s="19" t="s">
        <v>223</v>
      </c>
      <c r="D41" s="19" t="s">
        <v>224</v>
      </c>
      <c r="E41" s="19">
        <v>0</v>
      </c>
      <c r="F41" s="19">
        <v>0</v>
      </c>
      <c r="G41" s="19">
        <v>0</v>
      </c>
      <c r="H41" s="19">
        <v>0</v>
      </c>
      <c r="I41" s="19">
        <v>0</v>
      </c>
      <c r="J41" s="19">
        <v>0</v>
      </c>
      <c r="K41" s="752">
        <v>0</v>
      </c>
      <c r="L41" s="752">
        <v>0</v>
      </c>
      <c r="M41" s="752">
        <v>0</v>
      </c>
      <c r="N41" s="19">
        <v>0</v>
      </c>
      <c r="O41" s="19">
        <v>0</v>
      </c>
      <c r="P41" s="19">
        <v>0</v>
      </c>
      <c r="Q41" s="19">
        <v>0</v>
      </c>
      <c r="R41" s="19">
        <v>0</v>
      </c>
      <c r="S41" s="40"/>
    </row>
    <row r="42" spans="1:19" hidden="1">
      <c r="A42" s="1522"/>
      <c r="B42" s="19" t="s">
        <v>225</v>
      </c>
      <c r="C42" s="19" t="s">
        <v>223</v>
      </c>
      <c r="D42" s="19" t="s">
        <v>224</v>
      </c>
      <c r="E42" s="19">
        <v>12842.152466367712</v>
      </c>
      <c r="F42" s="19">
        <v>49703.587443946191</v>
      </c>
      <c r="G42" s="19">
        <v>72948.360089686088</v>
      </c>
      <c r="H42" s="19">
        <v>77053.363228699556</v>
      </c>
      <c r="I42" s="19">
        <v>87932.922421524636</v>
      </c>
      <c r="J42" s="19">
        <v>147412.55605381166</v>
      </c>
      <c r="K42" s="752">
        <v>116284.38071748879</v>
      </c>
      <c r="L42" s="752">
        <v>81541.796412556054</v>
      </c>
      <c r="M42" s="752">
        <v>147545.03004484306</v>
      </c>
      <c r="N42" s="19">
        <v>89597.309417040364</v>
      </c>
      <c r="O42" s="19">
        <v>110332.44399282511</v>
      </c>
      <c r="P42" s="19">
        <v>123683.3659192825</v>
      </c>
      <c r="Q42" s="19">
        <v>1116877.2682080718</v>
      </c>
      <c r="R42" s="19">
        <v>93073.10568400599</v>
      </c>
      <c r="S42" s="40"/>
    </row>
    <row r="43" spans="1:19" hidden="1">
      <c r="A43" s="1522"/>
      <c r="B43" s="19" t="s">
        <v>222</v>
      </c>
      <c r="C43" s="19" t="s">
        <v>226</v>
      </c>
      <c r="D43" s="19" t="s">
        <v>224</v>
      </c>
      <c r="E43" s="19">
        <v>0</v>
      </c>
      <c r="F43" s="19">
        <v>0</v>
      </c>
      <c r="G43" s="19">
        <v>0</v>
      </c>
      <c r="H43" s="19">
        <v>0</v>
      </c>
      <c r="I43" s="19">
        <v>0</v>
      </c>
      <c r="J43" s="19">
        <v>0</v>
      </c>
      <c r="K43" s="752">
        <v>0</v>
      </c>
      <c r="L43" s="752">
        <v>0</v>
      </c>
      <c r="M43" s="752">
        <v>0</v>
      </c>
      <c r="N43" s="19">
        <v>0</v>
      </c>
      <c r="O43" s="19">
        <v>0</v>
      </c>
      <c r="P43" s="19">
        <v>0</v>
      </c>
      <c r="Q43" s="19">
        <v>0</v>
      </c>
      <c r="R43" s="19">
        <v>0</v>
      </c>
      <c r="S43" s="40"/>
    </row>
    <row r="44" spans="1:19" hidden="1">
      <c r="A44" s="1522"/>
      <c r="B44" s="19" t="s">
        <v>225</v>
      </c>
      <c r="C44" s="19" t="s">
        <v>226</v>
      </c>
      <c r="D44" s="19" t="s">
        <v>224</v>
      </c>
      <c r="E44" s="19">
        <v>0</v>
      </c>
      <c r="F44" s="19">
        <v>0</v>
      </c>
      <c r="G44" s="19">
        <v>0</v>
      </c>
      <c r="H44" s="19">
        <v>0</v>
      </c>
      <c r="I44" s="19">
        <v>0</v>
      </c>
      <c r="J44" s="19">
        <v>0</v>
      </c>
      <c r="K44" s="752">
        <v>0</v>
      </c>
      <c r="L44" s="752">
        <v>0</v>
      </c>
      <c r="M44" s="752">
        <v>0</v>
      </c>
      <c r="N44" s="19">
        <v>0</v>
      </c>
      <c r="O44" s="19">
        <v>0</v>
      </c>
      <c r="P44" s="19">
        <v>0</v>
      </c>
      <c r="Q44" s="19">
        <v>0</v>
      </c>
      <c r="R44" s="19">
        <v>0</v>
      </c>
      <c r="S44" s="40"/>
    </row>
    <row r="45" spans="1:19" hidden="1">
      <c r="A45" s="1522"/>
      <c r="B45" s="19" t="s">
        <v>222</v>
      </c>
      <c r="C45" s="19" t="s">
        <v>227</v>
      </c>
      <c r="D45" s="19" t="s">
        <v>224</v>
      </c>
      <c r="E45" s="19">
        <v>0</v>
      </c>
      <c r="F45" s="19">
        <v>0</v>
      </c>
      <c r="G45" s="19">
        <v>0</v>
      </c>
      <c r="H45" s="19">
        <v>0</v>
      </c>
      <c r="I45" s="19">
        <v>0</v>
      </c>
      <c r="J45" s="19">
        <v>0</v>
      </c>
      <c r="K45" s="752">
        <v>0</v>
      </c>
      <c r="L45" s="752">
        <v>0</v>
      </c>
      <c r="M45" s="752">
        <v>0</v>
      </c>
      <c r="N45" s="19">
        <v>0</v>
      </c>
      <c r="O45" s="19">
        <v>0</v>
      </c>
      <c r="P45" s="19">
        <v>0</v>
      </c>
      <c r="Q45" s="19">
        <v>0</v>
      </c>
      <c r="R45" s="19">
        <v>0</v>
      </c>
      <c r="S45" s="40"/>
    </row>
    <row r="46" spans="1:19" hidden="1">
      <c r="A46" s="1522"/>
      <c r="B46" s="19" t="s">
        <v>225</v>
      </c>
      <c r="C46" s="19" t="s">
        <v>227</v>
      </c>
      <c r="D46" s="19" t="s">
        <v>224</v>
      </c>
      <c r="E46" s="19">
        <v>0</v>
      </c>
      <c r="F46" s="19">
        <v>0</v>
      </c>
      <c r="G46" s="19">
        <v>0</v>
      </c>
      <c r="H46" s="19">
        <v>0</v>
      </c>
      <c r="I46" s="19">
        <v>0</v>
      </c>
      <c r="J46" s="19">
        <v>0</v>
      </c>
      <c r="K46" s="752">
        <v>0</v>
      </c>
      <c r="L46" s="752">
        <v>0</v>
      </c>
      <c r="M46" s="752">
        <v>0</v>
      </c>
      <c r="N46" s="19">
        <v>0</v>
      </c>
      <c r="O46" s="19">
        <v>0</v>
      </c>
      <c r="P46" s="19">
        <v>0</v>
      </c>
      <c r="Q46" s="19">
        <v>0</v>
      </c>
      <c r="R46" s="19">
        <v>0</v>
      </c>
      <c r="S46" s="40"/>
    </row>
    <row r="47" spans="1:19" hidden="1">
      <c r="A47" s="1522"/>
      <c r="B47" s="19" t="s">
        <v>222</v>
      </c>
      <c r="C47" s="19" t="s">
        <v>228</v>
      </c>
      <c r="D47" s="19" t="s">
        <v>224</v>
      </c>
      <c r="E47" s="19">
        <v>0</v>
      </c>
      <c r="F47" s="19">
        <v>0</v>
      </c>
      <c r="G47" s="19">
        <v>0</v>
      </c>
      <c r="H47" s="19">
        <v>0</v>
      </c>
      <c r="I47" s="19">
        <v>0</v>
      </c>
      <c r="J47" s="19">
        <v>0</v>
      </c>
      <c r="K47" s="752">
        <v>0</v>
      </c>
      <c r="L47" s="752">
        <v>0</v>
      </c>
      <c r="M47" s="752">
        <v>0</v>
      </c>
      <c r="N47" s="19">
        <v>0</v>
      </c>
      <c r="O47" s="19">
        <v>0</v>
      </c>
      <c r="P47" s="19">
        <v>0</v>
      </c>
      <c r="Q47" s="19">
        <v>0</v>
      </c>
      <c r="R47" s="19">
        <v>0</v>
      </c>
      <c r="S47" s="40"/>
    </row>
    <row r="48" spans="1:19" hidden="1">
      <c r="A48" s="1522"/>
      <c r="B48" s="19" t="s">
        <v>225</v>
      </c>
      <c r="C48" s="19" t="s">
        <v>228</v>
      </c>
      <c r="D48" s="19" t="s">
        <v>224</v>
      </c>
      <c r="E48" s="19">
        <v>54265.917297237458</v>
      </c>
      <c r="F48" s="19">
        <v>53711.364927030911</v>
      </c>
      <c r="G48" s="19">
        <v>53723.208199935798</v>
      </c>
      <c r="H48" s="19">
        <v>34142.589526706557</v>
      </c>
      <c r="I48" s="19">
        <v>37969.541220879895</v>
      </c>
      <c r="J48" s="19">
        <v>40415.508904278802</v>
      </c>
      <c r="K48" s="752">
        <v>44239.33484535251</v>
      </c>
      <c r="L48" s="752">
        <v>37950.09466966035</v>
      </c>
      <c r="M48" s="752">
        <v>50962.639921333124</v>
      </c>
      <c r="N48" s="19">
        <v>39621.530827770308</v>
      </c>
      <c r="O48" s="19">
        <v>37988.701490399377</v>
      </c>
      <c r="P48" s="19">
        <v>45024.447771822684</v>
      </c>
      <c r="Q48" s="19">
        <v>530014.8796024078</v>
      </c>
      <c r="R48" s="19">
        <v>44167.906633533981</v>
      </c>
      <c r="S48" s="40"/>
    </row>
    <row r="49" spans="1:20">
      <c r="A49" s="1522"/>
      <c r="B49" s="19"/>
      <c r="C49" s="19" t="s">
        <v>230</v>
      </c>
      <c r="D49" s="752"/>
      <c r="E49" s="1010">
        <v>100470.29317355703</v>
      </c>
      <c r="F49" s="1010">
        <v>77390.828574762971</v>
      </c>
      <c r="G49" s="1010">
        <v>46293.57817805557</v>
      </c>
      <c r="H49" s="1010">
        <v>73043.525763739235</v>
      </c>
      <c r="I49" s="1010">
        <v>77436.853905849799</v>
      </c>
      <c r="J49" s="1010">
        <v>86494.712764804775</v>
      </c>
      <c r="K49" s="1010">
        <v>79944.330482420512</v>
      </c>
      <c r="L49" s="1010">
        <v>125987.81049013692</v>
      </c>
      <c r="M49" s="1010">
        <v>124745.61772641132</v>
      </c>
      <c r="N49" s="1010">
        <v>137266.19026845609</v>
      </c>
      <c r="O49" s="1010">
        <v>131559.3760210046</v>
      </c>
      <c r="P49" s="1010">
        <v>129051.08324901889</v>
      </c>
      <c r="Q49" s="752">
        <f>SUM(E49:P49)</f>
        <v>1189684.2005982178</v>
      </c>
      <c r="R49" s="753">
        <f>Q49/12</f>
        <v>99140.350049851477</v>
      </c>
      <c r="S49" s="922">
        <f>R49/30</f>
        <v>3304.6783349950492</v>
      </c>
      <c r="T49" s="41"/>
    </row>
    <row r="50" spans="1:20" hidden="1">
      <c r="A50" s="1522"/>
      <c r="B50" s="19"/>
      <c r="C50" s="19" t="s">
        <v>232</v>
      </c>
      <c r="D50" s="19" t="s">
        <v>224</v>
      </c>
      <c r="E50" s="19"/>
      <c r="F50" s="19"/>
      <c r="G50" s="19"/>
      <c r="H50" s="19"/>
      <c r="I50" s="19"/>
      <c r="J50" s="19"/>
      <c r="K50" s="752"/>
      <c r="L50" s="752"/>
      <c r="M50" s="752"/>
      <c r="N50" s="19"/>
      <c r="O50" s="19"/>
      <c r="P50" s="19"/>
      <c r="Q50" s="19">
        <v>0</v>
      </c>
      <c r="R50" s="19">
        <v>0</v>
      </c>
      <c r="S50" s="40"/>
    </row>
    <row r="51" spans="1:20" hidden="1">
      <c r="A51" s="1522"/>
      <c r="B51" s="19"/>
      <c r="C51" s="19" t="s">
        <v>231</v>
      </c>
      <c r="D51" s="19" t="s">
        <v>224</v>
      </c>
      <c r="E51" s="19">
        <v>259015.52212125334</v>
      </c>
      <c r="F51" s="19">
        <v>267649.37285862846</v>
      </c>
      <c r="G51" s="19">
        <v>259015.52212125334</v>
      </c>
      <c r="H51" s="19">
        <v>267649.37285862846</v>
      </c>
      <c r="I51" s="19">
        <v>259015.52212125334</v>
      </c>
      <c r="J51" s="19">
        <v>267649.37285862846</v>
      </c>
      <c r="K51" s="752">
        <v>267649.37285862846</v>
      </c>
      <c r="L51" s="752">
        <v>259015.52212125334</v>
      </c>
      <c r="M51" s="752">
        <v>267649.37285862846</v>
      </c>
      <c r="N51" s="19">
        <v>267649.37285862846</v>
      </c>
      <c r="O51" s="19">
        <v>241747.8206465031</v>
      </c>
      <c r="P51" s="19">
        <v>267649.37285862846</v>
      </c>
      <c r="Q51" s="19">
        <v>3151355.5191419162</v>
      </c>
      <c r="R51" s="19">
        <v>262612.95992849302</v>
      </c>
      <c r="S51" s="40"/>
    </row>
    <row r="52" spans="1:20" hidden="1">
      <c r="A52" s="1522"/>
      <c r="B52" s="19"/>
      <c r="C52" s="19" t="s">
        <v>233</v>
      </c>
      <c r="D52" s="19" t="s">
        <v>224</v>
      </c>
      <c r="E52" s="19">
        <v>191907.45235764817</v>
      </c>
      <c r="F52" s="19">
        <v>164234.42048765137</v>
      </c>
      <c r="G52" s="19">
        <v>132343.95383163146</v>
      </c>
      <c r="H52" s="19">
        <v>156453.42010322234</v>
      </c>
      <c r="I52" s="19">
        <v>133113.0584788488</v>
      </c>
      <c r="J52" s="19">
        <v>79821.307900537999</v>
      </c>
      <c r="K52" s="752">
        <v>107125.65729578715</v>
      </c>
      <c r="L52" s="752">
        <v>139523.63103903693</v>
      </c>
      <c r="M52" s="752">
        <v>69141.702892452275</v>
      </c>
      <c r="N52" s="19">
        <v>138430.53261381778</v>
      </c>
      <c r="O52" s="19">
        <v>93426.675163278618</v>
      </c>
      <c r="P52" s="19">
        <v>98941.559167523286</v>
      </c>
      <c r="Q52" s="19">
        <v>1504463.3713314361</v>
      </c>
      <c r="R52" s="19">
        <v>125371.94761095301</v>
      </c>
      <c r="S52" s="40"/>
    </row>
    <row r="53" spans="1:20" hidden="1">
      <c r="A53" s="1522"/>
      <c r="B53" s="19"/>
      <c r="C53" s="19" t="s">
        <v>235</v>
      </c>
      <c r="D53" s="19" t="s">
        <v>236</v>
      </c>
      <c r="E53" s="19">
        <v>0.74091101099265488</v>
      </c>
      <c r="F53" s="19">
        <v>0.6136178042696161</v>
      </c>
      <c r="G53" s="19">
        <v>0.51094989500157095</v>
      </c>
      <c r="H53" s="19">
        <v>0.58454618605013708</v>
      </c>
      <c r="I53" s="19">
        <v>0.51391923305868281</v>
      </c>
      <c r="J53" s="19">
        <v>0.29823087963183592</v>
      </c>
      <c r="K53" s="752">
        <v>0.40024624811047321</v>
      </c>
      <c r="L53" s="752">
        <v>0.53866899518756073</v>
      </c>
      <c r="M53" s="752">
        <v>0.25832940370449775</v>
      </c>
      <c r="N53" s="19">
        <v>0.51720850729187529</v>
      </c>
      <c r="O53" s="19">
        <v>0.38646336051108487</v>
      </c>
      <c r="P53" s="19">
        <v>0.36966856342975218</v>
      </c>
      <c r="Q53" s="19"/>
      <c r="R53" s="19">
        <v>0.47740198216070745</v>
      </c>
      <c r="S53" s="40"/>
    </row>
    <row r="54" spans="1:20" hidden="1">
      <c r="A54" s="19">
        <v>0</v>
      </c>
      <c r="B54" s="19"/>
      <c r="C54" s="19"/>
      <c r="D54" s="19"/>
      <c r="E54" s="19"/>
      <c r="F54" s="19"/>
      <c r="G54" s="19">
        <v>8.5337717509259292</v>
      </c>
      <c r="H54" s="19">
        <v>7.4874180750000034</v>
      </c>
      <c r="I54" s="19"/>
      <c r="J54" s="19"/>
      <c r="K54" s="752"/>
      <c r="L54" s="752"/>
      <c r="M54" s="752"/>
      <c r="N54" s="19"/>
      <c r="O54" s="19"/>
      <c r="P54" s="19"/>
      <c r="Q54" s="19"/>
      <c r="R54" s="19"/>
      <c r="S54" s="40"/>
    </row>
    <row r="55" spans="1:20" hidden="1">
      <c r="A55" s="1522" t="s">
        <v>25</v>
      </c>
      <c r="B55" s="19" t="s">
        <v>222</v>
      </c>
      <c r="C55" s="19" t="s">
        <v>223</v>
      </c>
      <c r="D55" s="19" t="s">
        <v>224</v>
      </c>
      <c r="E55" s="19">
        <v>0</v>
      </c>
      <c r="F55" s="19">
        <v>0</v>
      </c>
      <c r="G55" s="19">
        <v>0</v>
      </c>
      <c r="H55" s="19">
        <v>0</v>
      </c>
      <c r="I55" s="19">
        <v>0</v>
      </c>
      <c r="J55" s="19">
        <v>0</v>
      </c>
      <c r="K55" s="752">
        <v>0</v>
      </c>
      <c r="L55" s="752">
        <v>0</v>
      </c>
      <c r="M55" s="752">
        <v>0</v>
      </c>
      <c r="N55" s="19">
        <v>0</v>
      </c>
      <c r="O55" s="19">
        <v>0</v>
      </c>
      <c r="P55" s="19">
        <v>0</v>
      </c>
      <c r="Q55" s="19">
        <v>0</v>
      </c>
      <c r="R55" s="19">
        <v>0</v>
      </c>
      <c r="S55" s="40"/>
    </row>
    <row r="56" spans="1:20" hidden="1">
      <c r="A56" s="1522"/>
      <c r="B56" s="19" t="s">
        <v>225</v>
      </c>
      <c r="C56" s="19" t="s">
        <v>223</v>
      </c>
      <c r="D56" s="19" t="s">
        <v>224</v>
      </c>
      <c r="E56" s="19">
        <v>51793.088544200487</v>
      </c>
      <c r="F56" s="19">
        <v>47373.025851629551</v>
      </c>
      <c r="G56" s="19">
        <v>60620.999526141211</v>
      </c>
      <c r="H56" s="19">
        <v>110850.17715579424</v>
      </c>
      <c r="I56" s="19">
        <v>127762.62054441111</v>
      </c>
      <c r="J56" s="19">
        <v>198558.767545938</v>
      </c>
      <c r="K56" s="752">
        <v>152931.99473490234</v>
      </c>
      <c r="L56" s="752">
        <v>181493.09587742851</v>
      </c>
      <c r="M56" s="752">
        <v>165288.63469278155</v>
      </c>
      <c r="N56" s="19">
        <v>198101.93323856159</v>
      </c>
      <c r="O56" s="19">
        <v>140194.62138682674</v>
      </c>
      <c r="P56" s="19">
        <v>174530.67782867371</v>
      </c>
      <c r="Q56" s="19">
        <v>1609499.636927289</v>
      </c>
      <c r="R56" s="19">
        <v>134124.96974394075</v>
      </c>
      <c r="S56" s="40"/>
    </row>
    <row r="57" spans="1:20" hidden="1">
      <c r="A57" s="1522"/>
      <c r="B57" s="19" t="s">
        <v>222</v>
      </c>
      <c r="C57" s="19" t="s">
        <v>226</v>
      </c>
      <c r="D57" s="19" t="s">
        <v>224</v>
      </c>
      <c r="E57" s="19">
        <v>0</v>
      </c>
      <c r="F57" s="19">
        <v>0</v>
      </c>
      <c r="G57" s="19">
        <v>0</v>
      </c>
      <c r="H57" s="19">
        <v>0</v>
      </c>
      <c r="I57" s="19">
        <v>0</v>
      </c>
      <c r="J57" s="19">
        <v>0</v>
      </c>
      <c r="K57" s="752">
        <v>0</v>
      </c>
      <c r="L57" s="752">
        <v>0</v>
      </c>
      <c r="M57" s="752">
        <v>0</v>
      </c>
      <c r="N57" s="19">
        <v>0</v>
      </c>
      <c r="O57" s="19">
        <v>0</v>
      </c>
      <c r="P57" s="19">
        <v>0</v>
      </c>
      <c r="Q57" s="19">
        <v>0</v>
      </c>
      <c r="R57" s="19">
        <v>0</v>
      </c>
      <c r="S57" s="40"/>
    </row>
    <row r="58" spans="1:20" hidden="1">
      <c r="A58" s="1522"/>
      <c r="B58" s="19" t="s">
        <v>225</v>
      </c>
      <c r="C58" s="19" t="s">
        <v>226</v>
      </c>
      <c r="D58" s="19" t="s">
        <v>224</v>
      </c>
      <c r="E58" s="19">
        <v>87967.841413822083</v>
      </c>
      <c r="F58" s="19">
        <v>53477.579598945515</v>
      </c>
      <c r="G58" s="19">
        <v>59980.000741311611</v>
      </c>
      <c r="H58" s="19">
        <v>59709.039758179046</v>
      </c>
      <c r="I58" s="19">
        <v>71679.967428856529</v>
      </c>
      <c r="J58" s="19">
        <v>58393.216037202896</v>
      </c>
      <c r="K58" s="752">
        <v>65030.146434419708</v>
      </c>
      <c r="L58" s="752">
        <v>59438.383985599678</v>
      </c>
      <c r="M58" s="752">
        <v>58917.065834750683</v>
      </c>
      <c r="N58" s="19">
        <v>54071.334270596053</v>
      </c>
      <c r="O58" s="19">
        <v>81675.085359373828</v>
      </c>
      <c r="P58" s="19">
        <v>447696.00690603611</v>
      </c>
      <c r="Q58" s="19">
        <v>1158035.6677690938</v>
      </c>
      <c r="R58" s="19">
        <v>96502.972314091152</v>
      </c>
      <c r="S58" s="40"/>
    </row>
    <row r="59" spans="1:20" hidden="1">
      <c r="A59" s="1522"/>
      <c r="B59" s="19" t="s">
        <v>222</v>
      </c>
      <c r="C59" s="19" t="s">
        <v>227</v>
      </c>
      <c r="D59" s="19" t="s">
        <v>224</v>
      </c>
      <c r="E59" s="19">
        <v>0</v>
      </c>
      <c r="F59" s="19">
        <v>0</v>
      </c>
      <c r="G59" s="19">
        <v>0</v>
      </c>
      <c r="H59" s="19">
        <v>0</v>
      </c>
      <c r="I59" s="19">
        <v>0</v>
      </c>
      <c r="J59" s="19">
        <v>0</v>
      </c>
      <c r="K59" s="752">
        <v>0</v>
      </c>
      <c r="L59" s="752">
        <v>0</v>
      </c>
      <c r="M59" s="752">
        <v>0</v>
      </c>
      <c r="N59" s="19">
        <v>0</v>
      </c>
      <c r="O59" s="19">
        <v>0</v>
      </c>
      <c r="P59" s="19">
        <v>0</v>
      </c>
      <c r="Q59" s="19">
        <v>0</v>
      </c>
      <c r="R59" s="19">
        <v>0</v>
      </c>
      <c r="S59" s="40"/>
    </row>
    <row r="60" spans="1:20" hidden="1">
      <c r="A60" s="1522"/>
      <c r="B60" s="19" t="s">
        <v>225</v>
      </c>
      <c r="C60" s="19" t="s">
        <v>227</v>
      </c>
      <c r="D60" s="19" t="s">
        <v>224</v>
      </c>
      <c r="E60" s="19">
        <v>27335.401463039016</v>
      </c>
      <c r="F60" s="19">
        <v>27335.401463039016</v>
      </c>
      <c r="G60" s="19">
        <v>27335.401463039016</v>
      </c>
      <c r="H60" s="19">
        <v>31571.226899383986</v>
      </c>
      <c r="I60" s="19">
        <v>31571.226899383986</v>
      </c>
      <c r="J60" s="19">
        <v>31571.226899383986</v>
      </c>
      <c r="K60" s="752">
        <v>35777.809804928133</v>
      </c>
      <c r="L60" s="752">
        <v>35777.809804928133</v>
      </c>
      <c r="M60" s="752">
        <v>35777.809804928133</v>
      </c>
      <c r="N60" s="19">
        <v>33265.503080082133</v>
      </c>
      <c r="O60" s="19">
        <v>33265.503080082133</v>
      </c>
      <c r="P60" s="19">
        <v>33265.503080082133</v>
      </c>
      <c r="Q60" s="19">
        <v>383849.82374229981</v>
      </c>
      <c r="R60" s="19">
        <v>31987.485311858316</v>
      </c>
      <c r="S60" s="40"/>
    </row>
    <row r="61" spans="1:20" hidden="1">
      <c r="A61" s="1522"/>
      <c r="B61" s="19" t="s">
        <v>222</v>
      </c>
      <c r="C61" s="19" t="s">
        <v>242</v>
      </c>
      <c r="D61" s="19" t="s">
        <v>224</v>
      </c>
      <c r="E61" s="19">
        <v>0</v>
      </c>
      <c r="F61" s="19">
        <v>0</v>
      </c>
      <c r="G61" s="19">
        <v>0</v>
      </c>
      <c r="H61" s="19">
        <v>0</v>
      </c>
      <c r="I61" s="19">
        <v>0</v>
      </c>
      <c r="J61" s="19">
        <v>0</v>
      </c>
      <c r="K61" s="752">
        <v>0</v>
      </c>
      <c r="L61" s="752">
        <v>0</v>
      </c>
      <c r="M61" s="752">
        <v>0</v>
      </c>
      <c r="N61" s="19">
        <v>0</v>
      </c>
      <c r="O61" s="19">
        <v>0</v>
      </c>
      <c r="P61" s="19">
        <v>0</v>
      </c>
      <c r="Q61" s="19">
        <v>0</v>
      </c>
      <c r="R61" s="19">
        <v>0</v>
      </c>
      <c r="S61" s="40"/>
    </row>
    <row r="62" spans="1:20" hidden="1">
      <c r="A62" s="1522"/>
      <c r="B62" s="19" t="s">
        <v>225</v>
      </c>
      <c r="C62" s="19" t="s">
        <v>242</v>
      </c>
      <c r="D62" s="19" t="s">
        <v>224</v>
      </c>
      <c r="E62" s="19">
        <v>739601.16209768213</v>
      </c>
      <c r="F62" s="19">
        <v>753807.42525088601</v>
      </c>
      <c r="G62" s="19">
        <v>689171.55046369298</v>
      </c>
      <c r="H62" s="19">
        <v>761037.5031382317</v>
      </c>
      <c r="I62" s="19">
        <v>728011.7642298555</v>
      </c>
      <c r="J62" s="19">
        <v>746329.32335258054</v>
      </c>
      <c r="K62" s="752">
        <v>714655.44036019372</v>
      </c>
      <c r="L62" s="752">
        <v>720840.84483133839</v>
      </c>
      <c r="M62" s="752">
        <v>764314.48431755102</v>
      </c>
      <c r="N62" s="19">
        <v>749835.20036186837</v>
      </c>
      <c r="O62" s="19">
        <v>737717.51140873448</v>
      </c>
      <c r="P62" s="19">
        <v>767557.82169021992</v>
      </c>
      <c r="Q62" s="19">
        <v>8872880.0315028355</v>
      </c>
      <c r="R62" s="19">
        <v>739406.66929190292</v>
      </c>
      <c r="S62" s="40"/>
    </row>
    <row r="63" spans="1:20" hidden="1">
      <c r="A63" s="1522"/>
      <c r="B63" s="19"/>
      <c r="C63" s="19" t="s">
        <v>243</v>
      </c>
      <c r="D63" s="19" t="s">
        <v>224</v>
      </c>
      <c r="E63" s="19"/>
      <c r="F63" s="19"/>
      <c r="G63" s="19"/>
      <c r="H63" s="19"/>
      <c r="I63" s="19"/>
      <c r="J63" s="19"/>
      <c r="K63" s="752"/>
      <c r="L63" s="752"/>
      <c r="M63" s="752"/>
      <c r="N63" s="19"/>
      <c r="O63" s="19"/>
      <c r="P63" s="19"/>
      <c r="Q63" s="19">
        <v>0</v>
      </c>
      <c r="R63" s="19">
        <v>0</v>
      </c>
      <c r="S63" s="40"/>
    </row>
    <row r="64" spans="1:20">
      <c r="A64" s="1522"/>
      <c r="B64" s="19"/>
      <c r="C64" s="19" t="s">
        <v>230</v>
      </c>
      <c r="D64" s="19" t="s">
        <v>224</v>
      </c>
      <c r="E64" s="1010">
        <v>1108335.1661479664</v>
      </c>
      <c r="F64" s="1010">
        <v>1028009.0860135073</v>
      </c>
      <c r="G64" s="1010">
        <v>939711.64404554619</v>
      </c>
      <c r="H64" s="1010">
        <v>1001669.8666879255</v>
      </c>
      <c r="I64" s="1010">
        <v>1130540.247640067</v>
      </c>
      <c r="J64" s="1010">
        <v>1056371.1068160413</v>
      </c>
      <c r="K64" s="1010">
        <v>933369.0299695679</v>
      </c>
      <c r="L64" s="1010">
        <v>920141.57983170624</v>
      </c>
      <c r="M64" s="1010">
        <v>1212098.632002092</v>
      </c>
      <c r="N64" s="1010">
        <v>992702.53521868575</v>
      </c>
      <c r="O64" s="1010">
        <v>995401.92469487828</v>
      </c>
      <c r="P64" s="1010">
        <v>941464.77243350295</v>
      </c>
      <c r="Q64" s="752">
        <f>SUM(E64:P64)</f>
        <v>12259815.591501489</v>
      </c>
      <c r="R64" s="753">
        <f t="shared" ref="R64" si="1">Q64/12</f>
        <v>1021651.2992917908</v>
      </c>
      <c r="S64" s="922">
        <f t="shared" ref="S64" si="2">R64/30</f>
        <v>34055.043309726359</v>
      </c>
      <c r="T64" s="41"/>
    </row>
    <row r="65" spans="1:19" hidden="1">
      <c r="A65" s="1522"/>
      <c r="B65" s="19"/>
      <c r="C65" s="19" t="s">
        <v>232</v>
      </c>
      <c r="D65" s="19" t="s">
        <v>224</v>
      </c>
      <c r="E65" s="752"/>
      <c r="F65" s="752"/>
      <c r="G65" s="752"/>
      <c r="H65" s="752"/>
      <c r="I65" s="752"/>
      <c r="J65" s="752"/>
      <c r="K65" s="752"/>
      <c r="L65" s="752"/>
      <c r="M65" s="752"/>
      <c r="N65" s="752"/>
      <c r="O65" s="752"/>
      <c r="P65" s="752"/>
      <c r="Q65" s="752"/>
      <c r="R65" s="753"/>
      <c r="S65" s="922"/>
    </row>
    <row r="66" spans="1:19" hidden="1">
      <c r="A66" s="1522"/>
      <c r="B66" s="19"/>
      <c r="C66" s="19" t="s">
        <v>231</v>
      </c>
      <c r="D66" s="19" t="s">
        <v>224</v>
      </c>
      <c r="E66" s="19">
        <v>1065170.0949526476</v>
      </c>
      <c r="F66" s="19">
        <v>1100675.7647844024</v>
      </c>
      <c r="G66" s="19">
        <v>1065170.0949526476</v>
      </c>
      <c r="H66" s="19">
        <v>1100675.7647844024</v>
      </c>
      <c r="I66" s="19">
        <v>1065170.0949526476</v>
      </c>
      <c r="J66" s="19">
        <v>1100675.7647844024</v>
      </c>
      <c r="K66" s="752">
        <v>1100675.7647844024</v>
      </c>
      <c r="L66" s="752">
        <v>1065170.0949526476</v>
      </c>
      <c r="M66" s="752">
        <v>1100675.7647844024</v>
      </c>
      <c r="N66" s="19">
        <v>1100675.7647844024</v>
      </c>
      <c r="O66" s="19">
        <v>994158.7552891376</v>
      </c>
      <c r="P66" s="19">
        <v>1100675.7647844024</v>
      </c>
      <c r="Q66" s="19">
        <v>12959569.488590546</v>
      </c>
      <c r="R66" s="19">
        <v>1079964.1240492121</v>
      </c>
      <c r="S66" s="40"/>
    </row>
    <row r="67" spans="1:19" hidden="1">
      <c r="A67" s="1522"/>
      <c r="B67" s="19"/>
      <c r="C67" s="19" t="s">
        <v>233</v>
      </c>
      <c r="D67" s="19" t="s">
        <v>224</v>
      </c>
      <c r="E67" s="19">
        <v>53472.60143390391</v>
      </c>
      <c r="F67" s="19">
        <v>110182.33261990233</v>
      </c>
      <c r="G67" s="19">
        <v>123062.14275846281</v>
      </c>
      <c r="H67" s="19">
        <v>29007.817832813482</v>
      </c>
      <c r="I67" s="19">
        <v>1144.5158501404803</v>
      </c>
      <c r="J67" s="19">
        <v>-42676.769050702918</v>
      </c>
      <c r="K67" s="752">
        <v>23780.373449958512</v>
      </c>
      <c r="L67" s="752">
        <v>-37380.039546647109</v>
      </c>
      <c r="M67" s="752">
        <v>-32122.22986560897</v>
      </c>
      <c r="N67" s="19">
        <v>-43098.206166705699</v>
      </c>
      <c r="O67" s="19">
        <v>-96693.96594587958</v>
      </c>
      <c r="P67" s="19">
        <v>-430874.24472060939</v>
      </c>
      <c r="Q67" s="19">
        <v>935304.32864902914</v>
      </c>
      <c r="R67" s="19">
        <v>77942.027387419017</v>
      </c>
      <c r="S67" s="40"/>
    </row>
    <row r="68" spans="1:19" hidden="1">
      <c r="A68" s="1522"/>
      <c r="B68" s="19"/>
      <c r="C68" s="19" t="s">
        <v>235</v>
      </c>
      <c r="D68" s="19" t="s">
        <v>236</v>
      </c>
      <c r="E68" s="19">
        <v>5.0200997650315229E-2</v>
      </c>
      <c r="F68" s="19">
        <v>0.10010425971492573</v>
      </c>
      <c r="G68" s="19">
        <v>0.11553285558954185</v>
      </c>
      <c r="H68" s="19">
        <v>2.6354553049049333E-2</v>
      </c>
      <c r="I68" s="19">
        <v>1.0744911592653755E-3</v>
      </c>
      <c r="J68" s="19">
        <v>-3.8773243144008297E-2</v>
      </c>
      <c r="K68" s="752">
        <v>2.1605248530766508E-2</v>
      </c>
      <c r="L68" s="752">
        <v>-3.5093023850156863E-2</v>
      </c>
      <c r="M68" s="752">
        <v>-2.9184098436019431E-2</v>
      </c>
      <c r="N68" s="19">
        <v>-3.9156132573835371E-2</v>
      </c>
      <c r="O68" s="19">
        <v>-9.7262097659399929E-2</v>
      </c>
      <c r="P68" s="19">
        <v>-0.39146337050948693</v>
      </c>
      <c r="Q68" s="19">
        <v>7.2170941285700896E-2</v>
      </c>
      <c r="R68" s="19">
        <v>7.217094128570084E-2</v>
      </c>
      <c r="S68" s="40"/>
    </row>
    <row r="69" spans="1:19" hidden="1">
      <c r="A69" s="1522"/>
      <c r="B69" s="19"/>
      <c r="C69" s="19" t="s">
        <v>244</v>
      </c>
      <c r="D69" s="19"/>
      <c r="E69" s="19">
        <v>30223.249783958123</v>
      </c>
      <c r="F69" s="19">
        <v>28451.401037564519</v>
      </c>
      <c r="G69" s="19">
        <v>27903.598406472825</v>
      </c>
      <c r="H69" s="19">
        <v>31069.933772631903</v>
      </c>
      <c r="I69" s="19">
        <v>31967.519303416902</v>
      </c>
      <c r="J69" s="19">
        <v>33382.339801132432</v>
      </c>
      <c r="K69" s="752">
        <v>31238.561010788515</v>
      </c>
      <c r="L69" s="752">
        <v>33251.671149976486</v>
      </c>
      <c r="M69" s="752">
        <v>33041.87079516166</v>
      </c>
      <c r="N69" s="19">
        <v>33395.934546809942</v>
      </c>
      <c r="O69" s="19">
        <v>35459.025758393473</v>
      </c>
      <c r="P69" s="19">
        <v>45904.839016290702</v>
      </c>
      <c r="Q69" s="19">
        <v>395289.94438259746</v>
      </c>
      <c r="R69" s="19">
        <v>32940.828698549791</v>
      </c>
      <c r="S69" s="40"/>
    </row>
    <row r="70" spans="1:19" hidden="1">
      <c r="A70" s="19">
        <v>0</v>
      </c>
      <c r="B70" s="19"/>
      <c r="C70" s="19"/>
      <c r="D70" s="19"/>
      <c r="E70" s="19"/>
      <c r="F70" s="19"/>
      <c r="G70" s="19">
        <v>-14.566380230909507</v>
      </c>
      <c r="H70" s="19"/>
      <c r="I70" s="19"/>
      <c r="J70" s="19"/>
      <c r="K70" s="752"/>
      <c r="L70" s="752"/>
      <c r="M70" s="752"/>
      <c r="N70" s="19"/>
      <c r="O70" s="19"/>
      <c r="P70" s="19"/>
      <c r="Q70" s="19"/>
      <c r="R70" s="19">
        <v>0</v>
      </c>
      <c r="S70" s="40"/>
    </row>
    <row r="71" spans="1:19" hidden="1">
      <c r="A71" s="1522" t="s">
        <v>245</v>
      </c>
      <c r="B71" s="19"/>
      <c r="C71" s="19" t="s">
        <v>246</v>
      </c>
      <c r="D71" s="19" t="s">
        <v>224</v>
      </c>
      <c r="E71" s="19">
        <v>62374.759643140598</v>
      </c>
      <c r="F71" s="19">
        <v>89781.904133920587</v>
      </c>
      <c r="G71" s="19">
        <v>114152.18253290353</v>
      </c>
      <c r="H71" s="19">
        <v>90207.092365345132</v>
      </c>
      <c r="I71" s="19">
        <v>111535.55452191936</v>
      </c>
      <c r="J71" s="19">
        <v>124103.26704836762</v>
      </c>
      <c r="K71" s="752">
        <v>139722.03364811666</v>
      </c>
      <c r="L71" s="752">
        <v>87630.674953905691</v>
      </c>
      <c r="M71" s="752">
        <v>138026.10150436632</v>
      </c>
      <c r="N71" s="19">
        <v>95085.363531879717</v>
      </c>
      <c r="O71" s="19">
        <v>133232.6765421115</v>
      </c>
      <c r="P71" s="19">
        <v>120116.19318048548</v>
      </c>
      <c r="Q71" s="19">
        <f t="shared" ref="Q71:Q80" si="3">SUM(E71:P71)</f>
        <v>1305967.803606462</v>
      </c>
      <c r="R71" s="212">
        <f>Q71/12</f>
        <v>108830.6503005385</v>
      </c>
      <c r="S71" s="40"/>
    </row>
    <row r="72" spans="1:19" hidden="1">
      <c r="A72" s="1522"/>
      <c r="B72" s="19"/>
      <c r="C72" s="19" t="s">
        <v>247</v>
      </c>
      <c r="D72" s="19" t="s">
        <v>224</v>
      </c>
      <c r="E72" s="19">
        <v>653821.24016947206</v>
      </c>
      <c r="F72" s="19">
        <v>599940.20355327369</v>
      </c>
      <c r="G72" s="19">
        <v>628023.89011382731</v>
      </c>
      <c r="H72" s="19">
        <v>638850.96152843372</v>
      </c>
      <c r="I72" s="19">
        <v>670236.79927077156</v>
      </c>
      <c r="J72" s="19">
        <v>671198.78141358716</v>
      </c>
      <c r="K72" s="752">
        <v>657134.58157079201</v>
      </c>
      <c r="L72" s="752">
        <v>678418.2967091864</v>
      </c>
      <c r="M72" s="752">
        <v>655729.28999178053</v>
      </c>
      <c r="N72" s="19">
        <v>686605.05075172754</v>
      </c>
      <c r="O72" s="19">
        <v>677298.78807051096</v>
      </c>
      <c r="P72" s="19">
        <v>963664.54917685618</v>
      </c>
      <c r="Q72" s="19">
        <f t="shared" si="3"/>
        <v>8180922.4323202176</v>
      </c>
      <c r="R72" s="212">
        <f t="shared" ref="R72:R80" si="4">Q72/12</f>
        <v>681743.5360266848</v>
      </c>
      <c r="S72" s="40"/>
    </row>
    <row r="73" spans="1:19" hidden="1">
      <c r="A73" s="1522"/>
      <c r="B73" s="19"/>
      <c r="C73" s="19" t="s">
        <v>230</v>
      </c>
      <c r="D73" s="19" t="s">
        <v>224</v>
      </c>
      <c r="E73" s="19">
        <v>716195.99981261266</v>
      </c>
      <c r="F73" s="19">
        <v>689722.10768719425</v>
      </c>
      <c r="G73" s="19">
        <v>742176.07264673081</v>
      </c>
      <c r="H73" s="19">
        <v>729058.05389377882</v>
      </c>
      <c r="I73" s="19">
        <v>781772.3537926909</v>
      </c>
      <c r="J73" s="19">
        <v>795302.04846195481</v>
      </c>
      <c r="K73" s="752">
        <v>796856.61521890864</v>
      </c>
      <c r="L73" s="752">
        <v>766048.97166309203</v>
      </c>
      <c r="M73" s="752">
        <v>793755.3914961468</v>
      </c>
      <c r="N73" s="19">
        <v>781690.41428360727</v>
      </c>
      <c r="O73" s="19">
        <v>810531.46461262251</v>
      </c>
      <c r="P73" s="19">
        <v>1083780.7423573416</v>
      </c>
      <c r="Q73" s="19">
        <f t="shared" si="3"/>
        <v>9486890.2359266821</v>
      </c>
      <c r="R73" s="212">
        <f t="shared" si="4"/>
        <v>790574.18632722355</v>
      </c>
      <c r="S73" s="40"/>
    </row>
    <row r="74" spans="1:19" hidden="1">
      <c r="A74" s="1522"/>
      <c r="B74" s="19"/>
      <c r="C74" s="19" t="s">
        <v>248</v>
      </c>
      <c r="D74" s="19" t="s">
        <v>224</v>
      </c>
      <c r="E74" s="19"/>
      <c r="F74" s="19"/>
      <c r="G74" s="19"/>
      <c r="H74" s="19"/>
      <c r="I74" s="19"/>
      <c r="J74" s="19"/>
      <c r="K74" s="752"/>
      <c r="L74" s="752"/>
      <c r="M74" s="752"/>
      <c r="N74" s="19"/>
      <c r="O74" s="19"/>
      <c r="P74" s="19"/>
      <c r="Q74" s="19">
        <f t="shared" si="3"/>
        <v>0</v>
      </c>
      <c r="R74" s="212">
        <f t="shared" si="4"/>
        <v>0</v>
      </c>
      <c r="S74" s="40"/>
    </row>
    <row r="75" spans="1:19" hidden="1">
      <c r="A75" s="1522"/>
      <c r="B75" s="19"/>
      <c r="C75" s="19" t="s">
        <v>249</v>
      </c>
      <c r="D75" s="19" t="s">
        <v>224</v>
      </c>
      <c r="E75" s="19">
        <v>716195.99981261266</v>
      </c>
      <c r="F75" s="19">
        <v>689722.10768719425</v>
      </c>
      <c r="G75" s="19">
        <v>742176.07264673081</v>
      </c>
      <c r="H75" s="19">
        <v>729058.05389377882</v>
      </c>
      <c r="I75" s="19">
        <v>781772.3537926909</v>
      </c>
      <c r="J75" s="19">
        <v>795302.04846195481</v>
      </c>
      <c r="K75" s="752">
        <v>796856.61521890864</v>
      </c>
      <c r="L75" s="752">
        <v>766048.97166309203</v>
      </c>
      <c r="M75" s="752">
        <v>793755.3914961468</v>
      </c>
      <c r="N75" s="19">
        <v>781690.41428360727</v>
      </c>
      <c r="O75" s="19">
        <v>810531.46461262251</v>
      </c>
      <c r="P75" s="19">
        <v>1083780.7423573416</v>
      </c>
      <c r="Q75" s="19">
        <f t="shared" si="3"/>
        <v>9486890.2359266821</v>
      </c>
      <c r="R75" s="212">
        <f t="shared" si="4"/>
        <v>790574.18632722355</v>
      </c>
      <c r="S75" s="40"/>
    </row>
    <row r="76" spans="1:19" hidden="1">
      <c r="A76" s="1522"/>
      <c r="B76" s="19"/>
      <c r="C76" s="19" t="s">
        <v>250</v>
      </c>
      <c r="D76" s="19" t="s">
        <v>224</v>
      </c>
      <c r="E76" s="19">
        <v>918000</v>
      </c>
      <c r="F76" s="19">
        <v>948600</v>
      </c>
      <c r="G76" s="19">
        <v>918000</v>
      </c>
      <c r="H76" s="19">
        <v>948600</v>
      </c>
      <c r="I76" s="19">
        <v>918000</v>
      </c>
      <c r="J76" s="19">
        <v>948600</v>
      </c>
      <c r="K76" s="752">
        <v>948600</v>
      </c>
      <c r="L76" s="752">
        <v>918000</v>
      </c>
      <c r="M76" s="752">
        <v>948600</v>
      </c>
      <c r="N76" s="19">
        <v>948600</v>
      </c>
      <c r="O76" s="19">
        <v>856800</v>
      </c>
      <c r="P76" s="19">
        <v>948600</v>
      </c>
      <c r="Q76" s="19">
        <f t="shared" si="3"/>
        <v>11169000</v>
      </c>
      <c r="R76" s="212">
        <f t="shared" si="4"/>
        <v>930750</v>
      </c>
      <c r="S76" s="40"/>
    </row>
    <row r="77" spans="1:19" hidden="1">
      <c r="A77" s="1522"/>
      <c r="B77" s="19"/>
      <c r="C77" s="19" t="s">
        <v>233</v>
      </c>
      <c r="D77" s="19" t="s">
        <v>224</v>
      </c>
      <c r="E77" s="19">
        <v>201804.00018738734</v>
      </c>
      <c r="F77" s="19">
        <v>258877.89231280575</v>
      </c>
      <c r="G77" s="19">
        <v>175823.92735326919</v>
      </c>
      <c r="H77" s="19">
        <v>219541.94610622118</v>
      </c>
      <c r="I77" s="19">
        <v>136227.6462073091</v>
      </c>
      <c r="J77" s="19">
        <v>153297.95153804519</v>
      </c>
      <c r="K77" s="752">
        <v>151743.38478109136</v>
      </c>
      <c r="L77" s="752">
        <v>151951.02833690797</v>
      </c>
      <c r="M77" s="752">
        <v>154844.6085038532</v>
      </c>
      <c r="N77" s="19">
        <v>166909.58571639273</v>
      </c>
      <c r="O77" s="19">
        <v>46268.535387377487</v>
      </c>
      <c r="P77" s="19">
        <v>-135180.74235734157</v>
      </c>
      <c r="Q77" s="19">
        <f t="shared" si="3"/>
        <v>1682109.764073319</v>
      </c>
      <c r="R77" s="212">
        <f t="shared" si="4"/>
        <v>140175.8136727766</v>
      </c>
      <c r="S77" s="40"/>
    </row>
    <row r="78" spans="1:19" hidden="1">
      <c r="A78" s="1522"/>
      <c r="B78" s="19"/>
      <c r="C78" s="19" t="s">
        <v>235</v>
      </c>
      <c r="D78" s="19" t="s">
        <v>224</v>
      </c>
      <c r="E78" s="19">
        <v>0.21983006556360277</v>
      </c>
      <c r="F78" s="19">
        <v>0.27290522065444417</v>
      </c>
      <c r="G78" s="19">
        <v>0.19152933262883354</v>
      </c>
      <c r="H78" s="19">
        <v>0.23143785168271261</v>
      </c>
      <c r="I78" s="19">
        <v>0.14839612876613192</v>
      </c>
      <c r="J78" s="19">
        <v>0.1616044186570158</v>
      </c>
      <c r="K78" s="752">
        <v>0.1599656175217071</v>
      </c>
      <c r="L78" s="752">
        <v>0.16552399600970366</v>
      </c>
      <c r="M78" s="752">
        <v>0.16323488140823655</v>
      </c>
      <c r="N78" s="19">
        <v>0.17595360079737796</v>
      </c>
      <c r="O78" s="19">
        <v>5.4001558575370548E-2</v>
      </c>
      <c r="P78" s="19">
        <v>-0.14250552641507649</v>
      </c>
      <c r="Q78" s="19">
        <f t="shared" si="3"/>
        <v>1.80187714585006</v>
      </c>
      <c r="R78" s="212">
        <f t="shared" si="4"/>
        <v>0.15015642882083832</v>
      </c>
      <c r="S78" s="40"/>
    </row>
    <row r="79" spans="1:19" hidden="1">
      <c r="A79" s="1522"/>
      <c r="B79" s="19"/>
      <c r="C79" s="19" t="s">
        <v>244</v>
      </c>
      <c r="D79" s="19" t="s">
        <v>224</v>
      </c>
      <c r="E79" s="19">
        <v>23873.199993753755</v>
      </c>
      <c r="F79" s="19">
        <v>22249.100247974009</v>
      </c>
      <c r="G79" s="19">
        <v>24739.202421557693</v>
      </c>
      <c r="H79" s="19">
        <v>23518.001738508996</v>
      </c>
      <c r="I79" s="19">
        <v>26059.078459756365</v>
      </c>
      <c r="J79" s="19">
        <v>25654.904789095315</v>
      </c>
      <c r="K79" s="752">
        <v>25705.052103835762</v>
      </c>
      <c r="L79" s="752">
        <v>25534.965722103068</v>
      </c>
      <c r="M79" s="752">
        <v>25605.01262890796</v>
      </c>
      <c r="N79" s="19">
        <v>25215.819815600236</v>
      </c>
      <c r="O79" s="19">
        <v>28947.552307593662</v>
      </c>
      <c r="P79" s="19">
        <v>34960.669108301343</v>
      </c>
      <c r="Q79" s="19">
        <f t="shared" si="3"/>
        <v>312062.55933698814</v>
      </c>
      <c r="R79" s="212">
        <f t="shared" si="4"/>
        <v>26005.213278082345</v>
      </c>
      <c r="S79" s="40"/>
    </row>
    <row r="80" spans="1:19" hidden="1">
      <c r="A80" s="1522"/>
      <c r="B80" s="19"/>
      <c r="C80" s="19" t="s">
        <v>240</v>
      </c>
      <c r="D80" s="19" t="s">
        <v>224</v>
      </c>
      <c r="E80" s="19">
        <v>23873.199993753755</v>
      </c>
      <c r="F80" s="19">
        <v>23047.837827865686</v>
      </c>
      <c r="G80" s="19">
        <v>23605.430551060854</v>
      </c>
      <c r="H80" s="19">
        <v>23583.215033117351</v>
      </c>
      <c r="I80" s="19">
        <v>24071.872288375052</v>
      </c>
      <c r="J80" s="19">
        <v>24340.036263906899</v>
      </c>
      <c r="K80" s="752">
        <v>24537.772203335848</v>
      </c>
      <c r="L80" s="752">
        <v>24660.377963840016</v>
      </c>
      <c r="M80" s="752">
        <v>24766.864053356767</v>
      </c>
      <c r="N80" s="19">
        <v>24812.346499858555</v>
      </c>
      <c r="O80" s="19">
        <v>25159.010459788446</v>
      </c>
      <c r="P80" s="19">
        <v>25991.480098429267</v>
      </c>
      <c r="Q80" s="19">
        <f t="shared" si="3"/>
        <v>292449.44323668844</v>
      </c>
      <c r="R80" s="212">
        <f t="shared" si="4"/>
        <v>24370.786936390705</v>
      </c>
      <c r="S80" s="40"/>
    </row>
    <row r="81" spans="1:21" hidden="1">
      <c r="A81" s="19">
        <v>0</v>
      </c>
      <c r="B81" s="19"/>
      <c r="C81" s="19"/>
      <c r="D81" s="19"/>
      <c r="E81" s="19"/>
      <c r="F81" s="19"/>
      <c r="G81" s="19"/>
      <c r="H81" s="19"/>
      <c r="I81" s="19"/>
      <c r="J81" s="19"/>
      <c r="K81" s="752"/>
      <c r="L81" s="752"/>
      <c r="M81" s="752"/>
      <c r="N81" s="19"/>
      <c r="O81" s="19"/>
      <c r="P81" s="19"/>
      <c r="Q81" s="19">
        <v>0</v>
      </c>
      <c r="R81" s="19">
        <v>0</v>
      </c>
      <c r="S81" s="40"/>
    </row>
    <row r="82" spans="1:21" hidden="1">
      <c r="A82" s="1522" t="s">
        <v>16</v>
      </c>
      <c r="B82" s="19" t="s">
        <v>222</v>
      </c>
      <c r="C82" s="19" t="s">
        <v>223</v>
      </c>
      <c r="D82" s="19" t="s">
        <v>224</v>
      </c>
      <c r="E82" s="19">
        <v>0</v>
      </c>
      <c r="F82" s="19">
        <v>0</v>
      </c>
      <c r="G82" s="19">
        <v>0</v>
      </c>
      <c r="H82" s="19">
        <v>0</v>
      </c>
      <c r="I82" s="19">
        <v>0</v>
      </c>
      <c r="J82" s="19">
        <v>0</v>
      </c>
      <c r="K82" s="752">
        <v>0</v>
      </c>
      <c r="L82" s="752">
        <v>0</v>
      </c>
      <c r="M82" s="752">
        <v>0</v>
      </c>
      <c r="N82" s="19">
        <v>0</v>
      </c>
      <c r="O82" s="19">
        <v>0</v>
      </c>
      <c r="P82" s="19">
        <v>0</v>
      </c>
      <c r="Q82" s="19">
        <v>0</v>
      </c>
      <c r="R82" s="19">
        <v>0</v>
      </c>
      <c r="S82" s="40"/>
    </row>
    <row r="83" spans="1:21" hidden="1">
      <c r="A83" s="1522"/>
      <c r="B83" s="19" t="s">
        <v>225</v>
      </c>
      <c r="C83" s="19" t="s">
        <v>223</v>
      </c>
      <c r="D83" s="19" t="s">
        <v>224</v>
      </c>
      <c r="E83" s="19">
        <v>16893.498452012383</v>
      </c>
      <c r="F83" s="19">
        <v>16893.498452012383</v>
      </c>
      <c r="G83" s="19">
        <v>13643.962848297213</v>
      </c>
      <c r="H83" s="19">
        <v>5572.7554179566559</v>
      </c>
      <c r="I83" s="19">
        <v>24323.839009287927</v>
      </c>
      <c r="J83" s="19">
        <v>16120.743034055728</v>
      </c>
      <c r="K83" s="752">
        <v>12642.724458204335</v>
      </c>
      <c r="L83" s="752">
        <v>19453.86996904025</v>
      </c>
      <c r="M83" s="752">
        <v>15743.034055727554</v>
      </c>
      <c r="N83" s="19">
        <v>13003.095975232198</v>
      </c>
      <c r="O83" s="19">
        <v>9823.5294117647063</v>
      </c>
      <c r="P83" s="19">
        <v>7346.7492260061917</v>
      </c>
      <c r="Q83" s="19">
        <v>171461.30030959751</v>
      </c>
      <c r="R83" s="19">
        <v>14288.44169246646</v>
      </c>
      <c r="S83" s="40"/>
    </row>
    <row r="84" spans="1:21" hidden="1">
      <c r="A84" s="1522"/>
      <c r="B84" s="19" t="s">
        <v>222</v>
      </c>
      <c r="C84" s="19" t="s">
        <v>226</v>
      </c>
      <c r="D84" s="19" t="s">
        <v>224</v>
      </c>
      <c r="E84" s="19">
        <v>0</v>
      </c>
      <c r="F84" s="19">
        <v>0</v>
      </c>
      <c r="G84" s="19">
        <v>0</v>
      </c>
      <c r="H84" s="19">
        <v>0</v>
      </c>
      <c r="I84" s="19">
        <v>0</v>
      </c>
      <c r="J84" s="19">
        <v>0</v>
      </c>
      <c r="K84" s="752">
        <v>0</v>
      </c>
      <c r="L84" s="752">
        <v>0</v>
      </c>
      <c r="M84" s="752">
        <v>0</v>
      </c>
      <c r="N84" s="19">
        <v>0</v>
      </c>
      <c r="O84" s="19">
        <v>0</v>
      </c>
      <c r="P84" s="19">
        <v>0</v>
      </c>
      <c r="Q84" s="19">
        <v>0</v>
      </c>
      <c r="R84" s="19">
        <v>0</v>
      </c>
      <c r="S84" s="40"/>
    </row>
    <row r="85" spans="1:21" hidden="1">
      <c r="A85" s="1522"/>
      <c r="B85" s="19" t="s">
        <v>225</v>
      </c>
      <c r="C85" s="19" t="s">
        <v>226</v>
      </c>
      <c r="D85" s="19" t="s">
        <v>224</v>
      </c>
      <c r="E85" s="19">
        <v>65263.429111895843</v>
      </c>
      <c r="F85" s="19">
        <v>78177.464785505581</v>
      </c>
      <c r="G85" s="19">
        <v>67978.785425914961</v>
      </c>
      <c r="H85" s="19">
        <v>74641.56265039237</v>
      </c>
      <c r="I85" s="19">
        <v>69480.358215664528</v>
      </c>
      <c r="J85" s="19">
        <v>95659.6961947292</v>
      </c>
      <c r="K85" s="752">
        <v>96263.337810186495</v>
      </c>
      <c r="L85" s="752">
        <v>115085.33090861472</v>
      </c>
      <c r="M85" s="752">
        <v>68555.34298532395</v>
      </c>
      <c r="N85" s="19">
        <v>123024.67849580807</v>
      </c>
      <c r="O85" s="19">
        <v>484257.09593024204</v>
      </c>
      <c r="P85" s="19">
        <v>80258.827097842193</v>
      </c>
      <c r="Q85" s="19">
        <v>1418645.9096121199</v>
      </c>
      <c r="R85" s="19">
        <v>118220.49246767665</v>
      </c>
      <c r="S85" s="40"/>
    </row>
    <row r="86" spans="1:21" hidden="1">
      <c r="A86" s="1522"/>
      <c r="B86" s="19" t="s">
        <v>222</v>
      </c>
      <c r="C86" s="19" t="s">
        <v>227</v>
      </c>
      <c r="D86" s="19" t="s">
        <v>224</v>
      </c>
      <c r="E86" s="19">
        <v>0</v>
      </c>
      <c r="F86" s="19">
        <v>0</v>
      </c>
      <c r="G86" s="19">
        <v>0</v>
      </c>
      <c r="H86" s="19">
        <v>0</v>
      </c>
      <c r="I86" s="19">
        <v>0</v>
      </c>
      <c r="J86" s="19">
        <v>0</v>
      </c>
      <c r="K86" s="752">
        <v>0</v>
      </c>
      <c r="L86" s="752">
        <v>0</v>
      </c>
      <c r="M86" s="752">
        <v>0</v>
      </c>
      <c r="N86" s="19">
        <v>0</v>
      </c>
      <c r="O86" s="19">
        <v>0</v>
      </c>
      <c r="P86" s="19">
        <v>0</v>
      </c>
      <c r="Q86" s="19">
        <v>0</v>
      </c>
      <c r="R86" s="19">
        <v>0</v>
      </c>
      <c r="S86" s="40"/>
    </row>
    <row r="87" spans="1:21" hidden="1">
      <c r="A87" s="1522"/>
      <c r="B87" s="19" t="s">
        <v>225</v>
      </c>
      <c r="C87" s="19" t="s">
        <v>227</v>
      </c>
      <c r="D87" s="19" t="s">
        <v>224</v>
      </c>
      <c r="E87" s="19">
        <v>0</v>
      </c>
      <c r="F87" s="19">
        <v>0</v>
      </c>
      <c r="G87" s="19">
        <v>0</v>
      </c>
      <c r="H87" s="19">
        <v>0</v>
      </c>
      <c r="I87" s="19">
        <v>0</v>
      </c>
      <c r="J87" s="19">
        <v>0</v>
      </c>
      <c r="K87" s="752">
        <v>0</v>
      </c>
      <c r="L87" s="752">
        <v>0</v>
      </c>
      <c r="M87" s="752">
        <v>0</v>
      </c>
      <c r="N87" s="19">
        <v>0</v>
      </c>
      <c r="O87" s="19">
        <v>0</v>
      </c>
      <c r="P87" s="19">
        <v>0</v>
      </c>
      <c r="Q87" s="19">
        <v>0</v>
      </c>
      <c r="R87" s="19">
        <v>0</v>
      </c>
      <c r="S87" s="40"/>
    </row>
    <row r="88" spans="1:21" hidden="1">
      <c r="A88" s="1522"/>
      <c r="B88" s="19" t="s">
        <v>222</v>
      </c>
      <c r="C88" s="19" t="s">
        <v>242</v>
      </c>
      <c r="D88" s="19" t="s">
        <v>224</v>
      </c>
      <c r="E88" s="19">
        <v>0</v>
      </c>
      <c r="F88" s="19">
        <v>0</v>
      </c>
      <c r="G88" s="19">
        <v>0</v>
      </c>
      <c r="H88" s="19">
        <v>0</v>
      </c>
      <c r="I88" s="19">
        <v>0</v>
      </c>
      <c r="J88" s="19">
        <v>0</v>
      </c>
      <c r="K88" s="752">
        <v>0</v>
      </c>
      <c r="L88" s="752">
        <v>0</v>
      </c>
      <c r="M88" s="752">
        <v>0</v>
      </c>
      <c r="N88" s="19">
        <v>0</v>
      </c>
      <c r="O88" s="19">
        <v>0</v>
      </c>
      <c r="P88" s="19">
        <v>0</v>
      </c>
      <c r="Q88" s="19">
        <v>0</v>
      </c>
      <c r="R88" s="19">
        <v>0</v>
      </c>
      <c r="S88" s="40"/>
    </row>
    <row r="89" spans="1:21" hidden="1">
      <c r="A89" s="1522"/>
      <c r="B89" s="19" t="s">
        <v>225</v>
      </c>
      <c r="C89" s="19" t="s">
        <v>242</v>
      </c>
      <c r="D89" s="19" t="s">
        <v>224</v>
      </c>
      <c r="E89" s="19">
        <v>881861.30726629519</v>
      </c>
      <c r="F89" s="19">
        <v>884885.74550400837</v>
      </c>
      <c r="G89" s="19">
        <v>822448.93274140917</v>
      </c>
      <c r="H89" s="19">
        <v>840464.12569861871</v>
      </c>
      <c r="I89" s="19">
        <v>805227.85191445297</v>
      </c>
      <c r="J89" s="19">
        <v>836670.86109099083</v>
      </c>
      <c r="K89" s="752">
        <v>806210.69980532571</v>
      </c>
      <c r="L89" s="752">
        <v>1331136.7708076742</v>
      </c>
      <c r="M89" s="752">
        <v>499518.21547716996</v>
      </c>
      <c r="N89" s="19">
        <v>1209297.3151954652</v>
      </c>
      <c r="O89" s="19">
        <v>292957.24896172085</v>
      </c>
      <c r="P89" s="19">
        <v>862796.20674967056</v>
      </c>
      <c r="Q89" s="19">
        <v>10073475.281212801</v>
      </c>
      <c r="R89" s="19">
        <v>839456.27343440009</v>
      </c>
      <c r="S89" s="40"/>
    </row>
    <row r="90" spans="1:21">
      <c r="A90" s="1522"/>
      <c r="B90" s="19"/>
      <c r="C90" s="19" t="s">
        <v>230</v>
      </c>
      <c r="D90" s="19" t="s">
        <v>224</v>
      </c>
      <c r="E90" s="1010">
        <v>1518410.0261645445</v>
      </c>
      <c r="F90" s="1010">
        <v>1270519.7081872937</v>
      </c>
      <c r="G90" s="1010">
        <v>1070367.6121311053</v>
      </c>
      <c r="H90" s="1010">
        <v>1503729.5860971897</v>
      </c>
      <c r="I90" s="1010">
        <v>1172241.6099783394</v>
      </c>
      <c r="J90" s="1010">
        <v>1069542.560646872</v>
      </c>
      <c r="K90" s="1010">
        <v>1159497.9288042556</v>
      </c>
      <c r="L90" s="1010">
        <v>1031857.8390389218</v>
      </c>
      <c r="M90" s="1010">
        <v>1045049.7092607755</v>
      </c>
      <c r="N90" s="1010">
        <v>1046607.0945533157</v>
      </c>
      <c r="O90" s="1010">
        <v>999863.75552768027</v>
      </c>
      <c r="P90" s="1010">
        <v>921180.84647538199</v>
      </c>
      <c r="Q90" s="752">
        <f>SUM(E90:P90)</f>
        <v>13808868.276865674</v>
      </c>
      <c r="R90" s="753">
        <f t="shared" ref="R90" si="5">Q90/12</f>
        <v>1150739.0230721396</v>
      </c>
      <c r="S90" s="922">
        <f t="shared" ref="S90" si="6">R90/30</f>
        <v>38357.967435737984</v>
      </c>
    </row>
    <row r="91" spans="1:21" hidden="1">
      <c r="A91" s="1522"/>
      <c r="B91" s="19"/>
      <c r="C91" s="19" t="s">
        <v>232</v>
      </c>
      <c r="D91" s="19" t="s">
        <v>224</v>
      </c>
      <c r="E91" s="19"/>
      <c r="F91" s="19"/>
      <c r="G91" s="19"/>
      <c r="H91" s="19"/>
      <c r="I91" s="19"/>
      <c r="J91" s="19"/>
      <c r="K91" s="752"/>
      <c r="L91" s="752"/>
      <c r="M91" s="752"/>
      <c r="N91" s="19"/>
      <c r="O91" s="19"/>
      <c r="P91" s="19"/>
      <c r="Q91" s="19">
        <v>0</v>
      </c>
      <c r="R91" s="19">
        <v>0</v>
      </c>
      <c r="S91" s="40"/>
    </row>
    <row r="92" spans="1:21" hidden="1">
      <c r="A92" s="1522"/>
      <c r="B92" s="19"/>
      <c r="C92" s="19" t="s">
        <v>231</v>
      </c>
      <c r="D92" s="19" t="s">
        <v>224</v>
      </c>
      <c r="E92" s="19">
        <v>854696.38840452628</v>
      </c>
      <c r="F92" s="19">
        <v>883186.26801801042</v>
      </c>
      <c r="G92" s="19">
        <v>854696.38840452628</v>
      </c>
      <c r="H92" s="19">
        <v>883186.26801801042</v>
      </c>
      <c r="I92" s="19">
        <v>854696.38840452628</v>
      </c>
      <c r="J92" s="19">
        <v>883186.26801801042</v>
      </c>
      <c r="K92" s="752">
        <v>883186.26801801042</v>
      </c>
      <c r="L92" s="752">
        <v>854696.38840452628</v>
      </c>
      <c r="M92" s="752">
        <v>883186.26801801042</v>
      </c>
      <c r="N92" s="19">
        <v>883186.26801801042</v>
      </c>
      <c r="O92" s="19">
        <v>797716.62917755789</v>
      </c>
      <c r="P92" s="19">
        <v>883186.26801801042</v>
      </c>
      <c r="Q92" s="19">
        <v>10398806.058921734</v>
      </c>
      <c r="R92" s="19">
        <v>866567.17157681112</v>
      </c>
      <c r="S92" s="40">
        <f>Q92/12/30</f>
        <v>28885.572385893705</v>
      </c>
      <c r="T92" s="41">
        <f>Q14/12/30</f>
        <v>11780.876064781713</v>
      </c>
      <c r="U92" s="41">
        <f>SUM(S92:T92)</f>
        <v>40666.448450675416</v>
      </c>
    </row>
    <row r="93" spans="1:21" hidden="1">
      <c r="A93" s="1522"/>
      <c r="B93" s="19"/>
      <c r="C93" s="19" t="s">
        <v>233</v>
      </c>
      <c r="D93" s="19" t="s">
        <v>224</v>
      </c>
      <c r="E93" s="19">
        <v>-109321.84642567718</v>
      </c>
      <c r="F93" s="19">
        <v>-96770.440723515931</v>
      </c>
      <c r="G93" s="19">
        <v>-49375.292611095123</v>
      </c>
      <c r="H93" s="19">
        <v>-37492.175748957321</v>
      </c>
      <c r="I93" s="19">
        <v>-44335.660734879086</v>
      </c>
      <c r="J93" s="19">
        <v>-65265.032301765285</v>
      </c>
      <c r="K93" s="752">
        <v>-31930.494055706076</v>
      </c>
      <c r="L93" s="752">
        <v>-610979.58328080294</v>
      </c>
      <c r="M93" s="752">
        <v>299369.67549978895</v>
      </c>
      <c r="N93" s="19">
        <v>-462138.82164849516</v>
      </c>
      <c r="O93" s="19">
        <v>10678.754873830243</v>
      </c>
      <c r="P93" s="19">
        <v>-67215.515055508469</v>
      </c>
      <c r="Q93" s="19">
        <v>-1264776.4322127867</v>
      </c>
      <c r="R93" s="19">
        <v>-105398.03601773223</v>
      </c>
      <c r="S93" s="40"/>
      <c r="U93" s="41">
        <f>U92/519</f>
        <v>78.35539200515494</v>
      </c>
    </row>
    <row r="94" spans="1:21" hidden="1">
      <c r="A94" s="1522"/>
      <c r="B94" s="19"/>
      <c r="C94" s="19" t="s">
        <v>235</v>
      </c>
      <c r="D94" s="19" t="s">
        <v>236</v>
      </c>
      <c r="E94" s="19">
        <v>-0.12790722870579788</v>
      </c>
      <c r="F94" s="19">
        <v>-0.10956968447967597</v>
      </c>
      <c r="G94" s="19">
        <v>-5.7769394232804319E-2</v>
      </c>
      <c r="H94" s="19">
        <v>-4.245104017875509E-2</v>
      </c>
      <c r="I94" s="19">
        <v>-5.1872994125599481E-2</v>
      </c>
      <c r="J94" s="19">
        <v>-7.3897245309564027E-2</v>
      </c>
      <c r="K94" s="752">
        <v>-3.6153748322380996E-2</v>
      </c>
      <c r="L94" s="752">
        <v>-0.71484984793410333</v>
      </c>
      <c r="M94" s="752">
        <v>0.3389655006430467</v>
      </c>
      <c r="N94" s="19">
        <v>-0.52326314208394253</v>
      </c>
      <c r="O94" s="19">
        <v>1.3386651955394221E-2</v>
      </c>
      <c r="P94" s="19">
        <v>-7.6105706677651569E-2</v>
      </c>
      <c r="Q94" s="19">
        <v>-0.12162708151746539</v>
      </c>
      <c r="R94" s="19">
        <v>-0.1216270815174654</v>
      </c>
      <c r="S94" s="40"/>
    </row>
    <row r="95" spans="1:21" hidden="1">
      <c r="A95" s="19"/>
      <c r="B95" s="19"/>
      <c r="C95" s="19"/>
      <c r="D95" s="19"/>
      <c r="E95" s="19"/>
      <c r="F95" s="19"/>
      <c r="G95" s="19"/>
      <c r="H95" s="19"/>
      <c r="I95" s="19"/>
      <c r="J95" s="19"/>
      <c r="K95" s="752"/>
      <c r="L95" s="752"/>
      <c r="M95" s="752"/>
      <c r="N95" s="19"/>
      <c r="O95" s="19"/>
      <c r="P95" s="19"/>
      <c r="Q95" s="19"/>
      <c r="R95" s="19"/>
      <c r="S95" s="40"/>
    </row>
    <row r="96" spans="1:21" hidden="1">
      <c r="A96" s="19">
        <v>0</v>
      </c>
      <c r="B96" s="19"/>
      <c r="C96" s="19"/>
      <c r="D96" s="19"/>
      <c r="E96" s="19"/>
      <c r="F96" s="19"/>
      <c r="G96" s="19"/>
      <c r="H96" s="19"/>
      <c r="I96" s="19"/>
      <c r="J96" s="19"/>
      <c r="K96" s="752"/>
      <c r="L96" s="752"/>
      <c r="M96" s="752"/>
      <c r="N96" s="19"/>
      <c r="O96" s="19"/>
      <c r="P96" s="19"/>
      <c r="Q96" s="19"/>
      <c r="R96" s="19"/>
      <c r="S96" s="40"/>
    </row>
    <row r="97" spans="1:19" hidden="1">
      <c r="A97" s="1522" t="s">
        <v>251</v>
      </c>
      <c r="B97" s="19" t="s">
        <v>222</v>
      </c>
      <c r="C97" s="19" t="s">
        <v>223</v>
      </c>
      <c r="D97" s="19" t="s">
        <v>224</v>
      </c>
      <c r="E97" s="19">
        <v>0</v>
      </c>
      <c r="F97" s="19">
        <v>0</v>
      </c>
      <c r="G97" s="19">
        <v>0</v>
      </c>
      <c r="H97" s="19">
        <v>0</v>
      </c>
      <c r="I97" s="19">
        <v>0</v>
      </c>
      <c r="J97" s="19">
        <v>0</v>
      </c>
      <c r="K97" s="752">
        <v>0</v>
      </c>
      <c r="L97" s="752">
        <v>0</v>
      </c>
      <c r="M97" s="752">
        <v>0</v>
      </c>
      <c r="N97" s="19">
        <v>0</v>
      </c>
      <c r="O97" s="19">
        <v>0</v>
      </c>
      <c r="P97" s="19">
        <v>0</v>
      </c>
      <c r="Q97" s="19">
        <v>0</v>
      </c>
      <c r="R97" s="19">
        <v>0</v>
      </c>
      <c r="S97" s="40"/>
    </row>
    <row r="98" spans="1:19" hidden="1">
      <c r="A98" s="1522"/>
      <c r="B98" s="19" t="s">
        <v>225</v>
      </c>
      <c r="C98" s="19" t="s">
        <v>223</v>
      </c>
      <c r="D98" s="19" t="s">
        <v>224</v>
      </c>
      <c r="E98" s="19">
        <v>16893.498452012383</v>
      </c>
      <c r="F98" s="19">
        <v>16893.498452012383</v>
      </c>
      <c r="G98" s="19">
        <v>7346.7492260061917</v>
      </c>
      <c r="H98" s="19">
        <v>13643.962848297213</v>
      </c>
      <c r="I98" s="19">
        <v>22549.845201238393</v>
      </c>
      <c r="J98" s="19">
        <v>7346.7492260061917</v>
      </c>
      <c r="K98" s="752">
        <v>25667.492260061917</v>
      </c>
      <c r="L98" s="752">
        <v>20073.065015479879</v>
      </c>
      <c r="M98" s="752">
        <v>2476.7801857585141</v>
      </c>
      <c r="N98" s="19">
        <v>23173.374613003096</v>
      </c>
      <c r="O98" s="19">
        <v>5572.7554179566559</v>
      </c>
      <c r="P98" s="19">
        <v>9823.5294117647063</v>
      </c>
      <c r="Q98" s="19">
        <v>171461.30030959751</v>
      </c>
      <c r="R98" s="19">
        <v>14288.44169246646</v>
      </c>
      <c r="S98" s="40"/>
    </row>
    <row r="99" spans="1:19" hidden="1">
      <c r="A99" s="1522"/>
      <c r="B99" s="19" t="s">
        <v>222</v>
      </c>
      <c r="C99" s="19" t="s">
        <v>226</v>
      </c>
      <c r="D99" s="19" t="s">
        <v>224</v>
      </c>
      <c r="E99" s="19">
        <v>0</v>
      </c>
      <c r="F99" s="19">
        <v>0</v>
      </c>
      <c r="G99" s="19">
        <v>0</v>
      </c>
      <c r="H99" s="19">
        <v>0</v>
      </c>
      <c r="I99" s="19">
        <v>0</v>
      </c>
      <c r="J99" s="19">
        <v>0</v>
      </c>
      <c r="K99" s="752">
        <v>0</v>
      </c>
      <c r="L99" s="752">
        <v>0</v>
      </c>
      <c r="M99" s="752">
        <v>0</v>
      </c>
      <c r="N99" s="19">
        <v>0</v>
      </c>
      <c r="O99" s="19">
        <v>0</v>
      </c>
      <c r="P99" s="19">
        <v>0</v>
      </c>
      <c r="Q99" s="19">
        <v>0</v>
      </c>
      <c r="R99" s="19">
        <v>0</v>
      </c>
      <c r="S99" s="40"/>
    </row>
    <row r="100" spans="1:19" hidden="1">
      <c r="A100" s="1522"/>
      <c r="B100" s="19" t="s">
        <v>225</v>
      </c>
      <c r="C100" s="19" t="s">
        <v>226</v>
      </c>
      <c r="D100" s="19" t="s">
        <v>224</v>
      </c>
      <c r="E100" s="19">
        <v>77926.259454891522</v>
      </c>
      <c r="F100" s="19">
        <v>65036.467850521032</v>
      </c>
      <c r="G100" s="19">
        <v>72971.191300011968</v>
      </c>
      <c r="H100" s="19">
        <v>71477.941623560575</v>
      </c>
      <c r="I100" s="19">
        <v>81053.306358079426</v>
      </c>
      <c r="J100" s="19">
        <v>69966.705323250964</v>
      </c>
      <c r="K100" s="752">
        <v>93790.167529772894</v>
      </c>
      <c r="L100" s="752">
        <v>153485.98566803033</v>
      </c>
      <c r="M100" s="752">
        <v>34708.996871192488</v>
      </c>
      <c r="N100" s="19">
        <v>85975.336726690512</v>
      </c>
      <c r="O100" s="19">
        <v>109827.29134766701</v>
      </c>
      <c r="P100" s="19">
        <v>502521.35251791478</v>
      </c>
      <c r="Q100" s="19">
        <v>1418741.0025715835</v>
      </c>
      <c r="R100" s="19">
        <v>118228.41688096529</v>
      </c>
      <c r="S100" s="40"/>
    </row>
    <row r="101" spans="1:19" hidden="1">
      <c r="A101" s="1522"/>
      <c r="B101" s="19" t="s">
        <v>222</v>
      </c>
      <c r="C101" s="19" t="s">
        <v>227</v>
      </c>
      <c r="D101" s="19" t="s">
        <v>224</v>
      </c>
      <c r="E101" s="19">
        <v>0</v>
      </c>
      <c r="F101" s="19">
        <v>0</v>
      </c>
      <c r="G101" s="19">
        <v>0</v>
      </c>
      <c r="H101" s="19">
        <v>0</v>
      </c>
      <c r="I101" s="19">
        <v>0</v>
      </c>
      <c r="J101" s="19">
        <v>0</v>
      </c>
      <c r="K101" s="752">
        <v>0</v>
      </c>
      <c r="L101" s="752">
        <v>0</v>
      </c>
      <c r="M101" s="752">
        <v>0</v>
      </c>
      <c r="N101" s="19">
        <v>0</v>
      </c>
      <c r="O101" s="19">
        <v>0</v>
      </c>
      <c r="P101" s="19">
        <v>0</v>
      </c>
      <c r="Q101" s="19">
        <v>0</v>
      </c>
      <c r="R101" s="19">
        <v>0</v>
      </c>
      <c r="S101" s="40"/>
    </row>
    <row r="102" spans="1:19" hidden="1">
      <c r="A102" s="1522"/>
      <c r="B102" s="19" t="s">
        <v>225</v>
      </c>
      <c r="C102" s="19" t="s">
        <v>227</v>
      </c>
      <c r="D102" s="19" t="s">
        <v>224</v>
      </c>
      <c r="E102" s="19">
        <v>0</v>
      </c>
      <c r="F102" s="19">
        <v>0</v>
      </c>
      <c r="G102" s="19">
        <v>0</v>
      </c>
      <c r="H102" s="19">
        <v>0</v>
      </c>
      <c r="I102" s="19">
        <v>0</v>
      </c>
      <c r="J102" s="19">
        <v>0</v>
      </c>
      <c r="K102" s="752">
        <v>0</v>
      </c>
      <c r="L102" s="752">
        <v>0</v>
      </c>
      <c r="M102" s="752">
        <v>0</v>
      </c>
      <c r="N102" s="19">
        <v>0</v>
      </c>
      <c r="O102" s="19">
        <v>0</v>
      </c>
      <c r="P102" s="19">
        <v>0</v>
      </c>
      <c r="Q102" s="19">
        <v>0</v>
      </c>
      <c r="R102" s="19">
        <v>0</v>
      </c>
      <c r="S102" s="40"/>
    </row>
    <row r="103" spans="1:19" hidden="1">
      <c r="A103" s="1522"/>
      <c r="B103" s="19" t="s">
        <v>222</v>
      </c>
      <c r="C103" s="19" t="s">
        <v>242</v>
      </c>
      <c r="D103" s="19" t="s">
        <v>224</v>
      </c>
      <c r="E103" s="19">
        <v>0</v>
      </c>
      <c r="F103" s="19">
        <v>0</v>
      </c>
      <c r="G103" s="19">
        <v>0</v>
      </c>
      <c r="H103" s="19">
        <v>0</v>
      </c>
      <c r="I103" s="19">
        <v>0</v>
      </c>
      <c r="J103" s="19">
        <v>0</v>
      </c>
      <c r="K103" s="752">
        <v>0</v>
      </c>
      <c r="L103" s="752">
        <v>0</v>
      </c>
      <c r="M103" s="752">
        <v>0</v>
      </c>
      <c r="N103" s="19">
        <v>0</v>
      </c>
      <c r="O103" s="19">
        <v>0</v>
      </c>
      <c r="P103" s="19">
        <v>0</v>
      </c>
      <c r="Q103" s="19">
        <v>0</v>
      </c>
      <c r="R103" s="19">
        <v>0</v>
      </c>
      <c r="S103" s="40"/>
    </row>
    <row r="104" spans="1:19" hidden="1">
      <c r="A104" s="1522"/>
      <c r="B104" s="19" t="s">
        <v>225</v>
      </c>
      <c r="C104" s="19" t="s">
        <v>242</v>
      </c>
      <c r="D104" s="19" t="s">
        <v>224</v>
      </c>
      <c r="E104" s="19">
        <v>882421.0097834575</v>
      </c>
      <c r="F104" s="19">
        <v>882766.72408811422</v>
      </c>
      <c r="G104" s="19">
        <v>827637.59808661044</v>
      </c>
      <c r="H104" s="19">
        <v>840464.12569861871</v>
      </c>
      <c r="I104" s="19">
        <v>805227.85191445297</v>
      </c>
      <c r="J104" s="19">
        <v>828470.07400092564</v>
      </c>
      <c r="K104" s="752">
        <v>813601.72029477137</v>
      </c>
      <c r="L104" s="752">
        <v>816438.0910485998</v>
      </c>
      <c r="M104" s="752">
        <v>850590.73447541345</v>
      </c>
      <c r="N104" s="19">
        <v>817054.81637901522</v>
      </c>
      <c r="O104" s="19">
        <v>831124.69948218844</v>
      </c>
      <c r="P104" s="19">
        <v>865059.01848239673</v>
      </c>
      <c r="Q104" s="19">
        <v>10060856.463734565</v>
      </c>
      <c r="R104" s="19">
        <v>838404.70531121374</v>
      </c>
      <c r="S104" s="40"/>
    </row>
    <row r="105" spans="1:19">
      <c r="A105" s="1522"/>
      <c r="B105" s="19"/>
      <c r="C105" s="19" t="s">
        <v>230</v>
      </c>
      <c r="D105" s="19" t="s">
        <v>224</v>
      </c>
      <c r="E105" s="1010">
        <v>1442558.3095265913</v>
      </c>
      <c r="F105" s="1010">
        <v>1246077.2401243302</v>
      </c>
      <c r="G105" s="1010">
        <v>1159707.0172842322</v>
      </c>
      <c r="H105" s="1010">
        <v>1249148.5202252499</v>
      </c>
      <c r="I105" s="1010">
        <v>1337464.3508931305</v>
      </c>
      <c r="J105" s="1010">
        <v>1140459.1733545342</v>
      </c>
      <c r="K105" s="1010">
        <v>1164411.0135394447</v>
      </c>
      <c r="L105" s="1010">
        <v>1032182.3004485194</v>
      </c>
      <c r="M105" s="1010">
        <v>1044370.11425747</v>
      </c>
      <c r="N105" s="1010">
        <v>1045506.4862854941</v>
      </c>
      <c r="O105" s="1010">
        <v>998580.62037813826</v>
      </c>
      <c r="P105" s="1010">
        <v>924243.00289712637</v>
      </c>
      <c r="Q105" s="752">
        <f>SUM(E105:P105)</f>
        <v>13784708.149214264</v>
      </c>
      <c r="R105" s="753">
        <f t="shared" ref="R105" si="7">Q105/12</f>
        <v>1148725.6791011887</v>
      </c>
      <c r="S105" s="922">
        <f t="shared" ref="S105" si="8">R105/30</f>
        <v>38290.855970039622</v>
      </c>
    </row>
    <row r="106" spans="1:19" hidden="1">
      <c r="A106" s="1522"/>
      <c r="B106" s="19"/>
      <c r="C106" s="19" t="s">
        <v>232</v>
      </c>
      <c r="D106" s="19" t="s">
        <v>224</v>
      </c>
      <c r="E106" s="19"/>
      <c r="F106" s="19"/>
      <c r="G106" s="19"/>
      <c r="H106" s="19"/>
      <c r="I106" s="19"/>
      <c r="J106" s="19"/>
      <c r="K106" s="752"/>
      <c r="L106" s="752"/>
      <c r="M106" s="752"/>
      <c r="N106" s="19"/>
      <c r="O106" s="19"/>
      <c r="P106" s="19"/>
      <c r="Q106" s="19">
        <v>0</v>
      </c>
      <c r="R106" s="19">
        <v>0</v>
      </c>
      <c r="S106" s="40"/>
    </row>
    <row r="107" spans="1:19" hidden="1">
      <c r="A107" s="1522"/>
      <c r="B107" s="19"/>
      <c r="C107" s="19" t="s">
        <v>231</v>
      </c>
      <c r="D107" s="19" t="s">
        <v>224</v>
      </c>
      <c r="E107" s="19">
        <v>840000</v>
      </c>
      <c r="F107" s="19">
        <v>868000</v>
      </c>
      <c r="G107" s="19">
        <v>840000</v>
      </c>
      <c r="H107" s="19">
        <v>868000</v>
      </c>
      <c r="I107" s="19">
        <v>840000</v>
      </c>
      <c r="J107" s="19">
        <v>868000</v>
      </c>
      <c r="K107" s="752">
        <v>868000</v>
      </c>
      <c r="L107" s="752">
        <v>840000</v>
      </c>
      <c r="M107" s="752">
        <v>868000</v>
      </c>
      <c r="N107" s="19">
        <v>868000</v>
      </c>
      <c r="O107" s="19">
        <v>784000</v>
      </c>
      <c r="P107" s="19">
        <v>868000</v>
      </c>
      <c r="Q107" s="19">
        <v>10220000</v>
      </c>
      <c r="R107" s="19">
        <v>851666.66666666663</v>
      </c>
      <c r="S107" s="40"/>
    </row>
    <row r="108" spans="1:19" hidden="1">
      <c r="A108" s="1522"/>
      <c r="B108" s="19"/>
      <c r="C108" s="19" t="s">
        <v>233</v>
      </c>
      <c r="D108" s="19" t="s">
        <v>224</v>
      </c>
      <c r="E108" s="19">
        <v>-137240.76769036136</v>
      </c>
      <c r="F108" s="19">
        <v>-96696.690390647622</v>
      </c>
      <c r="G108" s="19">
        <v>-67955.538612628588</v>
      </c>
      <c r="H108" s="19">
        <v>-57586.03017047653</v>
      </c>
      <c r="I108" s="19">
        <v>-68831.003473770805</v>
      </c>
      <c r="J108" s="19">
        <v>-37783.528550182818</v>
      </c>
      <c r="K108" s="752">
        <v>-65059.38008460612</v>
      </c>
      <c r="L108" s="752">
        <v>-149997.14173210994</v>
      </c>
      <c r="M108" s="752">
        <v>-19776.511532364413</v>
      </c>
      <c r="N108" s="19">
        <v>-58203.52771870885</v>
      </c>
      <c r="O108" s="19">
        <v>-162524.74624781206</v>
      </c>
      <c r="P108" s="19">
        <v>-509403.90041207615</v>
      </c>
      <c r="Q108" s="19">
        <v>-1431058.7666157447</v>
      </c>
      <c r="R108" s="19">
        <v>-119254.89721797872</v>
      </c>
      <c r="S108" s="40"/>
    </row>
    <row r="109" spans="1:19" hidden="1">
      <c r="A109" s="1522"/>
      <c r="B109" s="19"/>
      <c r="C109" s="19" t="s">
        <v>235</v>
      </c>
      <c r="D109" s="19" t="s">
        <v>236</v>
      </c>
      <c r="E109" s="19">
        <v>-0.16338186629804924</v>
      </c>
      <c r="F109" s="19">
        <v>-0.11140171703991661</v>
      </c>
      <c r="G109" s="19">
        <v>-8.0899450729319741E-2</v>
      </c>
      <c r="H109" s="19">
        <v>-6.6343352730963742E-2</v>
      </c>
      <c r="I109" s="19">
        <v>-8.1941670802108096E-2</v>
      </c>
      <c r="J109" s="19">
        <v>-4.352941077210002E-2</v>
      </c>
      <c r="K109" s="752">
        <v>-7.4953202862449442E-2</v>
      </c>
      <c r="L109" s="752">
        <v>-0.17856802587155945</v>
      </c>
      <c r="M109" s="752">
        <v>-2.2783999461249323E-2</v>
      </c>
      <c r="N109" s="19">
        <v>-6.7054755436300517E-2</v>
      </c>
      <c r="O109" s="19">
        <v>-0.20730197225486233</v>
      </c>
      <c r="P109" s="19">
        <v>-0.58687085300930431</v>
      </c>
      <c r="Q109" s="19">
        <v>-0.14002531962972062</v>
      </c>
      <c r="R109" s="19">
        <v>-0.14002531962972062</v>
      </c>
      <c r="S109" s="40"/>
    </row>
    <row r="110" spans="1:19" hidden="1">
      <c r="A110" s="19"/>
      <c r="B110" s="19"/>
      <c r="C110" s="19"/>
      <c r="D110" s="19"/>
      <c r="E110" s="19"/>
      <c r="F110" s="19"/>
      <c r="G110" s="19"/>
      <c r="H110" s="19"/>
      <c r="I110" s="19"/>
      <c r="J110" s="19"/>
      <c r="K110" s="752"/>
      <c r="L110" s="752"/>
      <c r="M110" s="752"/>
      <c r="N110" s="19"/>
      <c r="O110" s="19"/>
      <c r="P110" s="19"/>
      <c r="Q110" s="19">
        <v>0</v>
      </c>
      <c r="R110" s="19">
        <v>0</v>
      </c>
      <c r="S110" s="40"/>
    </row>
    <row r="111" spans="1:19" hidden="1">
      <c r="A111" s="19"/>
      <c r="B111" s="19"/>
      <c r="C111" s="19"/>
      <c r="D111" s="19"/>
      <c r="E111" s="19"/>
      <c r="F111" s="19"/>
      <c r="G111" s="19"/>
      <c r="H111" s="19"/>
      <c r="I111" s="19"/>
      <c r="J111" s="19"/>
      <c r="K111" s="752"/>
      <c r="L111" s="752"/>
      <c r="M111" s="752"/>
      <c r="N111" s="19"/>
      <c r="O111" s="19"/>
      <c r="P111" s="19"/>
      <c r="Q111" s="19">
        <v>0</v>
      </c>
      <c r="R111" s="19">
        <v>0</v>
      </c>
      <c r="S111" s="40"/>
    </row>
    <row r="112" spans="1:19" hidden="1">
      <c r="A112" s="19">
        <v>0</v>
      </c>
      <c r="B112" s="19"/>
      <c r="C112" s="19"/>
      <c r="D112" s="19"/>
      <c r="E112" s="19"/>
      <c r="F112" s="19"/>
      <c r="G112" s="19"/>
      <c r="H112" s="19"/>
      <c r="I112" s="19"/>
      <c r="J112" s="19"/>
      <c r="K112" s="752"/>
      <c r="L112" s="752"/>
      <c r="M112" s="752"/>
      <c r="N112" s="19"/>
      <c r="O112" s="19"/>
      <c r="P112" s="19"/>
      <c r="Q112" s="19">
        <v>0</v>
      </c>
      <c r="R112" s="19">
        <v>0</v>
      </c>
      <c r="S112" s="40"/>
    </row>
    <row r="113" spans="1:19" hidden="1">
      <c r="A113" s="1522" t="s">
        <v>147</v>
      </c>
      <c r="B113" s="19" t="s">
        <v>222</v>
      </c>
      <c r="C113" s="19" t="s">
        <v>242</v>
      </c>
      <c r="D113" s="19" t="s">
        <v>224</v>
      </c>
      <c r="E113" s="19">
        <v>0</v>
      </c>
      <c r="F113" s="19">
        <v>0</v>
      </c>
      <c r="G113" s="19">
        <v>0</v>
      </c>
      <c r="H113" s="19">
        <v>0</v>
      </c>
      <c r="I113" s="19">
        <v>0</v>
      </c>
      <c r="J113" s="19">
        <v>0</v>
      </c>
      <c r="K113" s="752">
        <v>0</v>
      </c>
      <c r="L113" s="752">
        <v>0</v>
      </c>
      <c r="M113" s="752">
        <v>0</v>
      </c>
      <c r="N113" s="19">
        <v>0</v>
      </c>
      <c r="O113" s="19">
        <v>0</v>
      </c>
      <c r="P113" s="19">
        <v>0</v>
      </c>
      <c r="Q113" s="19">
        <v>0</v>
      </c>
      <c r="R113" s="19">
        <v>0</v>
      </c>
      <c r="S113" s="40"/>
    </row>
    <row r="114" spans="1:19" hidden="1">
      <c r="A114" s="1522"/>
      <c r="B114" s="19" t="s">
        <v>225</v>
      </c>
      <c r="C114" s="19" t="s">
        <v>242</v>
      </c>
      <c r="D114" s="19" t="s">
        <v>224</v>
      </c>
      <c r="E114" s="19">
        <v>322819.48981634609</v>
      </c>
      <c r="F114" s="19">
        <v>355362.50782332558</v>
      </c>
      <c r="G114" s="19">
        <v>326404.54158238071</v>
      </c>
      <c r="H114" s="19">
        <v>374069.60746440524</v>
      </c>
      <c r="I114" s="19">
        <v>355092.37181560526</v>
      </c>
      <c r="J114" s="19">
        <v>362565.90534939902</v>
      </c>
      <c r="K114" s="752">
        <v>354772.94384089642</v>
      </c>
      <c r="L114" s="752">
        <v>372536.01632227068</v>
      </c>
      <c r="M114" s="752">
        <v>365987.08910211292</v>
      </c>
      <c r="N114" s="19">
        <v>344747.51604311267</v>
      </c>
      <c r="O114" s="19">
        <v>347208.63197263982</v>
      </c>
      <c r="P114" s="19">
        <v>462469.11538318777</v>
      </c>
      <c r="Q114" s="19">
        <v>4344035.7365156822</v>
      </c>
      <c r="R114" s="19">
        <v>362002.9780429735</v>
      </c>
      <c r="S114" s="40"/>
    </row>
    <row r="115" spans="1:19">
      <c r="A115" s="1522"/>
      <c r="B115" s="19"/>
      <c r="C115" s="19" t="s">
        <v>230</v>
      </c>
      <c r="D115" s="19" t="s">
        <v>224</v>
      </c>
      <c r="E115" s="1010">
        <v>772731.27404659346</v>
      </c>
      <c r="F115" s="1010">
        <v>674690.75761742878</v>
      </c>
      <c r="G115" s="1010">
        <v>607856.37953567854</v>
      </c>
      <c r="H115" s="1010">
        <v>697292.18303559953</v>
      </c>
      <c r="I115" s="1010">
        <v>657301.77643918747</v>
      </c>
      <c r="J115" s="1010">
        <v>634553.79035836656</v>
      </c>
      <c r="K115" s="1010">
        <v>615480.76562742144</v>
      </c>
      <c r="L115" s="1010">
        <v>549635.609338296</v>
      </c>
      <c r="M115" s="1010">
        <v>663525.88689586485</v>
      </c>
      <c r="N115" s="1010">
        <v>633577.83853506146</v>
      </c>
      <c r="O115" s="1010">
        <v>603487.23985240574</v>
      </c>
      <c r="P115" s="1010">
        <v>608598.74414246238</v>
      </c>
      <c r="Q115" s="752">
        <f>SUM(E115:P115)</f>
        <v>7718732.2454243656</v>
      </c>
      <c r="R115" s="753">
        <f t="shared" ref="R115" si="9">Q115/12</f>
        <v>643227.6871186971</v>
      </c>
      <c r="S115" s="922">
        <f t="shared" ref="S115" si="10">R115/30</f>
        <v>21440.922903956569</v>
      </c>
    </row>
    <row r="116" spans="1:19" hidden="1">
      <c r="A116" s="1522"/>
      <c r="B116" s="19"/>
      <c r="C116" s="19" t="s">
        <v>231</v>
      </c>
      <c r="D116" s="19" t="s">
        <v>224</v>
      </c>
      <c r="E116" s="19">
        <v>716519.37902193982</v>
      </c>
      <c r="F116" s="19">
        <v>740403.35832267115</v>
      </c>
      <c r="G116" s="19">
        <v>716519.37902193982</v>
      </c>
      <c r="H116" s="19">
        <v>740403.35832267115</v>
      </c>
      <c r="I116" s="19">
        <v>716519.37902193982</v>
      </c>
      <c r="J116" s="19">
        <v>740403.35832267115</v>
      </c>
      <c r="K116" s="752">
        <v>740403.35832267115</v>
      </c>
      <c r="L116" s="752">
        <v>716519.37902193982</v>
      </c>
      <c r="M116" s="752">
        <v>740403.35832267115</v>
      </c>
      <c r="N116" s="19">
        <v>740403.35832267115</v>
      </c>
      <c r="O116" s="19">
        <v>668751.42042047717</v>
      </c>
      <c r="P116" s="19">
        <v>740403.35832267115</v>
      </c>
      <c r="Q116" s="19">
        <v>8717652.4447669331</v>
      </c>
      <c r="R116" s="19">
        <v>726471.03706391109</v>
      </c>
      <c r="S116" s="40"/>
    </row>
    <row r="117" spans="1:19" hidden="1">
      <c r="A117" s="1522"/>
      <c r="B117" s="19"/>
      <c r="C117" s="19" t="s">
        <v>233</v>
      </c>
      <c r="D117" s="19" t="s">
        <v>224</v>
      </c>
      <c r="E117" s="19">
        <v>393699.88920559373</v>
      </c>
      <c r="F117" s="19">
        <v>385040.85049934557</v>
      </c>
      <c r="G117" s="19">
        <v>390114.83743955911</v>
      </c>
      <c r="H117" s="19">
        <v>366333.75085826591</v>
      </c>
      <c r="I117" s="19">
        <v>361427.00720633456</v>
      </c>
      <c r="J117" s="19">
        <v>377837.45297327213</v>
      </c>
      <c r="K117" s="752">
        <v>385630.41448177473</v>
      </c>
      <c r="L117" s="752">
        <v>343983.36269966915</v>
      </c>
      <c r="M117" s="752">
        <v>374416.26922055823</v>
      </c>
      <c r="N117" s="19">
        <v>395655.84227955848</v>
      </c>
      <c r="O117" s="19">
        <v>321542.78844783735</v>
      </c>
      <c r="P117" s="19">
        <v>277934.24293948337</v>
      </c>
      <c r="Q117" s="19">
        <v>4373616.7082512509</v>
      </c>
      <c r="R117" s="19">
        <v>364468.0590209376</v>
      </c>
      <c r="S117" s="40"/>
    </row>
    <row r="118" spans="1:19" hidden="1">
      <c r="A118" s="1522"/>
      <c r="B118" s="19"/>
      <c r="C118" s="19" t="s">
        <v>234</v>
      </c>
      <c r="D118" s="19" t="s">
        <v>224</v>
      </c>
      <c r="E118" s="19"/>
      <c r="F118" s="19"/>
      <c r="G118" s="19"/>
      <c r="H118" s="19"/>
      <c r="I118" s="19"/>
      <c r="J118" s="19"/>
      <c r="K118" s="752"/>
      <c r="L118" s="752"/>
      <c r="M118" s="752"/>
      <c r="N118" s="19"/>
      <c r="O118" s="19"/>
      <c r="P118" s="19"/>
      <c r="Q118" s="19">
        <v>0</v>
      </c>
      <c r="R118" s="19">
        <v>0</v>
      </c>
      <c r="S118" s="40"/>
    </row>
    <row r="119" spans="1:19" hidden="1">
      <c r="A119" s="1522"/>
      <c r="B119" s="19"/>
      <c r="C119" s="19" t="s">
        <v>235</v>
      </c>
      <c r="D119" s="19" t="s">
        <v>236</v>
      </c>
      <c r="E119" s="19">
        <v>0.54946160666721988</v>
      </c>
      <c r="F119" s="19">
        <v>0.52004200976563242</v>
      </c>
      <c r="G119" s="19">
        <v>0.54445818056180417</v>
      </c>
      <c r="H119" s="19">
        <v>0.49477591739746807</v>
      </c>
      <c r="I119" s="19">
        <v>0.50442042153791855</v>
      </c>
      <c r="J119" s="19">
        <v>0.51031299186599433</v>
      </c>
      <c r="K119" s="752">
        <v>0.52083828381787978</v>
      </c>
      <c r="L119" s="752">
        <v>0.48007544913748434</v>
      </c>
      <c r="M119" s="752">
        <v>0.50569228922566001</v>
      </c>
      <c r="N119" s="19">
        <v>0.53437877858345673</v>
      </c>
      <c r="O119" s="19">
        <v>0.48081062503862415</v>
      </c>
      <c r="P119" s="19">
        <v>0.37538220189752081</v>
      </c>
      <c r="Q119" s="19">
        <v>0.50169661339007188</v>
      </c>
      <c r="R119" s="19">
        <v>0.50169661339007188</v>
      </c>
      <c r="S119" s="40"/>
    </row>
    <row r="120" spans="1:19" hidden="1">
      <c r="A120" s="19"/>
      <c r="B120" s="19"/>
      <c r="C120" s="19"/>
      <c r="D120" s="19"/>
      <c r="E120" s="19"/>
      <c r="F120" s="19"/>
      <c r="G120" s="19"/>
      <c r="H120" s="19"/>
      <c r="I120" s="19"/>
      <c r="J120" s="19"/>
      <c r="K120" s="752"/>
      <c r="L120" s="752"/>
      <c r="M120" s="752"/>
      <c r="N120" s="19"/>
      <c r="O120" s="19"/>
      <c r="P120" s="19"/>
      <c r="Q120" s="19">
        <v>0</v>
      </c>
      <c r="R120" s="19">
        <v>0</v>
      </c>
      <c r="S120" s="40"/>
    </row>
    <row r="121" spans="1:19" hidden="1">
      <c r="A121" s="19">
        <v>0</v>
      </c>
      <c r="B121" s="19"/>
      <c r="C121" s="19"/>
      <c r="D121" s="19"/>
      <c r="E121" s="19"/>
      <c r="F121" s="19"/>
      <c r="G121" s="19"/>
      <c r="H121" s="19"/>
      <c r="I121" s="19"/>
      <c r="J121" s="19"/>
      <c r="K121" s="752"/>
      <c r="L121" s="752"/>
      <c r="M121" s="752"/>
      <c r="N121" s="19"/>
      <c r="O121" s="19"/>
      <c r="P121" s="19"/>
      <c r="Q121" s="19">
        <v>0</v>
      </c>
      <c r="R121" s="19">
        <v>0</v>
      </c>
      <c r="S121" s="40"/>
    </row>
    <row r="122" spans="1:19" hidden="1">
      <c r="A122" s="1522" t="s">
        <v>252</v>
      </c>
      <c r="B122" s="19" t="s">
        <v>222</v>
      </c>
      <c r="C122" s="19" t="s">
        <v>242</v>
      </c>
      <c r="D122" s="19" t="s">
        <v>224</v>
      </c>
      <c r="E122" s="19">
        <v>0</v>
      </c>
      <c r="F122" s="19">
        <v>0</v>
      </c>
      <c r="G122" s="19">
        <v>0</v>
      </c>
      <c r="H122" s="19">
        <v>0</v>
      </c>
      <c r="I122" s="19">
        <v>0</v>
      </c>
      <c r="J122" s="19">
        <v>0</v>
      </c>
      <c r="K122" s="752">
        <v>0</v>
      </c>
      <c r="L122" s="752">
        <v>0</v>
      </c>
      <c r="M122" s="752">
        <v>0</v>
      </c>
      <c r="N122" s="19">
        <v>0</v>
      </c>
      <c r="O122" s="19">
        <v>0</v>
      </c>
      <c r="P122" s="19">
        <v>0</v>
      </c>
      <c r="Q122" s="19">
        <v>0</v>
      </c>
      <c r="R122" s="19">
        <v>0</v>
      </c>
      <c r="S122" s="40"/>
    </row>
    <row r="123" spans="1:19" hidden="1">
      <c r="A123" s="1522"/>
      <c r="B123" s="19" t="s">
        <v>225</v>
      </c>
      <c r="C123" s="19" t="s">
        <v>242</v>
      </c>
      <c r="D123" s="19" t="s">
        <v>224</v>
      </c>
      <c r="E123" s="19">
        <v>318213.49948613712</v>
      </c>
      <c r="F123" s="19">
        <v>263201.54280652991</v>
      </c>
      <c r="G123" s="19">
        <v>267063.88313040661</v>
      </c>
      <c r="H123" s="19">
        <v>202662.65401686094</v>
      </c>
      <c r="I123" s="19">
        <v>209387.56745251236</v>
      </c>
      <c r="J123" s="19">
        <v>206296.92888194285</v>
      </c>
      <c r="K123" s="752">
        <v>220312.2142632211</v>
      </c>
      <c r="L123" s="752">
        <v>194933.2512063958</v>
      </c>
      <c r="M123" s="752">
        <v>241234.92591584366</v>
      </c>
      <c r="N123" s="19">
        <v>280836.49272198469</v>
      </c>
      <c r="O123" s="19">
        <v>248477.94718810436</v>
      </c>
      <c r="P123" s="19">
        <v>310834.90794575016</v>
      </c>
      <c r="Q123" s="19">
        <v>2963455.8150156899</v>
      </c>
      <c r="R123" s="19">
        <v>246954.65125130748</v>
      </c>
      <c r="S123" s="40"/>
    </row>
    <row r="124" spans="1:19">
      <c r="A124" s="1522"/>
      <c r="B124" s="19"/>
      <c r="C124" s="19" t="s">
        <v>230</v>
      </c>
      <c r="D124" s="19" t="s">
        <v>224</v>
      </c>
      <c r="E124" s="1010">
        <v>96546.648183317797</v>
      </c>
      <c r="F124" s="1010">
        <v>133921.5313615741</v>
      </c>
      <c r="G124" s="1010">
        <v>145860.5129719892</v>
      </c>
      <c r="H124" s="1010">
        <v>105972.23413770075</v>
      </c>
      <c r="I124" s="1010">
        <v>150546.85195859807</v>
      </c>
      <c r="J124" s="1010">
        <v>135954.37787847407</v>
      </c>
      <c r="K124" s="1010">
        <v>147220.98853057422</v>
      </c>
      <c r="L124" s="1010">
        <v>212414.35108799746</v>
      </c>
      <c r="M124" s="1010">
        <v>222519.97078614187</v>
      </c>
      <c r="N124" s="1010">
        <v>119372.28563599853</v>
      </c>
      <c r="O124" s="1010">
        <v>156342.52910495715</v>
      </c>
      <c r="P124" s="1010">
        <v>110249.8254101051</v>
      </c>
      <c r="Q124" s="752">
        <f>SUM(E124:P124)</f>
        <v>1736922.1070474284</v>
      </c>
      <c r="R124" s="753">
        <f t="shared" ref="R124" si="11">Q124/12</f>
        <v>144743.50892061903</v>
      </c>
      <c r="S124" s="922">
        <f t="shared" ref="S124" si="12">R124/30</f>
        <v>4824.7836306873014</v>
      </c>
    </row>
    <row r="125" spans="1:19" hidden="1">
      <c r="A125" s="1522"/>
      <c r="B125" s="19"/>
      <c r="C125" s="19" t="s">
        <v>232</v>
      </c>
      <c r="D125" s="19" t="s">
        <v>224</v>
      </c>
      <c r="E125" s="19"/>
      <c r="F125" s="19"/>
      <c r="G125" s="19"/>
      <c r="H125" s="19"/>
      <c r="I125" s="19"/>
      <c r="J125" s="19"/>
      <c r="K125" s="752"/>
      <c r="L125" s="752"/>
      <c r="M125" s="752"/>
      <c r="N125" s="19"/>
      <c r="O125" s="19"/>
      <c r="P125" s="19"/>
      <c r="Q125" s="19"/>
      <c r="R125" s="19"/>
      <c r="S125" s="40"/>
    </row>
    <row r="126" spans="1:19" hidden="1">
      <c r="A126" s="1522"/>
      <c r="B126" s="19"/>
      <c r="C126" s="19" t="s">
        <v>231</v>
      </c>
      <c r="D126" s="19" t="s">
        <v>224</v>
      </c>
      <c r="E126" s="19">
        <v>195475.81258232368</v>
      </c>
      <c r="F126" s="19">
        <v>201991.67300173448</v>
      </c>
      <c r="G126" s="19">
        <v>195475.81258232368</v>
      </c>
      <c r="H126" s="19">
        <v>201991.67300173448</v>
      </c>
      <c r="I126" s="19">
        <v>195475.81258232368</v>
      </c>
      <c r="J126" s="19">
        <v>201991.67300173448</v>
      </c>
      <c r="K126" s="752">
        <v>201991.67300173448</v>
      </c>
      <c r="L126" s="752">
        <v>195475.81258232368</v>
      </c>
      <c r="M126" s="752">
        <v>201991.67300173448</v>
      </c>
      <c r="N126" s="19">
        <v>201991.67300173448</v>
      </c>
      <c r="O126" s="19">
        <v>182444.0917435021</v>
      </c>
      <c r="P126" s="19">
        <v>201991.67300173448</v>
      </c>
      <c r="Q126" s="19">
        <v>2378289.0530849388</v>
      </c>
      <c r="R126" s="19">
        <v>198190.75442374489</v>
      </c>
      <c r="S126" s="40"/>
    </row>
    <row r="127" spans="1:19" hidden="1">
      <c r="A127" s="1522"/>
      <c r="B127" s="19"/>
      <c r="C127" s="19" t="s">
        <v>253</v>
      </c>
      <c r="D127" s="19" t="s">
        <v>224</v>
      </c>
      <c r="E127" s="19">
        <v>0</v>
      </c>
      <c r="F127" s="19">
        <v>0</v>
      </c>
      <c r="G127" s="19">
        <v>0</v>
      </c>
      <c r="H127" s="19">
        <v>0</v>
      </c>
      <c r="I127" s="19">
        <v>0</v>
      </c>
      <c r="J127" s="19">
        <v>0</v>
      </c>
      <c r="K127" s="752">
        <v>0</v>
      </c>
      <c r="L127" s="752">
        <v>0</v>
      </c>
      <c r="M127" s="752">
        <v>0</v>
      </c>
      <c r="N127" s="19">
        <v>0</v>
      </c>
      <c r="O127" s="19">
        <v>0</v>
      </c>
      <c r="P127" s="19">
        <v>0</v>
      </c>
      <c r="Q127" s="19">
        <v>0</v>
      </c>
      <c r="R127" s="19">
        <v>0</v>
      </c>
      <c r="S127" s="40"/>
    </row>
    <row r="128" spans="1:19" hidden="1">
      <c r="A128" s="1522"/>
      <c r="B128" s="19"/>
      <c r="C128" s="19" t="s">
        <v>233</v>
      </c>
      <c r="D128" s="19" t="s">
        <v>224</v>
      </c>
      <c r="E128" s="19">
        <v>-125737.68690381345</v>
      </c>
      <c r="F128" s="19">
        <v>-64309.869804795424</v>
      </c>
      <c r="G128" s="19">
        <v>-74588.070548082935</v>
      </c>
      <c r="H128" s="19">
        <v>-3770.9810151264537</v>
      </c>
      <c r="I128" s="19">
        <v>-16911.754870188684</v>
      </c>
      <c r="J128" s="19">
        <v>-7405.2558802083659</v>
      </c>
      <c r="K128" s="752">
        <v>-21420.541261486622</v>
      </c>
      <c r="L128" s="752">
        <v>-2457.4386240721215</v>
      </c>
      <c r="M128" s="752">
        <v>-42343.25291410918</v>
      </c>
      <c r="N128" s="19">
        <v>-81944.819720250205</v>
      </c>
      <c r="O128" s="19">
        <v>-68833.855444602261</v>
      </c>
      <c r="P128" s="19">
        <v>-111943.23494401568</v>
      </c>
      <c r="Q128" s="19">
        <v>-585166.76193075115</v>
      </c>
      <c r="R128" s="19">
        <v>-48763.896827562596</v>
      </c>
      <c r="S128" s="40"/>
    </row>
    <row r="129" spans="1:19" hidden="1">
      <c r="A129" s="1522"/>
      <c r="B129" s="19"/>
      <c r="C129" s="19" t="s">
        <v>234</v>
      </c>
      <c r="D129" s="19" t="s">
        <v>224</v>
      </c>
      <c r="E129" s="19">
        <v>0</v>
      </c>
      <c r="F129" s="19">
        <v>0</v>
      </c>
      <c r="G129" s="19">
        <v>0</v>
      </c>
      <c r="H129" s="19"/>
      <c r="I129" s="19"/>
      <c r="J129" s="19"/>
      <c r="K129" s="752"/>
      <c r="L129" s="752"/>
      <c r="M129" s="752"/>
      <c r="N129" s="19"/>
      <c r="O129" s="19"/>
      <c r="P129" s="19"/>
      <c r="Q129" s="19"/>
      <c r="R129" s="19">
        <v>0</v>
      </c>
      <c r="S129" s="40"/>
    </row>
    <row r="130" spans="1:19" hidden="1">
      <c r="A130" s="1522"/>
      <c r="B130" s="19"/>
      <c r="C130" s="19" t="s">
        <v>235</v>
      </c>
      <c r="D130" s="19" t="s">
        <v>236</v>
      </c>
      <c r="E130" s="19">
        <v>-0.6432391058656407</v>
      </c>
      <c r="F130" s="19">
        <v>-0.3183788165576667</v>
      </c>
      <c r="G130" s="19">
        <v>-0.38157186591395054</v>
      </c>
      <c r="H130" s="19">
        <v>-1.8668992434624138E-2</v>
      </c>
      <c r="I130" s="19">
        <v>-8.6515843810938922E-2</v>
      </c>
      <c r="J130" s="19">
        <v>-3.666119385101968E-2</v>
      </c>
      <c r="K130" s="752">
        <v>-0.10604665500890567</v>
      </c>
      <c r="L130" s="752">
        <v>-1.2571573902715884E-2</v>
      </c>
      <c r="M130" s="752">
        <v>-0.20962870540581929</v>
      </c>
      <c r="N130" s="19">
        <v>-0.40568414777943124</v>
      </c>
      <c r="O130" s="19">
        <v>-0.37728739136905398</v>
      </c>
      <c r="P130" s="19">
        <v>-0.55419727595926416</v>
      </c>
      <c r="Q130" s="19">
        <v>-0.24604526568026563</v>
      </c>
      <c r="R130" s="19">
        <v>-0.24604526568026566</v>
      </c>
      <c r="S130" s="40"/>
    </row>
    <row r="131" spans="1:19" hidden="1">
      <c r="A131" s="19"/>
      <c r="B131" s="19"/>
      <c r="C131" s="19"/>
      <c r="D131" s="19"/>
      <c r="E131" s="19"/>
      <c r="F131" s="19"/>
      <c r="G131" s="19"/>
      <c r="H131" s="19"/>
      <c r="I131" s="19"/>
      <c r="J131" s="19"/>
      <c r="K131" s="752"/>
      <c r="L131" s="752"/>
      <c r="M131" s="752"/>
      <c r="N131" s="19"/>
      <c r="O131" s="19"/>
      <c r="P131" s="19"/>
      <c r="Q131" s="19"/>
      <c r="R131" s="19"/>
      <c r="S131" s="40"/>
    </row>
    <row r="132" spans="1:19" hidden="1">
      <c r="A132" s="19">
        <v>0</v>
      </c>
      <c r="B132" s="19"/>
      <c r="C132" s="19"/>
      <c r="D132" s="19"/>
      <c r="E132" s="19"/>
      <c r="F132" s="19"/>
      <c r="G132" s="19"/>
      <c r="H132" s="19"/>
      <c r="I132" s="19"/>
      <c r="J132" s="19"/>
      <c r="K132" s="752"/>
      <c r="L132" s="752"/>
      <c r="M132" s="752"/>
      <c r="N132" s="19"/>
      <c r="O132" s="19"/>
      <c r="P132" s="19"/>
      <c r="Q132" s="19"/>
      <c r="R132" s="19"/>
      <c r="S132" s="40"/>
    </row>
    <row r="133" spans="1:19" hidden="1">
      <c r="A133" s="1522" t="s">
        <v>254</v>
      </c>
      <c r="B133" s="19" t="s">
        <v>222</v>
      </c>
      <c r="C133" s="19" t="s">
        <v>242</v>
      </c>
      <c r="D133" s="19" t="s">
        <v>224</v>
      </c>
      <c r="E133" s="19">
        <v>0</v>
      </c>
      <c r="F133" s="19">
        <v>0</v>
      </c>
      <c r="G133" s="19">
        <v>0</v>
      </c>
      <c r="H133" s="19">
        <v>0</v>
      </c>
      <c r="I133" s="19">
        <v>0</v>
      </c>
      <c r="J133" s="19">
        <v>0</v>
      </c>
      <c r="K133" s="752">
        <v>0</v>
      </c>
      <c r="L133" s="752">
        <v>0</v>
      </c>
      <c r="M133" s="752">
        <v>0</v>
      </c>
      <c r="N133" s="19">
        <v>0</v>
      </c>
      <c r="O133" s="19">
        <v>0</v>
      </c>
      <c r="P133" s="19">
        <v>0</v>
      </c>
      <c r="Q133" s="19">
        <v>0</v>
      </c>
      <c r="R133" s="19">
        <v>0</v>
      </c>
      <c r="S133" s="40"/>
    </row>
    <row r="134" spans="1:19" hidden="1">
      <c r="A134" s="1522"/>
      <c r="B134" s="19" t="s">
        <v>225</v>
      </c>
      <c r="C134" s="19" t="s">
        <v>242</v>
      </c>
      <c r="D134" s="19" t="s">
        <v>224</v>
      </c>
      <c r="E134" s="19">
        <v>59542.494307737521</v>
      </c>
      <c r="F134" s="19">
        <v>48389.647667891542</v>
      </c>
      <c r="G134" s="19">
        <v>56146.82101177505</v>
      </c>
      <c r="H134" s="19">
        <v>46356.922394435685</v>
      </c>
      <c r="I134" s="19">
        <v>49163.539216138983</v>
      </c>
      <c r="J134" s="19">
        <v>58864.793852945477</v>
      </c>
      <c r="K134" s="752">
        <v>49163.539216138983</v>
      </c>
      <c r="L134" s="752">
        <v>49163.539216138983</v>
      </c>
      <c r="M134" s="752">
        <v>62059.739425083433</v>
      </c>
      <c r="N134" s="19">
        <v>45968.593644001041</v>
      </c>
      <c r="O134" s="19">
        <v>51908.224216138988</v>
      </c>
      <c r="P134" s="19">
        <v>96483.994159963957</v>
      </c>
      <c r="Q134" s="19">
        <v>673211.84832838958</v>
      </c>
      <c r="R134" s="19">
        <v>56100.987360699131</v>
      </c>
      <c r="S134" s="40"/>
    </row>
    <row r="135" spans="1:19">
      <c r="A135" s="1522"/>
      <c r="B135" s="19"/>
      <c r="C135" s="19" t="s">
        <v>230</v>
      </c>
      <c r="D135" s="19" t="s">
        <v>224</v>
      </c>
      <c r="E135" s="1010">
        <v>72130.300754674143</v>
      </c>
      <c r="F135" s="1010">
        <v>79680.975808986914</v>
      </c>
      <c r="G135" s="1010">
        <v>73191.572113956019</v>
      </c>
      <c r="H135" s="1010">
        <v>82743.928612041811</v>
      </c>
      <c r="I135" s="1010">
        <v>70744.121770947022</v>
      </c>
      <c r="J135" s="1010">
        <v>73504.264881859563</v>
      </c>
      <c r="K135" s="1010">
        <v>78371.571888395512</v>
      </c>
      <c r="L135" s="1010">
        <v>32784.195554211736</v>
      </c>
      <c r="M135" s="1010">
        <v>140570.74870494704</v>
      </c>
      <c r="N135" s="1010">
        <v>87002.910956388208</v>
      </c>
      <c r="O135" s="1010">
        <v>66645.338599770563</v>
      </c>
      <c r="P135" s="1010">
        <v>72988.028599770565</v>
      </c>
      <c r="Q135" s="752">
        <f>SUM(E135:P135)</f>
        <v>930357.95824594912</v>
      </c>
      <c r="R135" s="753">
        <f t="shared" ref="R135" si="13">Q135/12</f>
        <v>77529.829853829098</v>
      </c>
      <c r="S135" s="922">
        <f t="shared" ref="S135" si="14">R135/30</f>
        <v>2584.3276617943034</v>
      </c>
    </row>
    <row r="136" spans="1:19" hidden="1">
      <c r="A136" s="1522"/>
      <c r="B136" s="19"/>
      <c r="C136" s="19" t="s">
        <v>232</v>
      </c>
      <c r="D136" s="19" t="s">
        <v>224</v>
      </c>
      <c r="E136" s="752"/>
      <c r="F136" s="752"/>
      <c r="G136" s="752"/>
      <c r="H136" s="752"/>
      <c r="I136" s="752"/>
      <c r="J136" s="752"/>
      <c r="K136" s="752"/>
      <c r="L136" s="752"/>
      <c r="M136" s="752"/>
      <c r="N136" s="752"/>
      <c r="O136" s="752"/>
      <c r="P136" s="752"/>
      <c r="Q136" s="752"/>
      <c r="R136" s="753"/>
      <c r="S136" s="922"/>
    </row>
    <row r="137" spans="1:19" hidden="1">
      <c r="A137" s="1522"/>
      <c r="B137" s="19"/>
      <c r="C137" s="19" t="s">
        <v>231</v>
      </c>
      <c r="D137" s="19" t="s">
        <v>224</v>
      </c>
      <c r="E137" s="19">
        <v>105821.8074099533</v>
      </c>
      <c r="F137" s="19">
        <v>109349.20099028508</v>
      </c>
      <c r="G137" s="19">
        <v>105821.8074099533</v>
      </c>
      <c r="H137" s="19">
        <v>109349.20099028508</v>
      </c>
      <c r="I137" s="19">
        <v>105821.8074099533</v>
      </c>
      <c r="J137" s="19">
        <v>109349.20099028508</v>
      </c>
      <c r="K137" s="752">
        <v>109349.20099028508</v>
      </c>
      <c r="L137" s="752">
        <v>105821.8074099533</v>
      </c>
      <c r="M137" s="752">
        <v>109349.20099028508</v>
      </c>
      <c r="N137" s="19">
        <v>109349.20099028508</v>
      </c>
      <c r="O137" s="19">
        <v>98767.020249289752</v>
      </c>
      <c r="P137" s="19">
        <v>109349.20099028508</v>
      </c>
      <c r="Q137" s="19">
        <v>1287498.6568210982</v>
      </c>
      <c r="R137" s="19">
        <v>107291.55473509151</v>
      </c>
      <c r="S137" s="40"/>
    </row>
    <row r="138" spans="1:19" hidden="1">
      <c r="A138" s="1522"/>
      <c r="B138" s="19"/>
      <c r="C138" s="19" t="s">
        <v>233</v>
      </c>
      <c r="D138" s="19" t="s">
        <v>224</v>
      </c>
      <c r="E138" s="19">
        <v>43279.313102215776</v>
      </c>
      <c r="F138" s="19">
        <v>57859.553322393542</v>
      </c>
      <c r="G138" s="19">
        <v>46674.986398178247</v>
      </c>
      <c r="H138" s="19">
        <v>59892.278595849399</v>
      </c>
      <c r="I138" s="19">
        <v>53658.268193814314</v>
      </c>
      <c r="J138" s="19">
        <v>47384.407137339607</v>
      </c>
      <c r="K138" s="752">
        <v>57085.661774146101</v>
      </c>
      <c r="L138" s="752">
        <v>53658.268193814314</v>
      </c>
      <c r="M138" s="752">
        <v>44189.461565201651</v>
      </c>
      <c r="N138" s="19">
        <v>60280.607346284043</v>
      </c>
      <c r="O138" s="19">
        <v>44058.796033150764</v>
      </c>
      <c r="P138" s="19">
        <v>9765.2068303211272</v>
      </c>
      <c r="Q138" s="19">
        <v>577786.80849270883</v>
      </c>
      <c r="R138" s="19">
        <v>48148.900707725734</v>
      </c>
      <c r="S138" s="40"/>
    </row>
    <row r="139" spans="1:19" hidden="1">
      <c r="A139" s="1522"/>
      <c r="B139" s="19"/>
      <c r="C139" s="19" t="s">
        <v>234</v>
      </c>
      <c r="D139" s="19" t="s">
        <v>224</v>
      </c>
      <c r="E139" s="19">
        <v>0</v>
      </c>
      <c r="F139" s="19">
        <v>0</v>
      </c>
      <c r="G139" s="19">
        <v>0</v>
      </c>
      <c r="H139" s="19"/>
      <c r="I139" s="19"/>
      <c r="J139" s="19"/>
      <c r="K139" s="752"/>
      <c r="L139" s="752"/>
      <c r="M139" s="752"/>
      <c r="N139" s="19"/>
      <c r="O139" s="19"/>
      <c r="P139" s="19"/>
      <c r="Q139" s="19"/>
      <c r="R139" s="19"/>
      <c r="S139" s="40"/>
    </row>
    <row r="140" spans="1:19" hidden="1">
      <c r="A140" s="1522"/>
      <c r="B140" s="19"/>
      <c r="C140" s="19" t="s">
        <v>235</v>
      </c>
      <c r="D140" s="19" t="s">
        <v>236</v>
      </c>
      <c r="E140" s="19">
        <v>0.40898293236054717</v>
      </c>
      <c r="F140" s="19">
        <v>0.52912643895344014</v>
      </c>
      <c r="G140" s="19">
        <v>0.44107152902198615</v>
      </c>
      <c r="H140" s="19">
        <v>0.54771574052169258</v>
      </c>
      <c r="I140" s="19">
        <v>0.50706248085465389</v>
      </c>
      <c r="J140" s="19">
        <v>0.43333107794312448</v>
      </c>
      <c r="K140" s="752">
        <v>0.52204918972583769</v>
      </c>
      <c r="L140" s="752">
        <v>0.50706248085465389</v>
      </c>
      <c r="M140" s="752">
        <v>0.40411325519541363</v>
      </c>
      <c r="N140" s="19">
        <v>0.55126701247354848</v>
      </c>
      <c r="O140" s="19">
        <v>0.44608813672768061</v>
      </c>
      <c r="P140" s="19">
        <v>8.930295550297343E-2</v>
      </c>
      <c r="Q140" s="19"/>
      <c r="R140" s="19">
        <v>0.44876692137240343</v>
      </c>
      <c r="S140" s="40"/>
    </row>
    <row r="141" spans="1:19" hidden="1">
      <c r="A141" s="19"/>
      <c r="B141" s="19"/>
      <c r="C141" s="19"/>
      <c r="D141" s="19"/>
      <c r="E141" s="19"/>
      <c r="F141" s="19"/>
      <c r="G141" s="19"/>
      <c r="H141" s="19"/>
      <c r="I141" s="19"/>
      <c r="J141" s="19"/>
      <c r="K141" s="752"/>
      <c r="L141" s="752"/>
      <c r="M141" s="752"/>
      <c r="N141" s="19"/>
      <c r="O141" s="19"/>
      <c r="P141" s="19"/>
      <c r="Q141" s="19"/>
      <c r="R141" s="19"/>
      <c r="S141" s="40"/>
    </row>
    <row r="142" spans="1:19" hidden="1">
      <c r="A142" s="19">
        <v>0</v>
      </c>
      <c r="B142" s="19"/>
      <c r="C142" s="19"/>
      <c r="D142" s="19"/>
      <c r="E142" s="19"/>
      <c r="F142" s="19"/>
      <c r="G142" s="19"/>
      <c r="H142" s="19"/>
      <c r="I142" s="19"/>
      <c r="J142" s="19"/>
      <c r="K142" s="752"/>
      <c r="L142" s="752"/>
      <c r="M142" s="752"/>
      <c r="N142" s="19"/>
      <c r="O142" s="19"/>
      <c r="P142" s="19"/>
      <c r="Q142" s="19"/>
      <c r="R142" s="19"/>
      <c r="S142" s="40"/>
    </row>
    <row r="143" spans="1:19" hidden="1">
      <c r="A143" s="1522" t="s">
        <v>255</v>
      </c>
      <c r="B143" s="19" t="s">
        <v>222</v>
      </c>
      <c r="C143" s="19" t="s">
        <v>242</v>
      </c>
      <c r="D143" s="19" t="s">
        <v>224</v>
      </c>
      <c r="E143" s="19">
        <v>0</v>
      </c>
      <c r="F143" s="19">
        <v>0</v>
      </c>
      <c r="G143" s="19">
        <v>0</v>
      </c>
      <c r="H143" s="19">
        <v>0</v>
      </c>
      <c r="I143" s="19">
        <v>0</v>
      </c>
      <c r="J143" s="19">
        <v>0</v>
      </c>
      <c r="K143" s="752">
        <v>0</v>
      </c>
      <c r="L143" s="752">
        <v>0</v>
      </c>
      <c r="M143" s="752">
        <v>0</v>
      </c>
      <c r="N143" s="19">
        <v>0</v>
      </c>
      <c r="O143" s="19">
        <v>0</v>
      </c>
      <c r="P143" s="19">
        <v>0</v>
      </c>
      <c r="Q143" s="19"/>
      <c r="R143" s="19"/>
      <c r="S143" s="40"/>
    </row>
    <row r="144" spans="1:19" hidden="1">
      <c r="A144" s="1522"/>
      <c r="B144" s="19" t="s">
        <v>225</v>
      </c>
      <c r="C144" s="19" t="s">
        <v>242</v>
      </c>
      <c r="D144" s="19" t="s">
        <v>224</v>
      </c>
      <c r="E144" s="19">
        <v>377755.99379387463</v>
      </c>
      <c r="F144" s="19">
        <v>311591.19047442143</v>
      </c>
      <c r="G144" s="19">
        <v>323210.70414218167</v>
      </c>
      <c r="H144" s="19">
        <v>249019.57641129661</v>
      </c>
      <c r="I144" s="19">
        <v>258551.10666865134</v>
      </c>
      <c r="J144" s="19">
        <v>265161.72273488832</v>
      </c>
      <c r="K144" s="752">
        <v>269475.75347936008</v>
      </c>
      <c r="L144" s="752">
        <v>244096.79042253477</v>
      </c>
      <c r="M144" s="752">
        <v>303294.66534092708</v>
      </c>
      <c r="N144" s="19">
        <v>326805.08636598574</v>
      </c>
      <c r="O144" s="19">
        <v>300386.17140424333</v>
      </c>
      <c r="P144" s="19">
        <v>407318.90210571414</v>
      </c>
      <c r="Q144" s="19"/>
      <c r="R144" s="19"/>
      <c r="S144" s="40"/>
    </row>
    <row r="145" spans="1:19">
      <c r="A145" s="1522"/>
      <c r="B145" s="19"/>
      <c r="C145" s="19" t="s">
        <v>230</v>
      </c>
      <c r="D145" s="19" t="s">
        <v>224</v>
      </c>
      <c r="E145" s="1010">
        <v>168676.94893799193</v>
      </c>
      <c r="F145" s="1010">
        <v>213602.507170561</v>
      </c>
      <c r="G145" s="1010">
        <v>219052.0850859452</v>
      </c>
      <c r="H145" s="1010">
        <v>188716.16274974257</v>
      </c>
      <c r="I145" s="1010">
        <v>221290.97372954508</v>
      </c>
      <c r="J145" s="1010">
        <v>209458.64276033363</v>
      </c>
      <c r="K145" s="1010">
        <v>225592.56041896972</v>
      </c>
      <c r="L145" s="1010">
        <v>245198.5466422092</v>
      </c>
      <c r="M145" s="1010">
        <v>363090.71949108888</v>
      </c>
      <c r="N145" s="1010">
        <v>206375.19659238675</v>
      </c>
      <c r="O145" s="1010">
        <v>222987.86770472772</v>
      </c>
      <c r="P145" s="1010">
        <v>183237.85400987568</v>
      </c>
      <c r="Q145" s="752">
        <f>SUM(E145:P145)</f>
        <v>2667280.0652933773</v>
      </c>
      <c r="R145" s="753">
        <f t="shared" ref="R145" si="15">Q145/12</f>
        <v>222273.33877444812</v>
      </c>
      <c r="S145" s="922">
        <f t="shared" ref="S145" si="16">R145/30</f>
        <v>7409.1112924816034</v>
      </c>
    </row>
    <row r="146" spans="1:19" hidden="1">
      <c r="A146" s="1522"/>
      <c r="B146" s="19"/>
      <c r="C146" s="19" t="s">
        <v>231</v>
      </c>
      <c r="D146" s="19" t="s">
        <v>224</v>
      </c>
      <c r="E146" s="19">
        <v>240000</v>
      </c>
      <c r="F146" s="19">
        <v>248000</v>
      </c>
      <c r="G146" s="19">
        <v>240000</v>
      </c>
      <c r="H146" s="19">
        <v>248000</v>
      </c>
      <c r="I146" s="19">
        <v>240000</v>
      </c>
      <c r="J146" s="19">
        <v>248000</v>
      </c>
      <c r="K146" s="752">
        <v>248000</v>
      </c>
      <c r="L146" s="752">
        <v>240000</v>
      </c>
      <c r="M146" s="752">
        <v>248000</v>
      </c>
      <c r="N146" s="19">
        <v>248000</v>
      </c>
      <c r="O146" s="19">
        <v>224000</v>
      </c>
      <c r="P146" s="19">
        <v>248000</v>
      </c>
      <c r="Q146" s="19"/>
      <c r="R146" s="19"/>
      <c r="S146" s="40"/>
    </row>
    <row r="147" spans="1:19" hidden="1">
      <c r="A147" s="1522"/>
      <c r="B147" s="19"/>
      <c r="C147" s="19" t="s">
        <v>233</v>
      </c>
      <c r="D147" s="19" t="s">
        <v>224</v>
      </c>
      <c r="E147" s="19">
        <v>-137755.99379387463</v>
      </c>
      <c r="F147" s="19">
        <v>-63591.190474421426</v>
      </c>
      <c r="G147" s="19">
        <v>-83210.704142181668</v>
      </c>
      <c r="H147" s="19">
        <v>-1019.5764112966135</v>
      </c>
      <c r="I147" s="19">
        <v>-18551.106668651337</v>
      </c>
      <c r="J147" s="19">
        <v>-17161.722734888317</v>
      </c>
      <c r="K147" s="752">
        <v>-21475.753479360079</v>
      </c>
      <c r="L147" s="752">
        <v>-4096.7904225347738</v>
      </c>
      <c r="M147" s="752">
        <v>-55294.66534092708</v>
      </c>
      <c r="N147" s="19">
        <v>-78805.086365985742</v>
      </c>
      <c r="O147" s="19">
        <v>-76386.17140424333</v>
      </c>
      <c r="P147" s="19">
        <v>-159318.90210571414</v>
      </c>
      <c r="Q147" s="19"/>
      <c r="R147" s="19"/>
      <c r="S147" s="40"/>
    </row>
    <row r="148" spans="1:19" hidden="1">
      <c r="A148" s="1522"/>
      <c r="B148" s="19"/>
      <c r="C148" s="19" t="s">
        <v>235</v>
      </c>
      <c r="D148" s="19" t="s">
        <v>236</v>
      </c>
      <c r="E148" s="19">
        <v>-0.57398330747447768</v>
      </c>
      <c r="F148" s="19">
        <v>-0.25641609062266701</v>
      </c>
      <c r="G148" s="19">
        <v>-0.34671126725909029</v>
      </c>
      <c r="H148" s="19">
        <v>-4.1111952068411837E-3</v>
      </c>
      <c r="I148" s="19">
        <v>-7.7296277786047238E-2</v>
      </c>
      <c r="J148" s="19">
        <v>-6.920049489874322E-2</v>
      </c>
      <c r="K148" s="752">
        <v>-8.6595780158710001E-2</v>
      </c>
      <c r="L148" s="752">
        <v>-1.706996009389489E-2</v>
      </c>
      <c r="M148" s="752">
        <v>-0.2229623602456737</v>
      </c>
      <c r="N148" s="19">
        <v>-0.31776244502413603</v>
      </c>
      <c r="O148" s="19">
        <v>-0.34100969376894347</v>
      </c>
      <c r="P148" s="19">
        <v>-0.64241492784562149</v>
      </c>
      <c r="Q148" s="19"/>
      <c r="R148" s="19"/>
      <c r="S148" s="40"/>
    </row>
    <row r="149" spans="1:19" hidden="1">
      <c r="A149" s="1522"/>
      <c r="B149" s="19"/>
      <c r="C149" s="19" t="s">
        <v>244</v>
      </c>
      <c r="D149" s="19"/>
      <c r="E149" s="19">
        <v>12591.866459795821</v>
      </c>
      <c r="F149" s="19">
        <v>10051.328724981337</v>
      </c>
      <c r="G149" s="19">
        <v>10773.690138072723</v>
      </c>
      <c r="H149" s="19">
        <v>8032.8895616547297</v>
      </c>
      <c r="I149" s="19">
        <v>8618.3702222883785</v>
      </c>
      <c r="J149" s="19">
        <v>8553.6039591899462</v>
      </c>
      <c r="K149" s="752">
        <v>8692.7662412696791</v>
      </c>
      <c r="L149" s="752">
        <v>8136.5596807511592</v>
      </c>
      <c r="M149" s="752">
        <v>9783.6988819653889</v>
      </c>
      <c r="N149" s="19">
        <v>10542.099560193088</v>
      </c>
      <c r="O149" s="19">
        <v>10728.077550151547</v>
      </c>
      <c r="P149" s="19">
        <v>13139.319422764973</v>
      </c>
      <c r="Q149" s="19"/>
      <c r="R149" s="19"/>
      <c r="S149" s="40"/>
    </row>
    <row r="150" spans="1:19" hidden="1">
      <c r="A150" s="19">
        <v>0</v>
      </c>
      <c r="B150" s="19"/>
      <c r="C150" s="19"/>
      <c r="D150" s="19"/>
      <c r="E150" s="19"/>
      <c r="F150" s="19"/>
      <c r="G150" s="19"/>
      <c r="H150" s="19"/>
      <c r="I150" s="19"/>
      <c r="J150" s="19"/>
      <c r="K150" s="752"/>
      <c r="L150" s="752"/>
      <c r="M150" s="752"/>
      <c r="N150" s="19"/>
      <c r="O150" s="19"/>
      <c r="P150" s="19"/>
      <c r="Q150" s="19"/>
      <c r="R150" s="19"/>
      <c r="S150" s="40"/>
    </row>
    <row r="151" spans="1:19" hidden="1">
      <c r="A151" s="1522" t="s">
        <v>256</v>
      </c>
      <c r="B151" s="19" t="s">
        <v>222</v>
      </c>
      <c r="C151" s="19" t="s">
        <v>242</v>
      </c>
      <c r="D151" s="19" t="s">
        <v>224</v>
      </c>
      <c r="E151" s="19">
        <v>0</v>
      </c>
      <c r="F151" s="19">
        <v>0</v>
      </c>
      <c r="G151" s="19">
        <v>0</v>
      </c>
      <c r="H151" s="19">
        <v>0</v>
      </c>
      <c r="I151" s="19">
        <v>0</v>
      </c>
      <c r="J151" s="19">
        <v>0</v>
      </c>
      <c r="K151" s="752">
        <v>0</v>
      </c>
      <c r="L151" s="752">
        <v>0</v>
      </c>
      <c r="M151" s="752">
        <v>0</v>
      </c>
      <c r="N151" s="19">
        <v>0</v>
      </c>
      <c r="O151" s="19">
        <v>0</v>
      </c>
      <c r="P151" s="19">
        <v>0</v>
      </c>
      <c r="Q151" s="19">
        <v>0</v>
      </c>
      <c r="R151" s="19">
        <v>0</v>
      </c>
      <c r="S151" s="40"/>
    </row>
    <row r="152" spans="1:19" hidden="1">
      <c r="A152" s="1522"/>
      <c r="B152" s="19" t="s">
        <v>225</v>
      </c>
      <c r="C152" s="19" t="s">
        <v>242</v>
      </c>
      <c r="D152" s="19" t="s">
        <v>224</v>
      </c>
      <c r="E152" s="19">
        <v>377755.99379387463</v>
      </c>
      <c r="F152" s="19">
        <v>311591.19047442143</v>
      </c>
      <c r="G152" s="19">
        <v>323210.70414218167</v>
      </c>
      <c r="H152" s="19">
        <v>249019.57641129661</v>
      </c>
      <c r="I152" s="19">
        <v>258551.10666865134</v>
      </c>
      <c r="J152" s="19">
        <v>265161.72273488832</v>
      </c>
      <c r="K152" s="752">
        <v>269475.75347936008</v>
      </c>
      <c r="L152" s="752">
        <v>244096.79042253477</v>
      </c>
      <c r="M152" s="752">
        <v>303294.66534092708</v>
      </c>
      <c r="N152" s="19">
        <v>326805.08636598574</v>
      </c>
      <c r="O152" s="19">
        <v>300386.17140424333</v>
      </c>
      <c r="P152" s="19">
        <v>407318.90210571414</v>
      </c>
      <c r="Q152" s="19">
        <v>3636667.6633440792</v>
      </c>
      <c r="R152" s="19">
        <v>303055.63861200662</v>
      </c>
      <c r="S152" s="40"/>
    </row>
    <row r="153" spans="1:19">
      <c r="A153" s="1522"/>
      <c r="B153" s="19"/>
      <c r="C153" s="19" t="s">
        <v>230</v>
      </c>
      <c r="D153" s="19" t="s">
        <v>224</v>
      </c>
      <c r="E153" s="1010">
        <v>168676.94893799193</v>
      </c>
      <c r="F153" s="1010">
        <v>213602.507170561</v>
      </c>
      <c r="G153" s="1010">
        <v>219052.0850859452</v>
      </c>
      <c r="H153" s="1010">
        <v>188716.16274974257</v>
      </c>
      <c r="I153" s="1010">
        <v>221290.97372954508</v>
      </c>
      <c r="J153" s="1010">
        <v>209458.64276033363</v>
      </c>
      <c r="K153" s="1010">
        <v>225592.56041896972</v>
      </c>
      <c r="L153" s="1010">
        <v>245198.5466422092</v>
      </c>
      <c r="M153" s="1010">
        <v>363090.71949108888</v>
      </c>
      <c r="N153" s="1010">
        <v>206375.19659238675</v>
      </c>
      <c r="O153" s="1010">
        <v>222987.86770472772</v>
      </c>
      <c r="P153" s="1010">
        <v>183237.85400987568</v>
      </c>
      <c r="Q153" s="752">
        <f>SUM(E153:P153)</f>
        <v>2667280.0652933773</v>
      </c>
      <c r="R153" s="753">
        <f t="shared" ref="R153" si="17">Q153/12</f>
        <v>222273.33877444812</v>
      </c>
      <c r="S153" s="922">
        <f t="shared" ref="S153" si="18">R153/30</f>
        <v>7409.1112924816034</v>
      </c>
    </row>
    <row r="154" spans="1:19" hidden="1">
      <c r="A154" s="1522"/>
      <c r="B154" s="19"/>
      <c r="C154" s="19" t="s">
        <v>232</v>
      </c>
      <c r="D154" s="19" t="s">
        <v>224</v>
      </c>
      <c r="E154" s="19"/>
      <c r="F154" s="19"/>
      <c r="G154" s="19"/>
      <c r="H154" s="19"/>
      <c r="I154" s="19"/>
      <c r="J154" s="19"/>
      <c r="K154" s="752"/>
      <c r="L154" s="752"/>
      <c r="M154" s="752"/>
      <c r="N154" s="19"/>
      <c r="O154" s="19"/>
      <c r="P154" s="19"/>
      <c r="Q154" s="19"/>
      <c r="R154" s="19"/>
    </row>
    <row r="155" spans="1:19" hidden="1">
      <c r="A155" s="1522"/>
      <c r="B155" s="19"/>
      <c r="C155" s="19" t="s">
        <v>231</v>
      </c>
      <c r="D155" s="19" t="s">
        <v>224</v>
      </c>
      <c r="E155" s="19">
        <v>356213.89198775083</v>
      </c>
      <c r="F155" s="19">
        <v>368087.6883873425</v>
      </c>
      <c r="G155" s="19">
        <v>356213.89198775083</v>
      </c>
      <c r="H155" s="19">
        <v>368087.6883873425</v>
      </c>
      <c r="I155" s="19">
        <v>356213.89198775083</v>
      </c>
      <c r="J155" s="19">
        <v>368087.6883873425</v>
      </c>
      <c r="K155" s="752">
        <v>368087.6883873425</v>
      </c>
      <c r="L155" s="752">
        <v>356213.89198775083</v>
      </c>
      <c r="M155" s="752">
        <v>368087.6883873425</v>
      </c>
      <c r="N155" s="19">
        <v>368087.6883873425</v>
      </c>
      <c r="O155" s="19">
        <v>332466.29918856744</v>
      </c>
      <c r="P155" s="19">
        <v>368087.6883873425</v>
      </c>
      <c r="Q155" s="19">
        <v>4333935.6858509686</v>
      </c>
      <c r="R155" s="19">
        <v>361161.30715424736</v>
      </c>
    </row>
    <row r="156" spans="1:19" hidden="1">
      <c r="A156" s="1522"/>
      <c r="B156" s="19"/>
      <c r="C156" s="19" t="s">
        <v>233</v>
      </c>
      <c r="D156" s="19" t="s">
        <v>224</v>
      </c>
      <c r="E156" s="19">
        <v>-30542.101806123799</v>
      </c>
      <c r="F156" s="19">
        <v>47196.49791292107</v>
      </c>
      <c r="G156" s="19">
        <v>24003.187845569162</v>
      </c>
      <c r="H156" s="19">
        <v>109768.11197604588</v>
      </c>
      <c r="I156" s="19">
        <v>88662.785319099494</v>
      </c>
      <c r="J156" s="19">
        <v>93625.965652454179</v>
      </c>
      <c r="K156" s="752">
        <v>89311.934907982417</v>
      </c>
      <c r="L156" s="752">
        <v>103117.10156521606</v>
      </c>
      <c r="M156" s="752">
        <v>55493.023046415416</v>
      </c>
      <c r="N156" s="19">
        <v>31982.602021356754</v>
      </c>
      <c r="O156" s="19">
        <v>23680.127784324111</v>
      </c>
      <c r="P156" s="19">
        <v>-48531.21371837164</v>
      </c>
      <c r="Q156" s="19">
        <v>587768.02250688896</v>
      </c>
      <c r="R156" s="19">
        <v>48980.668542240746</v>
      </c>
    </row>
    <row r="157" spans="1:19" hidden="1">
      <c r="A157" s="1522"/>
      <c r="B157" s="19"/>
      <c r="C157" s="19" t="s">
        <v>234</v>
      </c>
      <c r="D157" s="19"/>
      <c r="E157" s="19"/>
      <c r="F157" s="19">
        <v>0</v>
      </c>
      <c r="G157" s="19">
        <v>0</v>
      </c>
      <c r="H157" s="19"/>
      <c r="I157" s="19"/>
      <c r="J157" s="19"/>
      <c r="K157" s="752"/>
      <c r="L157" s="752"/>
      <c r="M157" s="752"/>
      <c r="N157" s="19"/>
      <c r="O157" s="19"/>
      <c r="P157" s="19"/>
      <c r="Q157" s="19"/>
      <c r="R157" s="19"/>
    </row>
    <row r="158" spans="1:19" hidden="1">
      <c r="A158" s="1522"/>
      <c r="B158" s="19"/>
      <c r="C158" s="19" t="s">
        <v>235</v>
      </c>
      <c r="D158" s="19" t="s">
        <v>236</v>
      </c>
      <c r="E158" s="19">
        <v>-8.5740905936296422E-2</v>
      </c>
      <c r="F158" s="19">
        <v>0.12822080010254433</v>
      </c>
      <c r="G158" s="19">
        <v>6.7384199172093387E-2</v>
      </c>
      <c r="H158" s="19">
        <v>0.29821185396599237</v>
      </c>
      <c r="I158" s="19">
        <v>0.24890322166926704</v>
      </c>
      <c r="J158" s="19">
        <v>0.25435777562310263</v>
      </c>
      <c r="K158" s="752">
        <v>0.24263765870375578</v>
      </c>
      <c r="L158" s="752">
        <v>0.28948085373594007</v>
      </c>
      <c r="M158" s="752">
        <v>0.15076033455381299</v>
      </c>
      <c r="N158" s="19">
        <v>8.6888540503699568E-2</v>
      </c>
      <c r="O158" s="19">
        <v>7.1225648560828331E-2</v>
      </c>
      <c r="P158" s="19">
        <v>-0.13184688119017374</v>
      </c>
      <c r="Q158" s="19"/>
      <c r="R158" s="19">
        <v>0.13561992265500836</v>
      </c>
    </row>
    <row r="159" spans="1:19" hidden="1">
      <c r="A159" s="19"/>
      <c r="B159" s="19"/>
      <c r="C159" s="19"/>
      <c r="D159" s="19"/>
      <c r="E159" s="19"/>
      <c r="F159" s="19"/>
      <c r="G159" s="19"/>
      <c r="H159" s="19"/>
      <c r="I159" s="19"/>
      <c r="J159" s="19"/>
      <c r="K159" s="752"/>
      <c r="L159" s="752"/>
      <c r="M159" s="752"/>
      <c r="N159" s="19"/>
      <c r="O159" s="19"/>
      <c r="P159" s="19"/>
      <c r="Q159" s="19"/>
      <c r="R159" s="19"/>
    </row>
    <row r="160" spans="1:19" hidden="1">
      <c r="A160" s="19"/>
      <c r="B160" s="19"/>
      <c r="C160" s="19"/>
      <c r="D160" s="19"/>
      <c r="E160" s="19"/>
      <c r="F160" s="19"/>
      <c r="G160" s="19"/>
      <c r="H160" s="212">
        <f>H153/30</f>
        <v>6290.5387583247521</v>
      </c>
      <c r="I160" s="212">
        <f>I153/30</f>
        <v>7376.3657909848362</v>
      </c>
      <c r="J160" s="212">
        <f>J153/30</f>
        <v>6981.954758677788</v>
      </c>
      <c r="K160" s="752"/>
      <c r="L160" s="752"/>
      <c r="M160" s="752"/>
      <c r="N160" s="19"/>
      <c r="O160" s="19"/>
      <c r="P160" s="19"/>
      <c r="Q160" s="19"/>
      <c r="R160" s="19"/>
    </row>
    <row r="161" spans="1:18" ht="20.5" hidden="1" customHeight="1">
      <c r="A161" s="19"/>
      <c r="B161" s="19"/>
      <c r="C161" s="19"/>
      <c r="D161" s="19"/>
      <c r="E161" s="19"/>
      <c r="F161" s="19"/>
      <c r="G161" s="19"/>
      <c r="H161" s="19"/>
      <c r="I161" s="19"/>
      <c r="J161" s="19"/>
      <c r="K161" s="752"/>
      <c r="L161" s="752"/>
      <c r="M161" s="752"/>
      <c r="N161" s="19"/>
      <c r="O161" s="19"/>
      <c r="P161" s="19"/>
      <c r="Q161" s="19"/>
      <c r="R161" s="19"/>
    </row>
    <row r="162" spans="1:18">
      <c r="A162" s="19"/>
      <c r="B162" s="19"/>
      <c r="C162" s="19"/>
      <c r="D162" s="19"/>
      <c r="E162" s="19"/>
      <c r="F162" s="19"/>
      <c r="G162" s="19"/>
      <c r="H162" s="19"/>
      <c r="I162" s="19"/>
      <c r="J162" s="19"/>
      <c r="K162" s="752"/>
      <c r="L162" s="752"/>
      <c r="M162" s="752"/>
      <c r="N162" s="19"/>
      <c r="O162" s="19"/>
      <c r="P162" s="19"/>
      <c r="Q162" s="19"/>
      <c r="R162" s="19"/>
    </row>
    <row r="163" spans="1:18" ht="15" thickBot="1">
      <c r="A163" s="19"/>
      <c r="B163" s="19">
        <f>DAY(EOMONTH(B164,0))</f>
        <v>30</v>
      </c>
      <c r="C163" s="19">
        <f t="shared" ref="C163:M163" si="19">DAY(EOMONTH(C164,0))</f>
        <v>31</v>
      </c>
      <c r="D163" s="19">
        <f t="shared" si="19"/>
        <v>30</v>
      </c>
      <c r="E163" s="19">
        <f t="shared" si="19"/>
        <v>31</v>
      </c>
      <c r="F163" s="19">
        <f t="shared" si="19"/>
        <v>31</v>
      </c>
      <c r="G163" s="19">
        <f t="shared" si="19"/>
        <v>30</v>
      </c>
      <c r="H163" s="19">
        <f t="shared" si="19"/>
        <v>31</v>
      </c>
      <c r="I163" s="19">
        <f t="shared" si="19"/>
        <v>30</v>
      </c>
      <c r="J163" s="19">
        <f t="shared" si="19"/>
        <v>31</v>
      </c>
      <c r="K163" s="19">
        <f t="shared" si="19"/>
        <v>31</v>
      </c>
      <c r="L163" s="19">
        <f t="shared" si="19"/>
        <v>28</v>
      </c>
      <c r="M163" s="19">
        <f t="shared" si="19"/>
        <v>31</v>
      </c>
      <c r="N163" s="19"/>
      <c r="O163" s="19"/>
      <c r="P163" s="19"/>
      <c r="Q163" s="19"/>
      <c r="R163" s="19"/>
    </row>
    <row r="164" spans="1:18" ht="15" thickBot="1">
      <c r="A164" s="19" t="s">
        <v>257</v>
      </c>
      <c r="B164" s="619">
        <v>46113</v>
      </c>
      <c r="C164" s="619">
        <v>46143</v>
      </c>
      <c r="D164" s="619">
        <v>46174</v>
      </c>
      <c r="E164" s="619">
        <v>46204</v>
      </c>
      <c r="F164" s="619">
        <v>46235</v>
      </c>
      <c r="G164" s="619">
        <v>46266</v>
      </c>
      <c r="H164" s="619">
        <v>46296</v>
      </c>
      <c r="I164" s="619">
        <v>46327</v>
      </c>
      <c r="J164" s="619">
        <v>46357</v>
      </c>
      <c r="K164" s="619">
        <v>46388</v>
      </c>
      <c r="L164" s="619">
        <v>46419</v>
      </c>
      <c r="M164" s="619">
        <v>46447</v>
      </c>
      <c r="N164" s="19"/>
      <c r="O164" s="19"/>
      <c r="P164" s="19"/>
      <c r="Q164" s="19"/>
      <c r="R164" s="19"/>
    </row>
    <row r="165" spans="1:18">
      <c r="A165" t="s">
        <v>258</v>
      </c>
      <c r="B165" s="988">
        <v>26826.053359999998</v>
      </c>
      <c r="C165" s="988">
        <v>27120.91661</v>
      </c>
      <c r="D165" s="988">
        <v>49234.105575000001</v>
      </c>
      <c r="E165" s="988">
        <v>54830.435475000006</v>
      </c>
      <c r="F165" s="988">
        <v>61014.95048</v>
      </c>
      <c r="G165" s="988">
        <v>55105</v>
      </c>
      <c r="H165" s="988">
        <v>69559.333333333343</v>
      </c>
      <c r="I165" s="988">
        <v>83773.333333333343</v>
      </c>
      <c r="J165" s="988">
        <v>64203.333333333336</v>
      </c>
      <c r="K165" s="988">
        <v>65851.333333333328</v>
      </c>
      <c r="L165" s="988">
        <v>91704.333333333328</v>
      </c>
      <c r="M165" s="988">
        <v>62967.333333333328</v>
      </c>
      <c r="N165" s="39">
        <f t="shared" ref="N165" si="20">SUM(B165:M165)</f>
        <v>712190.46150000009</v>
      </c>
    </row>
    <row r="166" spans="1:18">
      <c r="A166" t="s">
        <v>259</v>
      </c>
      <c r="B166" s="988">
        <v>46908.96490376287</v>
      </c>
      <c r="C166" s="988">
        <v>58138.941270000003</v>
      </c>
      <c r="D166" s="988">
        <v>83133.500594999976</v>
      </c>
      <c r="E166" s="988">
        <v>65898.457549999992</v>
      </c>
      <c r="F166" s="988">
        <v>89477.78919999997</v>
      </c>
      <c r="G166" s="988">
        <v>127085.45407999998</v>
      </c>
      <c r="H166" s="988">
        <v>161945.95342999999</v>
      </c>
      <c r="I166" s="988">
        <v>109045.84198499999</v>
      </c>
      <c r="J166" s="988">
        <v>112379.77430999998</v>
      </c>
      <c r="K166" s="988">
        <v>127109.95675000004</v>
      </c>
      <c r="L166" s="988">
        <v>104528.8118333334</v>
      </c>
      <c r="M166" s="988">
        <v>110544.01183333341</v>
      </c>
      <c r="N166" s="39"/>
    </row>
    <row r="167" spans="1:18">
      <c r="A167" t="s">
        <v>78</v>
      </c>
      <c r="B167" s="988">
        <v>51126.935426198565</v>
      </c>
      <c r="C167" s="988">
        <v>93157.181346198558</v>
      </c>
      <c r="D167" s="988">
        <v>49963.608106198568</v>
      </c>
      <c r="E167" s="988">
        <v>34926.111267974484</v>
      </c>
      <c r="F167" s="988">
        <v>30215.514826146631</v>
      </c>
      <c r="G167" s="988">
        <v>24896.496586435253</v>
      </c>
      <c r="H167" s="988">
        <v>38368.479093101923</v>
      </c>
      <c r="I167" s="988">
        <v>27009.617852813295</v>
      </c>
      <c r="J167" s="988">
        <v>24662.761414641147</v>
      </c>
      <c r="K167" s="988">
        <v>46587.780502462811</v>
      </c>
      <c r="L167" s="988">
        <v>84131.280502462803</v>
      </c>
      <c r="M167" s="988">
        <v>114616.34010056836</v>
      </c>
      <c r="N167" s="39"/>
    </row>
    <row r="168" spans="1:18">
      <c r="A168" t="s">
        <v>260</v>
      </c>
      <c r="B168" s="988">
        <v>65858.196909999984</v>
      </c>
      <c r="C168" s="988">
        <v>60260.38175</v>
      </c>
      <c r="D168" s="988">
        <v>58215.574250000005</v>
      </c>
      <c r="E168" s="988">
        <v>47303.054364999996</v>
      </c>
      <c r="F168" s="988">
        <v>50829.098685000004</v>
      </c>
      <c r="G168" s="988">
        <v>22969</v>
      </c>
      <c r="H168" s="988">
        <v>45114</v>
      </c>
      <c r="I168" s="988">
        <v>31724</v>
      </c>
      <c r="J168" s="988">
        <v>46297.212500000001</v>
      </c>
      <c r="K168" s="988">
        <v>43276.6345</v>
      </c>
      <c r="L168" s="988">
        <v>74182.757277777797</v>
      </c>
      <c r="M168" s="988">
        <v>67611.357277777803</v>
      </c>
      <c r="N168" s="39"/>
    </row>
    <row r="169" spans="1:18">
      <c r="A169" t="s">
        <v>89</v>
      </c>
      <c r="B169" s="988">
        <v>17639.672364999999</v>
      </c>
      <c r="C169" s="988">
        <v>17892.053780000002</v>
      </c>
      <c r="D169" s="988">
        <v>23447.804769999999</v>
      </c>
      <c r="E169" s="988">
        <v>11883.306214999999</v>
      </c>
      <c r="F169" s="988">
        <v>27718.037995000002</v>
      </c>
      <c r="G169" s="988">
        <v>16789</v>
      </c>
      <c r="H169" s="988">
        <v>18540</v>
      </c>
      <c r="I169" s="988">
        <v>16789</v>
      </c>
      <c r="J169" s="988">
        <v>40693.755000000005</v>
      </c>
      <c r="K169" s="988">
        <v>54024.307313999991</v>
      </c>
      <c r="L169" s="988">
        <v>39500.5</v>
      </c>
      <c r="M169" s="988">
        <v>14986.5</v>
      </c>
      <c r="N169" s="39"/>
    </row>
    <row r="170" spans="1:18">
      <c r="A170" t="s">
        <v>261</v>
      </c>
      <c r="B170" s="988">
        <v>257661.92589419539</v>
      </c>
      <c r="C170" s="988">
        <v>282095.50521086203</v>
      </c>
      <c r="D170" s="988">
        <v>318378.62327975099</v>
      </c>
      <c r="E170" s="988">
        <v>331202.17849011836</v>
      </c>
      <c r="F170" s="988">
        <v>285578.0660148944</v>
      </c>
      <c r="G170" s="988">
        <v>351165.73959261994</v>
      </c>
      <c r="H170" s="988">
        <v>317835.39630564605</v>
      </c>
      <c r="I170" s="988">
        <v>330636.2454711707</v>
      </c>
      <c r="J170" s="988">
        <v>421130.63357140275</v>
      </c>
      <c r="K170" s="988">
        <v>365273.73220003507</v>
      </c>
      <c r="L170" s="988">
        <v>334417.35826203506</v>
      </c>
      <c r="M170" s="988">
        <v>348227.1274387493</v>
      </c>
      <c r="N170" s="39"/>
    </row>
    <row r="171" spans="1:18">
      <c r="A171" t="s">
        <v>82</v>
      </c>
      <c r="B171" s="752"/>
      <c r="C171" s="752"/>
      <c r="D171" s="752"/>
      <c r="E171" s="752"/>
      <c r="F171" s="752"/>
      <c r="G171" s="752"/>
      <c r="H171" s="752"/>
      <c r="I171" s="752"/>
      <c r="J171" s="752"/>
      <c r="K171" s="752"/>
      <c r="L171" s="752"/>
      <c r="M171" s="752"/>
      <c r="N171" s="39"/>
    </row>
    <row r="172" spans="1:18">
      <c r="A172" t="s">
        <v>262</v>
      </c>
      <c r="B172" s="752"/>
      <c r="C172" s="752"/>
      <c r="D172" s="752"/>
      <c r="E172" s="752"/>
      <c r="F172" s="752"/>
      <c r="G172" s="752"/>
      <c r="H172" s="752"/>
      <c r="I172" s="752"/>
      <c r="J172" s="752"/>
      <c r="K172" s="752"/>
      <c r="L172" s="752"/>
      <c r="M172" s="752"/>
      <c r="N172" s="39"/>
    </row>
    <row r="173" spans="1:18">
      <c r="A173" t="s">
        <v>88</v>
      </c>
      <c r="B173" s="988">
        <v>184725.31870831322</v>
      </c>
      <c r="C173" s="988">
        <v>184751.06870831322</v>
      </c>
      <c r="D173" s="988">
        <v>182295.54870831323</v>
      </c>
      <c r="E173" s="988">
        <v>171787.03346083825</v>
      </c>
      <c r="F173" s="988">
        <v>187780.97661339998</v>
      </c>
      <c r="G173" s="988">
        <v>173150.58914300002</v>
      </c>
      <c r="H173" s="988">
        <v>177495.12914300003</v>
      </c>
      <c r="I173" s="988">
        <v>163482.01589339998</v>
      </c>
      <c r="J173" s="988">
        <v>176140.36341745665</v>
      </c>
      <c r="K173" s="988">
        <v>166551.41538986642</v>
      </c>
      <c r="L173" s="988">
        <v>181323.67538986646</v>
      </c>
      <c r="M173" s="988">
        <v>172545.13218462077</v>
      </c>
      <c r="N173" s="39"/>
    </row>
    <row r="174" spans="1:18">
      <c r="A174" t="s">
        <v>263</v>
      </c>
      <c r="B174" s="988">
        <v>547444.13132974401</v>
      </c>
      <c r="C174" s="988">
        <v>564077.1911291352</v>
      </c>
      <c r="D174" s="988">
        <v>539436.42217205476</v>
      </c>
      <c r="E174" s="988">
        <v>599445.20215415687</v>
      </c>
      <c r="F174" s="988">
        <v>464570.51067500928</v>
      </c>
      <c r="G174" s="988">
        <v>597717.43266134372</v>
      </c>
      <c r="H174" s="988">
        <v>432149.06324071158</v>
      </c>
      <c r="I174" s="988">
        <v>421846.03238114197</v>
      </c>
      <c r="J174" s="988">
        <v>369777.12543010461</v>
      </c>
      <c r="K174" s="988">
        <v>302754.94032278639</v>
      </c>
      <c r="L174" s="988">
        <v>290004.87726278673</v>
      </c>
      <c r="M174" s="988">
        <v>331189.49886194017</v>
      </c>
      <c r="N174" s="39"/>
    </row>
    <row r="175" spans="1:18">
      <c r="A175" t="s">
        <v>264</v>
      </c>
      <c r="B175" s="988">
        <v>150711.77389372999</v>
      </c>
      <c r="C175" s="988">
        <v>65687.950186649512</v>
      </c>
      <c r="D175" s="988">
        <v>89470.523143729981</v>
      </c>
      <c r="E175" s="988">
        <v>155369.95349361582</v>
      </c>
      <c r="F175" s="988">
        <v>46856.762504255188</v>
      </c>
      <c r="G175" s="988">
        <v>55781.325334635483</v>
      </c>
      <c r="H175" s="988">
        <v>65122.989978295496</v>
      </c>
      <c r="I175" s="988">
        <v>66755.435504255191</v>
      </c>
      <c r="J175" s="988">
        <v>65563.028902973805</v>
      </c>
      <c r="K175" s="988">
        <v>67033.229890821647</v>
      </c>
      <c r="L175" s="988">
        <v>58268.815690821648</v>
      </c>
      <c r="M175" s="988">
        <v>55553.299403202254</v>
      </c>
      <c r="N175" s="39"/>
    </row>
    <row r="176" spans="1:18">
      <c r="A176" t="s">
        <v>83</v>
      </c>
      <c r="B176" s="988">
        <v>2420.5</v>
      </c>
      <c r="C176" s="988">
        <v>2136.1041249999998</v>
      </c>
      <c r="D176" s="988">
        <v>5168.372625</v>
      </c>
      <c r="E176" s="988">
        <v>11260.346249999999</v>
      </c>
      <c r="F176" s="988">
        <v>5253</v>
      </c>
      <c r="G176" s="988">
        <v>9373</v>
      </c>
      <c r="H176" s="988">
        <v>8351.24</v>
      </c>
      <c r="I176" s="988">
        <v>2678</v>
      </c>
      <c r="J176" s="988">
        <v>13925.6</v>
      </c>
      <c r="K176" s="988">
        <v>7725</v>
      </c>
      <c r="L176" s="988">
        <v>7436.6</v>
      </c>
      <c r="M176" s="988">
        <v>10094</v>
      </c>
      <c r="N176" s="39"/>
    </row>
    <row r="177" spans="1:34">
      <c r="A177" t="s">
        <v>265</v>
      </c>
      <c r="B177" s="778">
        <f>SUM(B165:B176)</f>
        <v>1351323.4727909442</v>
      </c>
      <c r="C177" s="778">
        <f t="shared" ref="C177:M177" si="21">SUM(C165:C176)</f>
        <v>1355317.2941161587</v>
      </c>
      <c r="D177" s="778">
        <f t="shared" si="21"/>
        <v>1398744.0832250477</v>
      </c>
      <c r="E177" s="778">
        <f t="shared" si="21"/>
        <v>1483906.0787217037</v>
      </c>
      <c r="F177" s="778">
        <f t="shared" si="21"/>
        <v>1249294.7069937056</v>
      </c>
      <c r="G177" s="778">
        <f t="shared" si="21"/>
        <v>1434033.0373980347</v>
      </c>
      <c r="H177" s="778">
        <f t="shared" si="21"/>
        <v>1334481.5845240885</v>
      </c>
      <c r="I177" s="778">
        <f t="shared" si="21"/>
        <v>1253739.5224211144</v>
      </c>
      <c r="J177" s="778">
        <f t="shared" si="21"/>
        <v>1334773.5878799122</v>
      </c>
      <c r="K177" s="778">
        <f t="shared" si="21"/>
        <v>1246188.3302033059</v>
      </c>
      <c r="L177" s="778">
        <f t="shared" si="21"/>
        <v>1265499.0095524176</v>
      </c>
      <c r="M177" s="778">
        <f t="shared" si="21"/>
        <v>1288334.6004335254</v>
      </c>
      <c r="N177" s="755">
        <f>SUM(B177:M177)</f>
        <v>15995635.308259958</v>
      </c>
      <c r="O177" s="39">
        <f>N177/12</f>
        <v>1332969.6090216632</v>
      </c>
    </row>
    <row r="178" spans="1:34">
      <c r="B178" s="779">
        <f>(B177*1)/B163</f>
        <v>45044.115759698136</v>
      </c>
      <c r="C178" s="779">
        <f t="shared" ref="C178:M178" si="22">(C177*1)/C163</f>
        <v>43719.912713424477</v>
      </c>
      <c r="D178" s="779">
        <f t="shared" si="22"/>
        <v>46624.802774168253</v>
      </c>
      <c r="E178" s="779">
        <f t="shared" si="22"/>
        <v>47867.938023280767</v>
      </c>
      <c r="F178" s="779">
        <f t="shared" si="22"/>
        <v>40299.829257861471</v>
      </c>
      <c r="G178" s="779">
        <f t="shared" si="22"/>
        <v>47801.10124660116</v>
      </c>
      <c r="H178" s="779">
        <f t="shared" si="22"/>
        <v>43047.793049164145</v>
      </c>
      <c r="I178" s="779">
        <f t="shared" si="22"/>
        <v>41791.317414037148</v>
      </c>
      <c r="J178" s="779">
        <f t="shared" si="22"/>
        <v>43057.212512255232</v>
      </c>
      <c r="K178" s="779">
        <f t="shared" si="22"/>
        <v>40199.623554945356</v>
      </c>
      <c r="L178" s="779">
        <f t="shared" si="22"/>
        <v>45196.393198300626</v>
      </c>
      <c r="M178" s="779">
        <f t="shared" si="22"/>
        <v>41559.180659145983</v>
      </c>
      <c r="N178" s="620"/>
    </row>
    <row r="179" spans="1:34" ht="15" thickBot="1">
      <c r="G179" t="s">
        <v>1032</v>
      </c>
    </row>
    <row r="180" spans="1:34" ht="15" thickBot="1">
      <c r="C180" t="s">
        <v>220</v>
      </c>
      <c r="D180" s="619">
        <v>46113</v>
      </c>
      <c r="E180" s="619">
        <v>46143</v>
      </c>
      <c r="F180" s="619">
        <v>46174</v>
      </c>
      <c r="G180" s="619">
        <v>46204</v>
      </c>
      <c r="H180" s="619">
        <v>46235</v>
      </c>
      <c r="I180" s="619">
        <v>46266</v>
      </c>
      <c r="J180" s="619">
        <v>46296</v>
      </c>
      <c r="K180" s="619">
        <v>46327</v>
      </c>
      <c r="L180" s="619">
        <v>46357</v>
      </c>
      <c r="M180" s="619">
        <v>46388</v>
      </c>
      <c r="N180" s="619">
        <v>46419</v>
      </c>
      <c r="O180" s="619">
        <v>46447</v>
      </c>
      <c r="P180" t="s">
        <v>91</v>
      </c>
      <c r="Q180" t="s">
        <v>266</v>
      </c>
    </row>
    <row r="181" spans="1:34">
      <c r="A181" s="1421" t="s">
        <v>267</v>
      </c>
      <c r="B181" t="s">
        <v>268</v>
      </c>
      <c r="C181" t="s">
        <v>94</v>
      </c>
      <c r="D181">
        <v>0</v>
      </c>
      <c r="E181">
        <v>0</v>
      </c>
      <c r="F181">
        <v>0</v>
      </c>
      <c r="G181">
        <v>0</v>
      </c>
      <c r="H181">
        <v>0</v>
      </c>
      <c r="I181">
        <v>0</v>
      </c>
      <c r="J181">
        <v>0</v>
      </c>
      <c r="K181">
        <v>0</v>
      </c>
      <c r="L181">
        <v>0</v>
      </c>
      <c r="M181">
        <v>0</v>
      </c>
      <c r="N181">
        <v>0</v>
      </c>
      <c r="O181">
        <v>0</v>
      </c>
      <c r="P181">
        <v>0</v>
      </c>
      <c r="Q181">
        <v>0</v>
      </c>
    </row>
    <row r="182" spans="1:34">
      <c r="A182" s="1421"/>
      <c r="B182" t="s">
        <v>269</v>
      </c>
      <c r="C182" t="s">
        <v>94</v>
      </c>
      <c r="D182" s="1011">
        <v>96326.28842105261</v>
      </c>
      <c r="E182" s="1011">
        <v>83111.892105263192</v>
      </c>
      <c r="F182" s="1011">
        <v>86394.534736842063</v>
      </c>
      <c r="G182" s="1011">
        <v>77919.94315789477</v>
      </c>
      <c r="H182" s="1011">
        <v>130832.62736842115</v>
      </c>
      <c r="I182" s="1011">
        <v>165509.40631578953</v>
      </c>
      <c r="J182" s="1011">
        <v>192346.40105263161</v>
      </c>
      <c r="K182" s="1011">
        <v>151547.10473684216</v>
      </c>
      <c r="L182" s="1011">
        <v>193751.39684210523</v>
      </c>
      <c r="M182" s="1011">
        <v>236541.74610526284</v>
      </c>
      <c r="N182" s="1011">
        <v>216059.34502923986</v>
      </c>
      <c r="O182" s="1011">
        <v>190733.02923976618</v>
      </c>
      <c r="P182" s="752">
        <f>SUM(D182:O182)</f>
        <v>1821073.7151111113</v>
      </c>
      <c r="Q182" s="753">
        <f>P182/12</f>
        <v>151756.14292592593</v>
      </c>
      <c r="R182" s="752">
        <f>Q182/30</f>
        <v>5058.5380975308644</v>
      </c>
    </row>
    <row r="183" spans="1:34">
      <c r="A183" s="1421"/>
      <c r="B183" t="s">
        <v>231</v>
      </c>
      <c r="C183" t="s">
        <v>94</v>
      </c>
      <c r="D183" s="46">
        <v>445132.79999999999</v>
      </c>
      <c r="E183" s="46">
        <v>459970.56</v>
      </c>
      <c r="F183" s="46">
        <v>445132.79999999999</v>
      </c>
      <c r="G183" s="46">
        <v>459970.56</v>
      </c>
      <c r="H183" s="46">
        <v>430295.03999999998</v>
      </c>
      <c r="I183" s="46">
        <v>445132.79999999999</v>
      </c>
      <c r="J183" s="46">
        <v>415457.28000000003</v>
      </c>
      <c r="K183" s="46">
        <v>430295.03999999998</v>
      </c>
      <c r="L183" s="46">
        <v>445132.79999999999</v>
      </c>
      <c r="M183" s="46">
        <v>430295.03999999998</v>
      </c>
      <c r="N183" s="46">
        <v>415457.28000000003</v>
      </c>
      <c r="O183" s="46">
        <v>445132.79999999999</v>
      </c>
      <c r="P183" s="19">
        <f>SUM(D183:O183)</f>
        <v>5267404.7999999998</v>
      </c>
      <c r="Q183" s="212">
        <f t="shared" ref="Q183:Q185" si="23">P183/12</f>
        <v>438950.39999999997</v>
      </c>
      <c r="R183" s="19"/>
    </row>
    <row r="184" spans="1:34">
      <c r="A184" s="1421"/>
      <c r="B184" t="s">
        <v>233</v>
      </c>
      <c r="C184" t="s">
        <v>94</v>
      </c>
      <c r="D184" s="46">
        <v>344486.74263157893</v>
      </c>
      <c r="E184" s="46">
        <v>342876.08789473679</v>
      </c>
      <c r="F184" s="46">
        <v>325525.14768421056</v>
      </c>
      <c r="G184" s="46">
        <v>347900.12140350882</v>
      </c>
      <c r="H184" s="46">
        <v>309264.05277192983</v>
      </c>
      <c r="I184" s="46">
        <v>309036.0456140351</v>
      </c>
      <c r="J184" s="46">
        <v>269965.9418947369</v>
      </c>
      <c r="K184" s="46">
        <v>295957.45810526318</v>
      </c>
      <c r="L184" s="46">
        <v>305161.20989473688</v>
      </c>
      <c r="M184" s="46">
        <v>270270.30315789476</v>
      </c>
      <c r="N184" s="46">
        <v>244969.38526315789</v>
      </c>
      <c r="O184" s="46">
        <v>277644.90526315785</v>
      </c>
      <c r="P184" s="19">
        <f>SUM(D184:O184)</f>
        <v>3643057.4015789479</v>
      </c>
      <c r="Q184" s="212">
        <f t="shared" si="23"/>
        <v>303588.11679824564</v>
      </c>
      <c r="R184" s="19"/>
    </row>
    <row r="185" spans="1:34" ht="15" thickBot="1">
      <c r="A185" s="1421"/>
      <c r="B185" t="s">
        <v>235</v>
      </c>
      <c r="C185" t="s">
        <v>236</v>
      </c>
      <c r="D185" s="155">
        <v>0.7738965599290345</v>
      </c>
      <c r="E185" s="155">
        <v>0.74543050732363569</v>
      </c>
      <c r="F185" s="155">
        <v>0.73129894648116378</v>
      </c>
      <c r="G185" s="155">
        <v>0.75635301833993207</v>
      </c>
      <c r="H185" s="155">
        <v>0.71872558134049103</v>
      </c>
      <c r="I185" s="155">
        <v>0.69425583918784484</v>
      </c>
      <c r="J185" s="155">
        <v>0.64980433582662667</v>
      </c>
      <c r="K185" s="155">
        <v>0.68780123076776156</v>
      </c>
      <c r="L185" s="155">
        <v>0.68555094096579017</v>
      </c>
      <c r="M185" s="155">
        <v>0.62810462132655487</v>
      </c>
      <c r="N185" s="155">
        <v>0.58963796533582913</v>
      </c>
      <c r="O185" s="155">
        <v>0.62373499608017624</v>
      </c>
      <c r="P185" s="156">
        <f>SUM(D185:O185)</f>
        <v>8.2845945429048395</v>
      </c>
      <c r="Q185" s="156">
        <f t="shared" si="23"/>
        <v>0.69038287857540326</v>
      </c>
      <c r="R185" s="19"/>
    </row>
    <row r="186" spans="1:34" ht="15" thickBot="1">
      <c r="D186" s="619">
        <v>46113</v>
      </c>
      <c r="E186" s="619">
        <v>46143</v>
      </c>
      <c r="F186" s="619">
        <v>46174</v>
      </c>
      <c r="G186" s="619">
        <v>46204</v>
      </c>
      <c r="H186" s="619">
        <v>46235</v>
      </c>
      <c r="I186" s="619">
        <v>46266</v>
      </c>
      <c r="J186" s="619">
        <v>46296</v>
      </c>
      <c r="K186" s="619">
        <v>46327</v>
      </c>
      <c r="L186" s="619">
        <v>46357</v>
      </c>
      <c r="M186" s="619">
        <v>46388</v>
      </c>
      <c r="N186" s="619">
        <v>46419</v>
      </c>
      <c r="O186" s="619">
        <v>46447</v>
      </c>
      <c r="P186" s="19" t="s">
        <v>91</v>
      </c>
      <c r="Q186" s="19" t="s">
        <v>266</v>
      </c>
      <c r="R186" s="19"/>
      <c r="S186" s="41">
        <f>Q182+Q188+Q191</f>
        <v>613190.13794609462</v>
      </c>
    </row>
    <row r="187" spans="1:34">
      <c r="A187" t="s">
        <v>34</v>
      </c>
      <c r="B187" t="s">
        <v>268</v>
      </c>
      <c r="C187" t="s">
        <v>94</v>
      </c>
      <c r="D187">
        <v>0</v>
      </c>
      <c r="E187">
        <v>0</v>
      </c>
      <c r="F187">
        <v>0</v>
      </c>
      <c r="G187">
        <v>0</v>
      </c>
      <c r="H187">
        <v>0</v>
      </c>
      <c r="I187">
        <v>0</v>
      </c>
      <c r="J187">
        <v>0</v>
      </c>
      <c r="K187">
        <v>0</v>
      </c>
      <c r="L187">
        <v>0</v>
      </c>
      <c r="M187">
        <v>0</v>
      </c>
      <c r="N187">
        <v>0</v>
      </c>
      <c r="O187">
        <v>0</v>
      </c>
      <c r="P187" s="19">
        <v>0</v>
      </c>
      <c r="Q187" s="19">
        <v>0</v>
      </c>
      <c r="R187" s="19"/>
    </row>
    <row r="188" spans="1:34">
      <c r="A188" t="s">
        <v>271</v>
      </c>
      <c r="B188" t="s">
        <v>269</v>
      </c>
      <c r="C188" t="s">
        <v>94</v>
      </c>
      <c r="D188" s="1011">
        <v>129572.20436027308</v>
      </c>
      <c r="E188" s="1011">
        <v>143426.57123981504</v>
      </c>
      <c r="F188" s="1011">
        <v>82226.31578947368</v>
      </c>
      <c r="G188" s="1011">
        <v>87480.350877192977</v>
      </c>
      <c r="H188" s="1011">
        <v>114311.47719298245</v>
      </c>
      <c r="I188" s="1011">
        <v>155330.35087719298</v>
      </c>
      <c r="J188" s="1012">
        <v>100160.35087719299</v>
      </c>
      <c r="K188" s="1012">
        <v>182743.50877192983</v>
      </c>
      <c r="L188" s="1012">
        <v>218937.19298245618</v>
      </c>
      <c r="M188" s="1011">
        <v>233287.36842105267</v>
      </c>
      <c r="N188" s="1011">
        <v>234664.81052631582</v>
      </c>
      <c r="O188" s="1011">
        <v>235017.89473684214</v>
      </c>
      <c r="P188" s="752">
        <f t="shared" ref="P188:P197" si="24">SUM(D188:O188)</f>
        <v>1917158.3966527199</v>
      </c>
      <c r="Q188" s="753">
        <f t="shared" ref="Q188:Q197" si="25">P188/12</f>
        <v>159763.19972105999</v>
      </c>
      <c r="R188" s="752">
        <f>Q188/30</f>
        <v>5325.4399907019997</v>
      </c>
    </row>
    <row r="189" spans="1:34">
      <c r="A189" t="s">
        <v>272</v>
      </c>
      <c r="B189" t="s">
        <v>272</v>
      </c>
      <c r="C189" t="s">
        <v>94</v>
      </c>
      <c r="D189" s="1010">
        <v>1331.578947368421</v>
      </c>
      <c r="E189" s="1010">
        <v>5777.5515789473675</v>
      </c>
      <c r="F189" s="1010">
        <v>0</v>
      </c>
      <c r="G189" s="1010">
        <v>1016.8421052631578</v>
      </c>
      <c r="H189" s="1010">
        <v>1573.6842105263156</v>
      </c>
      <c r="I189" s="1010">
        <v>0</v>
      </c>
      <c r="J189" s="1013">
        <v>7030.7368421052633</v>
      </c>
      <c r="K189" s="1013">
        <v>501.15789473684208</v>
      </c>
      <c r="L189" s="1013">
        <v>0</v>
      </c>
      <c r="M189" s="1010">
        <v>0</v>
      </c>
      <c r="N189" s="1010">
        <v>0</v>
      </c>
      <c r="O189" s="1010">
        <v>0</v>
      </c>
      <c r="P189" s="752">
        <f t="shared" si="24"/>
        <v>17231.551578947368</v>
      </c>
      <c r="Q189" s="753">
        <f t="shared" si="25"/>
        <v>1435.9626315789474</v>
      </c>
      <c r="R189" s="752"/>
      <c r="V189" s="838"/>
    </row>
    <row r="190" spans="1:34">
      <c r="B190" t="s">
        <v>33</v>
      </c>
      <c r="C190" t="s">
        <v>94</v>
      </c>
      <c r="D190" s="1011">
        <v>129572.20436027308</v>
      </c>
      <c r="E190" s="1011">
        <v>143426.57123981504</v>
      </c>
      <c r="F190" s="1011">
        <v>82226.31578947368</v>
      </c>
      <c r="G190" s="1011">
        <v>87480.350877192977</v>
      </c>
      <c r="H190" s="1011">
        <v>114311.47719298245</v>
      </c>
      <c r="I190" s="1011">
        <v>155330.35087719298</v>
      </c>
      <c r="J190" s="1012">
        <v>100160.35087719299</v>
      </c>
      <c r="K190" s="1012">
        <v>182743.50877192983</v>
      </c>
      <c r="L190" s="1012">
        <v>218937.19298245618</v>
      </c>
      <c r="M190" s="1011">
        <v>233287.36842105267</v>
      </c>
      <c r="N190" s="1011">
        <v>234664.81052631582</v>
      </c>
      <c r="O190" s="1011">
        <v>235017.89473684214</v>
      </c>
      <c r="P190" s="752">
        <f t="shared" si="24"/>
        <v>1917158.3966527199</v>
      </c>
      <c r="Q190" s="753">
        <f t="shared" si="25"/>
        <v>159763.19972105999</v>
      </c>
      <c r="R190" s="752"/>
      <c r="V190" s="838">
        <f>(D190/SUM(D$190:D$194))*6.5</f>
        <v>1.2275138734001485</v>
      </c>
      <c r="W190" s="838">
        <f t="shared" ref="W190:AG190" si="26">(E190/SUM(E$190:E$194))*6.5</f>
        <v>1.6475993770703374</v>
      </c>
      <c r="X190" s="838">
        <f t="shared" si="26"/>
        <v>1.1011720773123943</v>
      </c>
      <c r="Y190" s="838">
        <f t="shared" si="26"/>
        <v>0.96001675901763683</v>
      </c>
      <c r="Z190" s="838">
        <f t="shared" si="26"/>
        <v>0.85416776743529343</v>
      </c>
      <c r="AA190" s="838">
        <f t="shared" si="26"/>
        <v>1.6738157528765691</v>
      </c>
      <c r="AB190" s="838">
        <f t="shared" si="26"/>
        <v>1.280336257369953</v>
      </c>
      <c r="AC190" s="838">
        <f t="shared" si="26"/>
        <v>2.3371965059807214</v>
      </c>
      <c r="AD190" s="838">
        <f t="shared" si="26"/>
        <v>2.8777787016398682</v>
      </c>
      <c r="AE190" s="838">
        <f t="shared" si="26"/>
        <v>3.0870220447008068</v>
      </c>
      <c r="AF190" s="838">
        <f t="shared" si="26"/>
        <v>2.9849098382030874</v>
      </c>
      <c r="AG190" s="838">
        <f t="shared" si="26"/>
        <v>2.7645081386826815</v>
      </c>
      <c r="AH190" s="838"/>
    </row>
    <row r="191" spans="1:34">
      <c r="A191" t="s">
        <v>92</v>
      </c>
      <c r="B191" t="s">
        <v>273</v>
      </c>
      <c r="C191" t="s">
        <v>94</v>
      </c>
      <c r="D191" s="1065">
        <v>460411.64024567843</v>
      </c>
      <c r="E191" s="1014">
        <v>318864.58668767568</v>
      </c>
      <c r="F191" s="1014">
        <v>276183.06700537977</v>
      </c>
      <c r="G191" s="1014">
        <v>375130.63631719211</v>
      </c>
      <c r="H191" s="1065">
        <v>636810.07957177632</v>
      </c>
      <c r="I191" s="1014">
        <v>340280.31888946606</v>
      </c>
      <c r="J191" s="1015">
        <v>290110.77081198042</v>
      </c>
      <c r="K191" s="1015">
        <v>238101.81614365615</v>
      </c>
      <c r="L191" s="1015">
        <v>162912.3909009163</v>
      </c>
      <c r="M191" s="1014">
        <v>144536.62180597585</v>
      </c>
      <c r="N191" s="1014">
        <v>179386.83792063277</v>
      </c>
      <c r="O191" s="1014">
        <v>197320.77728897543</v>
      </c>
      <c r="P191" s="752">
        <f t="shared" si="24"/>
        <v>3620049.5435893051</v>
      </c>
      <c r="Q191" s="753">
        <f t="shared" si="25"/>
        <v>301670.79529910878</v>
      </c>
      <c r="R191" s="752">
        <f>Q191/30</f>
        <v>10055.69317663696</v>
      </c>
      <c r="V191" s="838">
        <f>(D191/SUM(D$190:D$194))*3.5</f>
        <v>2.3486350870886268</v>
      </c>
      <c r="W191" s="838">
        <f t="shared" ref="W191:AG191" si="27">(E191/SUM(E$190:E$194))*3.5</f>
        <v>1.9723454356552084</v>
      </c>
      <c r="X191" s="838">
        <f t="shared" si="27"/>
        <v>1.9915723787170476</v>
      </c>
      <c r="Y191" s="838">
        <f t="shared" si="27"/>
        <v>2.2166928463364415</v>
      </c>
      <c r="Z191" s="838">
        <f t="shared" si="27"/>
        <v>2.5622290962146699</v>
      </c>
      <c r="AA191" s="838">
        <f t="shared" si="27"/>
        <v>1.9744350246188045</v>
      </c>
      <c r="AB191" s="838">
        <f t="shared" si="27"/>
        <v>1.9968560005551845</v>
      </c>
      <c r="AC191" s="838">
        <f t="shared" si="27"/>
        <v>1.6397236657788263</v>
      </c>
      <c r="AD191" s="838">
        <f t="shared" si="27"/>
        <v>1.153046053165848</v>
      </c>
      <c r="AE191" s="838">
        <f t="shared" si="27"/>
        <v>1.0298668862985425</v>
      </c>
      <c r="AF191" s="838">
        <f t="shared" si="27"/>
        <v>1.2286509206529406</v>
      </c>
      <c r="AG191" s="838">
        <f t="shared" si="27"/>
        <v>1.2498112987398184</v>
      </c>
      <c r="AH191" s="838"/>
    </row>
    <row r="192" spans="1:34">
      <c r="B192" t="s">
        <v>274</v>
      </c>
      <c r="C192" t="s">
        <v>94</v>
      </c>
      <c r="D192" s="754"/>
      <c r="E192" s="100"/>
      <c r="F192" s="100"/>
      <c r="G192" s="100"/>
      <c r="H192" s="100"/>
      <c r="I192" s="100"/>
      <c r="J192" s="100"/>
      <c r="K192" s="100"/>
      <c r="L192" s="100"/>
      <c r="M192" s="100"/>
      <c r="N192" s="100"/>
      <c r="O192" s="100"/>
      <c r="P192" s="752">
        <f t="shared" si="24"/>
        <v>0</v>
      </c>
      <c r="Q192" s="753">
        <f t="shared" si="25"/>
        <v>0</v>
      </c>
      <c r="R192" s="752"/>
    </row>
    <row r="193" spans="1:34">
      <c r="B193" t="s">
        <v>275</v>
      </c>
      <c r="C193" t="s">
        <v>94</v>
      </c>
      <c r="D193" s="100"/>
      <c r="E193" s="100"/>
      <c r="F193" s="100"/>
      <c r="G193" s="100"/>
      <c r="H193" s="100"/>
      <c r="I193" s="100"/>
      <c r="J193" s="100"/>
      <c r="K193" s="100"/>
      <c r="L193" s="100"/>
      <c r="M193" s="100"/>
      <c r="N193" s="100"/>
      <c r="O193" s="100"/>
      <c r="P193" s="752">
        <f t="shared" si="24"/>
        <v>0</v>
      </c>
      <c r="Q193" s="753">
        <f t="shared" si="25"/>
        <v>0</v>
      </c>
      <c r="R193" s="752"/>
    </row>
    <row r="194" spans="1:34">
      <c r="A194" t="s">
        <v>271</v>
      </c>
      <c r="B194" t="s">
        <v>45</v>
      </c>
      <c r="C194" t="s">
        <v>94</v>
      </c>
      <c r="D194" s="1066">
        <v>96134.126516339704</v>
      </c>
      <c r="E194" s="1066">
        <v>103545.85684275601</v>
      </c>
      <c r="F194" s="1066">
        <v>126956.22322019395</v>
      </c>
      <c r="G194" s="1066">
        <v>129693.54849269241</v>
      </c>
      <c r="H194" s="1066">
        <v>118759.78280554168</v>
      </c>
      <c r="I194" s="1066">
        <v>107590.29722543964</v>
      </c>
      <c r="J194" s="1066">
        <v>118222.07840118057</v>
      </c>
      <c r="K194" s="1066">
        <v>87384.429826030057</v>
      </c>
      <c r="L194" s="1066">
        <v>112660.9056045903</v>
      </c>
      <c r="M194" s="1066">
        <v>113383.35224720002</v>
      </c>
      <c r="N194" s="1066">
        <v>96959.186419438731</v>
      </c>
      <c r="O194" s="1066">
        <v>120242.92265792961</v>
      </c>
      <c r="P194" s="752">
        <f t="shared" si="24"/>
        <v>1331532.7102593328</v>
      </c>
      <c r="Q194" s="753">
        <f t="shared" si="25"/>
        <v>110961.05918827774</v>
      </c>
      <c r="R194" s="752">
        <f>Q194/30</f>
        <v>3698.7019729425911</v>
      </c>
      <c r="V194" s="838">
        <f>(D194/SUM(D$190:D$194))*7</f>
        <v>0.98079180831489343</v>
      </c>
      <c r="W194" s="838">
        <f t="shared" ref="W194:AG194" si="28">(E194/SUM(E$190:E$194))*7</f>
        <v>1.2809713379984509</v>
      </c>
      <c r="X194" s="838">
        <f t="shared" si="28"/>
        <v>1.8309776208448652</v>
      </c>
      <c r="Y194" s="838">
        <f t="shared" si="28"/>
        <v>1.5327501053081227</v>
      </c>
      <c r="Z194" s="838">
        <f t="shared" si="28"/>
        <v>0.95566882725572921</v>
      </c>
      <c r="AA194" s="838">
        <f t="shared" si="28"/>
        <v>1.2485591399722387</v>
      </c>
      <c r="AB194" s="838">
        <f t="shared" si="28"/>
        <v>1.6274643371066047</v>
      </c>
      <c r="AC194" s="838">
        <f t="shared" si="28"/>
        <v>1.2035718158477242</v>
      </c>
      <c r="AD194" s="838">
        <f t="shared" si="28"/>
        <v>1.5947615995945998</v>
      </c>
      <c r="AE194" s="838">
        <f t="shared" si="28"/>
        <v>1.6157809484943544</v>
      </c>
      <c r="AF194" s="838">
        <f t="shared" si="28"/>
        <v>1.3281798713984856</v>
      </c>
      <c r="AG194" s="838">
        <f t="shared" si="28"/>
        <v>1.5232147916313215</v>
      </c>
      <c r="AH194" s="838"/>
    </row>
    <row r="195" spans="1:34">
      <c r="B195" t="s">
        <v>231</v>
      </c>
      <c r="C195" t="s">
        <v>94</v>
      </c>
      <c r="D195" s="756">
        <v>703479.56526245584</v>
      </c>
      <c r="E195" s="756">
        <v>726928.88410453778</v>
      </c>
      <c r="F195" s="756">
        <v>703479.56526245584</v>
      </c>
      <c r="G195" s="756">
        <v>726928.88410453778</v>
      </c>
      <c r="H195" s="756">
        <v>680030.24642037402</v>
      </c>
      <c r="I195" s="756">
        <v>703479.56526245584</v>
      </c>
      <c r="J195" s="756">
        <v>656580.92757829209</v>
      </c>
      <c r="K195" s="756">
        <v>680030.24642037402</v>
      </c>
      <c r="L195" s="756">
        <v>703479.56526245584</v>
      </c>
      <c r="M195" s="756">
        <v>680030.24642037402</v>
      </c>
      <c r="N195" s="756">
        <v>656580.92757829209</v>
      </c>
      <c r="O195" s="756">
        <v>703479.56526245584</v>
      </c>
      <c r="P195" s="752">
        <f t="shared" si="24"/>
        <v>8324508.1889390601</v>
      </c>
      <c r="Q195" s="753">
        <f t="shared" si="25"/>
        <v>693709.01574492163</v>
      </c>
      <c r="R195" s="752"/>
      <c r="V195" s="44">
        <f>SUM(V190:V194)</f>
        <v>4.5569407688036687</v>
      </c>
      <c r="W195" s="44">
        <f t="shared" ref="W195:AG195" si="29">SUM(W190:W194)</f>
        <v>4.9009161507239964</v>
      </c>
      <c r="X195" s="44">
        <f t="shared" si="29"/>
        <v>4.9237220768743075</v>
      </c>
      <c r="Y195" s="44">
        <f t="shared" si="29"/>
        <v>4.7094597106622009</v>
      </c>
      <c r="Z195" s="44">
        <f t="shared" si="29"/>
        <v>4.3720656909056927</v>
      </c>
      <c r="AA195" s="44">
        <f t="shared" si="29"/>
        <v>4.8968099174676123</v>
      </c>
      <c r="AB195" s="44">
        <f t="shared" si="29"/>
        <v>4.9046565950317422</v>
      </c>
      <c r="AC195" s="44">
        <f t="shared" si="29"/>
        <v>5.1804919876072724</v>
      </c>
      <c r="AD195" s="44">
        <f t="shared" si="29"/>
        <v>5.6255863544003155</v>
      </c>
      <c r="AE195" s="44">
        <f t="shared" si="29"/>
        <v>5.7326698794937032</v>
      </c>
      <c r="AF195" s="44">
        <f t="shared" si="29"/>
        <v>5.5417406302545134</v>
      </c>
      <c r="AG195" s="44">
        <f t="shared" si="29"/>
        <v>5.5375342290538221</v>
      </c>
    </row>
    <row r="196" spans="1:34">
      <c r="B196" t="s">
        <v>233</v>
      </c>
      <c r="C196" t="s">
        <v>94</v>
      </c>
      <c r="D196" s="46">
        <v>330848.58762801881</v>
      </c>
      <c r="E196" s="46">
        <v>459263.69519589725</v>
      </c>
      <c r="F196" s="46">
        <v>408621.75401351042</v>
      </c>
      <c r="G196" s="46">
        <v>423611.83256602788</v>
      </c>
      <c r="H196" s="46">
        <v>338236.82313095342</v>
      </c>
      <c r="I196" s="46">
        <v>352131.29943676793</v>
      </c>
      <c r="J196" s="46">
        <v>175814.48658598273</v>
      </c>
      <c r="K196" s="46">
        <v>175889.57797057688</v>
      </c>
      <c r="L196" s="46">
        <v>224318.60637771239</v>
      </c>
      <c r="M196" s="46">
        <v>185862.32209513683</v>
      </c>
      <c r="N196" s="46">
        <v>188001.50151795341</v>
      </c>
      <c r="O196" s="46">
        <v>-123422.80844325018</v>
      </c>
      <c r="P196" s="19">
        <f t="shared" si="24"/>
        <v>3139177.6780752875</v>
      </c>
      <c r="Q196" s="212">
        <f t="shared" si="25"/>
        <v>261598.13983960729</v>
      </c>
      <c r="R196" s="19"/>
    </row>
    <row r="197" spans="1:34">
      <c r="B197" t="s">
        <v>235</v>
      </c>
      <c r="C197" t="s">
        <v>236</v>
      </c>
      <c r="D197" s="155">
        <v>0.47030305351454671</v>
      </c>
      <c r="E197" s="155">
        <v>0.63178627956383659</v>
      </c>
      <c r="F197" s="155">
        <v>0.58085802941704612</v>
      </c>
      <c r="G197" s="155">
        <v>0.58274178097607321</v>
      </c>
      <c r="H197" s="155">
        <v>0.49738496914130742</v>
      </c>
      <c r="I197" s="155">
        <v>0.50055654325281496</v>
      </c>
      <c r="J197" s="155">
        <v>0.26777275915468657</v>
      </c>
      <c r="K197" s="155">
        <v>0.25864963933067076</v>
      </c>
      <c r="L197" s="155">
        <v>0.31887011002803339</v>
      </c>
      <c r="M197" s="155">
        <v>0.27331478720763014</v>
      </c>
      <c r="N197" s="155">
        <v>0.28633408864215859</v>
      </c>
      <c r="O197" s="155">
        <v>-0.17544618854309335</v>
      </c>
      <c r="P197" s="19">
        <f t="shared" si="24"/>
        <v>4.4931258516857113</v>
      </c>
      <c r="Q197" s="212">
        <f t="shared" si="25"/>
        <v>0.37442715430714263</v>
      </c>
      <c r="R197" s="19"/>
    </row>
    <row r="198" spans="1:34">
      <c r="D198" s="19">
        <f t="shared" ref="D198:O198" si="30">D194+D191+D190</f>
        <v>686117.97112229117</v>
      </c>
      <c r="E198" s="19">
        <f t="shared" si="30"/>
        <v>565837.01477024681</v>
      </c>
      <c r="F198" s="19">
        <f t="shared" si="30"/>
        <v>485365.60601504741</v>
      </c>
      <c r="G198" s="19">
        <f t="shared" si="30"/>
        <v>592304.53568707756</v>
      </c>
      <c r="H198" s="19">
        <f t="shared" si="30"/>
        <v>869881.33957030042</v>
      </c>
      <c r="I198" s="19">
        <f t="shared" si="30"/>
        <v>603200.96699209861</v>
      </c>
      <c r="J198" s="19">
        <f t="shared" si="30"/>
        <v>508493.20009035396</v>
      </c>
      <c r="K198" s="19">
        <f t="shared" si="30"/>
        <v>508229.75474161602</v>
      </c>
      <c r="L198" s="19">
        <f t="shared" si="30"/>
        <v>494510.4894879628</v>
      </c>
      <c r="M198" s="19">
        <f t="shared" si="30"/>
        <v>491207.34247422859</v>
      </c>
      <c r="N198" s="19">
        <f t="shared" si="30"/>
        <v>511010.8348663873</v>
      </c>
      <c r="O198" s="19">
        <f t="shared" si="30"/>
        <v>552581.59468374716</v>
      </c>
      <c r="P198" s="19">
        <v>0</v>
      </c>
      <c r="Q198" s="19"/>
      <c r="R198" s="19"/>
    </row>
    <row r="199" spans="1:34">
      <c r="A199" s="157" t="s">
        <v>277</v>
      </c>
      <c r="B199" s="157" t="s">
        <v>278</v>
      </c>
      <c r="C199" s="157" t="s">
        <v>94</v>
      </c>
      <c r="D199" s="157">
        <v>33313.264844912286</v>
      </c>
      <c r="E199" s="157">
        <v>25996.780978947369</v>
      </c>
      <c r="F199" s="157">
        <v>30022.478374736842</v>
      </c>
      <c r="G199" s="157">
        <v>28574.447867549774</v>
      </c>
      <c r="H199" s="157">
        <v>25293.798319419238</v>
      </c>
      <c r="I199" s="157">
        <v>26643.232238596491</v>
      </c>
      <c r="J199" s="157">
        <v>41429.004466165417</v>
      </c>
      <c r="K199" s="157">
        <v>23725.841362105271</v>
      </c>
      <c r="L199" s="157">
        <v>23822.273529824564</v>
      </c>
      <c r="M199" s="157">
        <v>37846.599867586207</v>
      </c>
      <c r="N199" s="157">
        <v>33689.695354135336</v>
      </c>
      <c r="O199" s="157">
        <v>35323.212947368418</v>
      </c>
      <c r="P199" s="158">
        <v>365680.63015134726</v>
      </c>
      <c r="Q199" s="158">
        <v>30473.385845945606</v>
      </c>
      <c r="R199" s="158">
        <f>Q199/30</f>
        <v>1015.7795281981869</v>
      </c>
    </row>
    <row r="200" spans="1:34">
      <c r="A200" s="157"/>
      <c r="B200" s="157" t="s">
        <v>279</v>
      </c>
      <c r="C200" s="157" t="s">
        <v>94</v>
      </c>
      <c r="D200" s="157">
        <v>0</v>
      </c>
      <c r="E200" s="157">
        <v>0</v>
      </c>
      <c r="F200" s="157">
        <v>0</v>
      </c>
      <c r="G200" s="157">
        <v>0</v>
      </c>
      <c r="H200" s="157">
        <v>0</v>
      </c>
      <c r="I200" s="157">
        <v>0</v>
      </c>
      <c r="J200" s="157">
        <v>0</v>
      </c>
      <c r="K200" s="157">
        <v>0</v>
      </c>
      <c r="L200" s="157">
        <v>0</v>
      </c>
      <c r="M200" s="157">
        <v>0</v>
      </c>
      <c r="N200" s="157">
        <v>0</v>
      </c>
      <c r="O200" s="157">
        <v>0</v>
      </c>
      <c r="P200" s="158">
        <v>0</v>
      </c>
      <c r="Q200" s="158">
        <v>0</v>
      </c>
      <c r="R200" s="158"/>
    </row>
    <row r="201" spans="1:34">
      <c r="A201" s="157"/>
      <c r="B201" s="157" t="s">
        <v>281</v>
      </c>
      <c r="C201" s="157" t="s">
        <v>94</v>
      </c>
      <c r="D201" s="157">
        <v>8985.2140350877198</v>
      </c>
      <c r="E201" s="157">
        <v>8520.3859649122805</v>
      </c>
      <c r="F201" s="157">
        <v>10705.17894736842</v>
      </c>
      <c r="G201" s="157">
        <v>7380.9847198641764</v>
      </c>
      <c r="H201" s="157">
        <v>8321.4373865698744</v>
      </c>
      <c r="I201" s="157">
        <v>10153.333333333334</v>
      </c>
      <c r="J201" s="157">
        <v>12246.187969924813</v>
      </c>
      <c r="K201" s="157">
        <v>8599.3684210526335</v>
      </c>
      <c r="L201" s="157">
        <v>8926.5122807017542</v>
      </c>
      <c r="M201" s="157">
        <v>10303.920145190561</v>
      </c>
      <c r="N201" s="157">
        <v>11200.285714285712</v>
      </c>
      <c r="O201" s="157">
        <v>9145.3333333333339</v>
      </c>
      <c r="P201" s="158">
        <v>114488.14225162459</v>
      </c>
      <c r="Q201" s="158">
        <v>9540.6785209687168</v>
      </c>
      <c r="R201" s="158">
        <f>Q201/30</f>
        <v>318.02261736562389</v>
      </c>
    </row>
    <row r="202" spans="1:34">
      <c r="A202" s="157"/>
      <c r="B202" s="157" t="s">
        <v>282</v>
      </c>
      <c r="C202" s="157" t="s">
        <v>94</v>
      </c>
      <c r="D202" s="157">
        <v>14430.801687017545</v>
      </c>
      <c r="E202" s="157">
        <v>8043.9739614035079</v>
      </c>
      <c r="F202" s="157">
        <v>7700.0853922807019</v>
      </c>
      <c r="G202" s="157">
        <v>12736.043792846891</v>
      </c>
      <c r="H202" s="157">
        <v>0</v>
      </c>
      <c r="I202" s="157">
        <v>0</v>
      </c>
      <c r="J202" s="157">
        <v>0</v>
      </c>
      <c r="K202" s="157">
        <v>5137.1746954385981</v>
      </c>
      <c r="L202" s="157">
        <v>4579.3191438596496</v>
      </c>
      <c r="M202" s="157">
        <v>16021.953769582577</v>
      </c>
      <c r="N202" s="157">
        <v>10028.860767669174</v>
      </c>
      <c r="O202" s="157">
        <v>15856.300666666668</v>
      </c>
      <c r="P202" s="158">
        <v>94534.513876765297</v>
      </c>
      <c r="Q202" s="158">
        <v>7877.8761563971084</v>
      </c>
      <c r="R202" s="158">
        <f>Q202/30</f>
        <v>262.5958718799036</v>
      </c>
    </row>
    <row r="203" spans="1:34">
      <c r="A203" s="157"/>
      <c r="B203" s="157" t="s">
        <v>283</v>
      </c>
      <c r="C203" s="157" t="s">
        <v>94</v>
      </c>
      <c r="D203" s="157">
        <v>0</v>
      </c>
      <c r="E203" s="157">
        <v>0</v>
      </c>
      <c r="F203" s="157">
        <v>0</v>
      </c>
      <c r="G203" s="157">
        <v>0</v>
      </c>
      <c r="H203" s="157"/>
      <c r="I203" s="157"/>
      <c r="J203" s="157"/>
      <c r="K203" s="157">
        <v>0</v>
      </c>
      <c r="L203" s="157">
        <v>0</v>
      </c>
      <c r="M203" s="157">
        <v>0</v>
      </c>
      <c r="N203" s="157">
        <v>0</v>
      </c>
      <c r="O203" s="157">
        <v>0</v>
      </c>
      <c r="P203" s="158">
        <v>0</v>
      </c>
      <c r="Q203" s="158">
        <v>0</v>
      </c>
      <c r="R203" s="158"/>
    </row>
    <row r="204" spans="1:34">
      <c r="A204" s="157"/>
      <c r="B204" s="157" t="s">
        <v>284</v>
      </c>
      <c r="C204" s="157" t="s">
        <v>94</v>
      </c>
      <c r="D204" s="157">
        <v>0</v>
      </c>
      <c r="E204" s="157">
        <v>0</v>
      </c>
      <c r="F204" s="157">
        <v>0</v>
      </c>
      <c r="G204" s="157">
        <v>0</v>
      </c>
      <c r="H204" s="157"/>
      <c r="I204" s="157"/>
      <c r="J204" s="157"/>
      <c r="K204" s="157">
        <v>0</v>
      </c>
      <c r="L204" s="157">
        <v>0</v>
      </c>
      <c r="M204" s="157">
        <v>0</v>
      </c>
      <c r="N204" s="157">
        <v>0</v>
      </c>
      <c r="O204" s="157">
        <v>0</v>
      </c>
      <c r="P204" s="158">
        <v>0</v>
      </c>
      <c r="Q204" s="158">
        <v>0</v>
      </c>
      <c r="R204" s="158"/>
    </row>
    <row r="205" spans="1:34">
      <c r="A205" s="157"/>
      <c r="B205" s="157" t="s">
        <v>285</v>
      </c>
      <c r="C205" s="157" t="s">
        <v>94</v>
      </c>
      <c r="D205" s="157">
        <v>912.0350877192983</v>
      </c>
      <c r="E205" s="157">
        <v>912.0350877192983</v>
      </c>
      <c r="F205" s="157">
        <v>912.0350877192983</v>
      </c>
      <c r="G205" s="157">
        <v>1076.4346349745331</v>
      </c>
      <c r="H205" s="157">
        <v>1150.6715063520871</v>
      </c>
      <c r="I205" s="157">
        <v>1112.3157894736842</v>
      </c>
      <c r="J205" s="157">
        <v>1489.2105263157896</v>
      </c>
      <c r="K205" s="157">
        <v>1389.9298245614036</v>
      </c>
      <c r="L205" s="157">
        <v>1389.9298245614036</v>
      </c>
      <c r="M205" s="157">
        <v>1216.8058076225045</v>
      </c>
      <c r="N205" s="157">
        <v>1260.2631578947369</v>
      </c>
      <c r="O205" s="157">
        <v>1176.2456140350878</v>
      </c>
      <c r="P205" s="158">
        <v>13997.911948949126</v>
      </c>
      <c r="Q205" s="158">
        <v>1166.4926624124271</v>
      </c>
      <c r="R205" s="158">
        <f>Q205/30</f>
        <v>38.883088747080905</v>
      </c>
    </row>
    <row r="206" spans="1:34" ht="15" thickBot="1">
      <c r="P206" s="19">
        <v>0</v>
      </c>
      <c r="Q206" s="19">
        <v>0</v>
      </c>
      <c r="R206" s="19"/>
    </row>
    <row r="207" spans="1:34" ht="15" hidden="1" thickBot="1">
      <c r="A207" t="s">
        <v>286</v>
      </c>
      <c r="B207" t="s">
        <v>287</v>
      </c>
      <c r="C207" t="s">
        <v>94</v>
      </c>
      <c r="D207" t="e">
        <v>#REF!</v>
      </c>
      <c r="E207" t="e">
        <v>#REF!</v>
      </c>
      <c r="F207" t="e">
        <v>#REF!</v>
      </c>
      <c r="G207" t="e">
        <v>#REF!</v>
      </c>
      <c r="H207" t="e">
        <v>#REF!</v>
      </c>
      <c r="I207" t="e">
        <v>#REF!</v>
      </c>
      <c r="J207" t="e">
        <v>#REF!</v>
      </c>
      <c r="K207" t="e">
        <v>#REF!</v>
      </c>
      <c r="L207" t="e">
        <v>#REF!</v>
      </c>
      <c r="M207" t="e">
        <v>#REF!</v>
      </c>
      <c r="N207" t="e">
        <v>#REF!</v>
      </c>
      <c r="O207" t="e">
        <v>#REF!</v>
      </c>
      <c r="P207" t="e">
        <v>#REF!</v>
      </c>
      <c r="Q207" t="e">
        <v>#REF!</v>
      </c>
    </row>
    <row r="208" spans="1:34" ht="15" hidden="1" thickBot="1">
      <c r="A208" t="s">
        <v>92</v>
      </c>
      <c r="B208" t="s">
        <v>231</v>
      </c>
      <c r="C208" t="s">
        <v>94</v>
      </c>
      <c r="D208">
        <v>184550.40000000002</v>
      </c>
      <c r="E208">
        <v>184550.40000000002</v>
      </c>
      <c r="F208">
        <v>184550.40000000002</v>
      </c>
      <c r="G208">
        <v>190702.08000000002</v>
      </c>
      <c r="H208">
        <v>0</v>
      </c>
      <c r="I208">
        <v>0</v>
      </c>
      <c r="J208">
        <v>0</v>
      </c>
      <c r="K208">
        <v>184550.40000000002</v>
      </c>
      <c r="L208">
        <v>184550.40000000002</v>
      </c>
      <c r="M208">
        <v>178398.72</v>
      </c>
      <c r="N208">
        <v>172247.04000000001</v>
      </c>
      <c r="O208">
        <v>184550.40000000002</v>
      </c>
      <c r="P208">
        <v>1648650.2400000002</v>
      </c>
      <c r="Q208">
        <v>137387.52000000002</v>
      </c>
    </row>
    <row r="209" spans="1:17" ht="15" hidden="1" thickBot="1">
      <c r="B209" t="s">
        <v>233</v>
      </c>
      <c r="C209" t="s">
        <v>94</v>
      </c>
      <c r="D209" t="e">
        <v>#REF!</v>
      </c>
      <c r="E209" t="e">
        <v>#REF!</v>
      </c>
      <c r="F209" t="e">
        <v>#REF!</v>
      </c>
      <c r="G209" t="e">
        <v>#REF!</v>
      </c>
      <c r="H209" t="e">
        <v>#REF!</v>
      </c>
      <c r="I209" t="e">
        <v>#REF!</v>
      </c>
      <c r="J209" t="e">
        <v>#REF!</v>
      </c>
      <c r="K209" t="e">
        <v>#REF!</v>
      </c>
      <c r="L209" t="e">
        <v>#REF!</v>
      </c>
      <c r="M209" t="e">
        <v>#REF!</v>
      </c>
      <c r="N209" t="e">
        <v>#REF!</v>
      </c>
      <c r="O209" t="e">
        <v>#REF!</v>
      </c>
      <c r="P209" t="e">
        <v>#REF!</v>
      </c>
      <c r="Q209" t="e">
        <v>#REF!</v>
      </c>
    </row>
    <row r="210" spans="1:17" ht="15" hidden="1" thickBot="1">
      <c r="B210" t="s">
        <v>235</v>
      </c>
      <c r="C210" t="s">
        <v>236</v>
      </c>
      <c r="D210" t="e">
        <v>#REF!</v>
      </c>
      <c r="E210" t="e">
        <v>#REF!</v>
      </c>
      <c r="F210" t="e">
        <v>#REF!</v>
      </c>
      <c r="G210" t="e">
        <v>#REF!</v>
      </c>
      <c r="K210" t="e">
        <v>#REF!</v>
      </c>
      <c r="L210" t="e">
        <v>#REF!</v>
      </c>
      <c r="M210" t="e">
        <v>#REF!</v>
      </c>
      <c r="N210" t="e">
        <v>#REF!</v>
      </c>
      <c r="O210" t="e">
        <v>#REF!</v>
      </c>
      <c r="P210" t="e">
        <v>#REF!</v>
      </c>
      <c r="Q210" t="e">
        <v>#REF!</v>
      </c>
    </row>
    <row r="211" spans="1:17" ht="15" hidden="1" thickBot="1">
      <c r="P211">
        <v>0</v>
      </c>
      <c r="Q211">
        <v>0</v>
      </c>
    </row>
    <row r="212" spans="1:17" ht="15" hidden="1" thickBot="1">
      <c r="A212" t="s">
        <v>206</v>
      </c>
      <c r="B212" t="s">
        <v>268</v>
      </c>
      <c r="C212" t="s">
        <v>288</v>
      </c>
      <c r="P212">
        <v>0</v>
      </c>
      <c r="Q212">
        <v>0</v>
      </c>
    </row>
    <row r="213" spans="1:17" ht="15" hidden="1" thickBot="1">
      <c r="B213" t="s">
        <v>269</v>
      </c>
      <c r="C213" t="s">
        <v>288</v>
      </c>
      <c r="D213" t="e">
        <v>#REF!</v>
      </c>
      <c r="E213" t="e">
        <v>#REF!</v>
      </c>
      <c r="F213" t="e">
        <v>#REF!</v>
      </c>
      <c r="G213" t="e">
        <v>#REF!</v>
      </c>
      <c r="K213" t="e">
        <v>#REF!</v>
      </c>
      <c r="L213" t="e">
        <v>#REF!</v>
      </c>
      <c r="M213" t="e">
        <v>#REF!</v>
      </c>
      <c r="N213" t="e">
        <v>#REF!</v>
      </c>
      <c r="O213" t="e">
        <v>#REF!</v>
      </c>
      <c r="P213" t="e">
        <v>#REF!</v>
      </c>
      <c r="Q213" t="e">
        <v>#REF!</v>
      </c>
    </row>
    <row r="214" spans="1:17" ht="15" hidden="1" thickBot="1">
      <c r="B214" t="s">
        <v>231</v>
      </c>
      <c r="C214" t="s">
        <v>288</v>
      </c>
      <c r="D214">
        <v>353807.99999999994</v>
      </c>
      <c r="E214">
        <v>353807.99999999994</v>
      </c>
      <c r="F214">
        <v>353807.99999999994</v>
      </c>
      <c r="G214">
        <v>365601.6</v>
      </c>
      <c r="K214">
        <v>353807.99999999994</v>
      </c>
      <c r="L214">
        <v>353807.99999999994</v>
      </c>
      <c r="M214">
        <v>342014.39999999997</v>
      </c>
      <c r="N214">
        <v>330220.79999999993</v>
      </c>
      <c r="O214">
        <v>353807.99999999994</v>
      </c>
      <c r="P214">
        <v>3160684.7999999993</v>
      </c>
      <c r="Q214">
        <v>263390.39999999997</v>
      </c>
    </row>
    <row r="215" spans="1:17" ht="15" hidden="1" thickBot="1">
      <c r="B215" t="s">
        <v>233</v>
      </c>
      <c r="C215" t="s">
        <v>288</v>
      </c>
      <c r="D215" t="e">
        <v>#REF!</v>
      </c>
      <c r="E215" t="e">
        <v>#REF!</v>
      </c>
      <c r="F215" t="e">
        <v>#REF!</v>
      </c>
      <c r="G215" t="e">
        <v>#REF!</v>
      </c>
      <c r="K215" t="e">
        <v>#REF!</v>
      </c>
      <c r="L215" t="e">
        <v>#REF!</v>
      </c>
      <c r="M215" t="e">
        <v>#REF!</v>
      </c>
      <c r="N215" t="e">
        <v>#REF!</v>
      </c>
      <c r="O215" t="e">
        <v>#REF!</v>
      </c>
      <c r="P215" t="e">
        <v>#REF!</v>
      </c>
      <c r="Q215" t="e">
        <v>#REF!</v>
      </c>
    </row>
    <row r="216" spans="1:17" ht="15" hidden="1" thickBot="1">
      <c r="B216" t="s">
        <v>235</v>
      </c>
      <c r="C216" t="s">
        <v>236</v>
      </c>
      <c r="D216" t="e">
        <v>#REF!</v>
      </c>
      <c r="E216" t="e">
        <v>#REF!</v>
      </c>
      <c r="F216" t="e">
        <v>#REF!</v>
      </c>
      <c r="G216" t="e">
        <v>#REF!</v>
      </c>
      <c r="K216" t="e">
        <v>#REF!</v>
      </c>
      <c r="L216" t="e">
        <v>#REF!</v>
      </c>
      <c r="M216" t="e">
        <v>#REF!</v>
      </c>
      <c r="N216" t="e">
        <v>#REF!</v>
      </c>
      <c r="O216" t="e">
        <v>#REF!</v>
      </c>
      <c r="P216" t="e">
        <v>#REF!</v>
      </c>
      <c r="Q216" t="e">
        <v>#REF!</v>
      </c>
    </row>
    <row r="217" spans="1:17" ht="15" hidden="1" thickBot="1">
      <c r="P217">
        <v>0</v>
      </c>
      <c r="Q217">
        <v>0</v>
      </c>
    </row>
    <row r="218" spans="1:17" ht="15" hidden="1" thickBot="1">
      <c r="A218" t="s">
        <v>289</v>
      </c>
      <c r="B218" t="s">
        <v>268</v>
      </c>
      <c r="C218" t="s">
        <v>94</v>
      </c>
      <c r="P218">
        <v>0</v>
      </c>
      <c r="Q218">
        <v>0</v>
      </c>
    </row>
    <row r="219" spans="1:17" ht="15" hidden="1" thickBot="1">
      <c r="B219" t="s">
        <v>269</v>
      </c>
      <c r="C219" t="s">
        <v>94</v>
      </c>
      <c r="D219" t="e">
        <v>#REF!</v>
      </c>
      <c r="E219" t="e">
        <v>#REF!</v>
      </c>
      <c r="F219" t="e">
        <v>#REF!</v>
      </c>
      <c r="G219" t="e">
        <v>#REF!</v>
      </c>
      <c r="K219" t="e">
        <v>#REF!</v>
      </c>
      <c r="L219" t="e">
        <v>#REF!</v>
      </c>
      <c r="M219" t="e">
        <v>#REF!</v>
      </c>
      <c r="N219" t="e">
        <v>#REF!</v>
      </c>
      <c r="O219" t="e">
        <v>#REF!</v>
      </c>
      <c r="P219" t="e">
        <v>#REF!</v>
      </c>
      <c r="Q219" t="e">
        <v>#REF!</v>
      </c>
    </row>
    <row r="220" spans="1:17" ht="15" hidden="1" thickBot="1">
      <c r="B220" t="s">
        <v>231</v>
      </c>
      <c r="C220" t="s">
        <v>94</v>
      </c>
      <c r="D220">
        <v>212543.99999999997</v>
      </c>
      <c r="E220">
        <v>212543.99999999997</v>
      </c>
      <c r="F220">
        <v>212543.99999999997</v>
      </c>
      <c r="G220">
        <v>219628.79999999999</v>
      </c>
      <c r="K220">
        <v>212543.99999999997</v>
      </c>
      <c r="L220">
        <v>212543.99999999997</v>
      </c>
      <c r="M220">
        <v>205459.19999999998</v>
      </c>
      <c r="N220">
        <v>198374.39999999997</v>
      </c>
      <c r="O220">
        <v>212543.99999999997</v>
      </c>
      <c r="P220">
        <v>1898726.3999999997</v>
      </c>
      <c r="Q220">
        <v>158227.19999999998</v>
      </c>
    </row>
    <row r="221" spans="1:17" ht="15" hidden="1" thickBot="1">
      <c r="B221" t="s">
        <v>233</v>
      </c>
      <c r="C221" t="s">
        <v>94</v>
      </c>
      <c r="D221" t="e">
        <v>#REF!</v>
      </c>
      <c r="E221" t="e">
        <v>#REF!</v>
      </c>
      <c r="F221" t="e">
        <v>#REF!</v>
      </c>
      <c r="G221" t="e">
        <v>#REF!</v>
      </c>
      <c r="K221" t="e">
        <v>#REF!</v>
      </c>
      <c r="L221" t="e">
        <v>#REF!</v>
      </c>
      <c r="M221" t="e">
        <v>#REF!</v>
      </c>
      <c r="N221" t="e">
        <v>#REF!</v>
      </c>
      <c r="O221" t="e">
        <v>#REF!</v>
      </c>
      <c r="P221" t="e">
        <v>#REF!</v>
      </c>
      <c r="Q221" t="e">
        <v>#REF!</v>
      </c>
    </row>
    <row r="222" spans="1:17" ht="15" hidden="1" thickBot="1">
      <c r="B222" t="s">
        <v>235</v>
      </c>
      <c r="C222" t="s">
        <v>236</v>
      </c>
      <c r="D222" t="e">
        <v>#REF!</v>
      </c>
      <c r="E222" t="e">
        <v>#REF!</v>
      </c>
      <c r="F222" t="e">
        <v>#REF!</v>
      </c>
      <c r="G222" t="e">
        <v>#REF!</v>
      </c>
      <c r="K222" t="e">
        <v>#REF!</v>
      </c>
      <c r="L222" t="e">
        <v>#REF!</v>
      </c>
      <c r="M222" t="e">
        <v>#REF!</v>
      </c>
      <c r="N222" t="e">
        <v>#REF!</v>
      </c>
      <c r="O222" t="e">
        <v>#REF!</v>
      </c>
      <c r="P222" t="e">
        <v>#REF!</v>
      </c>
      <c r="Q222" t="e">
        <v>#REF!</v>
      </c>
    </row>
    <row r="223" spans="1:17" ht="15" hidden="1" thickBot="1">
      <c r="P223">
        <v>0</v>
      </c>
      <c r="Q223">
        <v>0</v>
      </c>
    </row>
    <row r="224" spans="1:17" ht="15" hidden="1" thickBot="1">
      <c r="A224" t="s">
        <v>208</v>
      </c>
      <c r="B224" t="s">
        <v>268</v>
      </c>
      <c r="C224" t="s">
        <v>290</v>
      </c>
      <c r="P224">
        <v>0</v>
      </c>
      <c r="Q224">
        <v>0</v>
      </c>
    </row>
    <row r="225" spans="1:17" ht="15" hidden="1" thickBot="1">
      <c r="B225" t="s">
        <v>269</v>
      </c>
      <c r="C225" t="s">
        <v>290</v>
      </c>
      <c r="D225" t="e">
        <v>#REF!</v>
      </c>
      <c r="E225" t="e">
        <v>#REF!</v>
      </c>
      <c r="F225" t="e">
        <v>#REF!</v>
      </c>
      <c r="G225" t="e">
        <v>#REF!</v>
      </c>
      <c r="K225" t="e">
        <v>#REF!</v>
      </c>
      <c r="L225" t="e">
        <v>#REF!</v>
      </c>
      <c r="M225" t="e">
        <v>#REF!</v>
      </c>
      <c r="N225" t="e">
        <v>#REF!</v>
      </c>
      <c r="O225" t="e">
        <v>#REF!</v>
      </c>
      <c r="P225" t="e">
        <v>#REF!</v>
      </c>
      <c r="Q225" t="e">
        <v>#REF!</v>
      </c>
    </row>
    <row r="226" spans="1:17" ht="15" hidden="1" thickBot="1">
      <c r="B226" t="s">
        <v>231</v>
      </c>
      <c r="C226" t="s">
        <v>290</v>
      </c>
      <c r="D226">
        <v>135000</v>
      </c>
      <c r="E226">
        <v>135000</v>
      </c>
      <c r="F226">
        <v>135000</v>
      </c>
      <c r="G226">
        <v>139500</v>
      </c>
      <c r="K226">
        <v>135000</v>
      </c>
      <c r="L226">
        <v>135000</v>
      </c>
      <c r="M226">
        <v>130500</v>
      </c>
      <c r="N226">
        <v>126000</v>
      </c>
      <c r="O226">
        <v>135000</v>
      </c>
      <c r="P226">
        <v>1206000</v>
      </c>
      <c r="Q226">
        <v>100500</v>
      </c>
    </row>
    <row r="227" spans="1:17" ht="15" hidden="1" thickBot="1">
      <c r="B227" t="s">
        <v>233</v>
      </c>
      <c r="C227" t="s">
        <v>290</v>
      </c>
      <c r="D227" t="e">
        <v>#REF!</v>
      </c>
      <c r="E227" t="e">
        <v>#REF!</v>
      </c>
      <c r="F227" t="e">
        <v>#REF!</v>
      </c>
      <c r="G227" t="e">
        <v>#REF!</v>
      </c>
      <c r="K227" t="e">
        <v>#REF!</v>
      </c>
      <c r="L227" t="e">
        <v>#REF!</v>
      </c>
      <c r="M227" t="e">
        <v>#REF!</v>
      </c>
      <c r="N227" t="e">
        <v>#REF!</v>
      </c>
      <c r="O227" t="e">
        <v>#REF!</v>
      </c>
      <c r="P227" t="e">
        <v>#REF!</v>
      </c>
      <c r="Q227" t="e">
        <v>#REF!</v>
      </c>
    </row>
    <row r="228" spans="1:17" ht="15" hidden="1" thickBot="1">
      <c r="B228" t="s">
        <v>235</v>
      </c>
      <c r="C228" t="s">
        <v>236</v>
      </c>
      <c r="D228" t="e">
        <v>#REF!</v>
      </c>
      <c r="E228" t="e">
        <v>#REF!</v>
      </c>
      <c r="F228" t="e">
        <v>#REF!</v>
      </c>
      <c r="G228" t="e">
        <v>#REF!</v>
      </c>
      <c r="K228" t="e">
        <v>#REF!</v>
      </c>
      <c r="L228" t="e">
        <v>#REF!</v>
      </c>
      <c r="M228" t="e">
        <v>#REF!</v>
      </c>
      <c r="N228" t="e">
        <v>#REF!</v>
      </c>
      <c r="O228" t="e">
        <v>#REF!</v>
      </c>
      <c r="P228" t="e">
        <v>#REF!</v>
      </c>
      <c r="Q228" t="e">
        <v>#REF!</v>
      </c>
    </row>
    <row r="229" spans="1:17" ht="15" hidden="1" thickBot="1">
      <c r="P229">
        <v>0</v>
      </c>
      <c r="Q229">
        <v>0</v>
      </c>
    </row>
    <row r="230" spans="1:17" ht="15" hidden="1" thickBot="1">
      <c r="A230" t="s">
        <v>291</v>
      </c>
      <c r="B230" t="s">
        <v>268</v>
      </c>
      <c r="C230" t="s">
        <v>290</v>
      </c>
      <c r="P230">
        <v>0</v>
      </c>
      <c r="Q230">
        <v>0</v>
      </c>
    </row>
    <row r="231" spans="1:17" ht="15" hidden="1" thickBot="1">
      <c r="B231" t="s">
        <v>269</v>
      </c>
      <c r="C231" t="s">
        <v>290</v>
      </c>
      <c r="D231" t="e">
        <v>#REF!</v>
      </c>
      <c r="E231" t="e">
        <v>#REF!</v>
      </c>
      <c r="F231" t="e">
        <v>#REF!</v>
      </c>
      <c r="G231" t="e">
        <v>#REF!</v>
      </c>
      <c r="K231" t="e">
        <v>#REF!</v>
      </c>
      <c r="L231" t="e">
        <v>#REF!</v>
      </c>
      <c r="M231" t="e">
        <v>#REF!</v>
      </c>
      <c r="N231" t="e">
        <v>#REF!</v>
      </c>
      <c r="O231" t="e">
        <v>#REF!</v>
      </c>
      <c r="P231" t="e">
        <v>#REF!</v>
      </c>
      <c r="Q231" t="e">
        <v>#REF!</v>
      </c>
    </row>
    <row r="232" spans="1:17" ht="15" hidden="1" thickBot="1">
      <c r="B232" t="s">
        <v>231</v>
      </c>
      <c r="C232" t="s">
        <v>290</v>
      </c>
      <c r="D232">
        <v>144000</v>
      </c>
      <c r="E232">
        <v>144000</v>
      </c>
      <c r="F232">
        <v>144000</v>
      </c>
      <c r="G232">
        <v>148800</v>
      </c>
      <c r="K232">
        <v>144000</v>
      </c>
      <c r="L232">
        <v>144000</v>
      </c>
      <c r="M232">
        <v>139200</v>
      </c>
      <c r="N232">
        <v>134400</v>
      </c>
      <c r="O232">
        <v>144000</v>
      </c>
      <c r="P232">
        <v>1286400</v>
      </c>
      <c r="Q232">
        <v>107200</v>
      </c>
    </row>
    <row r="233" spans="1:17" ht="15" hidden="1" thickBot="1">
      <c r="B233" t="s">
        <v>233</v>
      </c>
      <c r="C233" t="s">
        <v>290</v>
      </c>
      <c r="D233" t="e">
        <v>#REF!</v>
      </c>
      <c r="E233" t="e">
        <v>#REF!</v>
      </c>
      <c r="F233" t="e">
        <v>#REF!</v>
      </c>
      <c r="G233" t="e">
        <v>#REF!</v>
      </c>
      <c r="K233" t="e">
        <v>#REF!</v>
      </c>
      <c r="L233" t="e">
        <v>#REF!</v>
      </c>
      <c r="M233" t="e">
        <v>#REF!</v>
      </c>
      <c r="N233" t="e">
        <v>#REF!</v>
      </c>
      <c r="O233" t="e">
        <v>#REF!</v>
      </c>
      <c r="P233" t="e">
        <v>#REF!</v>
      </c>
      <c r="Q233" t="e">
        <v>#REF!</v>
      </c>
    </row>
    <row r="234" spans="1:17" ht="15" hidden="1" thickBot="1">
      <c r="B234" t="s">
        <v>235</v>
      </c>
      <c r="C234" t="s">
        <v>236</v>
      </c>
      <c r="D234" t="e">
        <v>#REF!</v>
      </c>
      <c r="E234" t="e">
        <v>#REF!</v>
      </c>
      <c r="F234" t="e">
        <v>#REF!</v>
      </c>
      <c r="G234" t="e">
        <v>#REF!</v>
      </c>
      <c r="K234" t="e">
        <v>#REF!</v>
      </c>
      <c r="L234" t="e">
        <v>#REF!</v>
      </c>
      <c r="M234" t="e">
        <v>#REF!</v>
      </c>
      <c r="N234" t="e">
        <v>#REF!</v>
      </c>
      <c r="O234" t="e">
        <v>#REF!</v>
      </c>
      <c r="P234" t="e">
        <v>#REF!</v>
      </c>
      <c r="Q234" t="e">
        <v>#REF!</v>
      </c>
    </row>
    <row r="235" spans="1:17" ht="15" hidden="1" thickBot="1">
      <c r="P235">
        <v>0</v>
      </c>
      <c r="Q235">
        <v>0</v>
      </c>
    </row>
    <row r="236" spans="1:17" ht="15" hidden="1" thickBot="1">
      <c r="A236" t="s">
        <v>292</v>
      </c>
      <c r="B236" t="s">
        <v>268</v>
      </c>
      <c r="C236" t="s">
        <v>290</v>
      </c>
      <c r="P236">
        <v>0</v>
      </c>
      <c r="Q236">
        <v>0</v>
      </c>
    </row>
    <row r="237" spans="1:17" ht="15" hidden="1" thickBot="1">
      <c r="B237" t="s">
        <v>269</v>
      </c>
      <c r="C237" t="s">
        <v>290</v>
      </c>
      <c r="D237" t="e">
        <v>#REF!</v>
      </c>
      <c r="E237" t="e">
        <v>#REF!</v>
      </c>
      <c r="F237" t="e">
        <v>#REF!</v>
      </c>
      <c r="G237" t="e">
        <v>#REF!</v>
      </c>
      <c r="K237" t="e">
        <v>#REF!</v>
      </c>
      <c r="L237" t="e">
        <v>#REF!</v>
      </c>
      <c r="M237" t="e">
        <v>#REF!</v>
      </c>
      <c r="N237" t="e">
        <v>#REF!</v>
      </c>
      <c r="O237" t="e">
        <v>#REF!</v>
      </c>
      <c r="P237" t="e">
        <v>#REF!</v>
      </c>
      <c r="Q237" t="e">
        <v>#REF!</v>
      </c>
    </row>
    <row r="238" spans="1:17" ht="15" hidden="1" thickBot="1">
      <c r="B238" t="s">
        <v>231</v>
      </c>
      <c r="C238" t="s">
        <v>290</v>
      </c>
      <c r="D238">
        <v>162000</v>
      </c>
      <c r="E238">
        <v>162000</v>
      </c>
      <c r="F238">
        <v>162000</v>
      </c>
      <c r="G238">
        <v>167400</v>
      </c>
      <c r="K238">
        <v>162000</v>
      </c>
      <c r="L238">
        <v>162000</v>
      </c>
      <c r="M238">
        <v>156600</v>
      </c>
      <c r="N238">
        <v>151200</v>
      </c>
      <c r="O238">
        <v>162000</v>
      </c>
      <c r="P238">
        <v>1447200</v>
      </c>
      <c r="Q238">
        <v>120600</v>
      </c>
    </row>
    <row r="239" spans="1:17" ht="15" hidden="1" thickBot="1">
      <c r="B239" t="s">
        <v>233</v>
      </c>
      <c r="C239" t="s">
        <v>290</v>
      </c>
      <c r="D239" t="e">
        <v>#REF!</v>
      </c>
      <c r="E239" t="e">
        <v>#REF!</v>
      </c>
      <c r="F239" t="e">
        <v>#REF!</v>
      </c>
      <c r="G239" t="e">
        <v>#REF!</v>
      </c>
      <c r="K239" t="e">
        <v>#REF!</v>
      </c>
      <c r="L239" t="e">
        <v>#REF!</v>
      </c>
      <c r="M239" t="e">
        <v>#REF!</v>
      </c>
      <c r="N239" t="e">
        <v>#REF!</v>
      </c>
      <c r="O239" t="e">
        <v>#REF!</v>
      </c>
      <c r="P239" t="e">
        <v>#REF!</v>
      </c>
      <c r="Q239" t="e">
        <v>#REF!</v>
      </c>
    </row>
    <row r="240" spans="1:17" ht="15" hidden="1" thickBot="1">
      <c r="B240" t="s">
        <v>235</v>
      </c>
      <c r="C240" t="s">
        <v>236</v>
      </c>
      <c r="D240" t="e">
        <v>#REF!</v>
      </c>
      <c r="E240" t="e">
        <v>#REF!</v>
      </c>
      <c r="F240" t="e">
        <v>#REF!</v>
      </c>
      <c r="G240" t="e">
        <v>#REF!</v>
      </c>
      <c r="K240" t="e">
        <v>#REF!</v>
      </c>
      <c r="L240" t="e">
        <v>#REF!</v>
      </c>
      <c r="M240" t="e">
        <v>#REF!</v>
      </c>
      <c r="N240" t="e">
        <v>#REF!</v>
      </c>
      <c r="O240" t="e">
        <v>#REF!</v>
      </c>
      <c r="P240" t="e">
        <v>#REF!</v>
      </c>
      <c r="Q240" t="e">
        <v>#REF!</v>
      </c>
    </row>
    <row r="241" spans="1:32" ht="15" hidden="1" thickBot="1">
      <c r="P241">
        <v>0</v>
      </c>
      <c r="Q241">
        <v>0</v>
      </c>
    </row>
    <row r="242" spans="1:32" ht="15" hidden="1" thickBot="1">
      <c r="A242" t="s">
        <v>157</v>
      </c>
      <c r="B242" t="s">
        <v>268</v>
      </c>
      <c r="C242" t="s">
        <v>290</v>
      </c>
      <c r="P242">
        <v>0</v>
      </c>
      <c r="Q242">
        <v>0</v>
      </c>
    </row>
    <row r="243" spans="1:32" ht="15" hidden="1" thickBot="1">
      <c r="B243" t="s">
        <v>269</v>
      </c>
      <c r="C243" t="s">
        <v>290</v>
      </c>
      <c r="D243" t="e">
        <v>#REF!</v>
      </c>
      <c r="E243" t="e">
        <v>#REF!</v>
      </c>
      <c r="F243" t="e">
        <v>#REF!</v>
      </c>
      <c r="G243" t="e">
        <v>#REF!</v>
      </c>
      <c r="K243" t="e">
        <v>#REF!</v>
      </c>
      <c r="L243" t="e">
        <v>#REF!</v>
      </c>
      <c r="M243" t="e">
        <v>#REF!</v>
      </c>
      <c r="N243" t="e">
        <v>#REF!</v>
      </c>
      <c r="O243" t="e">
        <v>#REF!</v>
      </c>
      <c r="P243" t="e">
        <v>#REF!</v>
      </c>
      <c r="Q243" t="e">
        <v>#REF!</v>
      </c>
    </row>
    <row r="244" spans="1:32" ht="15" hidden="1" thickBot="1">
      <c r="B244" t="s">
        <v>231</v>
      </c>
      <c r="C244" t="s">
        <v>290</v>
      </c>
      <c r="D244">
        <v>120000</v>
      </c>
      <c r="E244">
        <v>120000</v>
      </c>
      <c r="F244">
        <v>120000</v>
      </c>
      <c r="G244">
        <v>124000</v>
      </c>
      <c r="K244">
        <v>120000</v>
      </c>
      <c r="L244">
        <v>120000</v>
      </c>
      <c r="M244">
        <v>116000</v>
      </c>
      <c r="N244">
        <v>112000</v>
      </c>
      <c r="O244">
        <v>120000</v>
      </c>
      <c r="P244">
        <v>1072000</v>
      </c>
      <c r="Q244">
        <v>89333.333333333328</v>
      </c>
    </row>
    <row r="245" spans="1:32" ht="15" hidden="1" thickBot="1">
      <c r="B245" t="s">
        <v>233</v>
      </c>
      <c r="C245" t="s">
        <v>290</v>
      </c>
      <c r="D245" t="e">
        <v>#REF!</v>
      </c>
      <c r="E245" t="e">
        <v>#REF!</v>
      </c>
      <c r="F245" t="e">
        <v>#REF!</v>
      </c>
      <c r="G245" t="e">
        <v>#REF!</v>
      </c>
      <c r="K245" t="e">
        <v>#REF!</v>
      </c>
      <c r="L245" t="e">
        <v>#REF!</v>
      </c>
      <c r="M245" t="e">
        <v>#REF!</v>
      </c>
      <c r="N245" t="e">
        <v>#REF!</v>
      </c>
      <c r="O245" t="e">
        <v>#REF!</v>
      </c>
      <c r="P245" t="e">
        <v>#REF!</v>
      </c>
      <c r="Q245" t="e">
        <v>#REF!</v>
      </c>
    </row>
    <row r="246" spans="1:32" ht="15" hidden="1" thickBot="1">
      <c r="B246" t="s">
        <v>235</v>
      </c>
      <c r="C246" t="s">
        <v>236</v>
      </c>
      <c r="D246" t="e">
        <v>#REF!</v>
      </c>
      <c r="E246" t="e">
        <v>#REF!</v>
      </c>
      <c r="F246" t="e">
        <v>#REF!</v>
      </c>
      <c r="G246" t="e">
        <v>#REF!</v>
      </c>
      <c r="K246" t="e">
        <v>#REF!</v>
      </c>
      <c r="L246" t="e">
        <v>#REF!</v>
      </c>
      <c r="M246" t="e">
        <v>#REF!</v>
      </c>
      <c r="N246" t="e">
        <v>#REF!</v>
      </c>
      <c r="O246" t="e">
        <v>#REF!</v>
      </c>
      <c r="P246" t="e">
        <v>#REF!</v>
      </c>
      <c r="Q246" t="e">
        <v>#REF!</v>
      </c>
    </row>
    <row r="247" spans="1:32" ht="15" thickBot="1">
      <c r="D247" s="619">
        <v>46113</v>
      </c>
      <c r="E247" s="619">
        <v>46143</v>
      </c>
      <c r="F247" s="619">
        <v>46174</v>
      </c>
      <c r="G247" s="619">
        <v>46204</v>
      </c>
      <c r="H247" s="619">
        <v>46235</v>
      </c>
      <c r="I247" s="619">
        <v>46266</v>
      </c>
      <c r="J247" s="619">
        <v>46296</v>
      </c>
      <c r="K247" s="619">
        <v>46327</v>
      </c>
      <c r="L247" s="619">
        <v>46357</v>
      </c>
      <c r="M247" s="619">
        <v>46388</v>
      </c>
      <c r="N247" s="619">
        <v>46419</v>
      </c>
      <c r="O247" s="619">
        <v>46447</v>
      </c>
      <c r="P247" t="s">
        <v>91</v>
      </c>
      <c r="Q247" t="s">
        <v>266</v>
      </c>
    </row>
    <row r="248" spans="1:32" ht="15" thickBot="1">
      <c r="A248" t="s">
        <v>166</v>
      </c>
      <c r="B248" t="s">
        <v>223</v>
      </c>
      <c r="C248" t="s">
        <v>94</v>
      </c>
      <c r="D248" s="1011">
        <v>24776.394560000001</v>
      </c>
      <c r="E248" s="1011">
        <v>17312.448575000002</v>
      </c>
      <c r="F248" s="1011">
        <v>17958.083989999999</v>
      </c>
      <c r="G248" s="1011">
        <v>31250.290639999996</v>
      </c>
      <c r="H248" s="1011">
        <v>58501.695890000003</v>
      </c>
      <c r="I248" s="1011">
        <v>29612.5</v>
      </c>
      <c r="J248" s="1011">
        <v>44805</v>
      </c>
      <c r="K248" s="1011">
        <v>41509</v>
      </c>
      <c r="L248" s="1011">
        <v>64589.755000000005</v>
      </c>
      <c r="M248" s="1011">
        <v>99249.804814000003</v>
      </c>
      <c r="N248" s="1011">
        <v>51551.5</v>
      </c>
      <c r="O248" s="1011">
        <v>35998.5</v>
      </c>
      <c r="P248" s="752">
        <f>SUM(D248:O248)</f>
        <v>517114.97346899996</v>
      </c>
      <c r="Q248" s="753">
        <f t="shared" ref="Q248:Q252" si="31">P248/12</f>
        <v>43092.914455749997</v>
      </c>
      <c r="R248" s="100">
        <f>Q248/30</f>
        <v>1436.4304818583332</v>
      </c>
      <c r="U248" s="46">
        <f>SUM(U249:U250)</f>
        <v>43317</v>
      </c>
      <c r="V248" s="46">
        <f t="shared" ref="V248:AF248" si="32">SUM(V249:V250)</f>
        <v>29440</v>
      </c>
      <c r="W248" s="46">
        <f t="shared" si="32"/>
        <v>70900</v>
      </c>
      <c r="X248" s="46">
        <f t="shared" si="32"/>
        <v>30721</v>
      </c>
      <c r="Y248" s="46">
        <f t="shared" si="32"/>
        <v>66449</v>
      </c>
      <c r="Z248" s="46">
        <f t="shared" si="32"/>
        <v>43699</v>
      </c>
      <c r="AA248" s="46">
        <f t="shared" si="32"/>
        <v>52719</v>
      </c>
      <c r="AB248" s="46">
        <f t="shared" si="32"/>
        <v>55519</v>
      </c>
      <c r="AC248" s="46">
        <f t="shared" si="32"/>
        <v>73616</v>
      </c>
      <c r="AD248" s="46">
        <f t="shared" si="32"/>
        <v>89630</v>
      </c>
      <c r="AE248" s="46">
        <f t="shared" si="32"/>
        <v>46019</v>
      </c>
      <c r="AF248" s="46">
        <f t="shared" si="32"/>
        <v>37380</v>
      </c>
    </row>
    <row r="249" spans="1:32" hidden="1">
      <c r="B249" t="s">
        <v>242</v>
      </c>
      <c r="C249" t="s">
        <v>94</v>
      </c>
      <c r="D249">
        <v>0</v>
      </c>
      <c r="E249">
        <v>0</v>
      </c>
      <c r="F249">
        <v>0</v>
      </c>
      <c r="G249">
        <v>0</v>
      </c>
      <c r="H249">
        <v>0</v>
      </c>
      <c r="I249">
        <v>0</v>
      </c>
      <c r="J249">
        <v>0</v>
      </c>
      <c r="K249">
        <v>0</v>
      </c>
      <c r="L249">
        <v>0</v>
      </c>
      <c r="M249">
        <v>0</v>
      </c>
      <c r="N249">
        <v>0</v>
      </c>
      <c r="O249">
        <v>0</v>
      </c>
      <c r="P249" s="19">
        <f>SUM(D249:O249)</f>
        <v>0</v>
      </c>
      <c r="Q249" s="212">
        <f t="shared" si="31"/>
        <v>0</v>
      </c>
      <c r="U249" s="46">
        <v>21115</v>
      </c>
      <c r="V249" s="46">
        <v>13184</v>
      </c>
      <c r="W249" s="46">
        <v>28325</v>
      </c>
      <c r="X249" s="46">
        <v>11845</v>
      </c>
      <c r="Y249" s="46">
        <v>34814</v>
      </c>
      <c r="Z249" s="46">
        <v>11845</v>
      </c>
      <c r="AA249" s="46">
        <v>36256</v>
      </c>
      <c r="AB249" s="46">
        <v>15759</v>
      </c>
      <c r="AC249" s="46">
        <v>30900</v>
      </c>
      <c r="AD249" s="46">
        <v>16892</v>
      </c>
      <c r="AE249" s="46">
        <v>32497</v>
      </c>
      <c r="AF249" s="46">
        <v>11794</v>
      </c>
    </row>
    <row r="250" spans="1:32" hidden="1">
      <c r="B250" t="s">
        <v>231</v>
      </c>
      <c r="C250" t="s">
        <v>94</v>
      </c>
      <c r="D250" s="46">
        <v>77414.399999999994</v>
      </c>
      <c r="E250" s="46">
        <v>79994.880000000005</v>
      </c>
      <c r="F250" s="46">
        <v>77414.399999999994</v>
      </c>
      <c r="G250" s="46">
        <v>79994.880000000005</v>
      </c>
      <c r="H250" s="46">
        <v>74833.919999999998</v>
      </c>
      <c r="I250" s="46">
        <v>77414.399999999994</v>
      </c>
      <c r="J250" s="46">
        <v>72253.440000000002</v>
      </c>
      <c r="K250" s="46">
        <v>74833.919999999998</v>
      </c>
      <c r="L250" s="46">
        <v>77414.399999999994</v>
      </c>
      <c r="M250" s="46">
        <v>74833.919999999998</v>
      </c>
      <c r="N250" s="46">
        <v>72253.440000000002</v>
      </c>
      <c r="O250" s="46">
        <v>77414.399999999994</v>
      </c>
      <c r="P250" s="19">
        <f>SUM(D250:O250)</f>
        <v>916070.40000000026</v>
      </c>
      <c r="Q250" s="212">
        <f t="shared" si="31"/>
        <v>76339.200000000026</v>
      </c>
      <c r="U250" s="46">
        <v>22202</v>
      </c>
      <c r="V250" s="46">
        <v>16256</v>
      </c>
      <c r="W250" s="46">
        <v>42575</v>
      </c>
      <c r="X250" s="46">
        <v>18876</v>
      </c>
      <c r="Y250" s="46">
        <v>31635</v>
      </c>
      <c r="Z250" s="46">
        <v>31854</v>
      </c>
      <c r="AA250" s="46">
        <v>16463</v>
      </c>
      <c r="AB250" s="46">
        <v>39760</v>
      </c>
      <c r="AC250" s="46">
        <v>42716</v>
      </c>
      <c r="AD250" s="46">
        <v>72738</v>
      </c>
      <c r="AE250" s="46">
        <v>13522</v>
      </c>
      <c r="AF250" s="46">
        <v>25586</v>
      </c>
    </row>
    <row r="251" spans="1:32" hidden="1">
      <c r="B251" t="s">
        <v>233</v>
      </c>
      <c r="C251" t="s">
        <v>94</v>
      </c>
      <c r="D251" s="46">
        <v>52940.939631578942</v>
      </c>
      <c r="E251" s="46">
        <v>61310.893315789479</v>
      </c>
      <c r="F251" s="46">
        <v>54519.886999999995</v>
      </c>
      <c r="G251" s="46">
        <v>58415.669473684211</v>
      </c>
      <c r="H251" s="46">
        <v>45886.288421052624</v>
      </c>
      <c r="I251" s="46">
        <v>50782.557894736834</v>
      </c>
      <c r="J251" s="46">
        <v>35693.730000000003</v>
      </c>
      <c r="K251" s="46">
        <v>47326.841578947366</v>
      </c>
      <c r="L251" s="46">
        <v>43749.426842105255</v>
      </c>
      <c r="M251" s="46">
        <v>38201.919999999998</v>
      </c>
      <c r="N251" s="46">
        <v>43200.387368421056</v>
      </c>
      <c r="O251" s="46">
        <v>52571.873684210528</v>
      </c>
      <c r="P251" s="19">
        <f>SUM(D251:O251)</f>
        <v>584600.4152105262</v>
      </c>
      <c r="Q251" s="212">
        <f t="shared" si="31"/>
        <v>48716.701267543853</v>
      </c>
    </row>
    <row r="252" spans="1:32" ht="15" hidden="1" thickBot="1">
      <c r="B252" t="s">
        <v>235</v>
      </c>
      <c r="C252" t="s">
        <v>236</v>
      </c>
      <c r="D252" s="155">
        <v>0.68386423755243142</v>
      </c>
      <c r="E252" s="155">
        <v>0.76643521830133976</v>
      </c>
      <c r="F252" s="155">
        <v>0.70426027974123673</v>
      </c>
      <c r="G252" s="155">
        <v>0.73024260394770524</v>
      </c>
      <c r="H252" s="155">
        <v>0.61317499365331429</v>
      </c>
      <c r="I252" s="155">
        <v>0.65598335574178501</v>
      </c>
      <c r="J252" s="155">
        <v>0.49400734414859698</v>
      </c>
      <c r="K252" s="155">
        <v>0.63242499629776672</v>
      </c>
      <c r="L252" s="155">
        <v>0.5651329318848336</v>
      </c>
      <c r="M252" s="155">
        <v>0.51048936097427478</v>
      </c>
      <c r="N252" s="155">
        <v>0.59790076940864068</v>
      </c>
      <c r="O252" s="155">
        <v>0.67909683061821224</v>
      </c>
      <c r="P252" s="19">
        <f>SUM(D252:O252)</f>
        <v>7.6330129222701366</v>
      </c>
      <c r="Q252" s="212">
        <f t="shared" si="31"/>
        <v>0.63608441018917805</v>
      </c>
    </row>
    <row r="253" spans="1:32" ht="15" thickBot="1">
      <c r="A253" t="s">
        <v>1</v>
      </c>
      <c r="D253" s="619">
        <v>46113</v>
      </c>
      <c r="E253" s="619">
        <v>46143</v>
      </c>
      <c r="F253" s="619">
        <v>46174</v>
      </c>
      <c r="G253" s="619">
        <v>46204</v>
      </c>
      <c r="H253" s="619">
        <v>46235</v>
      </c>
      <c r="I253" s="619">
        <v>46266</v>
      </c>
      <c r="J253" s="619">
        <v>46296</v>
      </c>
      <c r="K253" s="619">
        <v>46327</v>
      </c>
      <c r="L253" s="619">
        <v>46357</v>
      </c>
      <c r="M253" s="619">
        <v>46388</v>
      </c>
      <c r="N253" s="619">
        <v>46419</v>
      </c>
      <c r="O253" s="619">
        <v>46447</v>
      </c>
      <c r="P253" t="s">
        <v>91</v>
      </c>
      <c r="Q253" t="s">
        <v>266</v>
      </c>
    </row>
    <row r="254" spans="1:32" hidden="1">
      <c r="A254" t="s">
        <v>293</v>
      </c>
      <c r="B254" t="s">
        <v>242</v>
      </c>
      <c r="C254" t="s">
        <v>94</v>
      </c>
      <c r="D254" s="46">
        <v>15600.787382542221</v>
      </c>
      <c r="E254" s="46">
        <v>18025.610148851025</v>
      </c>
      <c r="F254" s="46">
        <v>16191.622747050695</v>
      </c>
      <c r="G254" s="46">
        <v>17948.539918194012</v>
      </c>
      <c r="H254" s="46">
        <v>17915.094213841672</v>
      </c>
      <c r="I254" s="46">
        <v>18416.06264835464</v>
      </c>
      <c r="J254" s="46">
        <v>18637.937775502262</v>
      </c>
      <c r="K254" s="46">
        <v>19253.330913691843</v>
      </c>
      <c r="L254" s="46">
        <v>20277.890356532957</v>
      </c>
      <c r="M254" s="46">
        <v>19084.044810184569</v>
      </c>
      <c r="N254" s="46">
        <v>19329.330521601842</v>
      </c>
      <c r="O254" s="46">
        <v>20207.232407136551</v>
      </c>
      <c r="P254" s="19">
        <f>SUM(D254:O254)</f>
        <v>220887.48384348428</v>
      </c>
      <c r="Q254" s="212">
        <f>P254/12</f>
        <v>18407.290320290358</v>
      </c>
    </row>
    <row r="255" spans="1:32" hidden="1">
      <c r="B255" t="s">
        <v>223</v>
      </c>
      <c r="C255" t="s">
        <v>94</v>
      </c>
      <c r="D255" s="46">
        <v>34971.442690421056</v>
      </c>
      <c r="E255" s="46">
        <v>31959.484795684213</v>
      </c>
      <c r="F255" s="46">
        <v>35468.832761473685</v>
      </c>
      <c r="G255" s="46">
        <v>24144.200585157894</v>
      </c>
      <c r="H255" s="46">
        <v>30892.790058842107</v>
      </c>
      <c r="I255" s="46">
        <v>26801.021857087719</v>
      </c>
      <c r="J255" s="46">
        <v>96331.474541298259</v>
      </c>
      <c r="K255" s="46">
        <v>108092.30718384212</v>
      </c>
      <c r="L255" s="46">
        <v>102793.1058483158</v>
      </c>
      <c r="M255" s="46">
        <v>92841.06374305264</v>
      </c>
      <c r="N255" s="46">
        <v>91271.705922000008</v>
      </c>
      <c r="O255" s="46">
        <v>82704.914835157892</v>
      </c>
      <c r="P255" s="19">
        <f t="shared" ref="P255:P259" si="33">SUM(D255:O255)</f>
        <v>758272.34482233343</v>
      </c>
      <c r="Q255" s="212">
        <f t="shared" ref="Q255:Q259" si="34">P255/12</f>
        <v>63189.362068527786</v>
      </c>
    </row>
    <row r="256" spans="1:32">
      <c r="A256" t="s">
        <v>293</v>
      </c>
      <c r="B256" t="s">
        <v>294</v>
      </c>
      <c r="C256" t="s">
        <v>94</v>
      </c>
      <c r="D256" s="1011">
        <v>112252.91138398668</v>
      </c>
      <c r="E256" s="1011">
        <v>165692.45085088845</v>
      </c>
      <c r="F256" s="1011">
        <v>114103.80933467718</v>
      </c>
      <c r="G256" s="1011">
        <v>130436.13398491546</v>
      </c>
      <c r="H256" s="1011">
        <v>114915.63766101819</v>
      </c>
      <c r="I256" s="1011">
        <v>123084.28324758667</v>
      </c>
      <c r="J256" s="1011">
        <v>109571.11223635124</v>
      </c>
      <c r="K256" s="1011">
        <v>130904.65757053578</v>
      </c>
      <c r="L256" s="1011">
        <v>162421.35760465695</v>
      </c>
      <c r="M256" s="1011">
        <v>166076.48081126669</v>
      </c>
      <c r="N256" s="1011">
        <v>170798.47120006668</v>
      </c>
      <c r="O256" s="1011">
        <v>210645.28920006665</v>
      </c>
      <c r="P256" s="752">
        <f t="shared" si="33"/>
        <v>1710902.5950860165</v>
      </c>
      <c r="Q256" s="753">
        <f t="shared" si="34"/>
        <v>142575.21625716804</v>
      </c>
      <c r="R256" s="100">
        <f>Q256/30</f>
        <v>4752.5072085722677</v>
      </c>
    </row>
    <row r="257" spans="1:18" hidden="1">
      <c r="B257" t="s">
        <v>231</v>
      </c>
      <c r="C257" t="s">
        <v>94</v>
      </c>
      <c r="D257" s="46">
        <v>133442.31452054798</v>
      </c>
      <c r="E257" s="46">
        <v>137890.39167123291</v>
      </c>
      <c r="F257" s="46">
        <v>133442.31452054798</v>
      </c>
      <c r="G257" s="46">
        <v>137890.39167123291</v>
      </c>
      <c r="H257" s="46">
        <v>128994.23736986304</v>
      </c>
      <c r="I257" s="46">
        <v>133442.31452054798</v>
      </c>
      <c r="J257" s="46">
        <v>124546.1602191781</v>
      </c>
      <c r="K257" s="46">
        <v>128994.23736986304</v>
      </c>
      <c r="L257" s="46">
        <v>133442.31452054798</v>
      </c>
      <c r="M257" s="46">
        <v>128994.23736986304</v>
      </c>
      <c r="N257" s="46">
        <v>124546.1602191781</v>
      </c>
      <c r="O257" s="46">
        <v>133442.31452054798</v>
      </c>
      <c r="P257" s="19">
        <f t="shared" si="33"/>
        <v>1579067.3884931509</v>
      </c>
      <c r="Q257" s="212">
        <f t="shared" si="34"/>
        <v>131588.94904109591</v>
      </c>
    </row>
    <row r="258" spans="1:18" hidden="1">
      <c r="B258" t="s">
        <v>233</v>
      </c>
      <c r="C258" t="s">
        <v>94</v>
      </c>
      <c r="D258" s="46">
        <v>82870.084447584712</v>
      </c>
      <c r="E258" s="46">
        <v>87905.296726697678</v>
      </c>
      <c r="F258" s="46">
        <v>81781.859012023604</v>
      </c>
      <c r="G258" s="46">
        <v>95797.651167881006</v>
      </c>
      <c r="H258" s="46">
        <v>80186.353097179264</v>
      </c>
      <c r="I258" s="46">
        <v>88225.230015105626</v>
      </c>
      <c r="J258" s="46">
        <v>9576.7479023775813</v>
      </c>
      <c r="K258" s="46">
        <v>1648.5992723290838</v>
      </c>
      <c r="L258" s="46">
        <v>10371.318315699231</v>
      </c>
      <c r="M258" s="46">
        <v>17069.128816625831</v>
      </c>
      <c r="N258" s="46">
        <v>13945.123775576241</v>
      </c>
      <c r="O258" s="46">
        <v>30530.167278253532</v>
      </c>
      <c r="P258" s="19">
        <f t="shared" si="33"/>
        <v>599907.55982733355</v>
      </c>
      <c r="Q258" s="212">
        <f t="shared" si="34"/>
        <v>49992.296652277793</v>
      </c>
    </row>
    <row r="259" spans="1:18" hidden="1">
      <c r="B259" t="s">
        <v>235</v>
      </c>
      <c r="C259" t="s">
        <v>236</v>
      </c>
      <c r="D259" s="155">
        <v>0.62101803873331385</v>
      </c>
      <c r="E259" s="155">
        <v>0.63750124763070593</v>
      </c>
      <c r="F259" s="155">
        <v>0.61286301354905315</v>
      </c>
      <c r="G259" s="155">
        <v>0.69473768263917834</v>
      </c>
      <c r="H259" s="155">
        <v>0.62162740547286821</v>
      </c>
      <c r="I259" s="155">
        <v>0.66114882923077856</v>
      </c>
      <c r="J259" s="155">
        <v>7.6893160620321685E-2</v>
      </c>
      <c r="K259" s="155">
        <v>1.2780410241134124E-2</v>
      </c>
      <c r="L259" s="155">
        <v>7.7721361121192281E-2</v>
      </c>
      <c r="M259" s="155">
        <v>0.13232473918725376</v>
      </c>
      <c r="N259" s="155">
        <v>0.11196751269597886</v>
      </c>
      <c r="O259" s="155">
        <v>0.22878925165489672</v>
      </c>
      <c r="P259" s="19">
        <f t="shared" si="33"/>
        <v>4.4893726527766757</v>
      </c>
      <c r="Q259" s="212">
        <f t="shared" si="34"/>
        <v>0.37411438773138966</v>
      </c>
    </row>
    <row r="261" spans="1:18">
      <c r="N261">
        <v>2053604</v>
      </c>
      <c r="O261">
        <v>50</v>
      </c>
    </row>
    <row r="262" spans="1:18">
      <c r="O262">
        <f>O261*365</f>
        <v>18250</v>
      </c>
      <c r="P262">
        <f>N261/O262</f>
        <v>112.52624657534247</v>
      </c>
    </row>
    <row r="263" spans="1:18" ht="15" thickBot="1"/>
    <row r="264" spans="1:18" ht="15" thickBot="1">
      <c r="D264" s="619">
        <v>46113</v>
      </c>
      <c r="E264" s="619">
        <v>46143</v>
      </c>
      <c r="F264" s="619">
        <v>46174</v>
      </c>
      <c r="G264" s="619">
        <v>46204</v>
      </c>
      <c r="H264" s="619">
        <v>46235</v>
      </c>
      <c r="I264" s="619">
        <v>46266</v>
      </c>
      <c r="J264" s="619">
        <v>46296</v>
      </c>
      <c r="K264" s="619">
        <v>46327</v>
      </c>
      <c r="L264" s="619">
        <v>46357</v>
      </c>
      <c r="M264" s="619">
        <v>46388</v>
      </c>
      <c r="N264" s="619">
        <v>46419</v>
      </c>
      <c r="O264" s="619">
        <v>46447</v>
      </c>
      <c r="P264" t="s">
        <v>91</v>
      </c>
      <c r="Q264" t="s">
        <v>266</v>
      </c>
    </row>
    <row r="265" spans="1:18">
      <c r="A265" t="s">
        <v>295</v>
      </c>
      <c r="B265" t="s">
        <v>269</v>
      </c>
      <c r="C265" t="s">
        <v>94</v>
      </c>
      <c r="D265" s="46">
        <v>256000</v>
      </c>
      <c r="E265" s="46">
        <v>256000</v>
      </c>
      <c r="F265" s="46">
        <v>256000</v>
      </c>
      <c r="G265" s="46">
        <v>256000</v>
      </c>
      <c r="H265" s="46">
        <v>256000</v>
      </c>
      <c r="I265" s="46">
        <v>256000</v>
      </c>
      <c r="J265" s="46">
        <v>256000</v>
      </c>
      <c r="K265" s="46">
        <v>256000</v>
      </c>
      <c r="L265" s="46">
        <v>256000</v>
      </c>
      <c r="M265" s="46">
        <v>256000</v>
      </c>
      <c r="N265" s="46">
        <v>256000</v>
      </c>
      <c r="O265" s="46">
        <v>256000</v>
      </c>
      <c r="Q265" s="46">
        <f>AVERAGE(D265:O265)</f>
        <v>256000</v>
      </c>
      <c r="R265">
        <f>Q265/30</f>
        <v>8533.3333333333339</v>
      </c>
    </row>
    <row r="266" spans="1:18">
      <c r="B266" t="s">
        <v>231</v>
      </c>
      <c r="C266" t="s">
        <v>94</v>
      </c>
      <c r="D266" s="46">
        <v>448705</v>
      </c>
      <c r="E266" s="46">
        <v>448705</v>
      </c>
      <c r="F266" s="46">
        <v>448705</v>
      </c>
      <c r="G266" s="46">
        <v>463662</v>
      </c>
      <c r="H266" s="46">
        <v>433748</v>
      </c>
      <c r="I266" s="46">
        <v>448705</v>
      </c>
      <c r="J266" s="46">
        <v>418791</v>
      </c>
      <c r="K266" s="46">
        <v>448705</v>
      </c>
      <c r="L266" s="46">
        <v>448705</v>
      </c>
      <c r="M266" s="46">
        <v>433748</v>
      </c>
      <c r="N266" s="46">
        <v>418791</v>
      </c>
      <c r="O266" s="46">
        <v>448705</v>
      </c>
    </row>
    <row r="267" spans="1:18">
      <c r="B267" t="s">
        <v>233</v>
      </c>
      <c r="C267" t="s">
        <v>94</v>
      </c>
      <c r="D267" s="46">
        <f>D266-D265</f>
        <v>192705</v>
      </c>
      <c r="E267" s="46">
        <f t="shared" ref="E267:O267" si="35">E266-E265</f>
        <v>192705</v>
      </c>
      <c r="F267" s="46">
        <f t="shared" si="35"/>
        <v>192705</v>
      </c>
      <c r="G267" s="46">
        <f t="shared" si="35"/>
        <v>207662</v>
      </c>
      <c r="H267" s="46">
        <f t="shared" si="35"/>
        <v>177748</v>
      </c>
      <c r="I267" s="46">
        <f t="shared" si="35"/>
        <v>192705</v>
      </c>
      <c r="J267" s="46">
        <f t="shared" si="35"/>
        <v>162791</v>
      </c>
      <c r="K267" s="46">
        <f t="shared" si="35"/>
        <v>192705</v>
      </c>
      <c r="L267" s="46">
        <f t="shared" si="35"/>
        <v>192705</v>
      </c>
      <c r="M267" s="46">
        <f t="shared" si="35"/>
        <v>177748</v>
      </c>
      <c r="N267" s="46">
        <f t="shared" si="35"/>
        <v>162791</v>
      </c>
      <c r="O267" s="46">
        <f t="shared" si="35"/>
        <v>192705</v>
      </c>
    </row>
    <row r="268" spans="1:18">
      <c r="B268" t="s">
        <v>235</v>
      </c>
      <c r="C268" t="s">
        <v>236</v>
      </c>
      <c r="D268" t="e">
        <v>#VALUE!</v>
      </c>
      <c r="E268" t="e">
        <v>#VALUE!</v>
      </c>
      <c r="F268" t="e">
        <v>#VALUE!</v>
      </c>
      <c r="G268" t="e">
        <v>#VALUE!</v>
      </c>
      <c r="H268" t="e">
        <v>#VALUE!</v>
      </c>
      <c r="I268" t="e">
        <v>#VALUE!</v>
      </c>
      <c r="J268" t="e">
        <v>#VALUE!</v>
      </c>
      <c r="K268" t="e">
        <v>#VALUE!</v>
      </c>
      <c r="L268" t="e">
        <v>#VALUE!</v>
      </c>
      <c r="M268" t="e">
        <v>#VALUE!</v>
      </c>
      <c r="N268" t="e">
        <v>#VALUE!</v>
      </c>
      <c r="O268" t="e">
        <v>#VALUE!</v>
      </c>
    </row>
    <row r="269" spans="1:18">
      <c r="D269">
        <f>D266/30</f>
        <v>14956.833333333334</v>
      </c>
      <c r="I269" s="729">
        <v>30000</v>
      </c>
      <c r="J269" s="729">
        <v>38000</v>
      </c>
      <c r="K269" s="729">
        <v>107000</v>
      </c>
      <c r="L269" s="729">
        <v>109000</v>
      </c>
      <c r="M269" s="729">
        <v>114000</v>
      </c>
      <c r="N269" s="729">
        <v>126000</v>
      </c>
      <c r="O269" s="729">
        <v>118000</v>
      </c>
    </row>
  </sheetData>
  <mergeCells count="13">
    <mergeCell ref="A181:A185"/>
    <mergeCell ref="A151:A158"/>
    <mergeCell ref="A4:A19"/>
    <mergeCell ref="A22:A39"/>
    <mergeCell ref="A41:A53"/>
    <mergeCell ref="A55:A69"/>
    <mergeCell ref="A71:A80"/>
    <mergeCell ref="A82:A94"/>
    <mergeCell ref="A97:A109"/>
    <mergeCell ref="A113:A119"/>
    <mergeCell ref="A122:A130"/>
    <mergeCell ref="A133:A140"/>
    <mergeCell ref="A143:A149"/>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0"/>
  <sheetViews>
    <sheetView workbookViewId="0">
      <selection activeCell="B15" sqref="B15"/>
    </sheetView>
  </sheetViews>
  <sheetFormatPr defaultRowHeight="14.5"/>
  <cols>
    <col min="1" max="1" width="16.26953125" bestFit="1" customWidth="1"/>
    <col min="2" max="13" width="11.54296875" bestFit="1" customWidth="1"/>
  </cols>
  <sheetData>
    <row r="1" spans="1:13">
      <c r="A1" t="s">
        <v>1</v>
      </c>
      <c r="B1" s="127">
        <v>46113</v>
      </c>
      <c r="C1" s="127">
        <v>46143</v>
      </c>
      <c r="D1" s="127">
        <v>46174</v>
      </c>
      <c r="E1" s="127">
        <v>46204</v>
      </c>
      <c r="F1" s="127">
        <v>46235</v>
      </c>
      <c r="G1" s="127">
        <v>46266</v>
      </c>
      <c r="H1" s="127">
        <v>46296</v>
      </c>
      <c r="I1" s="127">
        <v>46327</v>
      </c>
      <c r="J1" s="127">
        <v>46357</v>
      </c>
      <c r="K1" s="127">
        <v>46388</v>
      </c>
      <c r="L1" s="127">
        <v>46419</v>
      </c>
      <c r="M1" s="127">
        <v>46447</v>
      </c>
    </row>
    <row r="2" spans="1:13">
      <c r="A2" t="s">
        <v>258</v>
      </c>
      <c r="B2" s="19">
        <v>48046.267782426774</v>
      </c>
      <c r="C2" s="19">
        <v>105527.62</v>
      </c>
      <c r="D2" s="19">
        <v>24483.989890530505</v>
      </c>
      <c r="E2" s="19">
        <v>38286.911680288802</v>
      </c>
      <c r="F2" s="19">
        <v>60900.613056849863</v>
      </c>
      <c r="G2" s="19">
        <v>62006</v>
      </c>
      <c r="H2" s="19">
        <v>49680.333333333336</v>
      </c>
      <c r="I2" s="19">
        <v>100047.33333333334</v>
      </c>
      <c r="J2" s="19">
        <v>89580.473333333328</v>
      </c>
      <c r="K2" s="19">
        <v>84803.333333333328</v>
      </c>
      <c r="L2" s="19">
        <v>116836.33333333333</v>
      </c>
      <c r="M2" s="19">
        <v>62967.333333333328</v>
      </c>
    </row>
    <row r="3" spans="1:13">
      <c r="A3" t="s">
        <v>77</v>
      </c>
      <c r="B3" s="19">
        <v>41310.012240000004</v>
      </c>
      <c r="C3" s="19">
        <v>75545.605439999999</v>
      </c>
      <c r="D3" s="19">
        <v>23691.285440000003</v>
      </c>
      <c r="E3" s="19">
        <v>27153.046773333332</v>
      </c>
      <c r="F3" s="19">
        <v>22208.593573333335</v>
      </c>
      <c r="G3" s="19">
        <v>25804.982773333333</v>
      </c>
      <c r="H3" s="19">
        <v>13645.477080000001</v>
      </c>
      <c r="I3" s="19">
        <v>47631.369440000002</v>
      </c>
      <c r="J3" s="19">
        <v>63749.180240000002</v>
      </c>
      <c r="K3" s="19">
        <v>61538.593690666668</v>
      </c>
      <c r="L3" s="19">
        <v>85902.736106666664</v>
      </c>
      <c r="M3" s="19">
        <v>116339.23610666666</v>
      </c>
    </row>
    <row r="4" spans="1:13">
      <c r="A4" t="s">
        <v>259</v>
      </c>
      <c r="B4" s="19">
        <v>38977.96490376287</v>
      </c>
      <c r="C4" s="19">
        <v>40937.941270000003</v>
      </c>
      <c r="D4" s="19">
        <v>50338.300594999979</v>
      </c>
      <c r="E4" s="19">
        <v>42208.457549999999</v>
      </c>
      <c r="F4" s="19">
        <v>73162.589199999959</v>
      </c>
      <c r="G4" s="19">
        <v>127085.45407999998</v>
      </c>
      <c r="H4" s="19">
        <v>155250.95342999999</v>
      </c>
      <c r="I4" s="19">
        <v>106985.84198499999</v>
      </c>
      <c r="J4" s="19">
        <v>112379.77430999998</v>
      </c>
      <c r="K4" s="19">
        <v>134670.15675000002</v>
      </c>
      <c r="L4" s="19">
        <v>110708.8118333334</v>
      </c>
      <c r="M4" s="19">
        <v>111059.01183333341</v>
      </c>
    </row>
    <row r="5" spans="1:13">
      <c r="A5" t="s">
        <v>260</v>
      </c>
      <c r="B5" s="19">
        <v>54425.196909999984</v>
      </c>
      <c r="C5" s="19">
        <v>38012.38175</v>
      </c>
      <c r="D5" s="19">
        <v>29375.574250000005</v>
      </c>
      <c r="E5" s="19">
        <v>25879.054364999996</v>
      </c>
      <c r="F5" s="19">
        <v>27139.098685000001</v>
      </c>
      <c r="G5" s="19">
        <v>22969</v>
      </c>
      <c r="H5" s="19">
        <v>24205</v>
      </c>
      <c r="I5" s="19">
        <v>24514</v>
      </c>
      <c r="J5" s="19">
        <v>36512.212500000001</v>
      </c>
      <c r="K5" s="19">
        <v>37096.6345</v>
      </c>
      <c r="L5" s="19">
        <v>61204.757277777804</v>
      </c>
      <c r="M5" s="19">
        <v>54921.757277777804</v>
      </c>
    </row>
    <row r="6" spans="1:13">
      <c r="A6" t="s">
        <v>82</v>
      </c>
      <c r="B6" s="19">
        <v>7545.5041841004186</v>
      </c>
      <c r="C6" s="19">
        <v>0</v>
      </c>
      <c r="D6" s="19">
        <v>0</v>
      </c>
      <c r="E6" s="19">
        <v>30900</v>
      </c>
      <c r="F6" s="19">
        <v>14059.5</v>
      </c>
      <c r="G6" s="19">
        <v>37080</v>
      </c>
      <c r="H6" s="19">
        <v>28119</v>
      </c>
      <c r="I6" s="19">
        <v>16119.5</v>
      </c>
      <c r="J6" s="19">
        <v>52839</v>
      </c>
      <c r="K6" s="19">
        <v>62109</v>
      </c>
      <c r="L6" s="19">
        <v>40479</v>
      </c>
      <c r="M6" s="19">
        <v>30616.75</v>
      </c>
    </row>
    <row r="7" spans="1:13">
      <c r="A7" t="s">
        <v>262</v>
      </c>
      <c r="B7" s="19">
        <v>0</v>
      </c>
      <c r="C7" s="19">
        <v>0</v>
      </c>
      <c r="D7" s="19">
        <v>0</v>
      </c>
      <c r="E7" s="19">
        <v>4120</v>
      </c>
      <c r="F7" s="19">
        <v>0</v>
      </c>
      <c r="G7" s="19">
        <v>6180</v>
      </c>
      <c r="H7" s="19">
        <v>0</v>
      </c>
      <c r="I7" s="19">
        <v>0</v>
      </c>
      <c r="J7" s="19">
        <v>12360</v>
      </c>
      <c r="K7" s="19">
        <v>11330</v>
      </c>
      <c r="L7" s="19">
        <v>5150</v>
      </c>
      <c r="M7" s="19">
        <v>4429</v>
      </c>
    </row>
    <row r="8" spans="1:13">
      <c r="A8" t="s">
        <v>261</v>
      </c>
      <c r="B8" s="19">
        <v>304736.37422969838</v>
      </c>
      <c r="C8" s="19">
        <v>204155.63546010677</v>
      </c>
      <c r="D8" s="19">
        <v>282966.87632799282</v>
      </c>
      <c r="E8" s="19">
        <v>244894.37778341179</v>
      </c>
      <c r="F8" s="19">
        <v>237074.07588498687</v>
      </c>
      <c r="G8" s="19">
        <v>228098.74386837418</v>
      </c>
      <c r="H8" s="19">
        <v>211094.35798354057</v>
      </c>
      <c r="I8" s="19">
        <v>232876.17658953249</v>
      </c>
      <c r="J8" s="19">
        <v>283000.78716501564</v>
      </c>
      <c r="K8" s="19">
        <v>282520.46362425917</v>
      </c>
      <c r="L8" s="19">
        <v>222417.12194834839</v>
      </c>
      <c r="M8" s="19">
        <v>282222.62445953308</v>
      </c>
    </row>
    <row r="9" spans="1:13">
      <c r="A9" t="s">
        <v>88</v>
      </c>
      <c r="B9" s="19">
        <v>194493.0164128957</v>
      </c>
      <c r="C9" s="19">
        <v>185935.82210072927</v>
      </c>
      <c r="D9" s="19">
        <v>171464.73456019169</v>
      </c>
      <c r="E9" s="19">
        <v>161996.20638619171</v>
      </c>
      <c r="F9" s="19">
        <v>182479.17071824931</v>
      </c>
      <c r="G9" s="19">
        <v>180874.7313361917</v>
      </c>
      <c r="H9" s="19">
        <v>179649.94597619167</v>
      </c>
      <c r="I9" s="19">
        <v>173868.50531864929</v>
      </c>
      <c r="J9" s="19">
        <v>192363.48799659163</v>
      </c>
      <c r="K9" s="19">
        <v>183034.81507659168</v>
      </c>
      <c r="L9" s="19">
        <v>186381.85995864929</v>
      </c>
      <c r="M9" s="19">
        <v>185694.4656265917</v>
      </c>
    </row>
    <row r="10" spans="1:13">
      <c r="A10" t="s">
        <v>263</v>
      </c>
      <c r="B10" s="19">
        <v>459611.37344396516</v>
      </c>
      <c r="C10" s="19">
        <v>482563.21370105736</v>
      </c>
      <c r="D10" s="19">
        <v>417471.32471786463</v>
      </c>
      <c r="E10" s="19">
        <v>479893.39118447131</v>
      </c>
      <c r="F10" s="19">
        <v>498146.9816565513</v>
      </c>
      <c r="G10" s="19">
        <v>494568.46603653365</v>
      </c>
      <c r="H10" s="19">
        <v>499387.44745213015</v>
      </c>
      <c r="I10" s="19">
        <v>317584.63401827862</v>
      </c>
      <c r="J10" s="19">
        <v>389085.08381025778</v>
      </c>
      <c r="K10" s="19">
        <v>396245.45393985853</v>
      </c>
      <c r="L10" s="19">
        <v>406376.55300405034</v>
      </c>
      <c r="M10" s="19">
        <v>389817.46074597363</v>
      </c>
    </row>
    <row r="11" spans="1:13">
      <c r="A11" t="s">
        <v>1336</v>
      </c>
      <c r="B11" s="19">
        <v>409675.16584792006</v>
      </c>
      <c r="C11" s="19">
        <v>267390.98468818568</v>
      </c>
      <c r="D11" s="19">
        <v>253670.75036474565</v>
      </c>
      <c r="E11" s="19">
        <v>334033.24290322565</v>
      </c>
      <c r="F11" s="19">
        <v>582190.52490322571</v>
      </c>
      <c r="G11" s="19">
        <v>247693.13593818565</v>
      </c>
      <c r="H11" s="19">
        <v>227907.11248576961</v>
      </c>
      <c r="I11" s="19">
        <v>159735.33353426561</v>
      </c>
      <c r="J11" s="19">
        <v>93976.116534265602</v>
      </c>
      <c r="K11" s="19">
        <v>64120.536534265608</v>
      </c>
      <c r="L11" s="19">
        <v>63110.992334265604</v>
      </c>
      <c r="M11" s="19">
        <v>64767.232334265602</v>
      </c>
    </row>
    <row r="12" spans="1:13">
      <c r="A12" t="s">
        <v>83</v>
      </c>
      <c r="B12" s="19">
        <v>1390.5</v>
      </c>
      <c r="C12" s="19">
        <v>1878.6041250000001</v>
      </c>
      <c r="D12" s="19">
        <v>3623.372625</v>
      </c>
      <c r="E12" s="19">
        <v>2505.3462500000001</v>
      </c>
      <c r="F12" s="19">
        <v>2678</v>
      </c>
      <c r="G12" s="19">
        <v>1390.5</v>
      </c>
      <c r="H12" s="19">
        <v>7063.74</v>
      </c>
      <c r="I12" s="19">
        <v>2678</v>
      </c>
      <c r="J12" s="19">
        <v>7230.6</v>
      </c>
      <c r="K12" s="19">
        <v>1030</v>
      </c>
      <c r="L12" s="19">
        <v>7436.6</v>
      </c>
      <c r="M12" s="19">
        <v>10094</v>
      </c>
    </row>
    <row r="13" spans="1:13">
      <c r="A13" t="s">
        <v>89</v>
      </c>
      <c r="B13" s="19">
        <v>850.67236499999956</v>
      </c>
      <c r="C13" s="19">
        <v>1103.0537800000002</v>
      </c>
      <c r="D13" s="19">
        <v>1817.8047700000004</v>
      </c>
      <c r="E13" s="19">
        <v>7763.3062149999987</v>
      </c>
      <c r="F13" s="19">
        <v>27718.037995000002</v>
      </c>
      <c r="G13" s="19">
        <v>11896.5</v>
      </c>
      <c r="H13" s="19">
        <v>8755</v>
      </c>
      <c r="I13" s="19">
        <v>16789</v>
      </c>
      <c r="J13" s="19">
        <v>40693.755000000005</v>
      </c>
      <c r="K13" s="19">
        <v>59689.307313999991</v>
      </c>
      <c r="L13" s="19">
        <v>39500.5</v>
      </c>
      <c r="M13" s="19">
        <v>20651.5</v>
      </c>
    </row>
    <row r="14" spans="1:13">
      <c r="B14" s="39"/>
      <c r="C14" s="39"/>
      <c r="D14" s="39"/>
      <c r="E14" s="39"/>
      <c r="F14" s="39"/>
      <c r="G14" s="39"/>
      <c r="H14" s="39"/>
      <c r="I14" s="39"/>
      <c r="J14" s="39"/>
      <c r="K14" s="39"/>
      <c r="L14" s="39"/>
      <c r="M14" s="39"/>
    </row>
    <row r="15" spans="1:13">
      <c r="A15" t="s">
        <v>258</v>
      </c>
      <c r="B15" s="19">
        <f>VLOOKUP($A15,$A$2:$M$13,2,0)</f>
        <v>48046.267782426774</v>
      </c>
      <c r="C15" s="19">
        <f>VLOOKUP($A15,$A$2:$M$13,3,0)</f>
        <v>105527.62</v>
      </c>
      <c r="D15" s="19">
        <f>VLOOKUP($A15,$A$2:$M$13,4,0)</f>
        <v>24483.989890530505</v>
      </c>
      <c r="E15" s="19">
        <f>VLOOKUP($A15,$A$2:$M$13,5,0)</f>
        <v>38286.911680288802</v>
      </c>
      <c r="F15" s="19">
        <f>VLOOKUP($A15,$A$2:$M$13,6,0)</f>
        <v>60900.613056849863</v>
      </c>
      <c r="G15" s="19">
        <f>VLOOKUP($A15,$A$2:$M$13,7,0)</f>
        <v>62006</v>
      </c>
      <c r="H15" s="19">
        <f>VLOOKUP($A15,$A$2:$M$13,8,0)</f>
        <v>49680.333333333336</v>
      </c>
      <c r="I15" s="19">
        <f>VLOOKUP($A15,$A$2:$M$13,9,0)</f>
        <v>100047.33333333334</v>
      </c>
      <c r="J15" s="19">
        <f>VLOOKUP($A15,$A$2:$M$13,10,0)</f>
        <v>89580.473333333328</v>
      </c>
      <c r="K15" s="19">
        <f>VLOOKUP($A15,$A$2:$M$13,11,0)</f>
        <v>84803.333333333328</v>
      </c>
      <c r="L15" s="19">
        <f>VLOOKUP($A15,$A$2:$M$13,12,0)</f>
        <v>116836.33333333333</v>
      </c>
      <c r="M15" s="19">
        <f>VLOOKUP($A15,$A$2:$M$13,13,0)</f>
        <v>62967.333333333328</v>
      </c>
    </row>
    <row r="16" spans="1:13">
      <c r="A16" t="s">
        <v>259</v>
      </c>
      <c r="B16" s="19">
        <f t="shared" ref="B16:B26" si="0">VLOOKUP($A16,$A$2:$M$13,2,0)</f>
        <v>38977.96490376287</v>
      </c>
      <c r="C16" s="19">
        <f t="shared" ref="C16:C26" si="1">VLOOKUP($A16,$A$2:$M$13,3,0)</f>
        <v>40937.941270000003</v>
      </c>
      <c r="D16" s="19">
        <f t="shared" ref="D16:D26" si="2">VLOOKUP($A16,$A$2:$M$13,4,0)</f>
        <v>50338.300594999979</v>
      </c>
      <c r="E16" s="19">
        <f t="shared" ref="E16:E26" si="3">VLOOKUP($A16,$A$2:$M$13,5,0)</f>
        <v>42208.457549999999</v>
      </c>
      <c r="F16" s="19">
        <f t="shared" ref="F16:F26" si="4">VLOOKUP($A16,$A$2:$M$13,6,0)</f>
        <v>73162.589199999959</v>
      </c>
      <c r="G16" s="19">
        <f t="shared" ref="G16:G26" si="5">VLOOKUP($A16,$A$2:$M$13,7,0)</f>
        <v>127085.45407999998</v>
      </c>
      <c r="H16" s="19">
        <f t="shared" ref="H16:H26" si="6">VLOOKUP($A16,$A$2:$M$13,8,0)</f>
        <v>155250.95342999999</v>
      </c>
      <c r="I16" s="19">
        <f t="shared" ref="I16:I26" si="7">VLOOKUP($A16,$A$2:$M$13,9,0)</f>
        <v>106985.84198499999</v>
      </c>
      <c r="J16" s="19">
        <f t="shared" ref="J16:J26" si="8">VLOOKUP($A16,$A$2:$M$13,10,0)</f>
        <v>112379.77430999998</v>
      </c>
      <c r="K16" s="19">
        <f t="shared" ref="K16:K26" si="9">VLOOKUP($A16,$A$2:$M$13,11,0)</f>
        <v>134670.15675000002</v>
      </c>
      <c r="L16" s="19">
        <f t="shared" ref="L16:L26" si="10">VLOOKUP($A16,$A$2:$M$13,12,0)</f>
        <v>110708.8118333334</v>
      </c>
      <c r="M16" s="19">
        <f t="shared" ref="M16:M26" si="11">VLOOKUP($A16,$A$2:$M$13,13,0)</f>
        <v>111059.01183333341</v>
      </c>
    </row>
    <row r="17" spans="1:13">
      <c r="A17" t="s">
        <v>78</v>
      </c>
      <c r="B17" s="19">
        <f t="shared" si="0"/>
        <v>41310.012240000004</v>
      </c>
      <c r="C17" s="19">
        <f t="shared" si="1"/>
        <v>75545.605439999999</v>
      </c>
      <c r="D17" s="19">
        <f t="shared" si="2"/>
        <v>23691.285440000003</v>
      </c>
      <c r="E17" s="19">
        <f t="shared" si="3"/>
        <v>27153.046773333332</v>
      </c>
      <c r="F17" s="19">
        <f t="shared" si="4"/>
        <v>22208.593573333335</v>
      </c>
      <c r="G17" s="19">
        <f t="shared" si="5"/>
        <v>25804.982773333333</v>
      </c>
      <c r="H17" s="19">
        <f t="shared" si="6"/>
        <v>13645.477080000001</v>
      </c>
      <c r="I17" s="19">
        <f t="shared" si="7"/>
        <v>47631.369440000002</v>
      </c>
      <c r="J17" s="19">
        <f t="shared" si="8"/>
        <v>63749.180240000002</v>
      </c>
      <c r="K17" s="19">
        <f t="shared" si="9"/>
        <v>61538.593690666668</v>
      </c>
      <c r="L17" s="19">
        <f t="shared" si="10"/>
        <v>85902.736106666664</v>
      </c>
      <c r="M17" s="19">
        <f t="shared" si="11"/>
        <v>116339.23610666666</v>
      </c>
    </row>
    <row r="18" spans="1:13">
      <c r="A18" t="s">
        <v>260</v>
      </c>
      <c r="B18" s="19">
        <f t="shared" si="0"/>
        <v>54425.196909999984</v>
      </c>
      <c r="C18" s="19">
        <f t="shared" si="1"/>
        <v>38012.38175</v>
      </c>
      <c r="D18" s="19">
        <f t="shared" si="2"/>
        <v>29375.574250000005</v>
      </c>
      <c r="E18" s="19">
        <f t="shared" si="3"/>
        <v>25879.054364999996</v>
      </c>
      <c r="F18" s="19">
        <f t="shared" si="4"/>
        <v>27139.098685000001</v>
      </c>
      <c r="G18" s="19">
        <f t="shared" si="5"/>
        <v>22969</v>
      </c>
      <c r="H18" s="19">
        <f t="shared" si="6"/>
        <v>24205</v>
      </c>
      <c r="I18" s="19">
        <f t="shared" si="7"/>
        <v>24514</v>
      </c>
      <c r="J18" s="19">
        <f t="shared" si="8"/>
        <v>36512.212500000001</v>
      </c>
      <c r="K18" s="19">
        <f t="shared" si="9"/>
        <v>37096.6345</v>
      </c>
      <c r="L18" s="19">
        <f t="shared" si="10"/>
        <v>61204.757277777804</v>
      </c>
      <c r="M18" s="19">
        <f t="shared" si="11"/>
        <v>54921.757277777804</v>
      </c>
    </row>
    <row r="19" spans="1:13">
      <c r="A19" t="s">
        <v>89</v>
      </c>
      <c r="B19" s="19">
        <f t="shared" si="0"/>
        <v>850.67236499999956</v>
      </c>
      <c r="C19" s="19">
        <f t="shared" si="1"/>
        <v>1103.0537800000002</v>
      </c>
      <c r="D19" s="19">
        <f t="shared" si="2"/>
        <v>1817.8047700000004</v>
      </c>
      <c r="E19" s="19">
        <f t="shared" si="3"/>
        <v>7763.3062149999987</v>
      </c>
      <c r="F19" s="19">
        <f t="shared" si="4"/>
        <v>27718.037995000002</v>
      </c>
      <c r="G19" s="19">
        <f t="shared" si="5"/>
        <v>11896.5</v>
      </c>
      <c r="H19" s="19">
        <f t="shared" si="6"/>
        <v>8755</v>
      </c>
      <c r="I19" s="19">
        <f t="shared" si="7"/>
        <v>16789</v>
      </c>
      <c r="J19" s="19">
        <f t="shared" si="8"/>
        <v>40693.755000000005</v>
      </c>
      <c r="K19" s="19">
        <f t="shared" si="9"/>
        <v>59689.307313999991</v>
      </c>
      <c r="L19" s="19">
        <f t="shared" si="10"/>
        <v>39500.5</v>
      </c>
      <c r="M19" s="19">
        <f t="shared" si="11"/>
        <v>20651.5</v>
      </c>
    </row>
    <row r="20" spans="1:13">
      <c r="A20" s="157" t="s">
        <v>261</v>
      </c>
      <c r="B20" s="158">
        <f t="shared" si="0"/>
        <v>304736.37422969838</v>
      </c>
      <c r="C20" s="158">
        <f t="shared" si="1"/>
        <v>204155.63546010677</v>
      </c>
      <c r="D20" s="158">
        <f t="shared" si="2"/>
        <v>282966.87632799282</v>
      </c>
      <c r="E20" s="158">
        <f t="shared" si="3"/>
        <v>244894.37778341179</v>
      </c>
      <c r="F20" s="158">
        <f t="shared" si="4"/>
        <v>237074.07588498687</v>
      </c>
      <c r="G20" s="158">
        <f t="shared" si="5"/>
        <v>228098.74386837418</v>
      </c>
      <c r="H20" s="158">
        <f t="shared" si="6"/>
        <v>211094.35798354057</v>
      </c>
      <c r="I20" s="158">
        <f t="shared" si="7"/>
        <v>232876.17658953249</v>
      </c>
      <c r="J20" s="158">
        <f t="shared" si="8"/>
        <v>283000.78716501564</v>
      </c>
      <c r="K20" s="158">
        <f t="shared" si="9"/>
        <v>282520.46362425917</v>
      </c>
      <c r="L20" s="158">
        <f t="shared" si="10"/>
        <v>222417.12194834839</v>
      </c>
      <c r="M20" s="158">
        <f t="shared" si="11"/>
        <v>282222.62445953308</v>
      </c>
    </row>
    <row r="21" spans="1:13">
      <c r="A21" s="157" t="s">
        <v>82</v>
      </c>
      <c r="B21" s="158">
        <f t="shared" si="0"/>
        <v>7545.5041841004186</v>
      </c>
      <c r="C21" s="158">
        <f t="shared" si="1"/>
        <v>0</v>
      </c>
      <c r="D21" s="158">
        <f t="shared" si="2"/>
        <v>0</v>
      </c>
      <c r="E21" s="158">
        <f t="shared" si="3"/>
        <v>30900</v>
      </c>
      <c r="F21" s="158">
        <f t="shared" si="4"/>
        <v>14059.5</v>
      </c>
      <c r="G21" s="158">
        <f t="shared" si="5"/>
        <v>37080</v>
      </c>
      <c r="H21" s="158">
        <f t="shared" si="6"/>
        <v>28119</v>
      </c>
      <c r="I21" s="158">
        <f t="shared" si="7"/>
        <v>16119.5</v>
      </c>
      <c r="J21" s="158">
        <f t="shared" si="8"/>
        <v>52839</v>
      </c>
      <c r="K21" s="158">
        <f t="shared" si="9"/>
        <v>62109</v>
      </c>
      <c r="L21" s="158">
        <f t="shared" si="10"/>
        <v>40479</v>
      </c>
      <c r="M21" s="158">
        <f t="shared" si="11"/>
        <v>30616.75</v>
      </c>
    </row>
    <row r="22" spans="1:13">
      <c r="A22" s="157" t="s">
        <v>262</v>
      </c>
      <c r="B22" s="158">
        <f t="shared" si="0"/>
        <v>0</v>
      </c>
      <c r="C22" s="158">
        <f t="shared" si="1"/>
        <v>0</v>
      </c>
      <c r="D22" s="158">
        <f t="shared" si="2"/>
        <v>0</v>
      </c>
      <c r="E22" s="158">
        <f t="shared" si="3"/>
        <v>4120</v>
      </c>
      <c r="F22" s="158">
        <f t="shared" si="4"/>
        <v>0</v>
      </c>
      <c r="G22" s="158">
        <f t="shared" si="5"/>
        <v>6180</v>
      </c>
      <c r="H22" s="158">
        <f t="shared" si="6"/>
        <v>0</v>
      </c>
      <c r="I22" s="158">
        <f t="shared" si="7"/>
        <v>0</v>
      </c>
      <c r="J22" s="158">
        <f t="shared" si="8"/>
        <v>12360</v>
      </c>
      <c r="K22" s="158">
        <f t="shared" si="9"/>
        <v>11330</v>
      </c>
      <c r="L22" s="158">
        <f t="shared" si="10"/>
        <v>5150</v>
      </c>
      <c r="M22" s="158">
        <f t="shared" si="11"/>
        <v>4429</v>
      </c>
    </row>
    <row r="23" spans="1:13">
      <c r="A23" t="s">
        <v>88</v>
      </c>
      <c r="B23" s="19">
        <f t="shared" si="0"/>
        <v>194493.0164128957</v>
      </c>
      <c r="C23" s="19">
        <f t="shared" si="1"/>
        <v>185935.82210072927</v>
      </c>
      <c r="D23" s="19">
        <f t="shared" si="2"/>
        <v>171464.73456019169</v>
      </c>
      <c r="E23" s="19">
        <f t="shared" si="3"/>
        <v>161996.20638619171</v>
      </c>
      <c r="F23" s="19">
        <f t="shared" si="4"/>
        <v>182479.17071824931</v>
      </c>
      <c r="G23" s="19">
        <f t="shared" si="5"/>
        <v>180874.7313361917</v>
      </c>
      <c r="H23" s="19">
        <f t="shared" si="6"/>
        <v>179649.94597619167</v>
      </c>
      <c r="I23" s="19">
        <f t="shared" si="7"/>
        <v>173868.50531864929</v>
      </c>
      <c r="J23" s="19">
        <f t="shared" si="8"/>
        <v>192363.48799659163</v>
      </c>
      <c r="K23" s="19">
        <f t="shared" si="9"/>
        <v>183034.81507659168</v>
      </c>
      <c r="L23" s="19">
        <f t="shared" si="10"/>
        <v>186381.85995864929</v>
      </c>
      <c r="M23" s="19">
        <f t="shared" si="11"/>
        <v>185694.4656265917</v>
      </c>
    </row>
    <row r="24" spans="1:13">
      <c r="A24" t="s">
        <v>263</v>
      </c>
      <c r="B24" s="19">
        <f t="shared" si="0"/>
        <v>459611.37344396516</v>
      </c>
      <c r="C24" s="19">
        <f t="shared" si="1"/>
        <v>482563.21370105736</v>
      </c>
      <c r="D24" s="19">
        <f t="shared" si="2"/>
        <v>417471.32471786463</v>
      </c>
      <c r="E24" s="19">
        <f t="shared" si="3"/>
        <v>479893.39118447131</v>
      </c>
      <c r="F24" s="19">
        <f t="shared" si="4"/>
        <v>498146.9816565513</v>
      </c>
      <c r="G24" s="19">
        <f t="shared" si="5"/>
        <v>494568.46603653365</v>
      </c>
      <c r="H24" s="19">
        <f t="shared" si="6"/>
        <v>499387.44745213015</v>
      </c>
      <c r="I24" s="19">
        <f t="shared" si="7"/>
        <v>317584.63401827862</v>
      </c>
      <c r="J24" s="19">
        <f t="shared" si="8"/>
        <v>389085.08381025778</v>
      </c>
      <c r="K24" s="19">
        <f t="shared" si="9"/>
        <v>396245.45393985853</v>
      </c>
      <c r="L24" s="19">
        <f t="shared" si="10"/>
        <v>406376.55300405034</v>
      </c>
      <c r="M24" s="19">
        <f t="shared" si="11"/>
        <v>389817.46074597363</v>
      </c>
    </row>
    <row r="25" spans="1:13">
      <c r="A25" t="s">
        <v>264</v>
      </c>
      <c r="B25" s="19">
        <f t="shared" si="0"/>
        <v>409675.16584792006</v>
      </c>
      <c r="C25" s="19">
        <f t="shared" si="1"/>
        <v>267390.98468818568</v>
      </c>
      <c r="D25" s="19">
        <f t="shared" si="2"/>
        <v>253670.75036474565</v>
      </c>
      <c r="E25" s="19">
        <f t="shared" si="3"/>
        <v>334033.24290322565</v>
      </c>
      <c r="F25" s="19">
        <f t="shared" si="4"/>
        <v>582190.52490322571</v>
      </c>
      <c r="G25" s="19">
        <f t="shared" si="5"/>
        <v>247693.13593818565</v>
      </c>
      <c r="H25" s="19">
        <f t="shared" si="6"/>
        <v>227907.11248576961</v>
      </c>
      <c r="I25" s="19">
        <f t="shared" si="7"/>
        <v>159735.33353426561</v>
      </c>
      <c r="J25" s="19">
        <f t="shared" si="8"/>
        <v>93976.116534265602</v>
      </c>
      <c r="K25" s="19">
        <f t="shared" si="9"/>
        <v>64120.536534265608</v>
      </c>
      <c r="L25" s="19">
        <f t="shared" si="10"/>
        <v>63110.992334265604</v>
      </c>
      <c r="M25" s="19">
        <f t="shared" si="11"/>
        <v>64767.232334265602</v>
      </c>
    </row>
    <row r="26" spans="1:13">
      <c r="A26" t="s">
        <v>83</v>
      </c>
      <c r="B26" s="19">
        <f t="shared" si="0"/>
        <v>1390.5</v>
      </c>
      <c r="C26" s="19">
        <f t="shared" si="1"/>
        <v>1878.6041250000001</v>
      </c>
      <c r="D26" s="19">
        <f t="shared" si="2"/>
        <v>3623.372625</v>
      </c>
      <c r="E26" s="19">
        <f t="shared" si="3"/>
        <v>2505.3462500000001</v>
      </c>
      <c r="F26" s="19">
        <f t="shared" si="4"/>
        <v>2678</v>
      </c>
      <c r="G26" s="19">
        <f t="shared" si="5"/>
        <v>1390.5</v>
      </c>
      <c r="H26" s="19">
        <f t="shared" si="6"/>
        <v>7063.74</v>
      </c>
      <c r="I26" s="19">
        <f t="shared" si="7"/>
        <v>2678</v>
      </c>
      <c r="J26" s="19">
        <f t="shared" si="8"/>
        <v>7230.6</v>
      </c>
      <c r="K26" s="19">
        <f t="shared" si="9"/>
        <v>1030</v>
      </c>
      <c r="L26" s="19">
        <f t="shared" si="10"/>
        <v>7436.6</v>
      </c>
      <c r="M26" s="19">
        <f t="shared" si="11"/>
        <v>10094</v>
      </c>
    </row>
    <row r="27" spans="1:13">
      <c r="A27" t="s">
        <v>261</v>
      </c>
      <c r="B27" s="39">
        <f>SUM(B20:B22)</f>
        <v>312281.87841379881</v>
      </c>
      <c r="C27" s="39">
        <f t="shared" ref="C27:M27" si="12">SUM(C20:C22)</f>
        <v>204155.63546010677</v>
      </c>
      <c r="D27" s="39">
        <f t="shared" si="12"/>
        <v>282966.87632799282</v>
      </c>
      <c r="E27" s="39">
        <f t="shared" si="12"/>
        <v>279914.37778341176</v>
      </c>
      <c r="F27" s="39">
        <f t="shared" si="12"/>
        <v>251133.57588498687</v>
      </c>
      <c r="G27" s="39">
        <f t="shared" si="12"/>
        <v>271358.74386837415</v>
      </c>
      <c r="H27" s="39">
        <f t="shared" si="12"/>
        <v>239213.35798354057</v>
      </c>
      <c r="I27" s="39">
        <f t="shared" si="12"/>
        <v>248995.67658953249</v>
      </c>
      <c r="J27" s="39">
        <f t="shared" si="12"/>
        <v>348199.78716501564</v>
      </c>
      <c r="K27" s="39">
        <f t="shared" si="12"/>
        <v>355959.46362425917</v>
      </c>
      <c r="L27" s="39">
        <f t="shared" si="12"/>
        <v>268046.12194834836</v>
      </c>
      <c r="M27" s="39">
        <f t="shared" si="12"/>
        <v>317268.37445953308</v>
      </c>
    </row>
    <row r="28" spans="1:13">
      <c r="B28" s="39"/>
      <c r="C28" s="39"/>
      <c r="D28" s="39"/>
      <c r="E28" s="39"/>
      <c r="F28" s="39"/>
      <c r="G28" s="39"/>
      <c r="H28" s="39"/>
      <c r="I28" s="39"/>
      <c r="J28" s="39"/>
      <c r="K28" s="39"/>
      <c r="L28" s="39"/>
      <c r="M28" s="39"/>
    </row>
    <row r="29" spans="1:13">
      <c r="A29" s="13" t="s">
        <v>258</v>
      </c>
      <c r="B29" t="b">
        <f>A29=A15</f>
        <v>1</v>
      </c>
    </row>
    <row r="30" spans="1:13">
      <c r="A30" s="13" t="s">
        <v>259</v>
      </c>
      <c r="B30" t="b">
        <f t="shared" ref="B30:B40" si="13">A30=A16</f>
        <v>1</v>
      </c>
    </row>
    <row r="31" spans="1:13">
      <c r="A31" s="13" t="s">
        <v>78</v>
      </c>
      <c r="B31" t="b">
        <f t="shared" si="13"/>
        <v>1</v>
      </c>
    </row>
    <row r="32" spans="1:13">
      <c r="A32" s="13" t="s">
        <v>260</v>
      </c>
      <c r="B32" t="b">
        <f t="shared" si="13"/>
        <v>1</v>
      </c>
    </row>
    <row r="33" spans="1:2">
      <c r="A33" s="13" t="s">
        <v>89</v>
      </c>
      <c r="B33" t="b">
        <f t="shared" si="13"/>
        <v>1</v>
      </c>
    </row>
    <row r="34" spans="1:2">
      <c r="A34" s="13" t="s">
        <v>261</v>
      </c>
      <c r="B34" t="b">
        <f t="shared" si="13"/>
        <v>1</v>
      </c>
    </row>
    <row r="35" spans="1:2">
      <c r="A35" s="13" t="s">
        <v>82</v>
      </c>
      <c r="B35" t="b">
        <f t="shared" si="13"/>
        <v>1</v>
      </c>
    </row>
    <row r="36" spans="1:2">
      <c r="A36" s="13" t="s">
        <v>262</v>
      </c>
      <c r="B36" t="b">
        <f t="shared" si="13"/>
        <v>1</v>
      </c>
    </row>
    <row r="37" spans="1:2">
      <c r="A37" s="13" t="s">
        <v>88</v>
      </c>
      <c r="B37" t="b">
        <f t="shared" si="13"/>
        <v>1</v>
      </c>
    </row>
    <row r="38" spans="1:2">
      <c r="A38" s="13" t="s">
        <v>263</v>
      </c>
      <c r="B38" t="b">
        <f t="shared" si="13"/>
        <v>1</v>
      </c>
    </row>
    <row r="39" spans="1:2">
      <c r="A39" s="13" t="s">
        <v>264</v>
      </c>
      <c r="B39" t="b">
        <f t="shared" si="13"/>
        <v>1</v>
      </c>
    </row>
    <row r="40" spans="1:2">
      <c r="A40" s="13" t="s">
        <v>83</v>
      </c>
      <c r="B40" t="b">
        <f t="shared" si="13"/>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63"/>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4.5"/>
  <cols>
    <col min="1" max="1" width="16.26953125" bestFit="1" customWidth="1"/>
    <col min="2" max="13" width="12.54296875" bestFit="1" customWidth="1"/>
    <col min="14" max="14" width="17.54296875" bestFit="1" customWidth="1"/>
    <col min="15" max="15" width="16.453125" bestFit="1" customWidth="1"/>
    <col min="16" max="16" width="14" bestFit="1" customWidth="1"/>
    <col min="17" max="17" width="16.26953125" bestFit="1" customWidth="1"/>
  </cols>
  <sheetData>
    <row r="1" spans="1:54">
      <c r="B1" s="41">
        <f t="shared" ref="B1:K1" si="0">B4/30</f>
        <v>1601.5422594142258</v>
      </c>
      <c r="C1" s="41">
        <f t="shared" si="0"/>
        <v>3517.5873333333334</v>
      </c>
      <c r="D1" s="41">
        <f t="shared" si="0"/>
        <v>816.1329963510168</v>
      </c>
      <c r="E1" s="41">
        <f t="shared" si="0"/>
        <v>1276.2303893429601</v>
      </c>
      <c r="F1" s="41">
        <f t="shared" si="0"/>
        <v>2030.0204352283288</v>
      </c>
      <c r="G1" s="41">
        <f t="shared" si="0"/>
        <v>2066.8666666666668</v>
      </c>
      <c r="H1" s="41">
        <f t="shared" si="0"/>
        <v>1656.0111111111112</v>
      </c>
      <c r="I1" s="41">
        <f t="shared" si="0"/>
        <v>3334.9111111111115</v>
      </c>
      <c r="J1" s="41">
        <f t="shared" si="0"/>
        <v>2986.0157777777777</v>
      </c>
      <c r="K1" s="41">
        <f t="shared" si="0"/>
        <v>2826.7777777777778</v>
      </c>
      <c r="L1">
        <v>1601.5422594142258</v>
      </c>
    </row>
    <row r="2" spans="1:54" ht="15.5">
      <c r="B2">
        <f>DAY(EOMONTH(B3,0))</f>
        <v>30</v>
      </c>
      <c r="C2">
        <f t="shared" ref="C2:M2" si="1">DAY(EOMONTH(C3,0))</f>
        <v>31</v>
      </c>
      <c r="D2">
        <f t="shared" si="1"/>
        <v>30</v>
      </c>
      <c r="E2">
        <f t="shared" si="1"/>
        <v>31</v>
      </c>
      <c r="F2">
        <f t="shared" si="1"/>
        <v>31</v>
      </c>
      <c r="G2">
        <f t="shared" si="1"/>
        <v>30</v>
      </c>
      <c r="H2">
        <f t="shared" si="1"/>
        <v>31</v>
      </c>
      <c r="I2">
        <f t="shared" si="1"/>
        <v>30</v>
      </c>
      <c r="J2">
        <f t="shared" si="1"/>
        <v>31</v>
      </c>
      <c r="K2">
        <f t="shared" si="1"/>
        <v>31</v>
      </c>
      <c r="L2">
        <f t="shared" si="1"/>
        <v>28</v>
      </c>
      <c r="M2">
        <f t="shared" si="1"/>
        <v>31</v>
      </c>
      <c r="Q2" s="1523" t="s">
        <v>604</v>
      </c>
      <c r="R2" s="1523"/>
      <c r="S2" s="1523"/>
      <c r="T2" s="1523"/>
      <c r="U2" s="1523"/>
      <c r="V2" s="1523"/>
      <c r="W2" s="1523"/>
      <c r="X2" s="1523"/>
      <c r="Y2" s="1523"/>
      <c r="Z2" s="1523"/>
      <c r="AA2" s="1523"/>
      <c r="AB2" s="1523"/>
      <c r="AD2" s="1523" t="s">
        <v>343</v>
      </c>
      <c r="AE2" s="1523"/>
      <c r="AF2" s="1523"/>
      <c r="AG2" s="1523"/>
      <c r="AH2" s="1523"/>
      <c r="AI2" s="1523"/>
      <c r="AJ2" s="1523"/>
      <c r="AK2" s="1523"/>
      <c r="AL2" s="1523"/>
      <c r="AM2" s="1523"/>
      <c r="AN2" s="1523"/>
      <c r="AO2" s="1523"/>
      <c r="AQ2" s="1523" t="s">
        <v>1349</v>
      </c>
      <c r="AR2" s="1523"/>
      <c r="AS2" s="1523"/>
      <c r="AT2" s="1523"/>
      <c r="AU2" s="1523"/>
      <c r="AV2" s="1523"/>
      <c r="AW2" s="1523"/>
      <c r="AX2" s="1523"/>
      <c r="AY2" s="1523"/>
      <c r="AZ2" s="1523"/>
      <c r="BA2" s="1523"/>
      <c r="BB2" s="1523"/>
    </row>
    <row r="3" spans="1:54">
      <c r="A3" s="10" t="s">
        <v>257</v>
      </c>
      <c r="B3" s="994">
        <v>46113</v>
      </c>
      <c r="C3" s="994">
        <v>46143</v>
      </c>
      <c r="D3" s="994">
        <v>46174</v>
      </c>
      <c r="E3" s="994">
        <v>46204</v>
      </c>
      <c r="F3" s="994">
        <v>46235</v>
      </c>
      <c r="G3" s="994">
        <v>46266</v>
      </c>
      <c r="H3" s="994">
        <v>46296</v>
      </c>
      <c r="I3" s="994">
        <v>46327</v>
      </c>
      <c r="J3" s="994">
        <v>46357</v>
      </c>
      <c r="K3" s="994">
        <v>46388</v>
      </c>
      <c r="L3" s="994">
        <v>46419</v>
      </c>
      <c r="M3" s="994">
        <v>46447</v>
      </c>
      <c r="N3" s="132" t="s">
        <v>1348</v>
      </c>
      <c r="O3" s="135" t="s">
        <v>1350</v>
      </c>
      <c r="P3" s="135" t="s">
        <v>1351</v>
      </c>
      <c r="Q3" s="992">
        <v>46113</v>
      </c>
      <c r="R3" s="992">
        <v>46143</v>
      </c>
      <c r="S3" s="992">
        <v>46174</v>
      </c>
      <c r="T3" s="992">
        <v>46204</v>
      </c>
      <c r="U3" s="992">
        <v>46235</v>
      </c>
      <c r="V3" s="992">
        <v>46266</v>
      </c>
      <c r="W3" s="992">
        <v>46296</v>
      </c>
      <c r="X3" s="992">
        <v>46327</v>
      </c>
      <c r="Y3" s="992">
        <v>46357</v>
      </c>
      <c r="Z3" s="992">
        <v>46388</v>
      </c>
      <c r="AA3" s="992">
        <v>46419</v>
      </c>
      <c r="AB3" s="992">
        <v>46447</v>
      </c>
      <c r="AD3" s="5">
        <v>46113</v>
      </c>
      <c r="AE3" s="5">
        <v>46143</v>
      </c>
      <c r="AF3" s="5">
        <v>46174</v>
      </c>
      <c r="AG3" s="5">
        <v>46204</v>
      </c>
      <c r="AH3" s="5">
        <v>46235</v>
      </c>
      <c r="AI3" s="5">
        <v>46266</v>
      </c>
      <c r="AJ3" s="5">
        <v>46296</v>
      </c>
      <c r="AK3" s="5">
        <v>46327</v>
      </c>
      <c r="AL3" s="5">
        <v>46357</v>
      </c>
      <c r="AM3" s="5">
        <v>46388</v>
      </c>
      <c r="AN3" s="5">
        <v>46419</v>
      </c>
      <c r="AO3" s="5">
        <v>46447</v>
      </c>
      <c r="AP3" s="2"/>
      <c r="AQ3" s="5">
        <v>46113</v>
      </c>
      <c r="AR3" s="5">
        <v>46143</v>
      </c>
      <c r="AS3" s="5">
        <v>46174</v>
      </c>
      <c r="AT3" s="5">
        <v>46204</v>
      </c>
      <c r="AU3" s="5">
        <v>46235</v>
      </c>
      <c r="AV3" s="5">
        <v>46266</v>
      </c>
      <c r="AW3" s="5">
        <v>46296</v>
      </c>
      <c r="AX3" s="5">
        <v>46327</v>
      </c>
      <c r="AY3" s="5">
        <v>46357</v>
      </c>
      <c r="AZ3" s="5">
        <v>46388</v>
      </c>
      <c r="BA3" s="5">
        <v>46419</v>
      </c>
      <c r="BB3" s="5">
        <v>46447</v>
      </c>
    </row>
    <row r="4" spans="1:54">
      <c r="A4" s="13" t="s">
        <v>258</v>
      </c>
      <c r="B4" s="993">
        <f>'Tufting PPC to BP Sheet conver'!B15</f>
        <v>48046.267782426774</v>
      </c>
      <c r="C4" s="993">
        <f>'Tufting PPC to BP Sheet conver'!C15</f>
        <v>105527.62</v>
      </c>
      <c r="D4" s="993">
        <f>'Tufting PPC to BP Sheet conver'!D15</f>
        <v>24483.989890530505</v>
      </c>
      <c r="E4" s="993">
        <f>'Tufting PPC to BP Sheet conver'!E15</f>
        <v>38286.911680288802</v>
      </c>
      <c r="F4" s="993">
        <f>'Tufting PPC to BP Sheet conver'!F15</f>
        <v>60900.613056849863</v>
      </c>
      <c r="G4" s="993">
        <f>'Tufting PPC to BP Sheet conver'!G15</f>
        <v>62006</v>
      </c>
      <c r="H4" s="993">
        <f>'Tufting PPC to BP Sheet conver'!H15</f>
        <v>49680.333333333336</v>
      </c>
      <c r="I4" s="993">
        <f>'Tufting PPC to BP Sheet conver'!I15</f>
        <v>100047.33333333334</v>
      </c>
      <c r="J4" s="993">
        <f>'Tufting PPC to BP Sheet conver'!J15</f>
        <v>89580.473333333328</v>
      </c>
      <c r="K4" s="993">
        <f>'Tufting PPC to BP Sheet conver'!K15</f>
        <v>84803.333333333328</v>
      </c>
      <c r="L4" s="993">
        <f>'Tufting PPC to BP Sheet conver'!L15</f>
        <v>116836.33333333333</v>
      </c>
      <c r="M4" s="993">
        <f>'Tufting PPC to BP Sheet conver'!M15</f>
        <v>62967.333333333328</v>
      </c>
      <c r="N4" s="10">
        <v>3036.5252730505499</v>
      </c>
      <c r="O4" s="993">
        <v>1</v>
      </c>
      <c r="P4" s="993">
        <f>O4*3</f>
        <v>3</v>
      </c>
      <c r="Q4" s="216">
        <f t="shared" ref="Q4:R9" si="2">(B4/($N4*DAY(EOMONTH(Q$3,0))))</f>
        <v>0.52742596072822623</v>
      </c>
      <c r="R4" s="216">
        <f t="shared" si="2"/>
        <v>1.1210566249539919</v>
      </c>
      <c r="S4" s="216">
        <f t="shared" ref="S4" si="3">(D4/($N4*DAY(EOMONTH(S$3,0))))</f>
        <v>0.26877200845132915</v>
      </c>
      <c r="T4" s="216">
        <f t="shared" ref="T4" si="4">(E4/($N4*DAY(EOMONTH(T$3,0))))</f>
        <v>0.40673518447792278</v>
      </c>
      <c r="U4" s="216">
        <f t="shared" ref="U4" si="5">(F4/($N4*DAY(EOMONTH(U$3,0))))</f>
        <v>0.6469684025010809</v>
      </c>
      <c r="V4" s="216">
        <f t="shared" ref="V4" si="6">(G4/($N4*DAY(EOMONTH(V$3,0))))</f>
        <v>0.68066835636452783</v>
      </c>
      <c r="W4" s="216">
        <f t="shared" ref="W4" si="7">(H4/($N4*DAY(EOMONTH(W$3,0))))</f>
        <v>0.52777146697003086</v>
      </c>
      <c r="X4" s="216">
        <f t="shared" ref="X4" si="8">(I4/($N4*DAY(EOMONTH(X$3,0))))</f>
        <v>1.0982655539569404</v>
      </c>
      <c r="Y4" s="216">
        <f t="shared" ref="Y4" si="9">(J4/($N4*DAY(EOMONTH(Y$3,0))))</f>
        <v>0.95164453720123443</v>
      </c>
      <c r="Z4" s="216">
        <f t="shared" ref="Z4" si="10">(K4/($N4*DAY(EOMONTH(Z$3,0))))</f>
        <v>0.90089531680440649</v>
      </c>
      <c r="AA4" s="216">
        <f t="shared" ref="AA4" si="11">(L4/($N4*DAY(EOMONTH(AA$3,0))))</f>
        <v>1.3741779880804983</v>
      </c>
      <c r="AB4" s="216">
        <f t="shared" ref="AB4" si="12">(M4/($N4*DAY(EOMONTH(AB$3,0))))</f>
        <v>0.66892389110092365</v>
      </c>
      <c r="AD4" s="308">
        <f>IF(ROUNDUP(Q4/0.33,0)&lt;$P4,ROUNDUP(Q4/0.33,0),$P4)</f>
        <v>2</v>
      </c>
      <c r="AE4" s="308">
        <f t="shared" ref="AE4:AO4" si="13">IF(ROUNDUP(R4/0.33,0)&lt;$P4,ROUNDUP(R4/0.33,0),$P4)</f>
        <v>3</v>
      </c>
      <c r="AF4" s="308">
        <f t="shared" si="13"/>
        <v>1</v>
      </c>
      <c r="AG4" s="308">
        <f t="shared" si="13"/>
        <v>2</v>
      </c>
      <c r="AH4" s="308">
        <f t="shared" si="13"/>
        <v>2</v>
      </c>
      <c r="AI4" s="308">
        <f t="shared" si="13"/>
        <v>3</v>
      </c>
      <c r="AJ4" s="308">
        <f t="shared" si="13"/>
        <v>2</v>
      </c>
      <c r="AK4" s="308">
        <f t="shared" si="13"/>
        <v>3</v>
      </c>
      <c r="AL4" s="308">
        <f t="shared" si="13"/>
        <v>3</v>
      </c>
      <c r="AM4" s="308">
        <f t="shared" si="13"/>
        <v>3</v>
      </c>
      <c r="AN4" s="308">
        <f t="shared" si="13"/>
        <v>3</v>
      </c>
      <c r="AO4" s="308">
        <f t="shared" si="13"/>
        <v>3</v>
      </c>
      <c r="AQ4" s="308">
        <f>AD4*2.5</f>
        <v>5</v>
      </c>
      <c r="AR4" s="308">
        <f t="shared" ref="AR4:AR9" si="14">AE4*2.5</f>
        <v>7.5</v>
      </c>
      <c r="AS4" s="308">
        <f t="shared" ref="AS4:AS9" si="15">AF4*2.5</f>
        <v>2.5</v>
      </c>
      <c r="AT4" s="308">
        <f t="shared" ref="AT4:AT9" si="16">AG4*2.5</f>
        <v>5</v>
      </c>
      <c r="AU4" s="308">
        <f t="shared" ref="AU4:AU9" si="17">AH4*2.5</f>
        <v>5</v>
      </c>
      <c r="AV4" s="308">
        <f t="shared" ref="AV4:AV9" si="18">AI4*2.5</f>
        <v>7.5</v>
      </c>
      <c r="AW4" s="308">
        <f t="shared" ref="AW4:AW9" si="19">AJ4*2.5</f>
        <v>5</v>
      </c>
      <c r="AX4" s="308">
        <f t="shared" ref="AX4:AX9" si="20">AK4*2.5</f>
        <v>7.5</v>
      </c>
      <c r="AY4" s="308">
        <f t="shared" ref="AY4:AY9" si="21">AL4*2.5</f>
        <v>7.5</v>
      </c>
      <c r="AZ4" s="308">
        <f t="shared" ref="AZ4:AZ9" si="22">AM4*2.5</f>
        <v>7.5</v>
      </c>
      <c r="BA4" s="308">
        <f t="shared" ref="BA4:BA9" si="23">AN4*2.5</f>
        <v>7.5</v>
      </c>
      <c r="BB4" s="308">
        <f t="shared" ref="BB4:BB9" si="24">AO4*2.5</f>
        <v>7.5</v>
      </c>
    </row>
    <row r="5" spans="1:54">
      <c r="A5" s="13" t="s">
        <v>259</v>
      </c>
      <c r="B5" s="993">
        <f>'Tufting PPC to BP Sheet conver'!B16</f>
        <v>38977.96490376287</v>
      </c>
      <c r="C5" s="993">
        <f>'Tufting PPC to BP Sheet conver'!C16</f>
        <v>40937.941270000003</v>
      </c>
      <c r="D5" s="993">
        <f>'Tufting PPC to BP Sheet conver'!D16</f>
        <v>50338.300594999979</v>
      </c>
      <c r="E5" s="993">
        <f>'Tufting PPC to BP Sheet conver'!E16</f>
        <v>42208.457549999999</v>
      </c>
      <c r="F5" s="993">
        <f>'Tufting PPC to BP Sheet conver'!F16</f>
        <v>73162.589199999959</v>
      </c>
      <c r="G5" s="993">
        <f>'Tufting PPC to BP Sheet conver'!G16</f>
        <v>127085.45407999998</v>
      </c>
      <c r="H5" s="993">
        <f>'Tufting PPC to BP Sheet conver'!H16</f>
        <v>155250.95342999999</v>
      </c>
      <c r="I5" s="993">
        <f>'Tufting PPC to BP Sheet conver'!I16</f>
        <v>106985.84198499999</v>
      </c>
      <c r="J5" s="993">
        <f>'Tufting PPC to BP Sheet conver'!J16</f>
        <v>112379.77430999998</v>
      </c>
      <c r="K5" s="993">
        <f>'Tufting PPC to BP Sheet conver'!K16</f>
        <v>134670.15675000002</v>
      </c>
      <c r="L5" s="993">
        <f>'Tufting PPC to BP Sheet conver'!L16</f>
        <v>110708.8118333334</v>
      </c>
      <c r="M5" s="993">
        <f>'Tufting PPC to BP Sheet conver'!M16</f>
        <v>111059.01183333341</v>
      </c>
      <c r="N5" s="10">
        <v>3608.7736691602422</v>
      </c>
      <c r="O5" s="993">
        <v>1</v>
      </c>
      <c r="P5" s="993">
        <f t="shared" ref="P5:P9" si="25">O5*3</f>
        <v>3</v>
      </c>
      <c r="Q5" s="216">
        <f t="shared" si="2"/>
        <v>0.36002964328168391</v>
      </c>
      <c r="R5" s="216">
        <f t="shared" si="2"/>
        <v>0.36593559799289344</v>
      </c>
      <c r="S5" s="216">
        <f t="shared" ref="S5:AB9" si="26">(D5/($N5*DAY(EOMONTH(S$3,0))))</f>
        <v>0.46496220239744807</v>
      </c>
      <c r="T5" s="216">
        <f t="shared" si="26"/>
        <v>0.3772924742856007</v>
      </c>
      <c r="U5" s="216">
        <f t="shared" si="26"/>
        <v>0.65398490981836299</v>
      </c>
      <c r="V5" s="216">
        <f t="shared" si="26"/>
        <v>1.1738563265599367</v>
      </c>
      <c r="W5" s="216">
        <f t="shared" si="26"/>
        <v>1.3877554346878347</v>
      </c>
      <c r="X5" s="216">
        <f t="shared" si="26"/>
        <v>0.98820127272298086</v>
      </c>
      <c r="Y5" s="216">
        <f t="shared" si="26"/>
        <v>1.0045390324640584</v>
      </c>
      <c r="Z5" s="216">
        <f t="shared" si="26"/>
        <v>1.2037880463281037</v>
      </c>
      <c r="AA5" s="216">
        <f t="shared" si="26"/>
        <v>1.0956315079257462</v>
      </c>
      <c r="AB5" s="216">
        <f t="shared" si="26"/>
        <v>0.99273301604721087</v>
      </c>
      <c r="AD5" s="308">
        <f t="shared" ref="AD5:AD15" si="27">IF(ROUNDUP(Q5/0.33,0)&lt;$P5,ROUNDUP(Q5/0.33,0),$P5)</f>
        <v>2</v>
      </c>
      <c r="AE5" s="308">
        <f t="shared" ref="AE5:AE15" si="28">IF(ROUNDUP(R5/0.33,0)&lt;$P5,ROUNDUP(R5/0.33,0),$P5)</f>
        <v>2</v>
      </c>
      <c r="AF5" s="308">
        <f t="shared" ref="AF5:AF15" si="29">IF(ROUNDUP(S5/0.33,0)&lt;$P5,ROUNDUP(S5/0.33,0),$P5)</f>
        <v>2</v>
      </c>
      <c r="AG5" s="308">
        <f t="shared" ref="AG5:AG15" si="30">IF(ROUNDUP(T5/0.33,0)&lt;$P5,ROUNDUP(T5/0.33,0),$P5)</f>
        <v>2</v>
      </c>
      <c r="AH5" s="308">
        <f t="shared" ref="AH5:AH15" si="31">IF(ROUNDUP(U5/0.33,0)&lt;$P5,ROUNDUP(U5/0.33,0),$P5)</f>
        <v>2</v>
      </c>
      <c r="AI5" s="308">
        <f t="shared" ref="AI5:AI15" si="32">IF(ROUNDUP(V5/0.33,0)&lt;$P5,ROUNDUP(V5/0.33,0),$P5)</f>
        <v>3</v>
      </c>
      <c r="AJ5" s="308">
        <f t="shared" ref="AJ5:AJ15" si="33">IF(ROUNDUP(W5/0.33,0)&lt;$P5,ROUNDUP(W5/0.33,0),$P5)</f>
        <v>3</v>
      </c>
      <c r="AK5" s="308">
        <f t="shared" ref="AK5:AK15" si="34">IF(ROUNDUP(X5/0.33,0)&lt;$P5,ROUNDUP(X5/0.33,0),$P5)</f>
        <v>3</v>
      </c>
      <c r="AL5" s="308">
        <f t="shared" ref="AL5:AL15" si="35">IF(ROUNDUP(Y5/0.33,0)&lt;$P5,ROUNDUP(Y5/0.33,0),$P5)</f>
        <v>3</v>
      </c>
      <c r="AM5" s="308">
        <f t="shared" ref="AM5:AM15" si="36">IF(ROUNDUP(Z5/0.33,0)&lt;$P5,ROUNDUP(Z5/0.33,0),$P5)</f>
        <v>3</v>
      </c>
      <c r="AN5" s="308">
        <f t="shared" ref="AN5:AN15" si="37">IF(ROUNDUP(AA5/0.33,0)&lt;$P5,ROUNDUP(AA5/0.33,0),$P5)</f>
        <v>3</v>
      </c>
      <c r="AO5" s="308">
        <f t="shared" ref="AO5:AO15" si="38">IF(ROUNDUP(AB5/0.33,0)&lt;$P5,ROUNDUP(AB5/0.33,0),$P5)</f>
        <v>3</v>
      </c>
      <c r="AQ5" s="308">
        <f t="shared" ref="AQ5:AQ9" si="39">AD5*2.5</f>
        <v>5</v>
      </c>
      <c r="AR5" s="308">
        <f t="shared" si="14"/>
        <v>5</v>
      </c>
      <c r="AS5" s="308">
        <f t="shared" si="15"/>
        <v>5</v>
      </c>
      <c r="AT5" s="308">
        <f t="shared" si="16"/>
        <v>5</v>
      </c>
      <c r="AU5" s="308">
        <f t="shared" si="17"/>
        <v>5</v>
      </c>
      <c r="AV5" s="308">
        <f t="shared" si="18"/>
        <v>7.5</v>
      </c>
      <c r="AW5" s="308">
        <f t="shared" si="19"/>
        <v>7.5</v>
      </c>
      <c r="AX5" s="308">
        <f t="shared" si="20"/>
        <v>7.5</v>
      </c>
      <c r="AY5" s="308">
        <f t="shared" si="21"/>
        <v>7.5</v>
      </c>
      <c r="AZ5" s="308">
        <f t="shared" si="22"/>
        <v>7.5</v>
      </c>
      <c r="BA5" s="308">
        <f t="shared" si="23"/>
        <v>7.5</v>
      </c>
      <c r="BB5" s="308">
        <f t="shared" si="24"/>
        <v>7.5</v>
      </c>
    </row>
    <row r="6" spans="1:54">
      <c r="A6" s="13" t="s">
        <v>78</v>
      </c>
      <c r="B6" s="993">
        <f>'Tufting PPC to BP Sheet conver'!B17</f>
        <v>41310.012240000004</v>
      </c>
      <c r="C6" s="993">
        <f>'Tufting PPC to BP Sheet conver'!C17</f>
        <v>75545.605439999999</v>
      </c>
      <c r="D6" s="993">
        <f>'Tufting PPC to BP Sheet conver'!D17</f>
        <v>23691.285440000003</v>
      </c>
      <c r="E6" s="993">
        <f>'Tufting PPC to BP Sheet conver'!E17</f>
        <v>27153.046773333332</v>
      </c>
      <c r="F6" s="993">
        <f>'Tufting PPC to BP Sheet conver'!F17</f>
        <v>22208.593573333335</v>
      </c>
      <c r="G6" s="993">
        <f>'Tufting PPC to BP Sheet conver'!G17</f>
        <v>25804.982773333333</v>
      </c>
      <c r="H6" s="993">
        <f>'Tufting PPC to BP Sheet conver'!H17</f>
        <v>13645.477080000001</v>
      </c>
      <c r="I6" s="993">
        <f>'Tufting PPC to BP Sheet conver'!I17</f>
        <v>47631.369440000002</v>
      </c>
      <c r="J6" s="993">
        <f>'Tufting PPC to BP Sheet conver'!J17</f>
        <v>63749.180240000002</v>
      </c>
      <c r="K6" s="993">
        <f>'Tufting PPC to BP Sheet conver'!K17</f>
        <v>61538.593690666668</v>
      </c>
      <c r="L6" s="993">
        <f>'Tufting PPC to BP Sheet conver'!L17</f>
        <v>85902.736106666664</v>
      </c>
      <c r="M6" s="993">
        <f>'Tufting PPC to BP Sheet conver'!M17</f>
        <v>116339.23610666666</v>
      </c>
      <c r="N6" s="10">
        <v>4346.1835293235808</v>
      </c>
      <c r="O6" s="993">
        <v>1</v>
      </c>
      <c r="P6" s="993">
        <f t="shared" si="25"/>
        <v>3</v>
      </c>
      <c r="Q6" s="216">
        <f t="shared" si="2"/>
        <v>0.31682978841307924</v>
      </c>
      <c r="R6" s="216">
        <f t="shared" si="2"/>
        <v>0.5607114834777408</v>
      </c>
      <c r="S6" s="216">
        <f t="shared" si="26"/>
        <v>0.18170183319192998</v>
      </c>
      <c r="T6" s="216">
        <f t="shared" si="26"/>
        <v>0.20153422622720615</v>
      </c>
      <c r="U6" s="216">
        <f t="shared" si="26"/>
        <v>0.16483570918427676</v>
      </c>
      <c r="V6" s="216">
        <f t="shared" si="26"/>
        <v>0.19791297045808751</v>
      </c>
      <c r="W6" s="216">
        <f t="shared" si="26"/>
        <v>0.10127889837834506</v>
      </c>
      <c r="X6" s="216">
        <f t="shared" si="26"/>
        <v>0.36531184289720287</v>
      </c>
      <c r="Y6" s="216">
        <f t="shared" si="26"/>
        <v>0.47315654186198397</v>
      </c>
      <c r="Z6" s="216">
        <f t="shared" si="26"/>
        <v>0.45674921735629748</v>
      </c>
      <c r="AA6" s="216">
        <f t="shared" si="26"/>
        <v>0.70589629734984127</v>
      </c>
      <c r="AB6" s="216">
        <f t="shared" si="26"/>
        <v>0.86348829007460282</v>
      </c>
      <c r="AD6" s="308">
        <f t="shared" si="27"/>
        <v>1</v>
      </c>
      <c r="AE6" s="308">
        <f t="shared" si="28"/>
        <v>2</v>
      </c>
      <c r="AF6" s="308">
        <f t="shared" si="29"/>
        <v>1</v>
      </c>
      <c r="AG6" s="308">
        <f t="shared" si="30"/>
        <v>1</v>
      </c>
      <c r="AH6" s="308">
        <f t="shared" si="31"/>
        <v>1</v>
      </c>
      <c r="AI6" s="308">
        <f t="shared" si="32"/>
        <v>1</v>
      </c>
      <c r="AJ6" s="308">
        <f t="shared" si="33"/>
        <v>1</v>
      </c>
      <c r="AK6" s="308">
        <f t="shared" si="34"/>
        <v>2</v>
      </c>
      <c r="AL6" s="308">
        <f t="shared" si="35"/>
        <v>2</v>
      </c>
      <c r="AM6" s="308">
        <f t="shared" si="36"/>
        <v>2</v>
      </c>
      <c r="AN6" s="308">
        <f t="shared" si="37"/>
        <v>3</v>
      </c>
      <c r="AO6" s="308">
        <f t="shared" si="38"/>
        <v>3</v>
      </c>
      <c r="AQ6" s="308">
        <f t="shared" si="39"/>
        <v>2.5</v>
      </c>
      <c r="AR6" s="308">
        <f t="shared" si="14"/>
        <v>5</v>
      </c>
      <c r="AS6" s="308">
        <f t="shared" si="15"/>
        <v>2.5</v>
      </c>
      <c r="AT6" s="308">
        <f t="shared" si="16"/>
        <v>2.5</v>
      </c>
      <c r="AU6" s="308">
        <f t="shared" si="17"/>
        <v>2.5</v>
      </c>
      <c r="AV6" s="308">
        <f t="shared" si="18"/>
        <v>2.5</v>
      </c>
      <c r="AW6" s="308">
        <f t="shared" si="19"/>
        <v>2.5</v>
      </c>
      <c r="AX6" s="308">
        <f t="shared" si="20"/>
        <v>5</v>
      </c>
      <c r="AY6" s="308">
        <f t="shared" si="21"/>
        <v>5</v>
      </c>
      <c r="AZ6" s="308">
        <f t="shared" si="22"/>
        <v>5</v>
      </c>
      <c r="BA6" s="308">
        <f t="shared" si="23"/>
        <v>7.5</v>
      </c>
      <c r="BB6" s="308">
        <f t="shared" si="24"/>
        <v>7.5</v>
      </c>
    </row>
    <row r="7" spans="1:54">
      <c r="A7" s="13" t="s">
        <v>260</v>
      </c>
      <c r="B7" s="993">
        <f>'Tufting PPC to BP Sheet conver'!B18</f>
        <v>54425.196909999984</v>
      </c>
      <c r="C7" s="993">
        <f>'Tufting PPC to BP Sheet conver'!C18</f>
        <v>38012.38175</v>
      </c>
      <c r="D7" s="993">
        <f>'Tufting PPC to BP Sheet conver'!D18</f>
        <v>29375.574250000005</v>
      </c>
      <c r="E7" s="993">
        <f>'Tufting PPC to BP Sheet conver'!E18</f>
        <v>25879.054364999996</v>
      </c>
      <c r="F7" s="993">
        <f>'Tufting PPC to BP Sheet conver'!F18</f>
        <v>27139.098685000001</v>
      </c>
      <c r="G7" s="993">
        <f>'Tufting PPC to BP Sheet conver'!G18</f>
        <v>22969</v>
      </c>
      <c r="H7" s="993">
        <f>'Tufting PPC to BP Sheet conver'!H18</f>
        <v>24205</v>
      </c>
      <c r="I7" s="993">
        <f>'Tufting PPC to BP Sheet conver'!I18</f>
        <v>24514</v>
      </c>
      <c r="J7" s="993">
        <f>'Tufting PPC to BP Sheet conver'!J18</f>
        <v>36512.212500000001</v>
      </c>
      <c r="K7" s="993">
        <f>'Tufting PPC to BP Sheet conver'!K18</f>
        <v>37096.6345</v>
      </c>
      <c r="L7" s="993">
        <f>'Tufting PPC to BP Sheet conver'!L18</f>
        <v>61204.757277777804</v>
      </c>
      <c r="M7" s="993">
        <f>'Tufting PPC to BP Sheet conver'!M18</f>
        <v>54921.757277777804</v>
      </c>
      <c r="N7" s="10">
        <v>1528.5668146058749</v>
      </c>
      <c r="O7" s="993">
        <v>1</v>
      </c>
      <c r="P7" s="993">
        <f t="shared" si="25"/>
        <v>3</v>
      </c>
      <c r="Q7" s="216">
        <f t="shared" si="2"/>
        <v>1.1868458826911654</v>
      </c>
      <c r="R7" s="216">
        <f t="shared" si="2"/>
        <v>0.80219317283778024</v>
      </c>
      <c r="S7" s="216">
        <f t="shared" si="26"/>
        <v>0.64059078018503646</v>
      </c>
      <c r="T7" s="216">
        <f t="shared" si="26"/>
        <v>0.5461378575969067</v>
      </c>
      <c r="U7" s="216">
        <f t="shared" si="26"/>
        <v>0.57272916559820086</v>
      </c>
      <c r="V7" s="216">
        <f t="shared" si="26"/>
        <v>0.5008831318444813</v>
      </c>
      <c r="W7" s="216">
        <f t="shared" si="26"/>
        <v>0.51080950086844978</v>
      </c>
      <c r="X7" s="216">
        <f t="shared" si="26"/>
        <v>0.53457482232729403</v>
      </c>
      <c r="Y7" s="216">
        <f t="shared" si="26"/>
        <v>0.77053439548555147</v>
      </c>
      <c r="Z7" s="216">
        <f t="shared" si="26"/>
        <v>0.78286772785971137</v>
      </c>
      <c r="AA7" s="216">
        <f t="shared" si="26"/>
        <v>1.430022009901917</v>
      </c>
      <c r="AB7" s="216">
        <f t="shared" si="26"/>
        <v>1.159039678656469</v>
      </c>
      <c r="AD7" s="308">
        <f t="shared" si="27"/>
        <v>3</v>
      </c>
      <c r="AE7" s="308">
        <f t="shared" si="28"/>
        <v>3</v>
      </c>
      <c r="AF7" s="308">
        <f t="shared" si="29"/>
        <v>2</v>
      </c>
      <c r="AG7" s="308">
        <f t="shared" si="30"/>
        <v>2</v>
      </c>
      <c r="AH7" s="308">
        <f t="shared" si="31"/>
        <v>2</v>
      </c>
      <c r="AI7" s="308">
        <f t="shared" si="32"/>
        <v>2</v>
      </c>
      <c r="AJ7" s="308">
        <f t="shared" si="33"/>
        <v>2</v>
      </c>
      <c r="AK7" s="308">
        <f t="shared" si="34"/>
        <v>2</v>
      </c>
      <c r="AL7" s="308">
        <f t="shared" si="35"/>
        <v>3</v>
      </c>
      <c r="AM7" s="308">
        <f t="shared" si="36"/>
        <v>3</v>
      </c>
      <c r="AN7" s="308">
        <f t="shared" si="37"/>
        <v>3</v>
      </c>
      <c r="AO7" s="308">
        <f t="shared" si="38"/>
        <v>3</v>
      </c>
      <c r="AQ7" s="308">
        <f t="shared" si="39"/>
        <v>7.5</v>
      </c>
      <c r="AR7" s="308">
        <f t="shared" si="14"/>
        <v>7.5</v>
      </c>
      <c r="AS7" s="308">
        <f t="shared" si="15"/>
        <v>5</v>
      </c>
      <c r="AT7" s="308">
        <f t="shared" si="16"/>
        <v>5</v>
      </c>
      <c r="AU7" s="308">
        <f t="shared" si="17"/>
        <v>5</v>
      </c>
      <c r="AV7" s="308">
        <f t="shared" si="18"/>
        <v>5</v>
      </c>
      <c r="AW7" s="308">
        <f t="shared" si="19"/>
        <v>5</v>
      </c>
      <c r="AX7" s="308">
        <f t="shared" si="20"/>
        <v>5</v>
      </c>
      <c r="AY7" s="308">
        <f t="shared" si="21"/>
        <v>7.5</v>
      </c>
      <c r="AZ7" s="308">
        <f t="shared" si="22"/>
        <v>7.5</v>
      </c>
      <c r="BA7" s="308">
        <f t="shared" si="23"/>
        <v>7.5</v>
      </c>
      <c r="BB7" s="308">
        <f t="shared" si="24"/>
        <v>7.5</v>
      </c>
    </row>
    <row r="8" spans="1:54">
      <c r="A8" s="13" t="s">
        <v>89</v>
      </c>
      <c r="B8" s="993">
        <f>'Tufting PPC to BP Sheet conver'!B19</f>
        <v>850.67236499999956</v>
      </c>
      <c r="C8" s="993">
        <f>'Tufting PPC to BP Sheet conver'!C19</f>
        <v>1103.0537800000002</v>
      </c>
      <c r="D8" s="993">
        <f>'Tufting PPC to BP Sheet conver'!D19</f>
        <v>1817.8047700000004</v>
      </c>
      <c r="E8" s="993">
        <f>'Tufting PPC to BP Sheet conver'!E19</f>
        <v>7763.3062149999987</v>
      </c>
      <c r="F8" s="993">
        <f>'Tufting PPC to BP Sheet conver'!F19</f>
        <v>27718.037995000002</v>
      </c>
      <c r="G8" s="993">
        <f>'Tufting PPC to BP Sheet conver'!G19</f>
        <v>11896.5</v>
      </c>
      <c r="H8" s="993">
        <f>'Tufting PPC to BP Sheet conver'!H19</f>
        <v>8755</v>
      </c>
      <c r="I8" s="993">
        <f>'Tufting PPC to BP Sheet conver'!I19</f>
        <v>16789</v>
      </c>
      <c r="J8" s="993">
        <f>'Tufting PPC to BP Sheet conver'!J19</f>
        <v>40693.755000000005</v>
      </c>
      <c r="K8" s="993">
        <f>'Tufting PPC to BP Sheet conver'!K19</f>
        <v>59689.307313999991</v>
      </c>
      <c r="L8" s="993">
        <f>'Tufting PPC to BP Sheet conver'!L19</f>
        <v>39500.5</v>
      </c>
      <c r="M8" s="993">
        <f>'Tufting PPC to BP Sheet conver'!M19</f>
        <v>20651.5</v>
      </c>
      <c r="N8" s="10">
        <v>2237.4396748793502</v>
      </c>
      <c r="O8" s="993">
        <v>1</v>
      </c>
      <c r="P8" s="993">
        <f t="shared" si="25"/>
        <v>3</v>
      </c>
      <c r="Q8" s="216">
        <f t="shared" si="2"/>
        <v>1.2673300566876298E-2</v>
      </c>
      <c r="R8" s="216">
        <f t="shared" si="2"/>
        <v>1.5903168429297974E-2</v>
      </c>
      <c r="S8" s="216">
        <f t="shared" si="26"/>
        <v>2.7081620574463418E-2</v>
      </c>
      <c r="T8" s="216">
        <f t="shared" si="26"/>
        <v>0.11192669708757148</v>
      </c>
      <c r="U8" s="216">
        <f t="shared" si="26"/>
        <v>0.39962206263793021</v>
      </c>
      <c r="V8" s="216">
        <f t="shared" si="26"/>
        <v>0.17723382867132864</v>
      </c>
      <c r="W8" s="216">
        <f t="shared" si="26"/>
        <v>0.12622434383798017</v>
      </c>
      <c r="X8" s="216">
        <f t="shared" si="26"/>
        <v>0.250122199769927</v>
      </c>
      <c r="Y8" s="216">
        <f t="shared" si="26"/>
        <v>0.58669817512033418</v>
      </c>
      <c r="Z8" s="216">
        <f t="shared" si="26"/>
        <v>0.8605646658884295</v>
      </c>
      <c r="AA8" s="216">
        <f t="shared" si="26"/>
        <v>0.63051181164614589</v>
      </c>
      <c r="AB8" s="216">
        <f t="shared" si="26"/>
        <v>0.29774095222958857</v>
      </c>
      <c r="AD8" s="308">
        <f t="shared" si="27"/>
        <v>1</v>
      </c>
      <c r="AE8" s="308">
        <f t="shared" si="28"/>
        <v>1</v>
      </c>
      <c r="AF8" s="308">
        <f t="shared" si="29"/>
        <v>1</v>
      </c>
      <c r="AG8" s="308">
        <f t="shared" si="30"/>
        <v>1</v>
      </c>
      <c r="AH8" s="308">
        <f t="shared" si="31"/>
        <v>2</v>
      </c>
      <c r="AI8" s="308">
        <f t="shared" si="32"/>
        <v>1</v>
      </c>
      <c r="AJ8" s="308">
        <f t="shared" si="33"/>
        <v>1</v>
      </c>
      <c r="AK8" s="308">
        <f t="shared" si="34"/>
        <v>1</v>
      </c>
      <c r="AL8" s="308">
        <f t="shared" si="35"/>
        <v>2</v>
      </c>
      <c r="AM8" s="308">
        <f t="shared" si="36"/>
        <v>3</v>
      </c>
      <c r="AN8" s="308">
        <f t="shared" si="37"/>
        <v>2</v>
      </c>
      <c r="AO8" s="308">
        <f t="shared" si="38"/>
        <v>1</v>
      </c>
      <c r="AQ8" s="308">
        <f t="shared" si="39"/>
        <v>2.5</v>
      </c>
      <c r="AR8" s="308">
        <f t="shared" si="14"/>
        <v>2.5</v>
      </c>
      <c r="AS8" s="308">
        <f t="shared" si="15"/>
        <v>2.5</v>
      </c>
      <c r="AT8" s="308">
        <f t="shared" si="16"/>
        <v>2.5</v>
      </c>
      <c r="AU8" s="308">
        <f t="shared" si="17"/>
        <v>5</v>
      </c>
      <c r="AV8" s="308">
        <f t="shared" si="18"/>
        <v>2.5</v>
      </c>
      <c r="AW8" s="308">
        <f t="shared" si="19"/>
        <v>2.5</v>
      </c>
      <c r="AX8" s="308">
        <f t="shared" si="20"/>
        <v>2.5</v>
      </c>
      <c r="AY8" s="308">
        <f t="shared" si="21"/>
        <v>5</v>
      </c>
      <c r="AZ8" s="308">
        <f t="shared" si="22"/>
        <v>7.5</v>
      </c>
      <c r="BA8" s="308">
        <f t="shared" si="23"/>
        <v>5</v>
      </c>
      <c r="BB8" s="308">
        <f t="shared" si="24"/>
        <v>2.5</v>
      </c>
    </row>
    <row r="9" spans="1:54">
      <c r="A9" s="13" t="s">
        <v>261</v>
      </c>
      <c r="B9" s="993">
        <f>'Tufting PPC to BP Sheet conver'!B27</f>
        <v>312281.87841379881</v>
      </c>
      <c r="C9" s="993">
        <f>'Tufting PPC to BP Sheet conver'!C27</f>
        <v>204155.63546010677</v>
      </c>
      <c r="D9" s="993">
        <f>'Tufting PPC to BP Sheet conver'!D27</f>
        <v>282966.87632799282</v>
      </c>
      <c r="E9" s="993">
        <f>'Tufting PPC to BP Sheet conver'!E27</f>
        <v>279914.37778341176</v>
      </c>
      <c r="F9" s="993">
        <f>'Tufting PPC to BP Sheet conver'!F27</f>
        <v>251133.57588498687</v>
      </c>
      <c r="G9" s="993">
        <f>'Tufting PPC to BP Sheet conver'!G27</f>
        <v>271358.74386837415</v>
      </c>
      <c r="H9" s="993">
        <f>'Tufting PPC to BP Sheet conver'!H27</f>
        <v>239213.35798354057</v>
      </c>
      <c r="I9" s="993">
        <f>'Tufting PPC to BP Sheet conver'!I27</f>
        <v>248995.67658953249</v>
      </c>
      <c r="J9" s="993">
        <f>'Tufting PPC to BP Sheet conver'!J27</f>
        <v>348199.78716501564</v>
      </c>
      <c r="K9" s="993">
        <f>'Tufting PPC to BP Sheet conver'!K27</f>
        <v>355959.46362425917</v>
      </c>
      <c r="L9" s="993">
        <f>'Tufting PPC to BP Sheet conver'!L27</f>
        <v>268046.12194834836</v>
      </c>
      <c r="M9" s="993">
        <f>'Tufting PPC to BP Sheet conver'!M27</f>
        <v>317268.37445953308</v>
      </c>
      <c r="N9" s="10">
        <v>3208.0936514814207</v>
      </c>
      <c r="O9" s="993">
        <v>4</v>
      </c>
      <c r="P9" s="993">
        <f t="shared" si="25"/>
        <v>12</v>
      </c>
      <c r="Q9" s="216">
        <f t="shared" si="2"/>
        <v>3.2447294493163623</v>
      </c>
      <c r="R9" s="216">
        <f t="shared" si="2"/>
        <v>2.0528283695715497</v>
      </c>
      <c r="S9" s="216">
        <f t="shared" si="26"/>
        <v>2.9401352440498481</v>
      </c>
      <c r="T9" s="216">
        <f t="shared" si="26"/>
        <v>2.8145986490636914</v>
      </c>
      <c r="U9" s="216">
        <f t="shared" si="26"/>
        <v>2.5252015599118209</v>
      </c>
      <c r="V9" s="216">
        <f t="shared" si="26"/>
        <v>2.8195222599259968</v>
      </c>
      <c r="W9" s="216">
        <f t="shared" si="26"/>
        <v>2.4053412316656031</v>
      </c>
      <c r="X9" s="216">
        <f t="shared" si="26"/>
        <v>2.5871613450202977</v>
      </c>
      <c r="Y9" s="216">
        <f t="shared" si="26"/>
        <v>3.5012229751100592</v>
      </c>
      <c r="Z9" s="216">
        <f t="shared" si="26"/>
        <v>3.5792481735736317</v>
      </c>
      <c r="AA9" s="216">
        <f t="shared" si="26"/>
        <v>2.9840387544325484</v>
      </c>
      <c r="AB9" s="216">
        <f t="shared" si="26"/>
        <v>3.1902010365305182</v>
      </c>
      <c r="AD9" s="308">
        <f t="shared" si="27"/>
        <v>10</v>
      </c>
      <c r="AE9" s="308">
        <f t="shared" si="28"/>
        <v>7</v>
      </c>
      <c r="AF9" s="308">
        <f t="shared" si="29"/>
        <v>9</v>
      </c>
      <c r="AG9" s="308">
        <f t="shared" si="30"/>
        <v>9</v>
      </c>
      <c r="AH9" s="308">
        <f t="shared" si="31"/>
        <v>8</v>
      </c>
      <c r="AI9" s="308">
        <f t="shared" si="32"/>
        <v>9</v>
      </c>
      <c r="AJ9" s="308">
        <f t="shared" si="33"/>
        <v>8</v>
      </c>
      <c r="AK9" s="308">
        <f t="shared" si="34"/>
        <v>8</v>
      </c>
      <c r="AL9" s="308">
        <f t="shared" si="35"/>
        <v>11</v>
      </c>
      <c r="AM9" s="308">
        <f t="shared" si="36"/>
        <v>11</v>
      </c>
      <c r="AN9" s="308">
        <f t="shared" si="37"/>
        <v>10</v>
      </c>
      <c r="AO9" s="308">
        <f t="shared" si="38"/>
        <v>10</v>
      </c>
      <c r="AQ9" s="308">
        <f t="shared" si="39"/>
        <v>25</v>
      </c>
      <c r="AR9" s="308">
        <f t="shared" si="14"/>
        <v>17.5</v>
      </c>
      <c r="AS9" s="308">
        <f t="shared" si="15"/>
        <v>22.5</v>
      </c>
      <c r="AT9" s="308">
        <f t="shared" si="16"/>
        <v>22.5</v>
      </c>
      <c r="AU9" s="308">
        <f t="shared" si="17"/>
        <v>20</v>
      </c>
      <c r="AV9" s="308">
        <f t="shared" si="18"/>
        <v>22.5</v>
      </c>
      <c r="AW9" s="308">
        <f t="shared" si="19"/>
        <v>20</v>
      </c>
      <c r="AX9" s="308">
        <f t="shared" si="20"/>
        <v>20</v>
      </c>
      <c r="AY9" s="308">
        <f t="shared" si="21"/>
        <v>27.5</v>
      </c>
      <c r="AZ9" s="308">
        <f t="shared" si="22"/>
        <v>27.5</v>
      </c>
      <c r="BA9" s="308">
        <f t="shared" si="23"/>
        <v>25</v>
      </c>
      <c r="BB9" s="308">
        <f t="shared" si="24"/>
        <v>25</v>
      </c>
    </row>
    <row r="10" spans="1:54">
      <c r="A10" s="13" t="s">
        <v>82</v>
      </c>
      <c r="B10" s="397"/>
      <c r="C10" s="397"/>
      <c r="D10" s="397"/>
      <c r="E10" s="397"/>
      <c r="F10" s="397"/>
      <c r="G10" s="397"/>
      <c r="H10" s="397"/>
      <c r="I10" s="397"/>
      <c r="J10" s="397"/>
      <c r="K10" s="397"/>
      <c r="L10" s="397"/>
      <c r="M10" s="397"/>
      <c r="N10" s="10"/>
      <c r="O10" s="13"/>
      <c r="P10" s="13"/>
      <c r="Q10" s="216"/>
      <c r="R10" s="216"/>
      <c r="S10" s="216"/>
      <c r="T10" s="216"/>
      <c r="U10" s="216"/>
      <c r="V10" s="216"/>
      <c r="W10" s="216"/>
      <c r="X10" s="216"/>
      <c r="Y10" s="216"/>
      <c r="Z10" s="216"/>
      <c r="AA10" s="216"/>
      <c r="AB10" s="216"/>
      <c r="AD10" s="308"/>
      <c r="AE10" s="308"/>
      <c r="AF10" s="308"/>
      <c r="AG10" s="308"/>
      <c r="AH10" s="308"/>
      <c r="AI10" s="308"/>
      <c r="AJ10" s="308"/>
      <c r="AK10" s="308"/>
      <c r="AL10" s="308"/>
      <c r="AM10" s="308"/>
      <c r="AN10" s="308"/>
      <c r="AO10" s="308"/>
      <c r="AQ10" s="13"/>
      <c r="AR10" s="13"/>
      <c r="AS10" s="13"/>
      <c r="AT10" s="13"/>
      <c r="AU10" s="13"/>
      <c r="AV10" s="13"/>
      <c r="AW10" s="13"/>
      <c r="AX10" s="13"/>
      <c r="AY10" s="13"/>
      <c r="AZ10" s="13"/>
      <c r="BA10" s="13"/>
      <c r="BB10" s="13"/>
    </row>
    <row r="11" spans="1:54">
      <c r="A11" s="13" t="s">
        <v>262</v>
      </c>
      <c r="B11" s="397"/>
      <c r="C11" s="397"/>
      <c r="D11" s="397"/>
      <c r="E11" s="397"/>
      <c r="F11" s="397"/>
      <c r="G11" s="397"/>
      <c r="H11" s="397"/>
      <c r="I11" s="397"/>
      <c r="J11" s="397"/>
      <c r="K11" s="397"/>
      <c r="L11" s="397"/>
      <c r="M11" s="397"/>
      <c r="N11" s="10"/>
      <c r="O11" s="13"/>
      <c r="P11" s="13"/>
      <c r="Q11" s="216"/>
      <c r="R11" s="216"/>
      <c r="S11" s="216"/>
      <c r="T11" s="216"/>
      <c r="U11" s="216"/>
      <c r="V11" s="216"/>
      <c r="W11" s="216"/>
      <c r="X11" s="216"/>
      <c r="Y11" s="216"/>
      <c r="Z11" s="216"/>
      <c r="AA11" s="216"/>
      <c r="AB11" s="216"/>
      <c r="AD11" s="308"/>
      <c r="AE11" s="308"/>
      <c r="AF11" s="308"/>
      <c r="AG11" s="308"/>
      <c r="AH11" s="308"/>
      <c r="AI11" s="308"/>
      <c r="AJ11" s="308"/>
      <c r="AK11" s="308"/>
      <c r="AL11" s="308"/>
      <c r="AM11" s="308"/>
      <c r="AN11" s="308"/>
      <c r="AO11" s="308"/>
      <c r="AQ11" s="13"/>
      <c r="AR11" s="13"/>
      <c r="AS11" s="13"/>
      <c r="AT11" s="13"/>
      <c r="AU11" s="13"/>
      <c r="AV11" s="13"/>
      <c r="AW11" s="13"/>
      <c r="AX11" s="13"/>
      <c r="AY11" s="13"/>
      <c r="AZ11" s="13"/>
      <c r="BA11" s="13"/>
      <c r="BB11" s="13"/>
    </row>
    <row r="12" spans="1:54">
      <c r="A12" s="13" t="s">
        <v>88</v>
      </c>
      <c r="B12" s="993">
        <f>'Tufting PPC to BP Sheet conver'!B23</f>
        <v>194493.0164128957</v>
      </c>
      <c r="C12" s="993">
        <f>'Tufting PPC to BP Sheet conver'!C23</f>
        <v>185935.82210072927</v>
      </c>
      <c r="D12" s="993">
        <f>'Tufting PPC to BP Sheet conver'!D23</f>
        <v>171464.73456019169</v>
      </c>
      <c r="E12" s="993">
        <f>'Tufting PPC to BP Sheet conver'!E23</f>
        <v>161996.20638619171</v>
      </c>
      <c r="F12" s="993">
        <f>'Tufting PPC to BP Sheet conver'!F23</f>
        <v>182479.17071824931</v>
      </c>
      <c r="G12" s="993">
        <f>'Tufting PPC to BP Sheet conver'!G23</f>
        <v>180874.7313361917</v>
      </c>
      <c r="H12" s="993">
        <f>'Tufting PPC to BP Sheet conver'!H23</f>
        <v>179649.94597619167</v>
      </c>
      <c r="I12" s="993">
        <f>'Tufting PPC to BP Sheet conver'!I23</f>
        <v>173868.50531864929</v>
      </c>
      <c r="J12" s="993">
        <f>'Tufting PPC to BP Sheet conver'!J23</f>
        <v>192363.48799659163</v>
      </c>
      <c r="K12" s="993">
        <f>'Tufting PPC to BP Sheet conver'!K23</f>
        <v>183034.81507659168</v>
      </c>
      <c r="L12" s="993">
        <f>'Tufting PPC to BP Sheet conver'!L23</f>
        <v>186381.85995864929</v>
      </c>
      <c r="M12" s="993">
        <f>'Tufting PPC to BP Sheet conver'!M23</f>
        <v>185694.4656265917</v>
      </c>
      <c r="N12" s="10">
        <v>2460.9525019050038</v>
      </c>
      <c r="O12" s="993">
        <v>2</v>
      </c>
      <c r="P12" s="993">
        <f t="shared" ref="P12:P15" si="40">O12*3</f>
        <v>6</v>
      </c>
      <c r="Q12" s="216">
        <f t="shared" ref="Q12:Q15" si="41">(B12/($N12*DAY(EOMONTH(Q$3,0))))</f>
        <v>2.6343867027413195</v>
      </c>
      <c r="R12" s="216">
        <f t="shared" ref="R12:AB15" si="42">(C12/($N12*DAY(EOMONTH(R$3,0))))</f>
        <v>2.43723913425467</v>
      </c>
      <c r="S12" s="216">
        <f t="shared" si="42"/>
        <v>2.3224711357013486</v>
      </c>
      <c r="T12" s="216">
        <f t="shared" si="42"/>
        <v>2.1234396327961491</v>
      </c>
      <c r="U12" s="216">
        <f t="shared" si="42"/>
        <v>2.391929489627441</v>
      </c>
      <c r="V12" s="216">
        <f t="shared" si="42"/>
        <v>2.4499285161088102</v>
      </c>
      <c r="W12" s="216">
        <f t="shared" si="42"/>
        <v>2.3548441276835286</v>
      </c>
      <c r="X12" s="216">
        <f t="shared" si="42"/>
        <v>2.3550299485539177</v>
      </c>
      <c r="Y12" s="216">
        <f t="shared" si="42"/>
        <v>2.52149271533612</v>
      </c>
      <c r="Z12" s="216">
        <f t="shared" si="42"/>
        <v>2.3992128530997374</v>
      </c>
      <c r="AA12" s="216">
        <f t="shared" si="42"/>
        <v>2.7048449709494391</v>
      </c>
      <c r="AB12" s="216">
        <f t="shared" si="42"/>
        <v>2.434075443485308</v>
      </c>
      <c r="AD12" s="308">
        <f t="shared" si="27"/>
        <v>6</v>
      </c>
      <c r="AE12" s="308">
        <f t="shared" si="28"/>
        <v>6</v>
      </c>
      <c r="AF12" s="308">
        <f t="shared" si="29"/>
        <v>6</v>
      </c>
      <c r="AG12" s="308">
        <f t="shared" si="30"/>
        <v>6</v>
      </c>
      <c r="AH12" s="308">
        <f t="shared" si="31"/>
        <v>6</v>
      </c>
      <c r="AI12" s="308">
        <f t="shared" si="32"/>
        <v>6</v>
      </c>
      <c r="AJ12" s="308">
        <f t="shared" si="33"/>
        <v>6</v>
      </c>
      <c r="AK12" s="308">
        <f t="shared" si="34"/>
        <v>6</v>
      </c>
      <c r="AL12" s="308">
        <f t="shared" si="35"/>
        <v>6</v>
      </c>
      <c r="AM12" s="308">
        <f t="shared" si="36"/>
        <v>6</v>
      </c>
      <c r="AN12" s="308">
        <f t="shared" si="37"/>
        <v>6</v>
      </c>
      <c r="AO12" s="308">
        <f t="shared" si="38"/>
        <v>6</v>
      </c>
      <c r="AQ12" s="308">
        <f>AD12*3.5</f>
        <v>21</v>
      </c>
      <c r="AR12" s="308">
        <f t="shared" ref="AR12:BB12" si="43">AE12*3.5</f>
        <v>21</v>
      </c>
      <c r="AS12" s="308">
        <f t="shared" si="43"/>
        <v>21</v>
      </c>
      <c r="AT12" s="308">
        <f t="shared" si="43"/>
        <v>21</v>
      </c>
      <c r="AU12" s="308">
        <f t="shared" si="43"/>
        <v>21</v>
      </c>
      <c r="AV12" s="308">
        <f t="shared" si="43"/>
        <v>21</v>
      </c>
      <c r="AW12" s="308">
        <f t="shared" si="43"/>
        <v>21</v>
      </c>
      <c r="AX12" s="308">
        <f t="shared" si="43"/>
        <v>21</v>
      </c>
      <c r="AY12" s="308">
        <f t="shared" si="43"/>
        <v>21</v>
      </c>
      <c r="AZ12" s="308">
        <f t="shared" si="43"/>
        <v>21</v>
      </c>
      <c r="BA12" s="308">
        <f t="shared" si="43"/>
        <v>21</v>
      </c>
      <c r="BB12" s="308">
        <f t="shared" si="43"/>
        <v>21</v>
      </c>
    </row>
    <row r="13" spans="1:54">
      <c r="A13" s="13" t="s">
        <v>263</v>
      </c>
      <c r="B13" s="993">
        <f>'Tufting PPC to BP Sheet conver'!B24</f>
        <v>459611.37344396516</v>
      </c>
      <c r="C13" s="993">
        <f>'Tufting PPC to BP Sheet conver'!C24</f>
        <v>482563.21370105736</v>
      </c>
      <c r="D13" s="993">
        <f>'Tufting PPC to BP Sheet conver'!D24</f>
        <v>417471.32471786463</v>
      </c>
      <c r="E13" s="993">
        <f>'Tufting PPC to BP Sheet conver'!E24</f>
        <v>479893.39118447131</v>
      </c>
      <c r="F13" s="993">
        <f>'Tufting PPC to BP Sheet conver'!F24</f>
        <v>498146.9816565513</v>
      </c>
      <c r="G13" s="993">
        <f>'Tufting PPC to BP Sheet conver'!G24</f>
        <v>494568.46603653365</v>
      </c>
      <c r="H13" s="993">
        <f>'Tufting PPC to BP Sheet conver'!H24</f>
        <v>499387.44745213015</v>
      </c>
      <c r="I13" s="993">
        <f>'Tufting PPC to BP Sheet conver'!I24</f>
        <v>317584.63401827862</v>
      </c>
      <c r="J13" s="993">
        <f>'Tufting PPC to BP Sheet conver'!J24</f>
        <v>389085.08381025778</v>
      </c>
      <c r="K13" s="993">
        <f>'Tufting PPC to BP Sheet conver'!K24</f>
        <v>396245.45393985853</v>
      </c>
      <c r="L13" s="993">
        <f>'Tufting PPC to BP Sheet conver'!L24</f>
        <v>406376.55300405034</v>
      </c>
      <c r="M13" s="993">
        <f>'Tufting PPC to BP Sheet conver'!M24</f>
        <v>389817.46074597363</v>
      </c>
      <c r="N13" s="10">
        <v>5656.1849123698248</v>
      </c>
      <c r="O13" s="993">
        <v>4</v>
      </c>
      <c r="P13" s="993">
        <f t="shared" si="40"/>
        <v>12</v>
      </c>
      <c r="Q13" s="216">
        <f t="shared" si="41"/>
        <v>2.7086064816045616</v>
      </c>
      <c r="R13" s="216">
        <f t="shared" si="42"/>
        <v>2.7521298404929984</v>
      </c>
      <c r="S13" s="216">
        <f t="shared" si="42"/>
        <v>2.4602644785349539</v>
      </c>
      <c r="T13" s="216">
        <f t="shared" si="42"/>
        <v>2.736903445260003</v>
      </c>
      <c r="U13" s="216">
        <f t="shared" si="42"/>
        <v>2.841006388891075</v>
      </c>
      <c r="V13" s="216">
        <f t="shared" si="42"/>
        <v>2.9146175010116471</v>
      </c>
      <c r="W13" s="216">
        <f t="shared" si="42"/>
        <v>2.848080949974876</v>
      </c>
      <c r="X13" s="216">
        <f t="shared" si="42"/>
        <v>1.8716068571457953</v>
      </c>
      <c r="Y13" s="216">
        <f t="shared" si="42"/>
        <v>2.2190101508820903</v>
      </c>
      <c r="Z13" s="216">
        <f t="shared" si="42"/>
        <v>2.2598468076000984</v>
      </c>
      <c r="AA13" s="216">
        <f t="shared" si="42"/>
        <v>2.5659430422497258</v>
      </c>
      <c r="AB13" s="216">
        <f t="shared" si="42"/>
        <v>2.2231870055656735</v>
      </c>
      <c r="AD13" s="308">
        <f t="shared" si="27"/>
        <v>9</v>
      </c>
      <c r="AE13" s="308">
        <f t="shared" si="28"/>
        <v>9</v>
      </c>
      <c r="AF13" s="308">
        <f t="shared" si="29"/>
        <v>8</v>
      </c>
      <c r="AG13" s="308">
        <f t="shared" si="30"/>
        <v>9</v>
      </c>
      <c r="AH13" s="308">
        <f t="shared" si="31"/>
        <v>9</v>
      </c>
      <c r="AI13" s="308">
        <f t="shared" si="32"/>
        <v>9</v>
      </c>
      <c r="AJ13" s="308">
        <f t="shared" si="33"/>
        <v>9</v>
      </c>
      <c r="AK13" s="308">
        <f t="shared" si="34"/>
        <v>6</v>
      </c>
      <c r="AL13" s="308">
        <f t="shared" si="35"/>
        <v>7</v>
      </c>
      <c r="AM13" s="308">
        <f t="shared" si="36"/>
        <v>7</v>
      </c>
      <c r="AN13" s="308">
        <f t="shared" si="37"/>
        <v>8</v>
      </c>
      <c r="AO13" s="308">
        <f t="shared" si="38"/>
        <v>7</v>
      </c>
      <c r="AQ13" s="308">
        <f t="shared" ref="AQ13:AQ15" si="44">AD13*2.5</f>
        <v>22.5</v>
      </c>
      <c r="AR13" s="308">
        <f t="shared" ref="AR13:AR15" si="45">AE13*2.5</f>
        <v>22.5</v>
      </c>
      <c r="AS13" s="308">
        <f t="shared" ref="AS13:AS15" si="46">AF13*2.5</f>
        <v>20</v>
      </c>
      <c r="AT13" s="308">
        <f t="shared" ref="AT13:AT15" si="47">AG13*2.5</f>
        <v>22.5</v>
      </c>
      <c r="AU13" s="308">
        <f t="shared" ref="AU13:AU15" si="48">AH13*2.5</f>
        <v>22.5</v>
      </c>
      <c r="AV13" s="308">
        <f t="shared" ref="AV13:AV15" si="49">AI13*2.5</f>
        <v>22.5</v>
      </c>
      <c r="AW13" s="308">
        <f t="shared" ref="AW13:AW15" si="50">AJ13*2.5</f>
        <v>22.5</v>
      </c>
      <c r="AX13" s="308">
        <f t="shared" ref="AX13:AX15" si="51">AK13*2.5</f>
        <v>15</v>
      </c>
      <c r="AY13" s="308">
        <f t="shared" ref="AY13:AY15" si="52">AL13*2.5</f>
        <v>17.5</v>
      </c>
      <c r="AZ13" s="308">
        <f t="shared" ref="AZ13:AZ15" si="53">AM13*2.5</f>
        <v>17.5</v>
      </c>
      <c r="BA13" s="308">
        <f t="shared" ref="BA13:BA15" si="54">AN13*2.5</f>
        <v>20</v>
      </c>
      <c r="BB13" s="308">
        <f t="shared" ref="BB13:BB15" si="55">AO13*2.5</f>
        <v>17.5</v>
      </c>
    </row>
    <row r="14" spans="1:54">
      <c r="A14" s="13" t="s">
        <v>264</v>
      </c>
      <c r="B14" s="993">
        <f>'Tufting PPC to BP Sheet conver'!B25</f>
        <v>409675.16584792006</v>
      </c>
      <c r="C14" s="993">
        <f>'Tufting PPC to BP Sheet conver'!C25</f>
        <v>267390.98468818568</v>
      </c>
      <c r="D14" s="993">
        <f>'Tufting PPC to BP Sheet conver'!D25</f>
        <v>253670.75036474565</v>
      </c>
      <c r="E14" s="993">
        <f>'Tufting PPC to BP Sheet conver'!E25</f>
        <v>334033.24290322565</v>
      </c>
      <c r="F14" s="993">
        <f>'Tufting PPC to BP Sheet conver'!F25</f>
        <v>582190.52490322571</v>
      </c>
      <c r="G14" s="993">
        <f>'Tufting PPC to BP Sheet conver'!G25</f>
        <v>247693.13593818565</v>
      </c>
      <c r="H14" s="993">
        <f>'Tufting PPC to BP Sheet conver'!H25</f>
        <v>227907.11248576961</v>
      </c>
      <c r="I14" s="993">
        <f>'Tufting PPC to BP Sheet conver'!I25</f>
        <v>159735.33353426561</v>
      </c>
      <c r="J14" s="993">
        <f>'Tufting PPC to BP Sheet conver'!J25</f>
        <v>93976.116534265602</v>
      </c>
      <c r="K14" s="993">
        <f>'Tufting PPC to BP Sheet conver'!K25</f>
        <v>64120.536534265608</v>
      </c>
      <c r="L14" s="993">
        <f>'Tufting PPC to BP Sheet conver'!L25</f>
        <v>63110.992334265604</v>
      </c>
      <c r="M14" s="993">
        <f>'Tufting PPC to BP Sheet conver'!M25</f>
        <v>64767.232334265602</v>
      </c>
      <c r="N14" s="10">
        <v>2748.5789109509265</v>
      </c>
      <c r="O14" s="993">
        <v>2</v>
      </c>
      <c r="P14" s="993">
        <f t="shared" si="40"/>
        <v>6</v>
      </c>
      <c r="Q14" s="216">
        <f t="shared" si="41"/>
        <v>4.968327016986688</v>
      </c>
      <c r="R14" s="216">
        <f t="shared" si="42"/>
        <v>3.1381728211392672</v>
      </c>
      <c r="S14" s="216">
        <f t="shared" si="42"/>
        <v>3.0763867266592095</v>
      </c>
      <c r="T14" s="216">
        <f t="shared" si="42"/>
        <v>3.9203043642564119</v>
      </c>
      <c r="U14" s="216">
        <f t="shared" si="42"/>
        <v>6.8327452554417807</v>
      </c>
      <c r="V14" s="216">
        <f t="shared" si="42"/>
        <v>3.0038933325547879</v>
      </c>
      <c r="W14" s="216">
        <f t="shared" si="42"/>
        <v>2.6747794320036871</v>
      </c>
      <c r="X14" s="216">
        <f t="shared" si="42"/>
        <v>1.9371869210648682</v>
      </c>
      <c r="Y14" s="216">
        <f t="shared" si="42"/>
        <v>1.1029290874857203</v>
      </c>
      <c r="Z14" s="216">
        <f t="shared" si="42"/>
        <v>0.75253593633065541</v>
      </c>
      <c r="AA14" s="216">
        <f t="shared" si="42"/>
        <v>0.82004704429542941</v>
      </c>
      <c r="AB14" s="216">
        <f t="shared" si="42"/>
        <v>0.76012573291811891</v>
      </c>
      <c r="AD14" s="308">
        <f t="shared" si="27"/>
        <v>6</v>
      </c>
      <c r="AE14" s="308">
        <f t="shared" si="28"/>
        <v>6</v>
      </c>
      <c r="AF14" s="308">
        <f t="shared" si="29"/>
        <v>6</v>
      </c>
      <c r="AG14" s="308">
        <f t="shared" si="30"/>
        <v>6</v>
      </c>
      <c r="AH14" s="308">
        <f t="shared" si="31"/>
        <v>6</v>
      </c>
      <c r="AI14" s="308">
        <f t="shared" si="32"/>
        <v>6</v>
      </c>
      <c r="AJ14" s="308">
        <f t="shared" si="33"/>
        <v>6</v>
      </c>
      <c r="AK14" s="308">
        <f t="shared" si="34"/>
        <v>6</v>
      </c>
      <c r="AL14" s="308">
        <f t="shared" si="35"/>
        <v>4</v>
      </c>
      <c r="AM14" s="308">
        <f t="shared" si="36"/>
        <v>3</v>
      </c>
      <c r="AN14" s="308">
        <f t="shared" si="37"/>
        <v>3</v>
      </c>
      <c r="AO14" s="308">
        <f t="shared" si="38"/>
        <v>3</v>
      </c>
      <c r="AQ14" s="308">
        <f t="shared" si="44"/>
        <v>15</v>
      </c>
      <c r="AR14" s="308">
        <f t="shared" si="45"/>
        <v>15</v>
      </c>
      <c r="AS14" s="308">
        <f t="shared" si="46"/>
        <v>15</v>
      </c>
      <c r="AT14" s="308">
        <f t="shared" si="47"/>
        <v>15</v>
      </c>
      <c r="AU14" s="308">
        <f t="shared" si="48"/>
        <v>15</v>
      </c>
      <c r="AV14" s="308">
        <f t="shared" si="49"/>
        <v>15</v>
      </c>
      <c r="AW14" s="308">
        <f t="shared" si="50"/>
        <v>15</v>
      </c>
      <c r="AX14" s="308">
        <f t="shared" si="51"/>
        <v>15</v>
      </c>
      <c r="AY14" s="308">
        <f t="shared" si="52"/>
        <v>10</v>
      </c>
      <c r="AZ14" s="308">
        <f t="shared" si="53"/>
        <v>7.5</v>
      </c>
      <c r="BA14" s="308">
        <f t="shared" si="54"/>
        <v>7.5</v>
      </c>
      <c r="BB14" s="308">
        <f t="shared" si="55"/>
        <v>7.5</v>
      </c>
    </row>
    <row r="15" spans="1:54">
      <c r="A15" s="13" t="s">
        <v>83</v>
      </c>
      <c r="B15" s="993">
        <f>'Tufting PPC to BP Sheet conver'!B26</f>
        <v>1390.5</v>
      </c>
      <c r="C15" s="993">
        <f>'Tufting PPC to BP Sheet conver'!C26</f>
        <v>1878.6041250000001</v>
      </c>
      <c r="D15" s="993">
        <f>'Tufting PPC to BP Sheet conver'!D26</f>
        <v>3623.372625</v>
      </c>
      <c r="E15" s="993">
        <f>'Tufting PPC to BP Sheet conver'!E26</f>
        <v>2505.3462500000001</v>
      </c>
      <c r="F15" s="993">
        <f>'Tufting PPC to BP Sheet conver'!F26</f>
        <v>2678</v>
      </c>
      <c r="G15" s="993">
        <f>'Tufting PPC to BP Sheet conver'!G26</f>
        <v>1390.5</v>
      </c>
      <c r="H15" s="993">
        <f>'Tufting PPC to BP Sheet conver'!H26</f>
        <v>7063.74</v>
      </c>
      <c r="I15" s="993">
        <f>'Tufting PPC to BP Sheet conver'!I26</f>
        <v>2678</v>
      </c>
      <c r="J15" s="993">
        <f>'Tufting PPC to BP Sheet conver'!J26</f>
        <v>7230.6</v>
      </c>
      <c r="K15" s="993">
        <f>'Tufting PPC to BP Sheet conver'!K26</f>
        <v>1030</v>
      </c>
      <c r="L15" s="993">
        <f>'Tufting PPC to BP Sheet conver'!L26</f>
        <v>7436.6</v>
      </c>
      <c r="M15" s="993">
        <f>'Tufting PPC to BP Sheet conver'!M26</f>
        <v>10094</v>
      </c>
      <c r="N15" s="10">
        <v>2908.6715773431551</v>
      </c>
      <c r="O15" s="993">
        <v>1</v>
      </c>
      <c r="P15" s="993">
        <f t="shared" si="40"/>
        <v>3</v>
      </c>
      <c r="Q15" s="216">
        <f t="shared" si="41"/>
        <v>1.593510947094863E-2</v>
      </c>
      <c r="R15" s="216">
        <f t="shared" si="42"/>
        <v>2.083429890694969E-2</v>
      </c>
      <c r="S15" s="216">
        <f t="shared" si="42"/>
        <v>4.1523796787783888E-2</v>
      </c>
      <c r="T15" s="216">
        <f t="shared" si="42"/>
        <v>2.778506229347575E-2</v>
      </c>
      <c r="U15" s="216">
        <f t="shared" si="42"/>
        <v>2.9699845608936511E-2</v>
      </c>
      <c r="V15" s="216">
        <f t="shared" si="42"/>
        <v>1.593510947094863E-2</v>
      </c>
      <c r="W15" s="216">
        <f t="shared" si="42"/>
        <v>7.8339054302340991E-2</v>
      </c>
      <c r="X15" s="216">
        <f t="shared" si="42"/>
        <v>3.068984046256773E-2</v>
      </c>
      <c r="Y15" s="216">
        <f t="shared" si="42"/>
        <v>8.0189583144128579E-2</v>
      </c>
      <c r="Z15" s="216">
        <f t="shared" si="42"/>
        <v>1.1423017541898658E-2</v>
      </c>
      <c r="AA15" s="216">
        <f t="shared" si="42"/>
        <v>9.1310706650991363E-2</v>
      </c>
      <c r="AB15" s="216">
        <f t="shared" si="42"/>
        <v>0.11194557191060685</v>
      </c>
      <c r="AD15" s="308">
        <f t="shared" si="27"/>
        <v>1</v>
      </c>
      <c r="AE15" s="308">
        <f t="shared" si="28"/>
        <v>1</v>
      </c>
      <c r="AF15" s="308">
        <f t="shared" si="29"/>
        <v>1</v>
      </c>
      <c r="AG15" s="308">
        <f t="shared" si="30"/>
        <v>1</v>
      </c>
      <c r="AH15" s="308">
        <f t="shared" si="31"/>
        <v>1</v>
      </c>
      <c r="AI15" s="308">
        <f t="shared" si="32"/>
        <v>1</v>
      </c>
      <c r="AJ15" s="308">
        <f t="shared" si="33"/>
        <v>1</v>
      </c>
      <c r="AK15" s="308">
        <f t="shared" si="34"/>
        <v>1</v>
      </c>
      <c r="AL15" s="308">
        <f t="shared" si="35"/>
        <v>1</v>
      </c>
      <c r="AM15" s="308">
        <f t="shared" si="36"/>
        <v>1</v>
      </c>
      <c r="AN15" s="308">
        <f t="shared" si="37"/>
        <v>1</v>
      </c>
      <c r="AO15" s="308">
        <f t="shared" si="38"/>
        <v>1</v>
      </c>
      <c r="AQ15" s="308">
        <f t="shared" si="44"/>
        <v>2.5</v>
      </c>
      <c r="AR15" s="308">
        <f t="shared" si="45"/>
        <v>2.5</v>
      </c>
      <c r="AS15" s="308">
        <f t="shared" si="46"/>
        <v>2.5</v>
      </c>
      <c r="AT15" s="308">
        <f t="shared" si="47"/>
        <v>2.5</v>
      </c>
      <c r="AU15" s="308">
        <f t="shared" si="48"/>
        <v>2.5</v>
      </c>
      <c r="AV15" s="308">
        <f t="shared" si="49"/>
        <v>2.5</v>
      </c>
      <c r="AW15" s="308">
        <f t="shared" si="50"/>
        <v>2.5</v>
      </c>
      <c r="AX15" s="308">
        <f t="shared" si="51"/>
        <v>2.5</v>
      </c>
      <c r="AY15" s="308">
        <f t="shared" si="52"/>
        <v>2.5</v>
      </c>
      <c r="AZ15" s="308">
        <f t="shared" si="53"/>
        <v>2.5</v>
      </c>
      <c r="BA15" s="308">
        <f t="shared" si="54"/>
        <v>2.5</v>
      </c>
      <c r="BB15" s="308">
        <f t="shared" si="55"/>
        <v>2.5</v>
      </c>
    </row>
    <row r="16" spans="1:54">
      <c r="A16" t="s">
        <v>265</v>
      </c>
      <c r="B16" s="1063">
        <f>SUM(B4:B15)</f>
        <v>1561062.0483197693</v>
      </c>
      <c r="C16" s="1063">
        <f t="shared" ref="C16:M16" si="56">SUM(C4:C15)</f>
        <v>1403050.8623150792</v>
      </c>
      <c r="D16" s="1063">
        <f t="shared" si="56"/>
        <v>1258904.0135413255</v>
      </c>
      <c r="E16" s="1063">
        <f t="shared" si="56"/>
        <v>1399633.3410909225</v>
      </c>
      <c r="F16" s="1063">
        <f t="shared" si="56"/>
        <v>1727757.1856731963</v>
      </c>
      <c r="G16" s="1063">
        <f t="shared" si="56"/>
        <v>1445647.5140326186</v>
      </c>
      <c r="H16" s="1063">
        <f t="shared" si="56"/>
        <v>1404758.3677409652</v>
      </c>
      <c r="I16" s="1063">
        <f t="shared" si="56"/>
        <v>1198829.6942190595</v>
      </c>
      <c r="J16" s="1063">
        <f t="shared" si="56"/>
        <v>1373770.4708894643</v>
      </c>
      <c r="K16" s="1063">
        <f t="shared" si="56"/>
        <v>1378188.2947629751</v>
      </c>
      <c r="L16" s="1063">
        <f t="shared" si="56"/>
        <v>1345505.2657964248</v>
      </c>
      <c r="M16" s="1063">
        <f t="shared" si="56"/>
        <v>1333580.3717174754</v>
      </c>
      <c r="N16" s="19">
        <f>SUM(B16:M16)</f>
        <v>16830687.430099275</v>
      </c>
      <c r="O16" s="39">
        <f>SUM(O4:O15)</f>
        <v>18</v>
      </c>
      <c r="Q16" s="211"/>
      <c r="AQ16" s="308">
        <f>SUM(AQ4:AQ15)</f>
        <v>108.5</v>
      </c>
      <c r="AR16" s="308">
        <f t="shared" ref="AR16:BB16" si="57">SUM(AR4:AR15)</f>
        <v>106</v>
      </c>
      <c r="AS16" s="308">
        <f t="shared" si="57"/>
        <v>98.5</v>
      </c>
      <c r="AT16" s="308">
        <f t="shared" si="57"/>
        <v>103.5</v>
      </c>
      <c r="AU16" s="308">
        <f t="shared" si="57"/>
        <v>103.5</v>
      </c>
      <c r="AV16" s="308">
        <f t="shared" si="57"/>
        <v>108.5</v>
      </c>
      <c r="AW16" s="308">
        <f t="shared" si="57"/>
        <v>103.5</v>
      </c>
      <c r="AX16" s="308">
        <f t="shared" si="57"/>
        <v>101</v>
      </c>
      <c r="AY16" s="308">
        <f t="shared" si="57"/>
        <v>111</v>
      </c>
      <c r="AZ16" s="308">
        <f t="shared" si="57"/>
        <v>111</v>
      </c>
      <c r="BA16" s="308">
        <f t="shared" si="57"/>
        <v>111</v>
      </c>
      <c r="BB16" s="308">
        <f t="shared" si="57"/>
        <v>106</v>
      </c>
    </row>
    <row r="17" spans="1:54">
      <c r="B17" s="988">
        <f>B16/B2</f>
        <v>52035.401610658977</v>
      </c>
      <c r="C17" s="1064">
        <f t="shared" ref="C17:M17" si="58">C16/C2</f>
        <v>45259.705235970294</v>
      </c>
      <c r="D17" s="1064">
        <f t="shared" si="58"/>
        <v>41963.46711804418</v>
      </c>
      <c r="E17" s="1064">
        <f t="shared" si="58"/>
        <v>45149.462615836208</v>
      </c>
      <c r="F17" s="1064">
        <f t="shared" si="58"/>
        <v>55734.102763651492</v>
      </c>
      <c r="G17" s="1064">
        <f t="shared" si="58"/>
        <v>48188.250467753955</v>
      </c>
      <c r="H17" s="1064">
        <f t="shared" si="58"/>
        <v>45314.78605616017</v>
      </c>
      <c r="I17" s="1064">
        <f t="shared" si="58"/>
        <v>39960.989807301987</v>
      </c>
      <c r="J17" s="1064">
        <f t="shared" si="58"/>
        <v>44315.176480305301</v>
      </c>
      <c r="K17" s="1064">
        <f t="shared" si="58"/>
        <v>44457.686927837909</v>
      </c>
      <c r="L17" s="1064">
        <f t="shared" si="58"/>
        <v>48053.759492729456</v>
      </c>
      <c r="M17" s="1064">
        <f t="shared" si="58"/>
        <v>43018.721668305654</v>
      </c>
      <c r="N17" s="19">
        <f>SUMPRODUCT(N4:N15,O4:O15)</f>
        <v>63542.337619479593</v>
      </c>
      <c r="Q17" s="41">
        <f>SUM(Q4:Q15)</f>
        <v>15.975789335800911</v>
      </c>
      <c r="R17" s="41">
        <f t="shared" ref="R17:AB17" si="59">SUM(R4:R15)</f>
        <v>13.267004512057138</v>
      </c>
      <c r="S17" s="41">
        <f t="shared" si="59"/>
        <v>12.423889826533353</v>
      </c>
      <c r="T17" s="41">
        <f t="shared" si="59"/>
        <v>13.266657593344938</v>
      </c>
      <c r="U17" s="41">
        <f t="shared" si="59"/>
        <v>17.058722789220905</v>
      </c>
      <c r="V17" s="41">
        <f t="shared" si="59"/>
        <v>13.934451332970553</v>
      </c>
      <c r="W17" s="41">
        <f t="shared" si="59"/>
        <v>13.015224440372675</v>
      </c>
      <c r="X17" s="41">
        <f t="shared" si="59"/>
        <v>12.018150603921791</v>
      </c>
      <c r="Y17" s="41">
        <f t="shared" si="59"/>
        <v>13.211417194091281</v>
      </c>
      <c r="Z17" s="41">
        <f t="shared" si="59"/>
        <v>13.207131762382971</v>
      </c>
      <c r="AA17" s="41">
        <f t="shared" si="59"/>
        <v>14.402424133482285</v>
      </c>
      <c r="AB17" s="41">
        <f t="shared" si="59"/>
        <v>12.701460618519022</v>
      </c>
      <c r="AD17" s="41">
        <f>SUM(AD4:AD15)/3</f>
        <v>13.666666666666666</v>
      </c>
      <c r="AE17" s="41">
        <f t="shared" ref="AE17:AO17" si="60">SUM(AE4:AE15)/3</f>
        <v>13.333333333333334</v>
      </c>
      <c r="AF17" s="41">
        <f t="shared" si="60"/>
        <v>12.333333333333334</v>
      </c>
      <c r="AG17" s="41">
        <f t="shared" si="60"/>
        <v>13</v>
      </c>
      <c r="AH17" s="41">
        <f t="shared" si="60"/>
        <v>13</v>
      </c>
      <c r="AI17" s="41">
        <f t="shared" si="60"/>
        <v>13.666666666666666</v>
      </c>
      <c r="AJ17" s="41">
        <f t="shared" si="60"/>
        <v>13</v>
      </c>
      <c r="AK17" s="41">
        <f t="shared" si="60"/>
        <v>12.666666666666666</v>
      </c>
      <c r="AL17" s="41">
        <f t="shared" si="60"/>
        <v>14</v>
      </c>
      <c r="AM17" s="41">
        <f t="shared" si="60"/>
        <v>14</v>
      </c>
      <c r="AN17" s="41">
        <f t="shared" si="60"/>
        <v>14</v>
      </c>
      <c r="AO17" s="41">
        <f t="shared" si="60"/>
        <v>13.333333333333334</v>
      </c>
      <c r="AQ17" s="308">
        <f>AQ16+59</f>
        <v>167.5</v>
      </c>
      <c r="AR17" s="308">
        <f t="shared" ref="AR17:BB17" si="61">AR16+59</f>
        <v>165</v>
      </c>
      <c r="AS17" s="308">
        <f t="shared" si="61"/>
        <v>157.5</v>
      </c>
      <c r="AT17" s="308">
        <f t="shared" si="61"/>
        <v>162.5</v>
      </c>
      <c r="AU17" s="308">
        <f t="shared" si="61"/>
        <v>162.5</v>
      </c>
      <c r="AV17" s="308">
        <f t="shared" si="61"/>
        <v>167.5</v>
      </c>
      <c r="AW17" s="308">
        <f t="shared" si="61"/>
        <v>162.5</v>
      </c>
      <c r="AX17" s="308">
        <f t="shared" si="61"/>
        <v>160</v>
      </c>
      <c r="AY17" s="308">
        <f t="shared" si="61"/>
        <v>170</v>
      </c>
      <c r="AZ17" s="308">
        <f t="shared" si="61"/>
        <v>170</v>
      </c>
      <c r="BA17" s="308">
        <f t="shared" si="61"/>
        <v>170</v>
      </c>
      <c r="BB17" s="308">
        <f t="shared" si="61"/>
        <v>165</v>
      </c>
    </row>
    <row r="18" spans="1:54">
      <c r="B18" s="19">
        <f>AVERAGE(B16:M16)</f>
        <v>1402557.2858416063</v>
      </c>
      <c r="C18" s="19"/>
      <c r="D18" s="19"/>
      <c r="E18" s="19"/>
      <c r="F18" s="19"/>
      <c r="G18" s="19"/>
      <c r="H18" s="19"/>
      <c r="I18" s="19"/>
      <c r="J18" s="19"/>
      <c r="K18" s="19"/>
      <c r="L18" s="19"/>
      <c r="M18" s="19"/>
      <c r="N18" s="19"/>
      <c r="AD18" s="41">
        <f>SUM(AD4:AD15)</f>
        <v>41</v>
      </c>
      <c r="AE18" s="41">
        <f t="shared" ref="AE18:AO18" si="62">SUM(AE4:AE15)</f>
        <v>40</v>
      </c>
      <c r="AF18" s="41">
        <f t="shared" si="62"/>
        <v>37</v>
      </c>
      <c r="AG18" s="41">
        <f t="shared" si="62"/>
        <v>39</v>
      </c>
      <c r="AH18" s="41">
        <f t="shared" si="62"/>
        <v>39</v>
      </c>
      <c r="AI18" s="41">
        <f t="shared" si="62"/>
        <v>41</v>
      </c>
      <c r="AJ18" s="41">
        <f t="shared" si="62"/>
        <v>39</v>
      </c>
      <c r="AK18" s="41">
        <f t="shared" si="62"/>
        <v>38</v>
      </c>
      <c r="AL18" s="41">
        <f t="shared" si="62"/>
        <v>42</v>
      </c>
      <c r="AM18" s="41">
        <f t="shared" si="62"/>
        <v>42</v>
      </c>
      <c r="AN18" s="41">
        <f t="shared" si="62"/>
        <v>42</v>
      </c>
      <c r="AO18" s="41">
        <f t="shared" si="62"/>
        <v>40</v>
      </c>
    </row>
    <row r="22" spans="1:54">
      <c r="A22" s="13" t="s">
        <v>258</v>
      </c>
      <c r="B22" s="41">
        <f>(B4/B2)/$N$4</f>
        <v>0.52742596072822623</v>
      </c>
      <c r="C22" s="41">
        <f t="shared" ref="C22:M22" si="63">(C4/C2)/$N$4</f>
        <v>1.1210566249539919</v>
      </c>
      <c r="D22" s="41">
        <f t="shared" si="63"/>
        <v>0.26877200845132909</v>
      </c>
      <c r="E22" s="41">
        <f t="shared" si="63"/>
        <v>0.40673518447792284</v>
      </c>
      <c r="F22" s="41">
        <f t="shared" si="63"/>
        <v>0.64696840250108101</v>
      </c>
      <c r="G22" s="41">
        <f t="shared" si="63"/>
        <v>0.68066835636452783</v>
      </c>
      <c r="H22" s="41">
        <f t="shared" si="63"/>
        <v>0.52777146697003097</v>
      </c>
      <c r="I22" s="41">
        <f t="shared" si="63"/>
        <v>1.0982655539569404</v>
      </c>
      <c r="J22" s="41">
        <f t="shared" si="63"/>
        <v>0.95164453720123454</v>
      </c>
      <c r="K22" s="41">
        <f t="shared" si="63"/>
        <v>0.9008953168044066</v>
      </c>
      <c r="L22" s="41">
        <f t="shared" si="63"/>
        <v>1.3741779880804981</v>
      </c>
      <c r="M22" s="41">
        <f t="shared" si="63"/>
        <v>0.66892389110092365</v>
      </c>
      <c r="N22">
        <v>7.5</v>
      </c>
    </row>
    <row r="23" spans="1:54">
      <c r="A23" s="13" t="s">
        <v>259</v>
      </c>
      <c r="B23" s="41">
        <f>(B5/B2)/$N$5</f>
        <v>0.36002964328168396</v>
      </c>
      <c r="C23" s="41">
        <f t="shared" ref="C23:M23" si="64">(C5/C2)/$N$5</f>
        <v>0.36593559799289344</v>
      </c>
      <c r="D23" s="41">
        <f t="shared" si="64"/>
        <v>0.46496220239744812</v>
      </c>
      <c r="E23" s="41">
        <f t="shared" si="64"/>
        <v>0.37729247428560064</v>
      </c>
      <c r="F23" s="41">
        <f t="shared" si="64"/>
        <v>0.65398490981836288</v>
      </c>
      <c r="G23" s="41">
        <f t="shared" si="64"/>
        <v>1.1738563265599367</v>
      </c>
      <c r="H23" s="41">
        <f t="shared" si="64"/>
        <v>1.3877554346878347</v>
      </c>
      <c r="I23" s="41">
        <f t="shared" si="64"/>
        <v>0.98820127272298097</v>
      </c>
      <c r="J23" s="41">
        <f t="shared" si="64"/>
        <v>1.0045390324640582</v>
      </c>
      <c r="K23" s="41">
        <f t="shared" si="64"/>
        <v>1.2037880463281039</v>
      </c>
      <c r="L23" s="41">
        <f t="shared" si="64"/>
        <v>1.0956315079257462</v>
      </c>
      <c r="M23" s="41">
        <f t="shared" si="64"/>
        <v>0.99273301604721076</v>
      </c>
      <c r="N23">
        <v>7.5</v>
      </c>
    </row>
    <row r="24" spans="1:54">
      <c r="A24" s="13" t="s">
        <v>78</v>
      </c>
      <c r="B24" s="41">
        <f>(B6/B2)/$N$6</f>
        <v>0.31682978841307924</v>
      </c>
      <c r="C24" s="41">
        <f t="shared" ref="C24:M24" si="65">(C6/C2)/$N$6</f>
        <v>0.5607114834777408</v>
      </c>
      <c r="D24" s="41">
        <f t="shared" si="65"/>
        <v>0.18170183319192998</v>
      </c>
      <c r="E24" s="41">
        <f t="shared" si="65"/>
        <v>0.20153422622720615</v>
      </c>
      <c r="F24" s="41">
        <f t="shared" si="65"/>
        <v>0.16483570918427676</v>
      </c>
      <c r="G24" s="41">
        <f t="shared" si="65"/>
        <v>0.19791297045808753</v>
      </c>
      <c r="H24" s="41">
        <f t="shared" si="65"/>
        <v>0.10127889837834506</v>
      </c>
      <c r="I24" s="41">
        <f t="shared" si="65"/>
        <v>0.36531184289720292</v>
      </c>
      <c r="J24" s="41">
        <f t="shared" si="65"/>
        <v>0.47315654186198397</v>
      </c>
      <c r="K24" s="41">
        <f t="shared" si="65"/>
        <v>0.45674921735629753</v>
      </c>
      <c r="L24" s="41">
        <f t="shared" si="65"/>
        <v>0.70589629734984127</v>
      </c>
      <c r="M24" s="41">
        <f t="shared" si="65"/>
        <v>0.86348829007460282</v>
      </c>
      <c r="N24">
        <v>7.5</v>
      </c>
    </row>
    <row r="25" spans="1:54">
      <c r="A25" s="13" t="s">
        <v>260</v>
      </c>
      <c r="B25" s="41">
        <f>(B7/B2)/$N$7</f>
        <v>1.1868458826911656</v>
      </c>
      <c r="C25" s="41">
        <f t="shared" ref="C25:M25" si="66">(C7/C2)/$N$7</f>
        <v>0.80219317283778024</v>
      </c>
      <c r="D25" s="41">
        <f t="shared" si="66"/>
        <v>0.64059078018503657</v>
      </c>
      <c r="E25" s="41">
        <f t="shared" si="66"/>
        <v>0.5461378575969067</v>
      </c>
      <c r="F25" s="41">
        <f t="shared" si="66"/>
        <v>0.57272916559820097</v>
      </c>
      <c r="G25" s="41">
        <f t="shared" si="66"/>
        <v>0.5008831318444813</v>
      </c>
      <c r="H25" s="41">
        <f t="shared" si="66"/>
        <v>0.51080950086844978</v>
      </c>
      <c r="I25" s="41">
        <f t="shared" si="66"/>
        <v>0.53457482232729403</v>
      </c>
      <c r="J25" s="41">
        <f t="shared" si="66"/>
        <v>0.77053439548555158</v>
      </c>
      <c r="K25" s="41">
        <f t="shared" si="66"/>
        <v>0.78286772785971137</v>
      </c>
      <c r="L25" s="41">
        <f t="shared" si="66"/>
        <v>1.4300220099019172</v>
      </c>
      <c r="M25" s="41">
        <f t="shared" si="66"/>
        <v>1.159039678656469</v>
      </c>
      <c r="N25">
        <v>10</v>
      </c>
    </row>
    <row r="26" spans="1:54">
      <c r="A26" s="13" t="s">
        <v>89</v>
      </c>
      <c r="B26" s="41">
        <f>(B8/B2)/$N$8</f>
        <v>1.2673300566876298E-2</v>
      </c>
      <c r="C26" s="41">
        <f t="shared" ref="C26:M26" si="67">(C8/C2)/$N$8</f>
        <v>1.5903168429297974E-2</v>
      </c>
      <c r="D26" s="41">
        <f t="shared" si="67"/>
        <v>2.7081620574463415E-2</v>
      </c>
      <c r="E26" s="41">
        <f t="shared" si="67"/>
        <v>0.11192669708757148</v>
      </c>
      <c r="F26" s="41">
        <f t="shared" si="67"/>
        <v>0.39962206263793021</v>
      </c>
      <c r="G26" s="41">
        <f t="shared" si="67"/>
        <v>0.17723382867132864</v>
      </c>
      <c r="H26" s="41">
        <f t="shared" si="67"/>
        <v>0.12622434383798017</v>
      </c>
      <c r="I26" s="41">
        <f t="shared" si="67"/>
        <v>0.250122199769927</v>
      </c>
      <c r="J26" s="41">
        <f t="shared" si="67"/>
        <v>0.58669817512033418</v>
      </c>
      <c r="K26" s="41">
        <f t="shared" si="67"/>
        <v>0.86056466588842939</v>
      </c>
      <c r="L26" s="41">
        <f t="shared" si="67"/>
        <v>0.630511811646146</v>
      </c>
      <c r="M26" s="41">
        <f t="shared" si="67"/>
        <v>0.29774095222958852</v>
      </c>
      <c r="N26">
        <v>2.5</v>
      </c>
    </row>
    <row r="27" spans="1:54">
      <c r="A27" s="13" t="s">
        <v>261</v>
      </c>
      <c r="B27" s="41">
        <f>(B9/B2)/$N$9</f>
        <v>3.2447294493163619</v>
      </c>
      <c r="C27" s="41">
        <f t="shared" ref="C27:M27" si="68">(C9/C2)/$N$9</f>
        <v>2.0528283695715497</v>
      </c>
      <c r="D27" s="41">
        <f t="shared" si="68"/>
        <v>2.9401352440498476</v>
      </c>
      <c r="E27" s="41">
        <f t="shared" si="68"/>
        <v>2.8145986490636914</v>
      </c>
      <c r="F27" s="41">
        <f t="shared" si="68"/>
        <v>2.5252015599118205</v>
      </c>
      <c r="G27" s="41">
        <f t="shared" si="68"/>
        <v>2.8195222599259964</v>
      </c>
      <c r="H27" s="41">
        <f t="shared" si="68"/>
        <v>2.4053412316656027</v>
      </c>
      <c r="I27" s="41">
        <f t="shared" si="68"/>
        <v>2.5871613450202973</v>
      </c>
      <c r="J27" s="41">
        <f t="shared" si="68"/>
        <v>3.5012229751100588</v>
      </c>
      <c r="K27" s="41">
        <f t="shared" si="68"/>
        <v>3.5792481735736317</v>
      </c>
      <c r="L27" s="41">
        <f t="shared" si="68"/>
        <v>2.9840387544325484</v>
      </c>
      <c r="M27" s="41">
        <f t="shared" si="68"/>
        <v>3.1902010365305178</v>
      </c>
      <c r="N27" s="41">
        <v>25</v>
      </c>
      <c r="O27" s="41">
        <f>ROUNDDOWN(M30,0)</f>
        <v>2</v>
      </c>
      <c r="P27" s="41">
        <f>MOD(M30,1)</f>
        <v>0.43407544348530802</v>
      </c>
    </row>
    <row r="28" spans="1:54">
      <c r="A28" s="13" t="s">
        <v>82</v>
      </c>
      <c r="B28" s="188"/>
      <c r="C28" s="188"/>
      <c r="D28" s="188"/>
      <c r="E28" s="188"/>
      <c r="F28" s="188"/>
      <c r="G28" s="188"/>
      <c r="H28" s="188"/>
      <c r="I28" s="188"/>
      <c r="J28" s="188"/>
      <c r="K28" s="188"/>
      <c r="L28" s="188"/>
      <c r="M28" s="188"/>
      <c r="O28" s="41">
        <f>O27*3.5*3</f>
        <v>21</v>
      </c>
      <c r="P28">
        <f>2*3.5</f>
        <v>7</v>
      </c>
    </row>
    <row r="29" spans="1:54">
      <c r="A29" s="13" t="s">
        <v>262</v>
      </c>
      <c r="B29" s="188"/>
      <c r="C29" s="188"/>
      <c r="D29" s="188"/>
      <c r="E29" s="188"/>
      <c r="F29" s="188"/>
      <c r="G29" s="188"/>
      <c r="H29" s="188"/>
      <c r="I29" s="188"/>
      <c r="J29" s="188"/>
      <c r="K29" s="188"/>
      <c r="L29" s="188"/>
      <c r="M29" s="188"/>
      <c r="P29" s="41">
        <f>SUM(O28:P28)</f>
        <v>28</v>
      </c>
    </row>
    <row r="30" spans="1:54">
      <c r="A30" s="13" t="s">
        <v>88</v>
      </c>
      <c r="B30" s="41">
        <f>(B12/B2)/$N$12</f>
        <v>2.634386702741319</v>
      </c>
      <c r="C30" s="41">
        <f t="shared" ref="C30:M30" si="69">(C12/C2)/$N$12</f>
        <v>2.43723913425467</v>
      </c>
      <c r="D30" s="41">
        <f t="shared" si="69"/>
        <v>2.3224711357013486</v>
      </c>
      <c r="E30" s="41">
        <f t="shared" si="69"/>
        <v>2.1234396327961496</v>
      </c>
      <c r="F30" s="41">
        <f t="shared" si="69"/>
        <v>2.391929489627441</v>
      </c>
      <c r="G30" s="41">
        <f t="shared" si="69"/>
        <v>2.4499285161088102</v>
      </c>
      <c r="H30" s="41">
        <f t="shared" si="69"/>
        <v>2.3548441276835286</v>
      </c>
      <c r="I30" s="41">
        <f t="shared" si="69"/>
        <v>2.3550299485539177</v>
      </c>
      <c r="J30" s="41">
        <f t="shared" si="69"/>
        <v>2.5214927153361195</v>
      </c>
      <c r="K30" s="41">
        <f t="shared" si="69"/>
        <v>2.3992128530997374</v>
      </c>
      <c r="L30" s="41">
        <f t="shared" si="69"/>
        <v>2.7048449709494387</v>
      </c>
      <c r="M30" s="41">
        <f t="shared" si="69"/>
        <v>2.434075443485308</v>
      </c>
      <c r="N30">
        <v>28</v>
      </c>
    </row>
    <row r="31" spans="1:54">
      <c r="A31" s="13" t="s">
        <v>263</v>
      </c>
      <c r="B31" s="41">
        <f>(B13/B2)/$N$13</f>
        <v>2.7086064816045621</v>
      </c>
      <c r="C31" s="41">
        <f t="shared" ref="C31:M31" si="70">(C13/C2)/$N$13</f>
        <v>2.7521298404929984</v>
      </c>
      <c r="D31" s="41">
        <f t="shared" si="70"/>
        <v>2.4602644785349539</v>
      </c>
      <c r="E31" s="41">
        <f t="shared" si="70"/>
        <v>2.7369034452600034</v>
      </c>
      <c r="F31" s="41">
        <f t="shared" si="70"/>
        <v>2.841006388891075</v>
      </c>
      <c r="G31" s="41">
        <f t="shared" si="70"/>
        <v>2.9146175010116471</v>
      </c>
      <c r="H31" s="41">
        <f t="shared" si="70"/>
        <v>2.848080949974876</v>
      </c>
      <c r="I31" s="41">
        <f t="shared" si="70"/>
        <v>1.8716068571457953</v>
      </c>
      <c r="J31" s="41">
        <f t="shared" si="70"/>
        <v>2.2190101508820903</v>
      </c>
      <c r="K31" s="41">
        <f t="shared" si="70"/>
        <v>2.2598468076000984</v>
      </c>
      <c r="L31" s="41">
        <f t="shared" si="70"/>
        <v>2.5659430422497258</v>
      </c>
      <c r="M31" s="41">
        <f t="shared" si="70"/>
        <v>2.2231870055656739</v>
      </c>
      <c r="N31">
        <v>17.5</v>
      </c>
    </row>
    <row r="32" spans="1:54">
      <c r="A32" s="13" t="s">
        <v>264</v>
      </c>
      <c r="B32" s="41">
        <f>(B14/B2)/$N$14</f>
        <v>4.9683270169866871</v>
      </c>
      <c r="C32" s="41">
        <f t="shared" ref="C32:M32" si="71">(C14/C2)/$N$14</f>
        <v>3.1381728211392672</v>
      </c>
      <c r="D32" s="41">
        <f t="shared" si="71"/>
        <v>3.0763867266592091</v>
      </c>
      <c r="E32" s="41">
        <f t="shared" si="71"/>
        <v>3.9203043642564124</v>
      </c>
      <c r="F32" s="41">
        <f t="shared" si="71"/>
        <v>6.8327452554417816</v>
      </c>
      <c r="G32" s="41">
        <f t="shared" si="71"/>
        <v>3.0038933325547883</v>
      </c>
      <c r="H32" s="41">
        <f t="shared" si="71"/>
        <v>2.6747794320036875</v>
      </c>
      <c r="I32" s="41">
        <f t="shared" si="71"/>
        <v>1.9371869210648682</v>
      </c>
      <c r="J32" s="41">
        <f t="shared" si="71"/>
        <v>1.1029290874857203</v>
      </c>
      <c r="K32" s="41">
        <f t="shared" si="71"/>
        <v>0.75253593633065552</v>
      </c>
      <c r="L32" s="41">
        <f t="shared" si="71"/>
        <v>0.82004704429542941</v>
      </c>
      <c r="M32" s="41">
        <f t="shared" si="71"/>
        <v>0.76012573291811891</v>
      </c>
      <c r="N32">
        <v>7.5</v>
      </c>
    </row>
    <row r="33" spans="1:14">
      <c r="A33" s="13" t="s">
        <v>83</v>
      </c>
      <c r="B33" s="41">
        <f>(B15/B2)/$N$15</f>
        <v>1.593510947094863E-2</v>
      </c>
      <c r="C33" s="41">
        <f t="shared" ref="C33:M33" si="72">(C15/C2)/$N$15</f>
        <v>2.083429890694969E-2</v>
      </c>
      <c r="D33" s="41">
        <f t="shared" si="72"/>
        <v>4.1523796787783888E-2</v>
      </c>
      <c r="E33" s="41">
        <f t="shared" si="72"/>
        <v>2.778506229347575E-2</v>
      </c>
      <c r="F33" s="41">
        <f t="shared" si="72"/>
        <v>2.9699845608936515E-2</v>
      </c>
      <c r="G33" s="41">
        <f t="shared" si="72"/>
        <v>1.593510947094863E-2</v>
      </c>
      <c r="H33" s="41">
        <f t="shared" si="72"/>
        <v>7.8339054302340991E-2</v>
      </c>
      <c r="I33" s="41">
        <f t="shared" si="72"/>
        <v>3.068984046256773E-2</v>
      </c>
      <c r="J33" s="41">
        <f t="shared" si="72"/>
        <v>8.0189583144128593E-2</v>
      </c>
      <c r="K33" s="41">
        <f t="shared" si="72"/>
        <v>1.1423017541898658E-2</v>
      </c>
      <c r="L33" s="41">
        <f t="shared" si="72"/>
        <v>9.131070665099135E-2</v>
      </c>
      <c r="M33" s="41">
        <f t="shared" si="72"/>
        <v>0.11194557191060686</v>
      </c>
      <c r="N33">
        <v>2.5</v>
      </c>
    </row>
    <row r="34" spans="1:14">
      <c r="A34" s="1332" t="s">
        <v>1569</v>
      </c>
      <c r="B34" s="1333">
        <f>SUM(B22:B33)</f>
        <v>15.975789335800911</v>
      </c>
      <c r="C34" s="1333">
        <f t="shared" ref="C34:M34" si="73">SUM(C22:C33)</f>
        <v>13.267004512057138</v>
      </c>
      <c r="D34" s="1333">
        <f t="shared" si="73"/>
        <v>12.423889826533351</v>
      </c>
      <c r="E34" s="1333">
        <f t="shared" si="73"/>
        <v>13.266657593344938</v>
      </c>
      <c r="F34" s="1333">
        <f t="shared" si="73"/>
        <v>17.058722789220905</v>
      </c>
      <c r="G34" s="1333">
        <f t="shared" si="73"/>
        <v>13.934451332970553</v>
      </c>
      <c r="H34" s="1333">
        <f t="shared" si="73"/>
        <v>13.015224440372675</v>
      </c>
      <c r="I34" s="1333">
        <f t="shared" si="73"/>
        <v>12.018150603921791</v>
      </c>
      <c r="J34" s="1333">
        <f t="shared" si="73"/>
        <v>13.211417194091279</v>
      </c>
      <c r="K34" s="1333">
        <f t="shared" si="73"/>
        <v>13.207131762382971</v>
      </c>
      <c r="L34" s="1333">
        <f t="shared" si="73"/>
        <v>14.402424133482283</v>
      </c>
      <c r="M34" s="1333">
        <f t="shared" si="73"/>
        <v>12.701460618519018</v>
      </c>
      <c r="N34" s="1333">
        <f>SUM(N22:N33)</f>
        <v>115.5</v>
      </c>
    </row>
    <row r="37" spans="1:14">
      <c r="A37" s="13" t="s">
        <v>258</v>
      </c>
      <c r="B37" s="41">
        <f>IF(MOD(B22,1)&gt;0.33,2,1)</f>
        <v>2</v>
      </c>
      <c r="C37" s="41">
        <f t="shared" ref="C37:M37" si="74">ROUNDUP(C22,0)</f>
        <v>2</v>
      </c>
      <c r="D37" s="41">
        <f t="shared" si="74"/>
        <v>1</v>
      </c>
      <c r="E37" s="41">
        <f t="shared" si="74"/>
        <v>1</v>
      </c>
      <c r="F37" s="41">
        <f t="shared" si="74"/>
        <v>1</v>
      </c>
      <c r="G37" s="41">
        <f t="shared" si="74"/>
        <v>1</v>
      </c>
      <c r="H37" s="41">
        <f t="shared" si="74"/>
        <v>1</v>
      </c>
      <c r="I37" s="41">
        <f t="shared" si="74"/>
        <v>2</v>
      </c>
      <c r="J37" s="41">
        <f t="shared" si="74"/>
        <v>1</v>
      </c>
      <c r="K37" s="41">
        <f t="shared" si="74"/>
        <v>1</v>
      </c>
      <c r="L37" s="41">
        <f t="shared" si="74"/>
        <v>2</v>
      </c>
      <c r="M37" s="41">
        <f t="shared" si="74"/>
        <v>1</v>
      </c>
    </row>
    <row r="38" spans="1:14">
      <c r="A38" s="13" t="s">
        <v>259</v>
      </c>
      <c r="B38" s="41">
        <f t="shared" ref="B38:M38" si="75">ROUNDUP(B23,0)</f>
        <v>1</v>
      </c>
      <c r="C38" s="41">
        <f t="shared" si="75"/>
        <v>1</v>
      </c>
      <c r="D38" s="41">
        <f t="shared" si="75"/>
        <v>1</v>
      </c>
      <c r="E38" s="41">
        <f t="shared" si="75"/>
        <v>1</v>
      </c>
      <c r="F38" s="41">
        <f t="shared" si="75"/>
        <v>1</v>
      </c>
      <c r="G38" s="41">
        <f t="shared" si="75"/>
        <v>2</v>
      </c>
      <c r="H38" s="41">
        <f t="shared" si="75"/>
        <v>2</v>
      </c>
      <c r="I38" s="41">
        <f t="shared" si="75"/>
        <v>1</v>
      </c>
      <c r="J38" s="41">
        <f t="shared" si="75"/>
        <v>2</v>
      </c>
      <c r="K38" s="41">
        <f t="shared" si="75"/>
        <v>2</v>
      </c>
      <c r="L38" s="41">
        <f t="shared" si="75"/>
        <v>2</v>
      </c>
      <c r="M38" s="41">
        <f t="shared" si="75"/>
        <v>1</v>
      </c>
    </row>
    <row r="39" spans="1:14">
      <c r="A39" s="13" t="s">
        <v>78</v>
      </c>
      <c r="B39" s="41">
        <f t="shared" ref="B39:M39" si="76">ROUNDUP(B24,0)</f>
        <v>1</v>
      </c>
      <c r="C39" s="41">
        <f t="shared" si="76"/>
        <v>1</v>
      </c>
      <c r="D39" s="41">
        <f t="shared" si="76"/>
        <v>1</v>
      </c>
      <c r="E39" s="41">
        <f t="shared" si="76"/>
        <v>1</v>
      </c>
      <c r="F39" s="41">
        <f t="shared" si="76"/>
        <v>1</v>
      </c>
      <c r="G39" s="41">
        <f t="shared" si="76"/>
        <v>1</v>
      </c>
      <c r="H39" s="41">
        <f t="shared" si="76"/>
        <v>1</v>
      </c>
      <c r="I39" s="41">
        <f t="shared" si="76"/>
        <v>1</v>
      </c>
      <c r="J39" s="41">
        <f t="shared" si="76"/>
        <v>1</v>
      </c>
      <c r="K39" s="41">
        <f t="shared" si="76"/>
        <v>1</v>
      </c>
      <c r="L39" s="41">
        <f t="shared" si="76"/>
        <v>1</v>
      </c>
      <c r="M39" s="41">
        <f t="shared" si="76"/>
        <v>1</v>
      </c>
    </row>
    <row r="40" spans="1:14">
      <c r="A40" s="13" t="s">
        <v>260</v>
      </c>
      <c r="B40" s="41">
        <f>MOD(B25,1)</f>
        <v>0.18684588269116564</v>
      </c>
      <c r="C40" s="41">
        <f t="shared" ref="C40:M40" si="77">ROUNDUP(C25,0)</f>
        <v>1</v>
      </c>
      <c r="D40" s="41">
        <f t="shared" si="77"/>
        <v>1</v>
      </c>
      <c r="E40" s="41">
        <f t="shared" si="77"/>
        <v>1</v>
      </c>
      <c r="F40" s="41">
        <f t="shared" si="77"/>
        <v>1</v>
      </c>
      <c r="G40" s="41">
        <f t="shared" si="77"/>
        <v>1</v>
      </c>
      <c r="H40" s="41">
        <f t="shared" si="77"/>
        <v>1</v>
      </c>
      <c r="I40" s="41">
        <f t="shared" si="77"/>
        <v>1</v>
      </c>
      <c r="J40" s="41">
        <f t="shared" si="77"/>
        <v>1</v>
      </c>
      <c r="K40" s="41">
        <f t="shared" si="77"/>
        <v>1</v>
      </c>
      <c r="L40" s="41">
        <f t="shared" si="77"/>
        <v>2</v>
      </c>
      <c r="M40" s="41">
        <f t="shared" si="77"/>
        <v>2</v>
      </c>
    </row>
    <row r="41" spans="1:14">
      <c r="A41" s="13" t="s">
        <v>89</v>
      </c>
      <c r="B41" s="41">
        <f t="shared" ref="B41:M41" si="78">ROUNDUP(B26,0)</f>
        <v>1</v>
      </c>
      <c r="C41" s="41">
        <f t="shared" si="78"/>
        <v>1</v>
      </c>
      <c r="D41" s="41">
        <f t="shared" si="78"/>
        <v>1</v>
      </c>
      <c r="E41" s="41">
        <f t="shared" si="78"/>
        <v>1</v>
      </c>
      <c r="F41" s="41">
        <f t="shared" si="78"/>
        <v>1</v>
      </c>
      <c r="G41" s="41">
        <f t="shared" si="78"/>
        <v>1</v>
      </c>
      <c r="H41" s="41">
        <f t="shared" si="78"/>
        <v>1</v>
      </c>
      <c r="I41" s="41">
        <f t="shared" si="78"/>
        <v>1</v>
      </c>
      <c r="J41" s="41">
        <f t="shared" si="78"/>
        <v>1</v>
      </c>
      <c r="K41" s="41">
        <f t="shared" si="78"/>
        <v>1</v>
      </c>
      <c r="L41" s="41">
        <f t="shared" si="78"/>
        <v>1</v>
      </c>
      <c r="M41" s="41">
        <f t="shared" si="78"/>
        <v>1</v>
      </c>
    </row>
    <row r="42" spans="1:14">
      <c r="A42" s="13" t="s">
        <v>261</v>
      </c>
      <c r="B42" s="41">
        <f t="shared" ref="B42:M42" si="79">ROUNDUP(B27,0)</f>
        <v>4</v>
      </c>
      <c r="C42" s="41">
        <f t="shared" si="79"/>
        <v>3</v>
      </c>
      <c r="D42" s="41">
        <f t="shared" si="79"/>
        <v>3</v>
      </c>
      <c r="E42" s="41">
        <f t="shared" si="79"/>
        <v>3</v>
      </c>
      <c r="F42" s="41">
        <f t="shared" si="79"/>
        <v>3</v>
      </c>
      <c r="G42" s="41">
        <f t="shared" si="79"/>
        <v>3</v>
      </c>
      <c r="H42" s="41">
        <f t="shared" si="79"/>
        <v>3</v>
      </c>
      <c r="I42" s="41">
        <f t="shared" si="79"/>
        <v>3</v>
      </c>
      <c r="J42" s="41">
        <f t="shared" si="79"/>
        <v>4</v>
      </c>
      <c r="K42" s="41">
        <f t="shared" si="79"/>
        <v>4</v>
      </c>
      <c r="L42" s="41">
        <f t="shared" si="79"/>
        <v>3</v>
      </c>
      <c r="M42" s="41">
        <f t="shared" si="79"/>
        <v>4</v>
      </c>
    </row>
    <row r="43" spans="1:14">
      <c r="A43" s="13" t="s">
        <v>82</v>
      </c>
      <c r="B43" s="41">
        <f t="shared" ref="B43:M43" si="80">ROUNDUP(B28,0)</f>
        <v>0</v>
      </c>
      <c r="C43" s="41">
        <f t="shared" si="80"/>
        <v>0</v>
      </c>
      <c r="D43" s="41">
        <f t="shared" si="80"/>
        <v>0</v>
      </c>
      <c r="E43" s="41">
        <f t="shared" si="80"/>
        <v>0</v>
      </c>
      <c r="F43" s="41">
        <f t="shared" si="80"/>
        <v>0</v>
      </c>
      <c r="G43" s="41">
        <f t="shared" si="80"/>
        <v>0</v>
      </c>
      <c r="H43" s="41">
        <f t="shared" si="80"/>
        <v>0</v>
      </c>
      <c r="I43" s="41">
        <f t="shared" si="80"/>
        <v>0</v>
      </c>
      <c r="J43" s="41">
        <f t="shared" si="80"/>
        <v>0</v>
      </c>
      <c r="K43" s="41">
        <f t="shared" si="80"/>
        <v>0</v>
      </c>
      <c r="L43" s="41">
        <f t="shared" si="80"/>
        <v>0</v>
      </c>
      <c r="M43" s="41">
        <f t="shared" si="80"/>
        <v>0</v>
      </c>
    </row>
    <row r="44" spans="1:14">
      <c r="A44" s="13" t="s">
        <v>262</v>
      </c>
      <c r="B44" s="41">
        <f t="shared" ref="B44:M44" si="81">ROUNDUP(B29,0)</f>
        <v>0</v>
      </c>
      <c r="C44" s="41">
        <f t="shared" si="81"/>
        <v>0</v>
      </c>
      <c r="D44" s="41">
        <f t="shared" si="81"/>
        <v>0</v>
      </c>
      <c r="E44" s="41">
        <f t="shared" si="81"/>
        <v>0</v>
      </c>
      <c r="F44" s="41">
        <f t="shared" si="81"/>
        <v>0</v>
      </c>
      <c r="G44" s="41">
        <f t="shared" si="81"/>
        <v>0</v>
      </c>
      <c r="H44" s="41">
        <f t="shared" si="81"/>
        <v>0</v>
      </c>
      <c r="I44" s="41">
        <f t="shared" si="81"/>
        <v>0</v>
      </c>
      <c r="J44" s="41">
        <f t="shared" si="81"/>
        <v>0</v>
      </c>
      <c r="K44" s="41">
        <f t="shared" si="81"/>
        <v>0</v>
      </c>
      <c r="L44" s="41">
        <f t="shared" si="81"/>
        <v>0</v>
      </c>
      <c r="M44" s="41">
        <f t="shared" si="81"/>
        <v>0</v>
      </c>
    </row>
    <row r="45" spans="1:14">
      <c r="A45" s="13" t="s">
        <v>88</v>
      </c>
      <c r="B45" s="41">
        <f t="shared" ref="B45:M45" si="82">ROUNDUP(B30,0)</f>
        <v>3</v>
      </c>
      <c r="C45" s="41">
        <f t="shared" si="82"/>
        <v>3</v>
      </c>
      <c r="D45" s="41">
        <f t="shared" si="82"/>
        <v>3</v>
      </c>
      <c r="E45" s="41">
        <f t="shared" si="82"/>
        <v>3</v>
      </c>
      <c r="F45" s="41">
        <f t="shared" si="82"/>
        <v>3</v>
      </c>
      <c r="G45" s="41">
        <f t="shared" si="82"/>
        <v>3</v>
      </c>
      <c r="H45" s="41">
        <f t="shared" si="82"/>
        <v>3</v>
      </c>
      <c r="I45" s="41">
        <f t="shared" si="82"/>
        <v>3</v>
      </c>
      <c r="J45" s="41">
        <f t="shared" si="82"/>
        <v>3</v>
      </c>
      <c r="K45" s="41">
        <f t="shared" si="82"/>
        <v>3</v>
      </c>
      <c r="L45" s="41">
        <f t="shared" si="82"/>
        <v>3</v>
      </c>
      <c r="M45" s="41">
        <f t="shared" si="82"/>
        <v>3</v>
      </c>
    </row>
    <row r="46" spans="1:14">
      <c r="A46" s="13" t="s">
        <v>263</v>
      </c>
      <c r="B46" s="41">
        <f t="shared" ref="B46:M46" si="83">ROUNDUP(B31,0)</f>
        <v>3</v>
      </c>
      <c r="C46" s="41">
        <f t="shared" si="83"/>
        <v>3</v>
      </c>
      <c r="D46" s="41">
        <f t="shared" si="83"/>
        <v>3</v>
      </c>
      <c r="E46" s="41">
        <f t="shared" si="83"/>
        <v>3</v>
      </c>
      <c r="F46" s="41">
        <f t="shared" si="83"/>
        <v>3</v>
      </c>
      <c r="G46" s="41">
        <f t="shared" si="83"/>
        <v>3</v>
      </c>
      <c r="H46" s="41">
        <f t="shared" si="83"/>
        <v>3</v>
      </c>
      <c r="I46" s="41">
        <f t="shared" si="83"/>
        <v>2</v>
      </c>
      <c r="J46" s="41">
        <f t="shared" si="83"/>
        <v>3</v>
      </c>
      <c r="K46" s="41">
        <f t="shared" si="83"/>
        <v>3</v>
      </c>
      <c r="L46" s="41">
        <f t="shared" si="83"/>
        <v>3</v>
      </c>
      <c r="M46" s="41">
        <f t="shared" si="83"/>
        <v>3</v>
      </c>
    </row>
    <row r="47" spans="1:14">
      <c r="A47" s="13" t="s">
        <v>264</v>
      </c>
      <c r="B47" s="41">
        <f t="shared" ref="B47:M47" si="84">ROUNDUP(B32,0)</f>
        <v>5</v>
      </c>
      <c r="C47" s="41">
        <f t="shared" si="84"/>
        <v>4</v>
      </c>
      <c r="D47" s="41">
        <f t="shared" si="84"/>
        <v>4</v>
      </c>
      <c r="E47" s="41">
        <f t="shared" si="84"/>
        <v>4</v>
      </c>
      <c r="F47" s="41">
        <f t="shared" si="84"/>
        <v>7</v>
      </c>
      <c r="G47" s="41">
        <f t="shared" si="84"/>
        <v>4</v>
      </c>
      <c r="H47" s="41">
        <f t="shared" si="84"/>
        <v>3</v>
      </c>
      <c r="I47" s="41">
        <f t="shared" si="84"/>
        <v>2</v>
      </c>
      <c r="J47" s="41">
        <f t="shared" si="84"/>
        <v>2</v>
      </c>
      <c r="K47" s="41">
        <f t="shared" si="84"/>
        <v>1</v>
      </c>
      <c r="L47" s="41">
        <f t="shared" si="84"/>
        <v>1</v>
      </c>
      <c r="M47" s="41">
        <f t="shared" si="84"/>
        <v>1</v>
      </c>
    </row>
    <row r="48" spans="1:14">
      <c r="A48" s="13" t="s">
        <v>83</v>
      </c>
      <c r="B48" s="41">
        <f t="shared" ref="B48:M48" si="85">ROUNDUP(B33,0)</f>
        <v>1</v>
      </c>
      <c r="C48" s="41">
        <f t="shared" si="85"/>
        <v>1</v>
      </c>
      <c r="D48" s="41">
        <f t="shared" si="85"/>
        <v>1</v>
      </c>
      <c r="E48" s="41">
        <f t="shared" si="85"/>
        <v>1</v>
      </c>
      <c r="F48" s="41">
        <f t="shared" si="85"/>
        <v>1</v>
      </c>
      <c r="G48" s="41">
        <f t="shared" si="85"/>
        <v>1</v>
      </c>
      <c r="H48" s="41">
        <f t="shared" si="85"/>
        <v>1</v>
      </c>
      <c r="I48" s="41">
        <f t="shared" si="85"/>
        <v>1</v>
      </c>
      <c r="J48" s="41">
        <f t="shared" si="85"/>
        <v>1</v>
      </c>
      <c r="K48" s="41">
        <f t="shared" si="85"/>
        <v>1</v>
      </c>
      <c r="L48" s="41">
        <f t="shared" si="85"/>
        <v>1</v>
      </c>
      <c r="M48" s="41">
        <f t="shared" si="85"/>
        <v>1</v>
      </c>
    </row>
    <row r="50" spans="1:14">
      <c r="B50" s="41"/>
      <c r="N50" t="s">
        <v>1570</v>
      </c>
    </row>
    <row r="51" spans="1:14">
      <c r="A51" s="13" t="s">
        <v>258</v>
      </c>
      <c r="B51" s="41"/>
      <c r="C51" s="41">
        <f t="shared" ref="C51:M51" si="86">C22*$N$51*3</f>
        <v>8.4079246871549387</v>
      </c>
      <c r="D51" s="41">
        <f t="shared" si="86"/>
        <v>2.0157900633849684</v>
      </c>
      <c r="E51" s="41">
        <f t="shared" si="86"/>
        <v>3.0505138835844212</v>
      </c>
      <c r="F51" s="41">
        <f t="shared" si="86"/>
        <v>4.8522630187581077</v>
      </c>
      <c r="G51" s="41">
        <f t="shared" si="86"/>
        <v>5.1050126727339586</v>
      </c>
      <c r="H51" s="41">
        <f t="shared" si="86"/>
        <v>3.9582860022752326</v>
      </c>
      <c r="I51" s="41">
        <f t="shared" si="86"/>
        <v>8.2369916546770519</v>
      </c>
      <c r="J51" s="41">
        <f t="shared" si="86"/>
        <v>7.1373340290092591</v>
      </c>
      <c r="K51" s="41">
        <f t="shared" si="86"/>
        <v>6.7567148760330493</v>
      </c>
      <c r="L51" s="41">
        <f t="shared" si="86"/>
        <v>10.306334910603734</v>
      </c>
      <c r="M51" s="41">
        <f t="shared" si="86"/>
        <v>5.0169291832569272</v>
      </c>
      <c r="N51">
        <v>2.5</v>
      </c>
    </row>
    <row r="52" spans="1:14">
      <c r="A52" s="13" t="s">
        <v>259</v>
      </c>
      <c r="B52" s="41">
        <f t="shared" ref="B52:B62" si="87">B38*$N52*3</f>
        <v>7.5</v>
      </c>
      <c r="C52" s="41">
        <f t="shared" ref="C52:M52" si="88">C23*$N$52*3</f>
        <v>2.7445169849467006</v>
      </c>
      <c r="D52" s="41">
        <f t="shared" si="88"/>
        <v>3.487216517980861</v>
      </c>
      <c r="E52" s="41">
        <f t="shared" si="88"/>
        <v>2.8296935571420052</v>
      </c>
      <c r="F52" s="41">
        <f t="shared" si="88"/>
        <v>4.904886823637721</v>
      </c>
      <c r="G52" s="41">
        <f t="shared" si="88"/>
        <v>8.8039224491995256</v>
      </c>
      <c r="H52" s="41">
        <f t="shared" si="88"/>
        <v>10.408165760158759</v>
      </c>
      <c r="I52" s="41">
        <f t="shared" si="88"/>
        <v>7.4115095454223576</v>
      </c>
      <c r="J52" s="41">
        <f t="shared" si="88"/>
        <v>7.5340427434804367</v>
      </c>
      <c r="K52" s="41">
        <f t="shared" si="88"/>
        <v>9.0284103474607775</v>
      </c>
      <c r="L52" s="41">
        <f t="shared" si="88"/>
        <v>8.2172363094430949</v>
      </c>
      <c r="M52" s="41">
        <f t="shared" si="88"/>
        <v>7.4454976203540806</v>
      </c>
      <c r="N52">
        <v>2.5</v>
      </c>
    </row>
    <row r="53" spans="1:14">
      <c r="A53" s="13" t="s">
        <v>78</v>
      </c>
      <c r="B53" s="41">
        <f t="shared" si="87"/>
        <v>7.5</v>
      </c>
      <c r="C53" s="41">
        <f t="shared" ref="C53:M53" si="89">C24*$N$53*3</f>
        <v>4.205336126083056</v>
      </c>
      <c r="D53" s="41">
        <f t="shared" si="89"/>
        <v>1.3627637489394748</v>
      </c>
      <c r="E53" s="41">
        <f t="shared" si="89"/>
        <v>1.511506696704046</v>
      </c>
      <c r="F53" s="41">
        <f t="shared" si="89"/>
        <v>1.2362678188820757</v>
      </c>
      <c r="G53" s="41">
        <f t="shared" si="89"/>
        <v>1.4843472784356564</v>
      </c>
      <c r="H53" s="41">
        <f t="shared" si="89"/>
        <v>0.75959173783758782</v>
      </c>
      <c r="I53" s="41">
        <f t="shared" si="89"/>
        <v>2.7398388217290219</v>
      </c>
      <c r="J53" s="41">
        <f t="shared" si="89"/>
        <v>3.5486740639648797</v>
      </c>
      <c r="K53" s="41">
        <f t="shared" si="89"/>
        <v>3.4256191301722314</v>
      </c>
      <c r="L53" s="41">
        <f t="shared" si="89"/>
        <v>5.2942222301238093</v>
      </c>
      <c r="M53" s="41">
        <f t="shared" si="89"/>
        <v>6.4761621755595211</v>
      </c>
      <c r="N53">
        <v>2.5</v>
      </c>
    </row>
    <row r="54" spans="1:14">
      <c r="A54" s="13" t="s">
        <v>260</v>
      </c>
      <c r="B54" s="41">
        <f t="shared" si="87"/>
        <v>1.4013441201837424</v>
      </c>
      <c r="C54" s="41">
        <f t="shared" ref="C54:M54" si="90">C25*$N$54*3</f>
        <v>6.0164487962833526</v>
      </c>
      <c r="D54" s="41">
        <f t="shared" si="90"/>
        <v>4.8044308513877745</v>
      </c>
      <c r="E54" s="41">
        <f t="shared" si="90"/>
        <v>4.0960339319768</v>
      </c>
      <c r="F54" s="41">
        <f t="shared" si="90"/>
        <v>4.2954687419865074</v>
      </c>
      <c r="G54" s="41">
        <f t="shared" si="90"/>
        <v>3.7566234888336094</v>
      </c>
      <c r="H54" s="41">
        <f t="shared" si="90"/>
        <v>3.8310712565133738</v>
      </c>
      <c r="I54" s="41">
        <f t="shared" si="90"/>
        <v>4.0093111674547046</v>
      </c>
      <c r="J54" s="41">
        <f t="shared" si="90"/>
        <v>5.7790079661416369</v>
      </c>
      <c r="K54" s="41">
        <f t="shared" si="90"/>
        <v>5.8715079589478361</v>
      </c>
      <c r="L54" s="41">
        <f t="shared" si="90"/>
        <v>10.725165074264378</v>
      </c>
      <c r="M54" s="41">
        <f t="shared" si="90"/>
        <v>8.6927975899235168</v>
      </c>
      <c r="N54">
        <v>2.5</v>
      </c>
    </row>
    <row r="55" spans="1:14">
      <c r="A55" s="13" t="s">
        <v>89</v>
      </c>
      <c r="B55" s="41">
        <f t="shared" si="87"/>
        <v>7.5</v>
      </c>
      <c r="C55" s="41">
        <f t="shared" ref="C55:M55" si="91">C26*$N$55*3</f>
        <v>0.11927376321973482</v>
      </c>
      <c r="D55" s="41">
        <f t="shared" si="91"/>
        <v>0.20311215430847562</v>
      </c>
      <c r="E55" s="41">
        <f t="shared" si="91"/>
        <v>0.83945022815678616</v>
      </c>
      <c r="F55" s="41">
        <f t="shared" si="91"/>
        <v>2.997165469784477</v>
      </c>
      <c r="G55" s="41">
        <f t="shared" si="91"/>
        <v>1.3292537150349648</v>
      </c>
      <c r="H55" s="41">
        <f t="shared" si="91"/>
        <v>0.9466825787848514</v>
      </c>
      <c r="I55" s="41">
        <f t="shared" si="91"/>
        <v>1.8759164982744525</v>
      </c>
      <c r="J55" s="41">
        <f t="shared" si="91"/>
        <v>4.4002363134025071</v>
      </c>
      <c r="K55" s="41">
        <f t="shared" si="91"/>
        <v>6.4542349941632198</v>
      </c>
      <c r="L55" s="41">
        <f t="shared" si="91"/>
        <v>4.728838587346095</v>
      </c>
      <c r="M55" s="41">
        <f t="shared" si="91"/>
        <v>2.2330571417219138</v>
      </c>
      <c r="N55">
        <v>2.5</v>
      </c>
    </row>
    <row r="56" spans="1:14">
      <c r="A56" s="13" t="s">
        <v>261</v>
      </c>
      <c r="B56" s="41">
        <f t="shared" si="87"/>
        <v>30</v>
      </c>
      <c r="C56" s="41">
        <f t="shared" ref="C56:M56" si="92">C27*$N$56*3</f>
        <v>15.396212771786622</v>
      </c>
      <c r="D56" s="41">
        <f t="shared" si="92"/>
        <v>22.05101433037386</v>
      </c>
      <c r="E56" s="41">
        <f t="shared" si="92"/>
        <v>21.109489867977686</v>
      </c>
      <c r="F56" s="41">
        <f t="shared" si="92"/>
        <v>18.939011699338653</v>
      </c>
      <c r="G56" s="41">
        <f t="shared" si="92"/>
        <v>21.146416949444973</v>
      </c>
      <c r="H56" s="41">
        <f t="shared" si="92"/>
        <v>18.04005923749202</v>
      </c>
      <c r="I56" s="41">
        <f t="shared" si="92"/>
        <v>19.403710087652229</v>
      </c>
      <c r="J56" s="41">
        <f t="shared" si="92"/>
        <v>26.259172313325443</v>
      </c>
      <c r="K56" s="41">
        <f t="shared" si="92"/>
        <v>26.844361301802238</v>
      </c>
      <c r="L56" s="41">
        <f t="shared" si="92"/>
        <v>22.380290658244114</v>
      </c>
      <c r="M56" s="41">
        <f t="shared" si="92"/>
        <v>23.926507773978884</v>
      </c>
      <c r="N56">
        <v>2.5</v>
      </c>
    </row>
    <row r="57" spans="1:14">
      <c r="A57" s="13" t="s">
        <v>82</v>
      </c>
      <c r="B57" s="41">
        <f t="shared" si="87"/>
        <v>0</v>
      </c>
      <c r="C57" s="41">
        <f t="shared" ref="C57:M57" si="93">C28*$N$57*3</f>
        <v>0</v>
      </c>
      <c r="D57" s="41">
        <f t="shared" si="93"/>
        <v>0</v>
      </c>
      <c r="E57" s="41">
        <f t="shared" si="93"/>
        <v>0</v>
      </c>
      <c r="F57" s="41">
        <f t="shared" si="93"/>
        <v>0</v>
      </c>
      <c r="G57" s="41">
        <f t="shared" si="93"/>
        <v>0</v>
      </c>
      <c r="H57" s="41">
        <f t="shared" si="93"/>
        <v>0</v>
      </c>
      <c r="I57" s="41">
        <f t="shared" si="93"/>
        <v>0</v>
      </c>
      <c r="J57" s="41">
        <f t="shared" si="93"/>
        <v>0</v>
      </c>
      <c r="K57" s="41">
        <f t="shared" si="93"/>
        <v>0</v>
      </c>
      <c r="L57" s="41">
        <f t="shared" si="93"/>
        <v>0</v>
      </c>
      <c r="M57" s="41">
        <f t="shared" si="93"/>
        <v>0</v>
      </c>
    </row>
    <row r="58" spans="1:14">
      <c r="A58" s="13" t="s">
        <v>262</v>
      </c>
      <c r="B58" s="41">
        <f t="shared" si="87"/>
        <v>0</v>
      </c>
      <c r="C58" s="41">
        <f t="shared" ref="C58:M58" si="94">C29*$N$58*3</f>
        <v>0</v>
      </c>
      <c r="D58" s="41">
        <f t="shared" si="94"/>
        <v>0</v>
      </c>
      <c r="E58" s="41">
        <f t="shared" si="94"/>
        <v>0</v>
      </c>
      <c r="F58" s="41">
        <f t="shared" si="94"/>
        <v>0</v>
      </c>
      <c r="G58" s="41">
        <f t="shared" si="94"/>
        <v>0</v>
      </c>
      <c r="H58" s="41">
        <f t="shared" si="94"/>
        <v>0</v>
      </c>
      <c r="I58" s="41">
        <f t="shared" si="94"/>
        <v>0</v>
      </c>
      <c r="J58" s="41">
        <f t="shared" si="94"/>
        <v>0</v>
      </c>
      <c r="K58" s="41">
        <f t="shared" si="94"/>
        <v>0</v>
      </c>
      <c r="L58" s="41">
        <f t="shared" si="94"/>
        <v>0</v>
      </c>
      <c r="M58" s="41">
        <f t="shared" si="94"/>
        <v>0</v>
      </c>
    </row>
    <row r="59" spans="1:14">
      <c r="A59" s="13" t="s">
        <v>88</v>
      </c>
      <c r="B59" s="41">
        <f t="shared" si="87"/>
        <v>31.5</v>
      </c>
      <c r="C59" s="41">
        <f t="shared" ref="C59:M59" si="95">C30*$N$59*3</f>
        <v>25.591010909674033</v>
      </c>
      <c r="D59" s="41">
        <f t="shared" si="95"/>
        <v>24.385946924864157</v>
      </c>
      <c r="E59" s="41">
        <f t="shared" si="95"/>
        <v>22.296116144359573</v>
      </c>
      <c r="F59" s="41">
        <f t="shared" si="95"/>
        <v>25.11525964108813</v>
      </c>
      <c r="G59" s="41">
        <f t="shared" si="95"/>
        <v>25.72424941914251</v>
      </c>
      <c r="H59" s="41">
        <f t="shared" si="95"/>
        <v>24.725863340677051</v>
      </c>
      <c r="I59" s="41">
        <f t="shared" si="95"/>
        <v>24.727814459816138</v>
      </c>
      <c r="J59" s="41">
        <f t="shared" si="95"/>
        <v>26.475673511029257</v>
      </c>
      <c r="K59" s="41">
        <f t="shared" si="95"/>
        <v>25.191734957547244</v>
      </c>
      <c r="L59" s="41">
        <f t="shared" si="95"/>
        <v>28.400872194969107</v>
      </c>
      <c r="M59" s="41">
        <f t="shared" si="95"/>
        <v>25.557792156595731</v>
      </c>
      <c r="N59">
        <v>3.5</v>
      </c>
    </row>
    <row r="60" spans="1:14">
      <c r="A60" s="13" t="s">
        <v>263</v>
      </c>
      <c r="B60" s="41">
        <f t="shared" si="87"/>
        <v>22.5</v>
      </c>
      <c r="C60" s="41">
        <f t="shared" ref="C60:M60" si="96">C31*$N$60*3</f>
        <v>20.640973803697488</v>
      </c>
      <c r="D60" s="41">
        <f t="shared" si="96"/>
        <v>18.451983589012155</v>
      </c>
      <c r="E60" s="41">
        <f t="shared" si="96"/>
        <v>20.526775839450025</v>
      </c>
      <c r="F60" s="41">
        <f t="shared" si="96"/>
        <v>21.307547916683063</v>
      </c>
      <c r="G60" s="41">
        <f t="shared" si="96"/>
        <v>21.859631257587353</v>
      </c>
      <c r="H60" s="41">
        <f t="shared" si="96"/>
        <v>21.360607124811569</v>
      </c>
      <c r="I60" s="41">
        <f t="shared" si="96"/>
        <v>14.037051428593465</v>
      </c>
      <c r="J60" s="41">
        <f t="shared" si="96"/>
        <v>16.642576131615677</v>
      </c>
      <c r="K60" s="41">
        <f t="shared" si="96"/>
        <v>16.948851057000738</v>
      </c>
      <c r="L60" s="41">
        <f t="shared" si="96"/>
        <v>19.244572816872946</v>
      </c>
      <c r="M60" s="41">
        <f t="shared" si="96"/>
        <v>16.673902541742553</v>
      </c>
      <c r="N60">
        <v>2.5</v>
      </c>
    </row>
    <row r="61" spans="1:14">
      <c r="A61" s="13" t="s">
        <v>264</v>
      </c>
      <c r="B61" s="41">
        <f t="shared" si="87"/>
        <v>37.5</v>
      </c>
      <c r="C61" s="41">
        <f t="shared" ref="C61:M61" si="97">C32*$N$61*3</f>
        <v>23.536296158544506</v>
      </c>
      <c r="D61" s="41">
        <f t="shared" si="97"/>
        <v>23.072900449944068</v>
      </c>
      <c r="E61" s="41">
        <f t="shared" si="97"/>
        <v>29.402282731923094</v>
      </c>
      <c r="F61" s="41">
        <f t="shared" si="97"/>
        <v>51.245589415813363</v>
      </c>
      <c r="G61" s="41">
        <f t="shared" si="97"/>
        <v>22.529199994160912</v>
      </c>
      <c r="H61" s="41">
        <f t="shared" si="97"/>
        <v>20.060845740027656</v>
      </c>
      <c r="I61" s="41">
        <f t="shared" si="97"/>
        <v>14.528901907986512</v>
      </c>
      <c r="J61" s="41">
        <f t="shared" si="97"/>
        <v>8.2719681561429024</v>
      </c>
      <c r="K61" s="41">
        <f t="shared" si="97"/>
        <v>5.6440195224799163</v>
      </c>
      <c r="L61" s="41">
        <f t="shared" si="97"/>
        <v>6.150352832215721</v>
      </c>
      <c r="M61" s="41">
        <f t="shared" si="97"/>
        <v>5.7009429968858925</v>
      </c>
      <c r="N61">
        <v>2.5</v>
      </c>
    </row>
    <row r="62" spans="1:14">
      <c r="A62" s="13" t="s">
        <v>83</v>
      </c>
      <c r="B62" s="41">
        <f t="shared" si="87"/>
        <v>7.5</v>
      </c>
      <c r="C62" s="41">
        <f t="shared" ref="C62:M62" si="98">C33*$N$62*3</f>
        <v>0.15625724180212267</v>
      </c>
      <c r="D62" s="41">
        <f t="shared" si="98"/>
        <v>0.31142847590837919</v>
      </c>
      <c r="E62" s="41">
        <f t="shared" si="98"/>
        <v>0.20838796720106811</v>
      </c>
      <c r="F62" s="41">
        <f t="shared" si="98"/>
        <v>0.22274884206702386</v>
      </c>
      <c r="G62" s="41">
        <f t="shared" si="98"/>
        <v>0.11951332103211473</v>
      </c>
      <c r="H62" s="41">
        <f t="shared" si="98"/>
        <v>0.58754290726755742</v>
      </c>
      <c r="I62" s="41">
        <f t="shared" si="98"/>
        <v>0.23017380346925798</v>
      </c>
      <c r="J62" s="41">
        <f t="shared" si="98"/>
        <v>0.60142187358096444</v>
      </c>
      <c r="K62" s="41">
        <f t="shared" si="98"/>
        <v>8.5672631564239932E-2</v>
      </c>
      <c r="L62" s="41">
        <f t="shared" si="98"/>
        <v>0.68483029988243516</v>
      </c>
      <c r="M62" s="41">
        <f t="shared" si="98"/>
        <v>0.83959178932955147</v>
      </c>
      <c r="N62">
        <v>2.5</v>
      </c>
    </row>
    <row r="63" spans="1:14">
      <c r="A63" s="213" t="s">
        <v>1571</v>
      </c>
      <c r="B63" s="41">
        <f>SUM(B51:B62)</f>
        <v>152.90134412018375</v>
      </c>
      <c r="C63" s="41">
        <f t="shared" ref="C63:N63" si="99">SUM(C51:C62)</f>
        <v>106.81425124319254</v>
      </c>
      <c r="D63" s="41">
        <f t="shared" si="99"/>
        <v>100.14658710610419</v>
      </c>
      <c r="E63" s="41">
        <f t="shared" si="99"/>
        <v>105.87025084847549</v>
      </c>
      <c r="F63" s="41">
        <f t="shared" si="99"/>
        <v>135.11620938803912</v>
      </c>
      <c r="G63" s="41">
        <f t="shared" si="99"/>
        <v>111.85817054560559</v>
      </c>
      <c r="H63" s="41">
        <f t="shared" si="99"/>
        <v>104.67871568584566</v>
      </c>
      <c r="I63" s="41">
        <f t="shared" si="99"/>
        <v>97.201219375075183</v>
      </c>
      <c r="J63" s="41">
        <f t="shared" si="99"/>
        <v>106.65010710169297</v>
      </c>
      <c r="K63" s="41">
        <f t="shared" si="99"/>
        <v>106.25112677717149</v>
      </c>
      <c r="L63" s="41">
        <f t="shared" si="99"/>
        <v>116.13271591396544</v>
      </c>
      <c r="M63" s="41">
        <f t="shared" si="99"/>
        <v>102.56318096934856</v>
      </c>
      <c r="N63" s="41">
        <f t="shared" si="99"/>
        <v>26</v>
      </c>
    </row>
  </sheetData>
  <mergeCells count="3">
    <mergeCell ref="Q2:AB2"/>
    <mergeCell ref="AD2:AO2"/>
    <mergeCell ref="AQ2:BB2"/>
  </mergeCells>
  <pageMargins left="0.7" right="0.7" top="0.75" bottom="0.75" header="0.3" footer="0.3"/>
  <pageSetup paperSize="9" orientation="portrait"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Z48"/>
  <sheetViews>
    <sheetView zoomScale="58" workbookViewId="0">
      <selection activeCell="A6" sqref="A6:XFD6"/>
    </sheetView>
  </sheetViews>
  <sheetFormatPr defaultRowHeight="14.5"/>
  <cols>
    <col min="1" max="1" width="16.54296875" customWidth="1"/>
    <col min="2" max="28" width="9.1796875" customWidth="1"/>
    <col min="29" max="29" width="15.54296875" customWidth="1"/>
    <col min="30" max="31" width="13.26953125" customWidth="1"/>
    <col min="32" max="32" width="13.26953125" bestFit="1" customWidth="1"/>
    <col min="33" max="41" width="12.1796875" customWidth="1"/>
    <col min="42" max="42" width="9.54296875" bestFit="1" customWidth="1"/>
    <col min="51" max="51" width="27.453125" bestFit="1" customWidth="1"/>
  </cols>
  <sheetData>
    <row r="1" spans="1:52">
      <c r="J1" s="41"/>
      <c r="AC1" s="154" t="s">
        <v>1577</v>
      </c>
      <c r="AD1" s="19">
        <f>BP!D191</f>
        <v>460411.64024567843</v>
      </c>
      <c r="AE1" s="19">
        <f>BP!E191</f>
        <v>318864.58668767568</v>
      </c>
      <c r="AF1" s="19">
        <f>BP!F191</f>
        <v>276183.06700537977</v>
      </c>
      <c r="AG1" s="19">
        <f>BP!G191</f>
        <v>375130.63631719211</v>
      </c>
      <c r="AH1" s="19">
        <f>BP!H191</f>
        <v>636810.07957177632</v>
      </c>
      <c r="AI1" s="19">
        <f>BP!I191</f>
        <v>340280.31888946606</v>
      </c>
      <c r="AJ1" s="19">
        <f>BP!J191</f>
        <v>290110.77081198042</v>
      </c>
      <c r="AK1" s="19">
        <f>BP!K191</f>
        <v>238101.81614365615</v>
      </c>
      <c r="AL1" s="19">
        <f>BP!L191</f>
        <v>162912.3909009163</v>
      </c>
      <c r="AM1" s="19">
        <f>BP!M191</f>
        <v>144536.62180597585</v>
      </c>
      <c r="AN1" s="19">
        <f>BP!N191</f>
        <v>179386.83792063277</v>
      </c>
      <c r="AO1" s="19">
        <f>BP!O191</f>
        <v>197320.77728897543</v>
      </c>
    </row>
    <row r="2" spans="1:52">
      <c r="AC2" s="154" t="s">
        <v>1578</v>
      </c>
      <c r="AD2" s="19">
        <f>AD1/AD5</f>
        <v>15347.054674855948</v>
      </c>
      <c r="AE2" s="19">
        <f t="shared" ref="AE2:AO2" si="0">AE1/AE5</f>
        <v>10285.954409279861</v>
      </c>
      <c r="AF2" s="19">
        <f t="shared" si="0"/>
        <v>9206.1022335126581</v>
      </c>
      <c r="AG2" s="19">
        <f t="shared" si="0"/>
        <v>12100.98826829652</v>
      </c>
      <c r="AH2" s="19">
        <f t="shared" si="0"/>
        <v>20542.260631347624</v>
      </c>
      <c r="AI2" s="19">
        <f t="shared" si="0"/>
        <v>11342.677296315534</v>
      </c>
      <c r="AJ2" s="19">
        <f t="shared" si="0"/>
        <v>9358.4119616767875</v>
      </c>
      <c r="AK2" s="19">
        <f t="shared" si="0"/>
        <v>7936.7272047885381</v>
      </c>
      <c r="AL2" s="19">
        <f t="shared" si="0"/>
        <v>5255.2384161585906</v>
      </c>
      <c r="AM2" s="19">
        <f t="shared" si="0"/>
        <v>4662.4716711605115</v>
      </c>
      <c r="AN2" s="19">
        <f t="shared" si="0"/>
        <v>6406.672782879742</v>
      </c>
      <c r="AO2" s="19">
        <f t="shared" si="0"/>
        <v>6365.1863641604978</v>
      </c>
    </row>
    <row r="3" spans="1:52">
      <c r="AC3" s="154" t="s">
        <v>1216</v>
      </c>
      <c r="AD3" s="41">
        <f t="shared" ref="AD3:AF3" si="1">AD2/AD25</f>
        <v>49.189277804025473</v>
      </c>
      <c r="AE3" s="41">
        <f t="shared" si="1"/>
        <v>32.967802593845704</v>
      </c>
      <c r="AF3" s="41">
        <f t="shared" si="1"/>
        <v>35.13779478439946</v>
      </c>
      <c r="AG3" s="41">
        <f>AG2/AG25</f>
        <v>38.785218808642689</v>
      </c>
      <c r="AH3" s="41">
        <f t="shared" ref="AH3:AO3" si="2">AH2/AH25</f>
        <v>78.405574928807724</v>
      </c>
      <c r="AI3" s="41">
        <f t="shared" si="2"/>
        <v>43.292661436318831</v>
      </c>
      <c r="AJ3" s="41">
        <f t="shared" si="2"/>
        <v>35.719129624720566</v>
      </c>
      <c r="AK3" s="41">
        <f t="shared" si="2"/>
        <v>41.122938884914703</v>
      </c>
      <c r="AL3" s="41">
        <f t="shared" si="2"/>
        <v>27.229214591495289</v>
      </c>
      <c r="AM3" s="41">
        <f t="shared" si="2"/>
        <v>19.508249670127665</v>
      </c>
      <c r="AN3" s="41">
        <f t="shared" si="2"/>
        <v>27.614968891723027</v>
      </c>
      <c r="AO3" s="41">
        <f t="shared" si="2"/>
        <v>27.795573642622262</v>
      </c>
    </row>
    <row r="4" spans="1:52">
      <c r="A4" s="1526" t="s">
        <v>2</v>
      </c>
      <c r="B4" s="1526"/>
      <c r="C4" s="1526"/>
      <c r="D4" s="1526"/>
      <c r="E4" s="1526"/>
      <c r="F4" s="1526"/>
      <c r="G4" s="1526"/>
      <c r="H4" s="1526"/>
      <c r="I4" s="1526"/>
      <c r="J4" s="1526"/>
      <c r="K4" s="1526"/>
      <c r="L4" s="1526"/>
      <c r="M4" s="1526"/>
      <c r="N4" s="1526"/>
      <c r="O4" s="1526"/>
      <c r="P4" s="1526"/>
      <c r="Q4" s="1526"/>
      <c r="R4" s="1526"/>
      <c r="S4" s="1526"/>
      <c r="T4" s="1526"/>
      <c r="U4" s="1526"/>
      <c r="V4" s="1526"/>
      <c r="W4" s="1526"/>
      <c r="X4" s="1526"/>
      <c r="Y4" s="1526"/>
      <c r="Z4" s="1526"/>
      <c r="AA4" s="1526"/>
      <c r="AB4" s="1526"/>
      <c r="AC4" s="1526"/>
      <c r="AD4" s="770">
        <v>46113</v>
      </c>
      <c r="AE4" s="770">
        <v>46143</v>
      </c>
      <c r="AF4" s="770">
        <v>46174</v>
      </c>
      <c r="AG4" s="770">
        <v>46204</v>
      </c>
      <c r="AH4" s="770">
        <v>46235</v>
      </c>
      <c r="AI4" s="770">
        <v>46266</v>
      </c>
      <c r="AJ4" s="770">
        <v>46296</v>
      </c>
      <c r="AK4" s="770">
        <v>46327</v>
      </c>
      <c r="AL4" s="770">
        <v>46357</v>
      </c>
      <c r="AM4" s="770">
        <v>46388</v>
      </c>
      <c r="AN4" s="770">
        <v>46419</v>
      </c>
      <c r="AO4" s="770">
        <v>46447</v>
      </c>
    </row>
    <row r="5" spans="1:52">
      <c r="A5" s="1526" t="s">
        <v>1280</v>
      </c>
      <c r="B5" s="1526"/>
      <c r="C5" s="1526"/>
      <c r="D5" s="1526"/>
      <c r="E5" s="1526"/>
      <c r="F5" s="1526"/>
      <c r="G5" s="1526"/>
      <c r="H5" s="1526"/>
      <c r="I5" s="1526"/>
      <c r="J5" s="1526"/>
      <c r="K5" s="1526"/>
      <c r="L5" s="1526"/>
      <c r="M5" s="1526"/>
      <c r="N5" s="1526"/>
      <c r="O5" s="1526"/>
      <c r="P5" s="1526"/>
      <c r="Q5" s="1526"/>
      <c r="R5" s="1526"/>
      <c r="S5" s="1526"/>
      <c r="T5" s="1526"/>
      <c r="U5" s="1526"/>
      <c r="V5" s="1526"/>
      <c r="W5" s="1526"/>
      <c r="X5" s="1526"/>
      <c r="Y5" s="1526"/>
      <c r="Z5" s="1526"/>
      <c r="AA5" s="1526"/>
      <c r="AB5" s="1526"/>
      <c r="AC5" s="1526"/>
      <c r="AD5" s="905">
        <f t="shared" ref="AD5:AO5" si="3">DAY(EOMONTH(AD4,0))</f>
        <v>30</v>
      </c>
      <c r="AE5" s="905">
        <f t="shared" si="3"/>
        <v>31</v>
      </c>
      <c r="AF5" s="905">
        <f t="shared" si="3"/>
        <v>30</v>
      </c>
      <c r="AG5" s="905">
        <f t="shared" si="3"/>
        <v>31</v>
      </c>
      <c r="AH5" s="905">
        <f t="shared" si="3"/>
        <v>31</v>
      </c>
      <c r="AI5" s="905">
        <f t="shared" si="3"/>
        <v>30</v>
      </c>
      <c r="AJ5" s="905">
        <f t="shared" si="3"/>
        <v>31</v>
      </c>
      <c r="AK5" s="905">
        <f t="shared" si="3"/>
        <v>30</v>
      </c>
      <c r="AL5" s="905">
        <f t="shared" si="3"/>
        <v>31</v>
      </c>
      <c r="AM5" s="905">
        <f t="shared" si="3"/>
        <v>31</v>
      </c>
      <c r="AN5" s="905">
        <f t="shared" si="3"/>
        <v>28</v>
      </c>
      <c r="AO5" s="905">
        <f t="shared" si="3"/>
        <v>31</v>
      </c>
    </row>
    <row r="6" spans="1:52">
      <c r="A6" s="1526" t="s">
        <v>1043</v>
      </c>
      <c r="B6" s="1526"/>
      <c r="C6" s="1526"/>
      <c r="D6" s="1526"/>
      <c r="E6" s="1526"/>
      <c r="F6" s="1526"/>
      <c r="G6" s="1526"/>
      <c r="H6" s="1526"/>
      <c r="I6" s="1526"/>
      <c r="J6" s="1526"/>
      <c r="K6" s="1526"/>
      <c r="L6" s="1526"/>
      <c r="M6" s="1526"/>
      <c r="N6" s="1526"/>
      <c r="O6" s="1526"/>
      <c r="P6" s="1526"/>
      <c r="Q6" s="1526"/>
      <c r="R6" s="1526"/>
      <c r="S6" s="1526"/>
      <c r="T6" s="1526"/>
      <c r="U6" s="1526"/>
      <c r="V6" s="1526"/>
      <c r="W6" s="1526"/>
      <c r="X6" s="1526"/>
      <c r="Y6" s="1526"/>
      <c r="Z6" s="1526"/>
      <c r="AA6" s="1526"/>
      <c r="AB6" s="1526"/>
      <c r="AC6" s="1526"/>
      <c r="AD6" s="911">
        <v>404435.58039578947</v>
      </c>
      <c r="AE6" s="911">
        <v>382745.706711579</v>
      </c>
      <c r="AF6" s="911">
        <v>276074.84829052631</v>
      </c>
      <c r="AG6" s="911">
        <v>363537.62070400006</v>
      </c>
      <c r="AH6" s="911">
        <v>297183.50596715795</v>
      </c>
      <c r="AI6" s="911">
        <v>255205.95433347372</v>
      </c>
      <c r="AJ6" s="911">
        <v>247962.40222821062</v>
      </c>
      <c r="AK6" s="911">
        <v>196833.15136505268</v>
      </c>
      <c r="AL6" s="911">
        <v>195651.29570526318</v>
      </c>
      <c r="AM6" s="911">
        <v>240875.73517894739</v>
      </c>
      <c r="AN6" s="911">
        <v>209783.07294399996</v>
      </c>
      <c r="AO6" s="911">
        <v>229027.49198821053</v>
      </c>
    </row>
    <row r="7" spans="1:52">
      <c r="B7" s="1340"/>
      <c r="C7" s="1340"/>
      <c r="D7" s="1340"/>
      <c r="E7" s="1524" t="s">
        <v>1583</v>
      </c>
      <c r="F7" s="1525"/>
      <c r="G7" s="1524" t="s">
        <v>1589</v>
      </c>
      <c r="H7" s="1525"/>
      <c r="I7" s="1524" t="s">
        <v>1591</v>
      </c>
      <c r="J7" s="1525"/>
      <c r="K7" s="1524" t="s">
        <v>1592</v>
      </c>
      <c r="L7" s="1525"/>
      <c r="M7" s="1524" t="s">
        <v>1593</v>
      </c>
      <c r="N7" s="1525"/>
      <c r="O7" s="1524" t="s">
        <v>1594</v>
      </c>
      <c r="P7" s="1525"/>
      <c r="Q7" s="1524" t="s">
        <v>1595</v>
      </c>
      <c r="R7" s="1525"/>
      <c r="S7" s="1524" t="s">
        <v>1596</v>
      </c>
      <c r="T7" s="1525"/>
      <c r="U7" s="1524" t="s">
        <v>1597</v>
      </c>
      <c r="V7" s="1525"/>
      <c r="W7" s="1524" t="s">
        <v>1598</v>
      </c>
      <c r="X7" s="1525"/>
      <c r="Y7" s="1524" t="s">
        <v>1599</v>
      </c>
      <c r="Z7" s="1525"/>
      <c r="AA7" s="1524" t="s">
        <v>1600</v>
      </c>
      <c r="AB7" s="1525"/>
      <c r="AC7" s="1341" t="s">
        <v>1044</v>
      </c>
      <c r="AD7" s="911">
        <f t="shared" ref="AD7:AO7" si="4">AD6/AD5</f>
        <v>13481.186013192983</v>
      </c>
      <c r="AE7" s="911">
        <f t="shared" si="4"/>
        <v>12346.635700373516</v>
      </c>
      <c r="AF7" s="911">
        <f t="shared" si="4"/>
        <v>9202.4949430175438</v>
      </c>
      <c r="AG7" s="911">
        <f t="shared" si="4"/>
        <v>11727.020022709679</v>
      </c>
      <c r="AH7" s="911">
        <f t="shared" si="4"/>
        <v>9586.5647086179979</v>
      </c>
      <c r="AI7" s="911">
        <f t="shared" si="4"/>
        <v>8506.8651444491243</v>
      </c>
      <c r="AJ7" s="911">
        <f t="shared" si="4"/>
        <v>7998.7871686519557</v>
      </c>
      <c r="AK7" s="911">
        <f t="shared" si="4"/>
        <v>6561.1050455017557</v>
      </c>
      <c r="AL7" s="911">
        <f t="shared" si="4"/>
        <v>6311.332119524619</v>
      </c>
      <c r="AM7" s="911">
        <f t="shared" si="4"/>
        <v>7770.1850057724969</v>
      </c>
      <c r="AN7" s="911">
        <f t="shared" si="4"/>
        <v>7492.2526051428558</v>
      </c>
      <c r="AO7" s="911">
        <f t="shared" si="4"/>
        <v>7387.9836125229203</v>
      </c>
      <c r="AR7">
        <f>SUM(AR9:AR24)</f>
        <v>53</v>
      </c>
      <c r="AS7">
        <f>SUM(AS9:AS24)</f>
        <v>44</v>
      </c>
      <c r="AT7">
        <f>SUM(AT9:AT24)</f>
        <v>165</v>
      </c>
    </row>
    <row r="8" spans="1:52">
      <c r="A8" s="1330"/>
      <c r="B8" s="1330" t="s">
        <v>1579</v>
      </c>
      <c r="C8" s="1330" t="s">
        <v>1580</v>
      </c>
      <c r="D8" s="1330" t="s">
        <v>1581</v>
      </c>
      <c r="E8" s="1330" t="s">
        <v>1582</v>
      </c>
      <c r="F8" s="1330" t="s">
        <v>1590</v>
      </c>
      <c r="G8" s="1339" t="s">
        <v>1582</v>
      </c>
      <c r="H8" s="1339" t="s">
        <v>1590</v>
      </c>
      <c r="I8" s="1339" t="s">
        <v>1582</v>
      </c>
      <c r="J8" s="1339" t="s">
        <v>1590</v>
      </c>
      <c r="K8" s="1339" t="s">
        <v>1582</v>
      </c>
      <c r="L8" s="1339" t="s">
        <v>1590</v>
      </c>
      <c r="M8" s="1339" t="s">
        <v>1582</v>
      </c>
      <c r="N8" s="1339" t="s">
        <v>1590</v>
      </c>
      <c r="O8" s="1339" t="s">
        <v>1582</v>
      </c>
      <c r="P8" s="1339" t="s">
        <v>1590</v>
      </c>
      <c r="Q8" s="1339" t="s">
        <v>1582</v>
      </c>
      <c r="R8" s="1339" t="s">
        <v>1590</v>
      </c>
      <c r="S8" s="1339" t="s">
        <v>1582</v>
      </c>
      <c r="T8" s="1339" t="s">
        <v>1590</v>
      </c>
      <c r="U8" s="1339" t="s">
        <v>1582</v>
      </c>
      <c r="V8" s="1339" t="s">
        <v>1590</v>
      </c>
      <c r="W8" s="1339" t="s">
        <v>1582</v>
      </c>
      <c r="X8" s="1339" t="s">
        <v>1590</v>
      </c>
      <c r="Y8" s="1339" t="s">
        <v>1582</v>
      </c>
      <c r="Z8" s="1339" t="s">
        <v>1590</v>
      </c>
      <c r="AA8" s="1339" t="s">
        <v>1582</v>
      </c>
      <c r="AB8" s="1339" t="s">
        <v>1590</v>
      </c>
      <c r="AC8" s="1330" t="s">
        <v>1216</v>
      </c>
      <c r="AD8" s="912">
        <f>AD7/AD25</f>
        <v>43.20892952946469</v>
      </c>
      <c r="AE8" s="912">
        <f t="shared" ref="AE8:AO8" si="5">AE7/AE25</f>
        <v>39.572550321709983</v>
      </c>
      <c r="AF8" s="912">
        <f t="shared" si="5"/>
        <v>35.124026500066961</v>
      </c>
      <c r="AG8" s="912">
        <f t="shared" si="5"/>
        <v>37.586602636889999</v>
      </c>
      <c r="AH8" s="912">
        <f t="shared" si="5"/>
        <v>36.589941635946559</v>
      </c>
      <c r="AI8" s="912">
        <f t="shared" si="5"/>
        <v>32.468950933011925</v>
      </c>
      <c r="AJ8" s="912">
        <f t="shared" si="5"/>
        <v>30.529722017755557</v>
      </c>
      <c r="AK8" s="912">
        <f t="shared" si="5"/>
        <v>33.995362930060914</v>
      </c>
      <c r="AL8" s="912">
        <f t="shared" si="5"/>
        <v>32.701202691837402</v>
      </c>
      <c r="AM8" s="912">
        <f t="shared" si="5"/>
        <v>32.511234333776137</v>
      </c>
      <c r="AN8" s="912">
        <f t="shared" si="5"/>
        <v>32.29419226354679</v>
      </c>
      <c r="AO8" s="912">
        <f t="shared" si="5"/>
        <v>32.261937172589171</v>
      </c>
      <c r="AR8" t="s">
        <v>428</v>
      </c>
      <c r="AS8" t="s">
        <v>1094</v>
      </c>
    </row>
    <row r="9" spans="1:52">
      <c r="A9" s="132" t="s">
        <v>206</v>
      </c>
      <c r="B9" s="13">
        <v>1</v>
      </c>
      <c r="C9" s="13">
        <v>7258</v>
      </c>
      <c r="D9" s="13">
        <v>3</v>
      </c>
      <c r="E9" s="13">
        <f>('CSP Working 26-27'!E6/'CSP Working 26-27'!B6)+('CSP Working 26-27'!E7/'CSP Working 26-27'!B7)</f>
        <v>0.55647853266180314</v>
      </c>
      <c r="F9" s="13">
        <f>IF(E9&lt;$B9,ROUNDUP(E9/0.33,0),ROUND($B9/0.33,0))*$D9</f>
        <v>6</v>
      </c>
      <c r="G9" s="1342">
        <f>('CSP Working 26-27'!Q6/'CSP Working 26-27'!N6)+('CSP Working 26-27'!Q7/'CSP Working 26-27'!N7)</f>
        <v>0.38539707037616677</v>
      </c>
      <c r="H9" s="13">
        <f>IF(G9&lt;$B9,ROUNDUP(G9/0.33,0),ROUND($B9/0.33,0))*$D9</f>
        <v>6</v>
      </c>
      <c r="I9" s="12">
        <f>('CSP Working 26-27'!AC6/'CSP Working 26-27'!Z6)+('CSP Working 26-27'!AC7/'CSP Working 26-27'!Z7)</f>
        <v>0.33380986586520772</v>
      </c>
      <c r="J9" s="13">
        <f>IF(I9&lt;$B9,ROUNDUP(I9/0.33,0),ROUND($B9/0.33,0))*$D9</f>
        <v>6</v>
      </c>
      <c r="K9" s="12">
        <f>('CSP Working 26-27'!AO6/'CSP Working 26-27'!AL6)+('CSP Working 26-27'!AO7/'CSP Working 26-27'!AL7)</f>
        <v>0.45340327612674647</v>
      </c>
      <c r="L9" s="13">
        <f>IF(K9&lt;$B9,ROUNDUP(K9/0.33,0),ROUND($B9/0.33,0))*$D9</f>
        <v>6</v>
      </c>
      <c r="M9" s="12">
        <f>('CSP Working 26-27'!BA6/'CSP Working 26-27'!AX6)+('CSP Working 26-27'!BA7/'CSP Working 26-27'!AX7)</f>
        <v>0.76968327402681136</v>
      </c>
      <c r="N9" s="13">
        <f>IF(M9&lt;$B9,ROUNDUP(M9/0.33,0),ROUND($B9/0.33,0))*$D9</f>
        <v>9</v>
      </c>
      <c r="O9" s="12">
        <f>('CSP Working 26-27'!BM6/'CSP Working 26-27'!BJ6)+('CSP Working 26-27'!BM7/'CSP Working 26-27'!BJ7)</f>
        <v>0.41128128830161109</v>
      </c>
      <c r="P9" s="13">
        <f>IF(O9&lt;$B9,ROUNDUP(O9/0.33,0),ROUND($B9/0.33,0))*$D9</f>
        <v>6</v>
      </c>
      <c r="Q9" s="12">
        <f>('CSP Working 26-27'!BY6/'CSP Working 26-27'!BV6)+('CSP Working 26-27'!BY7/'CSP Working 26-27'!BV7)</f>
        <v>0.37568962037511056</v>
      </c>
      <c r="R9" s="13">
        <f>IF(Q9&lt;$B9,ROUNDUP(Q9/0.33,0),ROUND($B9/0.33,0))*$D9</f>
        <v>6</v>
      </c>
      <c r="S9" s="12">
        <f>('CSP Working 26-27'!CK6/'CSP Working 26-27'!CH6)+('CSP Working 26-27'!CK7/'CSP Working 26-27'!CH7)</f>
        <v>0.28778279628427761</v>
      </c>
      <c r="T9" s="13">
        <f>IF(S9&lt;$B9,ROUNDUP(S9/0.33,0),ROUND($B9/0.33,0))*$D9</f>
        <v>3</v>
      </c>
      <c r="U9" s="12">
        <f>('CSP Working 26-27'!CW6/'CSP Working 26-27'!CT6)+('CSP Working 26-27'!CW7/'CSP Working 26-27'!CT7)</f>
        <v>0.19690477024558445</v>
      </c>
      <c r="V9" s="13">
        <f>IF(U9&lt;$B9,ROUNDUP(U9/0.33,0),ROUND($B9/0.33,0))*$D9</f>
        <v>3</v>
      </c>
      <c r="W9" s="12">
        <f>('CSP Working 26-27'!DI6/'CSP Working 26-27'!DF6)+('CSP Working 26-27'!DI7/'CSP Working 26-27'!DF7)</f>
        <v>0.17469481695893849</v>
      </c>
      <c r="X9" s="13">
        <f>IF(W9&lt;$B9,ROUNDUP(W9/0.33,0),ROUND($B9/0.33,0))*$D9</f>
        <v>3</v>
      </c>
      <c r="Y9" s="12">
        <f>('CSP Working 26-27'!DU6/'CSP Working 26-27'!DR6)+('CSP Working 26-27'!DU7/'CSP Working 26-27'!DR7)</f>
        <v>0.21681668233159193</v>
      </c>
      <c r="Z9" s="13">
        <f>IF(Y9&lt;$B9,ROUNDUP(Y9/0.33,0),ROUND($B9/0.33,0))*$D9</f>
        <v>3</v>
      </c>
      <c r="AA9" s="12">
        <f>('CSP Working 26-27'!EG6/'CSP Working 26-27'!ED6)+('CSP Working 26-27'!EG7/'CSP Working 26-27'!ED7)</f>
        <v>0.23849261619637377</v>
      </c>
      <c r="AB9" s="13">
        <f>IF(AA9&lt;$B9,ROUNDUP(AA9/0.33,0),ROUND($B9/0.33,0))*$D9</f>
        <v>3</v>
      </c>
      <c r="AC9" s="13" t="s">
        <v>1252</v>
      </c>
      <c r="AD9" s="13">
        <f t="shared" ref="AD9:AJ9" si="6">3*3</f>
        <v>9</v>
      </c>
      <c r="AE9" s="13">
        <f t="shared" si="6"/>
        <v>9</v>
      </c>
      <c r="AF9" s="132">
        <f t="shared" si="6"/>
        <v>9</v>
      </c>
      <c r="AG9" s="13">
        <f t="shared" si="6"/>
        <v>9</v>
      </c>
      <c r="AH9" s="13">
        <f t="shared" si="6"/>
        <v>9</v>
      </c>
      <c r="AI9" s="13">
        <f t="shared" si="6"/>
        <v>9</v>
      </c>
      <c r="AJ9" s="13">
        <f t="shared" si="6"/>
        <v>9</v>
      </c>
      <c r="AK9" s="13">
        <f>2*3</f>
        <v>6</v>
      </c>
      <c r="AL9" s="13">
        <f>2*3</f>
        <v>6</v>
      </c>
      <c r="AM9" s="13">
        <f>2*3</f>
        <v>6</v>
      </c>
      <c r="AN9" s="13">
        <f>2*3</f>
        <v>6</v>
      </c>
      <c r="AO9" s="13">
        <f>2*3</f>
        <v>6</v>
      </c>
      <c r="AR9">
        <v>3</v>
      </c>
      <c r="AS9">
        <v>6</v>
      </c>
      <c r="AV9" s="40">
        <f>AVERAGE(AD9:AO9)</f>
        <v>7.75</v>
      </c>
      <c r="AY9" t="s">
        <v>206</v>
      </c>
      <c r="AZ9" s="40">
        <v>7.75</v>
      </c>
    </row>
    <row r="10" spans="1:52">
      <c r="A10" s="132" t="s">
        <v>207</v>
      </c>
      <c r="B10" s="13">
        <v>2</v>
      </c>
      <c r="C10" s="13">
        <v>7085</v>
      </c>
      <c r="D10" s="13">
        <v>2</v>
      </c>
      <c r="E10" s="308">
        <f>('CSP Working 26-27'!E8/'CSP Working 26-27'!B8)+('CSP Working 26-27'!E9/'CSP Working 26-27'!B9)</f>
        <v>2.3849199406057568</v>
      </c>
      <c r="F10" s="13">
        <f>IF(E10&lt;$B10,ROUNDUP(E10/0.33,0),ROUND($B10/0.33,0))*$D10</f>
        <v>12</v>
      </c>
      <c r="G10" s="308">
        <f>('CSP Working 26-27'!Q8/'CSP Working 26-27'!N8)+('CSP Working 26-27'!Q9/'CSP Working 26-27'!N9)</f>
        <v>1.6517100018119901</v>
      </c>
      <c r="H10" s="13">
        <f>IF(G10&lt;$B10,ROUNDUP(G10/0.33,0),ROUND($B10/0.33,0))*$D10</f>
        <v>12</v>
      </c>
      <c r="I10" s="12">
        <f>('CSP Working 26-27'!AC8/'CSP Working 26-27'!Z8)+('CSP Working 26-27'!AC9/'CSP Working 26-27'!Z9)</f>
        <v>1.4306208752830696</v>
      </c>
      <c r="J10" s="13">
        <f>IF(I10&lt;$B10,ROUNDUP(I10/0.33,0),ROUND($B10/0.33,0))*$D10</f>
        <v>10</v>
      </c>
      <c r="K10" s="12">
        <f>('CSP Working 26-27'!AO8/'CSP Working 26-27'!AL8)+('CSP Working 26-27'!AO9/'CSP Working 26-27'!AL9)</f>
        <v>1.9431666289053935</v>
      </c>
      <c r="L10" s="13">
        <f>IF(K10&lt;$B10,ROUNDUP(K10/0.33,0),ROUND($B10/0.33,0))*$D10</f>
        <v>12</v>
      </c>
      <c r="M10" s="12">
        <f>('CSP Working 26-27'!BA8/'CSP Working 26-27'!AX8)+('CSP Working 26-27'!BA9/'CSP Working 26-27'!AX9)</f>
        <v>3.2986591223867823</v>
      </c>
      <c r="N10" s="13">
        <f>IF(M10&lt;$B10,ROUNDUP(M10/0.33,0),ROUND($B10/0.33,0))*$D10</f>
        <v>12</v>
      </c>
      <c r="O10" s="12">
        <f>('CSP Working 26-27'!BM8/'CSP Working 26-27'!BJ8)+('CSP Working 26-27'!BM9/'CSP Working 26-27'!BJ9)</f>
        <v>1.7626429198925775</v>
      </c>
      <c r="P10" s="13">
        <f>IF(O10&lt;$B10,ROUNDUP(O10/0.33,0),ROUND($B10/0.33,0))*$D10</f>
        <v>12</v>
      </c>
      <c r="Q10" s="12">
        <f>('CSP Working 26-27'!BY8/'CSP Working 26-27'!BV8)+('CSP Working 26-27'!BY9/'CSP Working 26-27'!BV9)</f>
        <v>1.6101064363173578</v>
      </c>
      <c r="R10" s="13">
        <f>IF(Q10&lt;$B10,ROUNDUP(Q10/0.33,0),ROUND($B10/0.33,0))*$D10</f>
        <v>10</v>
      </c>
      <c r="S10" s="12">
        <f>('CSP Working 26-27'!CK8/'CSP Working 26-27'!CH8)+('CSP Working 26-27'!CK9/'CSP Working 26-27'!CH9)</f>
        <v>1.2333610177893009</v>
      </c>
      <c r="T10" s="13">
        <f>IF(S10&lt;$B10,ROUNDUP(S10/0.33,0),ROUND($B10/0.33,0))*$D10</f>
        <v>8</v>
      </c>
      <c r="U10" s="12">
        <f>('CSP Working 26-27'!CW8/'CSP Working 26-27'!CT8)+('CSP Working 26-27'!CW9/'CSP Working 26-27'!CT9)</f>
        <v>0.84388181285779751</v>
      </c>
      <c r="V10" s="13">
        <f>IF(U10&lt;$B10,ROUNDUP(U10/0.33,0),ROUND($B10/0.33,0))*$D10</f>
        <v>6</v>
      </c>
      <c r="W10" s="12">
        <f>('CSP Working 26-27'!DI8/'CSP Working 26-27'!DF8)+('CSP Working 26-27'!DI9/'CSP Working 26-27'!DF9)</f>
        <v>0.7486958220885257</v>
      </c>
      <c r="X10" s="13">
        <f>IF(W10&lt;$B10,ROUNDUP(W10/0.33,0),ROUND($B10/0.33,0))*$D10</f>
        <v>6</v>
      </c>
      <c r="Y10" s="12">
        <f>('CSP Working 26-27'!DU8/'CSP Working 26-27'!DR8)+('CSP Working 26-27'!DU9/'CSP Working 26-27'!DR9)</f>
        <v>0.92921900630236254</v>
      </c>
      <c r="Z10" s="13">
        <f>IF(Y10&lt;$B10,ROUNDUP(Y10/0.33,0),ROUND($B10/0.33,0))*$D10</f>
        <v>6</v>
      </c>
      <c r="AA10" s="12">
        <f>('CSP Working 26-27'!EG8/'CSP Working 26-27'!ED8)+('CSP Working 26-27'!EG9/'CSP Working 26-27'!ED9)</f>
        <v>1.0221163309450501</v>
      </c>
      <c r="AB10" s="13">
        <f>IF(AA10&lt;$B10,ROUNDUP(AA10/0.33,0),ROUND($B10/0.33,0))*$D10</f>
        <v>8</v>
      </c>
      <c r="AC10" s="13" t="s">
        <v>1253</v>
      </c>
      <c r="AD10" s="13">
        <f t="shared" ref="AD10:AJ10" si="7">4*3</f>
        <v>12</v>
      </c>
      <c r="AE10" s="13">
        <f t="shared" si="7"/>
        <v>12</v>
      </c>
      <c r="AF10" s="132">
        <f t="shared" si="7"/>
        <v>12</v>
      </c>
      <c r="AG10" s="13">
        <f t="shared" si="7"/>
        <v>12</v>
      </c>
      <c r="AH10" s="13">
        <f t="shared" si="7"/>
        <v>12</v>
      </c>
      <c r="AI10" s="13">
        <f t="shared" si="7"/>
        <v>12</v>
      </c>
      <c r="AJ10" s="13">
        <f t="shared" si="7"/>
        <v>12</v>
      </c>
      <c r="AK10" s="13">
        <f>4*2</f>
        <v>8</v>
      </c>
      <c r="AL10" s="13">
        <f>4*2</f>
        <v>8</v>
      </c>
      <c r="AM10" s="13">
        <f>4*2</f>
        <v>8</v>
      </c>
      <c r="AN10" s="13">
        <f>4*2</f>
        <v>8</v>
      </c>
      <c r="AO10" s="13">
        <f>4*2</f>
        <v>8</v>
      </c>
      <c r="AR10">
        <v>6</v>
      </c>
      <c r="AS10">
        <v>6</v>
      </c>
      <c r="AV10" s="40">
        <f t="shared" ref="AV10:AV26" si="8">AVERAGE(AD10:AO10)</f>
        <v>10.333333333333334</v>
      </c>
      <c r="AY10" t="s">
        <v>207</v>
      </c>
      <c r="AZ10" s="40">
        <v>10.333333333333334</v>
      </c>
    </row>
    <row r="11" spans="1:52">
      <c r="A11" s="132" t="s">
        <v>208</v>
      </c>
      <c r="B11" s="13">
        <v>1</v>
      </c>
      <c r="C11" s="13">
        <v>18432</v>
      </c>
      <c r="D11" s="13">
        <v>3</v>
      </c>
      <c r="E11" s="308">
        <f>('CSP Working 26-27'!E10/'CSP Working 26-27'!B10)+('CSP Working 26-27'!E11/'CSP Working 26-27'!B11)</f>
        <v>1.182556898938532</v>
      </c>
      <c r="F11" s="13">
        <f>IF(E11&lt;$B11,ROUNDUP(E11/0.33,0),ROUND($B11/0.33,0))*$D11</f>
        <v>9</v>
      </c>
      <c r="G11" s="308">
        <f>('CSP Working 26-27'!Q10/'CSP Working 26-27'!N10)+('CSP Working 26-27'!Q11/'CSP Working 26-27'!N11)</f>
        <v>0.81899648891041243</v>
      </c>
      <c r="H11" s="13">
        <f>IF(G11&lt;$B11,ROUNDUP(G11/0.33,0),ROUND($B11/0.33,0))*$D11</f>
        <v>9</v>
      </c>
      <c r="I11" s="12">
        <f>('CSP Working 26-27'!AC10/'CSP Working 26-27'!Z10)+('CSP Working 26-27'!AC11/'CSP Working 26-27'!Z11)</f>
        <v>0.70936996962747911</v>
      </c>
      <c r="J11" s="13">
        <f>IF(I11&lt;$B11,ROUNDUP(I11/0.33,0),ROUND($B11/0.33,0))*$D11</f>
        <v>9</v>
      </c>
      <c r="K11" s="12">
        <f>('CSP Working 26-27'!AO10/'CSP Working 26-27'!AL10)+('CSP Working 26-27'!AO11/'CSP Working 26-27'!AL11)</f>
        <v>0.96351456653741896</v>
      </c>
      <c r="L11" s="13">
        <f>IF(K11&lt;$B11,ROUNDUP(K11/0.33,0),ROUND($B11/0.33,0))*$D11</f>
        <v>9</v>
      </c>
      <c r="M11" s="12">
        <f>('CSP Working 26-27'!BA10/'CSP Working 26-27'!AX10)+('CSP Working 26-27'!BA11/'CSP Working 26-27'!AX11)</f>
        <v>1.6356323061453446</v>
      </c>
      <c r="N11" s="13">
        <f>IF(M11&lt;$B11,ROUNDUP(M11/0.33,0),ROUND($B11/0.33,0))*$D11</f>
        <v>9</v>
      </c>
      <c r="O11" s="12">
        <f>('CSP Working 26-27'!BM10/'CSP Working 26-27'!BJ10)+('CSP Working 26-27'!BM11/'CSP Working 26-27'!BJ11)</f>
        <v>0.87400231336683476</v>
      </c>
      <c r="P11" s="13">
        <f>IF(O11&lt;$B11,ROUNDUP(O11/0.33,0),ROUND($B11/0.33,0))*$D11</f>
        <v>9</v>
      </c>
      <c r="Q11" s="12">
        <f>('CSP Working 26-27'!BY10/'CSP Working 26-27'!BV10)+('CSP Working 26-27'!BY11/'CSP Working 26-27'!BV11)</f>
        <v>0.79836745958390909</v>
      </c>
      <c r="R11" s="13">
        <f>IF(Q11&lt;$B11,ROUNDUP(Q11/0.33,0),ROUND($B11/0.33,0))*$D11</f>
        <v>9</v>
      </c>
      <c r="S11" s="12">
        <f>('CSP Working 26-27'!CK10/'CSP Working 26-27'!CH10)+('CSP Working 26-27'!CK11/'CSP Working 26-27'!CH11)</f>
        <v>0.61155913690676378</v>
      </c>
      <c r="T11" s="13">
        <f>IF(S11&lt;$B11,ROUNDUP(S11/0.33,0),ROUND($B11/0.33,0))*$D11</f>
        <v>6</v>
      </c>
      <c r="U11" s="12">
        <f>('CSP Working 26-27'!CW10/'CSP Working 26-27'!CT10)+('CSP Working 26-27'!CW11/'CSP Working 26-27'!CT11)</f>
        <v>0.41843679642775455</v>
      </c>
      <c r="V11" s="13">
        <f>IF(U11&lt;$B11,ROUNDUP(U11/0.33,0),ROUND($B11/0.33,0))*$D11</f>
        <v>6</v>
      </c>
      <c r="W11" s="12">
        <f>('CSP Working 26-27'!DI10/'CSP Working 26-27'!DF10)+('CSP Working 26-27'!DI11/'CSP Working 26-27'!DF11)</f>
        <v>0.37123904854951284</v>
      </c>
      <c r="X11" s="13">
        <f>IF(W11&lt;$B11,ROUNDUP(W11/0.33,0),ROUND($B11/0.33,0))*$D11</f>
        <v>6</v>
      </c>
      <c r="Y11" s="12">
        <f>('CSP Working 26-27'!DU10/'CSP Working 26-27'!DR10)+('CSP Working 26-27'!DU11/'CSP Working 26-27'!DR11)</f>
        <v>0.46075104149976742</v>
      </c>
      <c r="Z11" s="13">
        <f>IF(Y11&lt;$B11,ROUNDUP(Y11/0.33,0),ROUND($B11/0.33,0))*$D11</f>
        <v>6</v>
      </c>
      <c r="AA11" s="12">
        <f>('CSP Working 26-27'!EG10/'CSP Working 26-27'!ED10)+('CSP Working 26-27'!EG11/'CSP Working 26-27'!ED11)</f>
        <v>0.5068139597045771</v>
      </c>
      <c r="AB11" s="13">
        <f>IF(AA11&lt;$B11,ROUNDUP(AA11/0.33,0),ROUND($B11/0.33,0))*$D11</f>
        <v>6</v>
      </c>
      <c r="AC11" s="13" t="s">
        <v>1252</v>
      </c>
      <c r="AD11" s="13">
        <f t="shared" ref="AD11:AO11" si="9">3*3</f>
        <v>9</v>
      </c>
      <c r="AE11" s="13">
        <f t="shared" si="9"/>
        <v>9</v>
      </c>
      <c r="AF11" s="132">
        <f t="shared" si="9"/>
        <v>9</v>
      </c>
      <c r="AG11" s="13">
        <f t="shared" si="9"/>
        <v>9</v>
      </c>
      <c r="AH11" s="13">
        <f t="shared" si="9"/>
        <v>9</v>
      </c>
      <c r="AI11" s="13">
        <f t="shared" si="9"/>
        <v>9</v>
      </c>
      <c r="AJ11" s="13">
        <f t="shared" si="9"/>
        <v>9</v>
      </c>
      <c r="AK11" s="13">
        <f t="shared" si="9"/>
        <v>9</v>
      </c>
      <c r="AL11" s="13">
        <f t="shared" si="9"/>
        <v>9</v>
      </c>
      <c r="AM11" s="13">
        <f t="shared" si="9"/>
        <v>9</v>
      </c>
      <c r="AN11" s="13">
        <f t="shared" si="9"/>
        <v>9</v>
      </c>
      <c r="AO11" s="13">
        <f t="shared" si="9"/>
        <v>9</v>
      </c>
      <c r="AR11">
        <v>3</v>
      </c>
      <c r="AS11">
        <v>6</v>
      </c>
      <c r="AV11" s="40">
        <f t="shared" si="8"/>
        <v>9</v>
      </c>
      <c r="AY11" t="s">
        <v>208</v>
      </c>
      <c r="AZ11" s="40">
        <v>9</v>
      </c>
    </row>
    <row r="12" spans="1:52">
      <c r="A12" s="132" t="s">
        <v>1254</v>
      </c>
      <c r="B12" s="13">
        <v>2</v>
      </c>
      <c r="C12" s="13">
        <v>3000</v>
      </c>
      <c r="D12" s="13">
        <v>7</v>
      </c>
      <c r="E12" s="12">
        <f>('CSP Working 26-27'!E19/'CSP Working 26-27'!B19)</f>
        <v>1.7610281724761061</v>
      </c>
      <c r="F12" s="13">
        <f>IF(E12&lt;1.1,ROUND(1/0.33,0)*$D12,(IF(E12&lt;$B12,ROUNDUP(E12/0.33,0),ROUND($B12/0.33,0))*$D12))</f>
        <v>42</v>
      </c>
      <c r="G12" s="12">
        <f>('CSP Working 26-27'!Q19/'CSP Working 26-27'!N19)</f>
        <v>1.2196249427193262</v>
      </c>
      <c r="H12" s="13">
        <f>IF(G12&lt;1.1,ROUND(1/0.33,0)*$D12,(IF(G12&lt;$B12,ROUNDUP(G12/0.33,0),ROUND($B12/0.33,0))*$D12))</f>
        <v>28</v>
      </c>
      <c r="I12" s="12">
        <f>'CSP Working 26-27'!AC19/'CSP Working 26-27'!Z19</f>
        <v>1.0563724268522012</v>
      </c>
      <c r="J12" s="13">
        <f>IF(I12&lt;1.1,ROUND(1/0.33,0)*$D12,(IF(I12&lt;$B12,ROUNDUP(I12/0.33,0),ROUND($B12/0.33,0))*$D12))</f>
        <v>21</v>
      </c>
      <c r="K12" s="12">
        <f>'CSP Working 26-27'!AO19/'CSP Working 26-27'!AL19</f>
        <v>1.434836918026128</v>
      </c>
      <c r="L12" s="13">
        <f>IF(K12&lt;1.1,ROUND(1/0.33,0)*$D12,(IF(K12&lt;$B12,ROUNDUP(K12/0.33,0),ROUND($B12/0.33,0))*$D12))</f>
        <v>35</v>
      </c>
      <c r="M12" s="12">
        <f>'CSP Working 26-27'!BA19/'CSP Working 26-27'!AX19</f>
        <v>2.4357344441687911</v>
      </c>
      <c r="N12" s="13">
        <f>IF(M12&lt;1.1,ROUND(1/0.33,0)*$D12,(IF(M12&lt;$B12,ROUNDUP(M12/0.33,0),ROUND($B12/0.33,0))*$D12))</f>
        <v>42</v>
      </c>
      <c r="O12" s="12">
        <f>'CSP Working 26-27'!BM19/'CSP Working 26-27'!BJ19</f>
        <v>1.3015379623845811</v>
      </c>
      <c r="P12" s="13">
        <f>IF(O12&lt;1.1,ROUND(1/0.33,0)*$D12,(IF(O12&lt;$B12,ROUNDUP(O12/0.33,0),ROUND($B12/0.33,0))*$D12))</f>
        <v>28</v>
      </c>
      <c r="Q12" s="12">
        <f>'CSP Working 26-27'!BY19/'CSP Working 26-27'!BV19</f>
        <v>1.1889048125950028</v>
      </c>
      <c r="R12" s="13">
        <f>IF(Q12&lt;1.1,ROUND(1/0.33,0)*$D12,(IF(Q12&lt;$B12,ROUNDUP(Q12/0.33,0),ROUND($B12/0.33,0))*$D12))</f>
        <v>28</v>
      </c>
      <c r="S12" s="12">
        <f>'CSP Working 26-27'!CK19/'CSP Working 26-27'!CH19</f>
        <v>0.91071547609648074</v>
      </c>
      <c r="T12" s="13">
        <f>IF(S12&lt;1.1,ROUND(1/0.33,0)*$D12,(IF(S12&lt;$B12,ROUNDUP(S12/0.33,0),ROUND($B12/0.33,0))*$D12))</f>
        <v>21</v>
      </c>
      <c r="U12" s="12">
        <f>'CSP Working 26-27'!CW19/'CSP Working 26-27'!CT19</f>
        <v>0.62312349416028168</v>
      </c>
      <c r="V12" s="13">
        <f>IF(U12&lt;1.1,ROUND(1/0.33,0)*$D12,(IF(U12&lt;$B12,ROUNDUP(U12/0.33,0),ROUND($B12/0.33,0))*$D12))</f>
        <v>21</v>
      </c>
      <c r="W12" s="12">
        <f>'CSP Working 26-27'!DI19/'CSP Working 26-27'!DF19</f>
        <v>0.55283802733359966</v>
      </c>
      <c r="X12" s="13">
        <f>IF(W12&lt;1.1,ROUND(1/0.33,0)*$D12,(IF(W12&lt;$B12,ROUNDUP(W12/0.33,0),ROUND($B12/0.33,0))*$D12))</f>
        <v>21</v>
      </c>
      <c r="Y12" s="12">
        <f>'CSP Working 26-27'!DU19/'CSP Working 26-27'!DR19</f>
        <v>0.68613659546285677</v>
      </c>
      <c r="Z12" s="13">
        <f>IF(Y12&lt;1.1,ROUND(1/0.33,0)*$D12,(IF(Y12&lt;$B12,ROUNDUP(Y12/0.33,0),ROUND($B12/0.33,0))*$D12))</f>
        <v>21</v>
      </c>
      <c r="AA12" s="12">
        <f>'CSP Working 26-27'!EG19/'CSP Working 26-27'!ED19</f>
        <v>0.75473210806605096</v>
      </c>
      <c r="AB12" s="13">
        <f>IF(AA12&lt;1.1,ROUND(1/0.33,0)*$D12,(IF(AA12&lt;$B12,ROUNDUP(AA12/0.33,0),ROUND($B12/0.33,0))*$D12))</f>
        <v>21</v>
      </c>
      <c r="AC12" s="13" t="s">
        <v>1255</v>
      </c>
      <c r="AD12" s="13">
        <f>7*2*3</f>
        <v>42</v>
      </c>
      <c r="AE12" s="13">
        <f>7*2*3</f>
        <v>42</v>
      </c>
      <c r="AF12" s="132">
        <f>7*2*2</f>
        <v>28</v>
      </c>
      <c r="AG12" s="13">
        <f>7*2*3</f>
        <v>42</v>
      </c>
      <c r="AH12" s="13">
        <f>7*2*2</f>
        <v>28</v>
      </c>
      <c r="AI12" s="13">
        <f>7*2*2</f>
        <v>28</v>
      </c>
      <c r="AJ12" s="13">
        <f>7*2*2</f>
        <v>28</v>
      </c>
      <c r="AK12" s="13">
        <f>7*1*3</f>
        <v>21</v>
      </c>
      <c r="AL12" s="13">
        <f>7*1*3</f>
        <v>21</v>
      </c>
      <c r="AM12" s="13">
        <f>7*2*2</f>
        <v>28</v>
      </c>
      <c r="AN12" s="13">
        <f>7*1*3</f>
        <v>21</v>
      </c>
      <c r="AO12" s="13">
        <f>7*1*3</f>
        <v>21</v>
      </c>
      <c r="AR12">
        <v>8</v>
      </c>
      <c r="AS12">
        <v>20</v>
      </c>
      <c r="AV12" s="40">
        <f t="shared" si="8"/>
        <v>29.166666666666668</v>
      </c>
      <c r="AY12" t="s">
        <v>1254</v>
      </c>
      <c r="AZ12" s="40">
        <v>29.166666666666668</v>
      </c>
    </row>
    <row r="13" spans="1:52">
      <c r="A13" s="132" t="s">
        <v>1058</v>
      </c>
      <c r="B13" s="13">
        <v>2</v>
      </c>
      <c r="C13" s="13">
        <v>5990</v>
      </c>
      <c r="D13" s="13">
        <v>3.5</v>
      </c>
      <c r="E13" s="308">
        <f>('CSP Working 26-27'!E12/'CSP Working 26-27'!B12)+('CSP Working 26-27'!E13/'CSP Working 26-27'!B13)</f>
        <v>1.7262788088629584</v>
      </c>
      <c r="F13" s="13">
        <f>ROUND(((IF(E13&lt;1,1,IF(E13&lt;2,2,2)))/0.33)*$D13,0)</f>
        <v>21</v>
      </c>
      <c r="G13" s="308">
        <f>('CSP Working 26-27'!Q12/'CSP Working 26-27'!N12)+('CSP Working 26-27'!Q13/'CSP Working 26-27'!N13)</f>
        <v>1.1955587799692844</v>
      </c>
      <c r="H13" s="13">
        <f>ROUND(((IF(G13&lt;1,1,IF(G13&lt;2,2,2)))/0.33)*$D13,0)</f>
        <v>21</v>
      </c>
      <c r="I13" s="12">
        <f>('CSP Working 26-27'!AC12/'CSP Working 26-27'!Z12)+('CSP Working 26-27'!AC13/'CSP Working 26-27'!Z13)</f>
        <v>1.035527632802157</v>
      </c>
      <c r="J13" s="13">
        <f>ROUND(((IF(I13&lt;1,1,IF(I13&lt;2,2,2)))/0.33)*$D13,0)</f>
        <v>21</v>
      </c>
      <c r="K13" s="12">
        <f>('CSP Working 26-27'!AO12/'CSP Working 26-27'!AL12)+('CSP Working 26-27'!AO13/'CSP Working 26-27'!AL13)</f>
        <v>1.4065241002249498</v>
      </c>
      <c r="L13" s="13">
        <f>ROUND(((IF(K13&lt;1,1,IF(K13&lt;2,2,2)))/0.33)*$D13,0)</f>
        <v>21</v>
      </c>
      <c r="M13" s="12">
        <f>('CSP Working 26-27'!BA12/'CSP Working 26-27'!AX12)+('CSP Working 26-27'!BA13/'CSP Working 26-27'!AX13)</f>
        <v>2.3876714868644342</v>
      </c>
      <c r="N13" s="13">
        <f>ROUND(((IF(M13&lt;1,1,IF(M13&lt;2,2,2)))/0.33)*$D13,0)</f>
        <v>21</v>
      </c>
      <c r="O13" s="12">
        <f>('CSP Working 26-27'!BM12/'CSP Working 26-27'!BJ12)+('CSP Working 26-27'!BM13/'CSP Working 26-27'!BJ13)</f>
        <v>1.2758554567789924</v>
      </c>
      <c r="P13" s="13">
        <f>ROUND(((IF(O13&lt;1,1,IF(O13&lt;2,2,2)))/0.33)*$D13,0)</f>
        <v>21</v>
      </c>
      <c r="Q13" s="12">
        <f>('CSP Working 26-27'!BY12/'CSP Working 26-27'!BV12)+('CSP Working 26-27'!BY13/'CSP Working 26-27'!BV13)</f>
        <v>1.1654448326355706</v>
      </c>
      <c r="R13" s="13">
        <f>ROUND(((IF(Q13&lt;1,1,IF(Q13&lt;2,2,2)))/0.33)*$D13,0)</f>
        <v>21</v>
      </c>
      <c r="S13" s="12">
        <f>('CSP Working 26-27'!CK12/'CSP Working 26-27'!CH12)+('CSP Working 26-27'!CK13/'CSP Working 26-27'!CH13)</f>
        <v>0.8927448475048323</v>
      </c>
      <c r="T13" s="13">
        <f>ROUND(((IF(S13&lt;1,1,IF(S13&lt;2,2,2)))/0.33)*$D13,0)</f>
        <v>11</v>
      </c>
      <c r="U13" s="12">
        <f>('CSP Working 26-27'!CW12/'CSP Working 26-27'!CT12)+('CSP Working 26-27'!CW13/'CSP Working 26-27'!CT13)</f>
        <v>0.61082775397117084</v>
      </c>
      <c r="V13" s="13">
        <f>ROUND(((IF(U13&lt;1,1,IF(U13&lt;2,2,2)))/0.33)*$D13,0)</f>
        <v>11</v>
      </c>
      <c r="W13" s="12">
        <f>('CSP Working 26-27'!DI12/'CSP Working 26-27'!DF12)+('CSP Working 26-27'!DI13/'CSP Working 26-27'!DF13)</f>
        <v>0.54192919013766816</v>
      </c>
      <c r="X13" s="13">
        <f>ROUND(((IF(W13&lt;1,1,IF(W13&lt;2,2,2)))/0.33)*$D13,0)</f>
        <v>11</v>
      </c>
      <c r="Y13" s="12">
        <f>('CSP Working 26-27'!DU12/'CSP Working 26-27'!DR12)+('CSP Working 26-27'!DU13/'CSP Working 26-27'!DR13)</f>
        <v>0.67259745371789448</v>
      </c>
      <c r="Z13" s="13">
        <f>ROUND(((IF(Y13&lt;1,1,IF(Y13&lt;2,2,2)))/0.33)*$D13,0)</f>
        <v>11</v>
      </c>
      <c r="AA13" s="12">
        <f>('CSP Working 26-27'!EG12/'CSP Working 26-27'!ED12)+('CSP Working 26-27'!EG13/'CSP Working 26-27'!ED13)</f>
        <v>0.73983941022986077</v>
      </c>
      <c r="AB13" s="13">
        <f>ROUND(((IF(AA13&lt;1,1,IF(AA13&lt;2,2,2)))/0.33)*$D13,0)</f>
        <v>11</v>
      </c>
      <c r="AC13" s="13" t="s">
        <v>1256</v>
      </c>
      <c r="AD13" s="13">
        <f t="shared" ref="AD13:AJ13" si="10">7*3</f>
        <v>21</v>
      </c>
      <c r="AE13" s="13">
        <f t="shared" si="10"/>
        <v>21</v>
      </c>
      <c r="AF13" s="132">
        <f t="shared" si="10"/>
        <v>21</v>
      </c>
      <c r="AG13" s="13">
        <f t="shared" si="10"/>
        <v>21</v>
      </c>
      <c r="AH13" s="13">
        <f t="shared" si="10"/>
        <v>21</v>
      </c>
      <c r="AI13" s="13">
        <f t="shared" si="10"/>
        <v>21</v>
      </c>
      <c r="AJ13" s="13">
        <f t="shared" si="10"/>
        <v>21</v>
      </c>
      <c r="AK13" s="13">
        <f>7*2</f>
        <v>14</v>
      </c>
      <c r="AL13" s="13">
        <f>7*2</f>
        <v>14</v>
      </c>
      <c r="AM13" s="13">
        <f>7*2</f>
        <v>14</v>
      </c>
      <c r="AN13" s="13">
        <f>7*2</f>
        <v>14</v>
      </c>
      <c r="AO13" s="13">
        <f>7*2</f>
        <v>14</v>
      </c>
      <c r="AP13" s="154" t="s">
        <v>1257</v>
      </c>
      <c r="AT13">
        <f>AF13</f>
        <v>21</v>
      </c>
      <c r="AV13" s="40">
        <f t="shared" si="8"/>
        <v>18.083333333333332</v>
      </c>
      <c r="AY13" t="s">
        <v>1058</v>
      </c>
      <c r="AZ13" s="40">
        <v>20.666666666666668</v>
      </c>
    </row>
    <row r="14" spans="1:52">
      <c r="A14" s="132" t="s">
        <v>1077</v>
      </c>
      <c r="B14" s="13">
        <v>6</v>
      </c>
      <c r="C14" s="13" t="s">
        <v>1584</v>
      </c>
      <c r="D14" s="13">
        <v>1.5</v>
      </c>
      <c r="E14" s="308">
        <f>('CSP Working 26-27'!E16/'CSP Working 26-27'!B16)+('CSP Working 26-27'!E17/'CSP Working 26-27'!B17)</f>
        <v>9.5092444331527979</v>
      </c>
      <c r="F14" s="13">
        <f>IF(E14&lt;$B14,ROUNDUP(E14/0.33,0),ROUND($B14/0.33,0))*$D14</f>
        <v>27</v>
      </c>
      <c r="G14" s="308">
        <f>('CSP Working 26-27'!Q16/'CSP Working 26-27'!N16)+('CSP Working 26-27'!Q17/'CSP Working 26-27'!N17)</f>
        <v>6.5857615899358422</v>
      </c>
      <c r="H14" s="13">
        <f>IF(G14&lt;$B14,ROUNDUP(G14/0.33,0),ROUND($B14/0.33,0))*$D14</f>
        <v>27</v>
      </c>
      <c r="I14" s="12">
        <f>('CSP Working 26-27'!AC16/'CSP Working 26-27'!Z16)+('CSP Working 26-27'!AC17/'CSP Working 26-27'!Z17)</f>
        <v>5.704226528787518</v>
      </c>
      <c r="J14" s="13">
        <f>IF(I14&lt;$B14,ROUNDUP(I14/0.33,0),ROUND($B14/0.33,0))*$D14</f>
        <v>27</v>
      </c>
      <c r="K14" s="12">
        <f>('CSP Working 26-27'!AO16/'CSP Working 26-27'!AL16)+('CSP Working 26-27'!AO17/'CSP Working 26-27'!AL17)</f>
        <v>7.7478686533660213</v>
      </c>
      <c r="L14" s="13">
        <f>IF(K14&lt;$B14,ROUNDUP(K14/0.33,0),ROUND($B14/0.33,0))*$D14</f>
        <v>27</v>
      </c>
      <c r="M14" s="12">
        <f>('CSP Working 26-27'!BA16/'CSP Working 26-27'!AX16)+('CSP Working 26-27'!BA17/'CSP Working 26-27'!AX17)</f>
        <v>13.152540411255044</v>
      </c>
      <c r="N14" s="13">
        <f>IF(M14&lt;$B14,ROUNDUP(M14/0.33,0),ROUND($B14/0.33,0))*$D14</f>
        <v>27</v>
      </c>
      <c r="O14" s="12">
        <f>('CSP Working 26-27'!BM16/'CSP Working 26-27'!BJ16)+('CSP Working 26-27'!BM17/'CSP Working 26-27'!BJ17)</f>
        <v>7.0280775837562821</v>
      </c>
      <c r="P14" s="13">
        <f>IF(O14&lt;$B14,ROUNDUP(O14/0.33,0),ROUND($B14/0.33,0))*$D14</f>
        <v>27</v>
      </c>
      <c r="Q14" s="12">
        <f>('CSP Working 26-27'!BY16/'CSP Working 26-27'!BV16)+('CSP Working 26-27'!BY17/'CSP Working 26-27'!BV17)</f>
        <v>6.4198782548840772</v>
      </c>
      <c r="R14" s="13">
        <f>IF(Q14&lt;$B14,ROUNDUP(Q14/0.33,0),ROUND($B14/0.33,0))*$D14</f>
        <v>27</v>
      </c>
      <c r="S14" s="12">
        <f>('CSP Working 26-27'!CK16/'CSP Working 26-27'!CH16)+('CSP Working 26-27'!CK17/'CSP Working 26-27'!CH17)</f>
        <v>4.9177044448299778</v>
      </c>
      <c r="T14" s="13">
        <f>IF(S14&lt;$B14,ROUNDUP(S14/0.33,0),ROUND($B14/0.33,0))*$D14</f>
        <v>22.5</v>
      </c>
      <c r="U14" s="12">
        <f>('CSP Working 26-27'!CW16/'CSP Working 26-27'!CT16)+('CSP Working 26-27'!CW17/'CSP Working 26-27'!CT17)</f>
        <v>3.364757992303371</v>
      </c>
      <c r="V14" s="13">
        <f>IF(U14&lt;$B14,ROUNDUP(U14/0.33,0),ROUND($B14/0.33,0))*$D14</f>
        <v>16.5</v>
      </c>
      <c r="W14" s="12">
        <f>('CSP Working 26-27'!DI16/'CSP Working 26-27'!DF16)+('CSP Working 26-27'!DI17/'CSP Working 26-27'!DF17)</f>
        <v>2.985228752170082</v>
      </c>
      <c r="X14" s="13">
        <f>IF(W14&lt;$B14,ROUNDUP(W14/0.33,0),ROUND($B14/0.33,0))*$D14</f>
        <v>15</v>
      </c>
      <c r="Y14" s="12">
        <f>('CSP Working 26-27'!DU16/'CSP Working 26-27'!DR16)+('CSP Working 26-27'!DU17/'CSP Working 26-27'!DR17)</f>
        <v>3.7050177292811659</v>
      </c>
      <c r="Z14" s="13">
        <f>IF(Y14&lt;$B14,ROUNDUP(Y14/0.33,0),ROUND($B14/0.33,0))*$D14</f>
        <v>18</v>
      </c>
      <c r="AA14" s="12">
        <f>('CSP Working 26-27'!EG16/'CSP Working 26-27'!ED16)+('CSP Working 26-27'!EG17/'CSP Working 26-27'!ED17)</f>
        <v>4.0754215118873391</v>
      </c>
      <c r="AB14" s="13">
        <f>IF(AA14&lt;$B14,ROUNDUP(AA14/0.33,0),ROUND($B14/0.33,0))*$D14</f>
        <v>19.5</v>
      </c>
      <c r="AC14" s="13" t="s">
        <v>1258</v>
      </c>
      <c r="AD14" s="13">
        <f t="shared" ref="AD14:AJ14" si="11">1.5*6*3</f>
        <v>27</v>
      </c>
      <c r="AE14" s="13">
        <f t="shared" si="11"/>
        <v>27</v>
      </c>
      <c r="AF14" s="132">
        <f t="shared" si="11"/>
        <v>27</v>
      </c>
      <c r="AG14" s="13">
        <f t="shared" si="11"/>
        <v>27</v>
      </c>
      <c r="AH14" s="13">
        <f t="shared" si="11"/>
        <v>27</v>
      </c>
      <c r="AI14" s="13">
        <f t="shared" si="11"/>
        <v>27</v>
      </c>
      <c r="AJ14" s="13">
        <f t="shared" si="11"/>
        <v>27</v>
      </c>
      <c r="AK14" s="13">
        <f>1.5*6*2</f>
        <v>18</v>
      </c>
      <c r="AL14" s="13">
        <f>1.5*6*2</f>
        <v>18</v>
      </c>
      <c r="AM14" s="13">
        <f>1.5*6*2</f>
        <v>18</v>
      </c>
      <c r="AN14" s="13">
        <f>1.5*6*2</f>
        <v>18</v>
      </c>
      <c r="AO14" s="13">
        <f>1.5*6*2</f>
        <v>18</v>
      </c>
      <c r="AP14" s="154" t="s">
        <v>1257</v>
      </c>
      <c r="AT14">
        <f>AF14</f>
        <v>27</v>
      </c>
      <c r="AV14" s="40">
        <f t="shared" si="8"/>
        <v>23.25</v>
      </c>
      <c r="AY14" t="s">
        <v>1077</v>
      </c>
      <c r="AZ14" s="40">
        <v>23.25</v>
      </c>
    </row>
    <row r="15" spans="1:52">
      <c r="A15" s="132" t="s">
        <v>763</v>
      </c>
      <c r="B15" s="13">
        <v>4</v>
      </c>
      <c r="C15" s="13" t="s">
        <v>1585</v>
      </c>
      <c r="D15" s="13">
        <v>1</v>
      </c>
      <c r="E15" s="13">
        <f>('CSP Working 26-27'!E20/'CSP Working 26-27'!B20)+('CSP Working 26-27'!E21/'CSP Working 26-27'!B21)</f>
        <v>6.2172580913540454</v>
      </c>
      <c r="F15" s="13">
        <f>IF(E15&lt;$B15,ROUND(E15/0.33,0),ROUND($B15/0.33,0))*$D15</f>
        <v>12</v>
      </c>
      <c r="G15" s="12">
        <f>('CSP Working 26-27'!Q20/'CSP Working 26-27'!N20)+('CSP Working 26-27'!Q21/'CSP Working 26-27'!N21)</f>
        <v>4.3058499358799027</v>
      </c>
      <c r="H15" s="13">
        <f>IF(G15&lt;$B15,ROUND(G15/0.33,0),ROUND($B15/0.33,0))*$D15</f>
        <v>12</v>
      </c>
      <c r="I15" s="12">
        <f>('CSP Working 26-27'!AC20/'CSP Working 26-27'!Z20)+('CSP Working 26-27'!AC21/'CSP Working 26-27'!Z21)</f>
        <v>3.7294917372591154</v>
      </c>
      <c r="J15" s="13">
        <f>IF(I15&lt;$B15,ROUND(I15/0.33,0),ROUND($B15/0.33,0))*$D15</f>
        <v>11</v>
      </c>
      <c r="K15" s="12">
        <f>('CSP Working 26-27'!AO20/'CSP Working 26-27'!AL20)+('CSP Working 26-27'!AO21/'CSP Working 26-27'!AL21)</f>
        <v>5.0656494755721937</v>
      </c>
      <c r="L15" s="13">
        <f>IF(K15&lt;$B15,ROUND(K15/0.33,0),ROUND($B15/0.33,0))*$D15</f>
        <v>12</v>
      </c>
      <c r="M15" s="12">
        <f>('CSP Working 26-27'!BA20/'CSP Working 26-27'!AX20)+('CSP Working 26-27'!BA21/'CSP Working 26-27'!AX21)</f>
        <v>8.5992887099048581</v>
      </c>
      <c r="N15" s="13">
        <f>IF(M15&lt;$B15,ROUND(M15/0.33,0),ROUND($B15/0.33,0))*$D15</f>
        <v>12</v>
      </c>
      <c r="O15" s="12">
        <f>('CSP Working 26-27'!BM20/'CSP Working 26-27'!BJ20)+('CSP Working 26-27'!BM21/'CSP Working 26-27'!BJ21)</f>
        <v>4.5950414390373915</v>
      </c>
      <c r="P15" s="13">
        <f>IF(O15&lt;$B15,ROUND(O15/0.33,0),ROUND($B15/0.33,0))*$D15</f>
        <v>12</v>
      </c>
      <c r="Q15" s="12">
        <f>('CSP Working 26-27'!BY20/'CSP Working 26-27'!BV20)+('CSP Working 26-27'!BY21/'CSP Working 26-27'!BV21)</f>
        <v>4.1973934213459252</v>
      </c>
      <c r="R15" s="13">
        <f>IF(Q15&lt;$B15,ROUND(Q15/0.33,0),ROUND($B15/0.33,0))*$D15</f>
        <v>12</v>
      </c>
      <c r="S15" s="12">
        <f>('CSP Working 26-27'!CK20/'CSP Working 26-27'!CH20)+('CSP Working 26-27'!CK21/'CSP Working 26-27'!CH21)</f>
        <v>3.2152541629818936</v>
      </c>
      <c r="T15" s="13">
        <f>IF(S15&lt;$B15,ROUND(S15/0.33,0),ROUND($B15/0.33,0))*$D15</f>
        <v>10</v>
      </c>
      <c r="U15" s="12">
        <f>('CSP Working 26-27'!CW20/'CSP Working 26-27'!CT20)+('CSP Working 26-27'!CW21/'CSP Working 26-27'!CT21)</f>
        <v>2.19991914185767</v>
      </c>
      <c r="V15" s="13">
        <f>IF(U15&lt;$B15,ROUND(U15/0.33,0),ROUND($B15/0.33,0))*$D15</f>
        <v>7</v>
      </c>
      <c r="W15" s="12">
        <f>('CSP Working 26-27'!DI20/'CSP Working 26-27'!DF20)+('CSP Working 26-27'!DI21/'CSP Working 26-27'!DF21)</f>
        <v>1.9517783715039725</v>
      </c>
      <c r="X15" s="13">
        <f>IF(W15&lt;$B15,ROUND(W15/0.33,0),ROUND($B15/0.33,0))*$D15</f>
        <v>6</v>
      </c>
      <c r="Y15" s="12">
        <f>('CSP Working 26-27'!DU20/'CSP Working 26-27'!DR20)+('CSP Working 26-27'!DU21/'CSP Working 26-27'!DR21)</f>
        <v>2.4223850399380504</v>
      </c>
      <c r="Z15" s="13">
        <f>IF(Y15&lt;$B15,ROUND(Y15/0.33,0),ROUND($B15/0.33,0))*$D15</f>
        <v>7</v>
      </c>
      <c r="AA15" s="12">
        <f>('CSP Working 26-27'!EG20/'CSP Working 26-27'!ED20)+('CSP Working 26-27'!EG21/'CSP Working 26-27'!ED21)</f>
        <v>2.6645594766837939</v>
      </c>
      <c r="AB15" s="13">
        <f>IF(AA15&lt;$B15,ROUND(AA15/0.33,0),ROUND($B15/0.33,0))*$D15</f>
        <v>8</v>
      </c>
      <c r="AC15" s="13" t="s">
        <v>1259</v>
      </c>
      <c r="AD15" s="13">
        <f t="shared" ref="AD15:AJ15" si="12">3*3</f>
        <v>9</v>
      </c>
      <c r="AE15" s="13">
        <f t="shared" si="12"/>
        <v>9</v>
      </c>
      <c r="AF15" s="132">
        <f t="shared" si="12"/>
        <v>9</v>
      </c>
      <c r="AG15" s="13">
        <f t="shared" si="12"/>
        <v>9</v>
      </c>
      <c r="AH15" s="13">
        <f t="shared" si="12"/>
        <v>9</v>
      </c>
      <c r="AI15" s="13">
        <f t="shared" si="12"/>
        <v>9</v>
      </c>
      <c r="AJ15" s="13">
        <f t="shared" si="12"/>
        <v>9</v>
      </c>
      <c r="AK15" s="13">
        <f>3*2</f>
        <v>6</v>
      </c>
      <c r="AL15" s="13">
        <f>3*2</f>
        <v>6</v>
      </c>
      <c r="AM15" s="13">
        <f>3*3</f>
        <v>9</v>
      </c>
      <c r="AN15" s="13">
        <f>3*3</f>
        <v>9</v>
      </c>
      <c r="AO15" s="13">
        <f>3*2</f>
        <v>6</v>
      </c>
      <c r="AP15" s="154" t="s">
        <v>1257</v>
      </c>
      <c r="AT15">
        <f>AF15</f>
        <v>9</v>
      </c>
      <c r="AV15" s="40">
        <f t="shared" si="8"/>
        <v>8.25</v>
      </c>
      <c r="AY15" t="s">
        <v>763</v>
      </c>
      <c r="AZ15" s="40">
        <v>8.25</v>
      </c>
    </row>
    <row r="16" spans="1:52">
      <c r="A16" s="132" t="s">
        <v>770</v>
      </c>
      <c r="B16" s="13">
        <v>4</v>
      </c>
      <c r="C16" s="13" t="s">
        <v>1586</v>
      </c>
      <c r="D16" s="13">
        <v>12</v>
      </c>
      <c r="E16" s="13">
        <f>('CSP Working 26-27'!E22/'CSP Working 26-27'!B22)+('CSP Working 26-27'!E23/'CSP Working 26-27'!B23)</f>
        <v>7.7174582601192663</v>
      </c>
      <c r="F16" s="13">
        <f>IF(E16&lt;$B16,ROUND(E16/0.33,0),ROUND($B16/0.33,0))*$D16</f>
        <v>144</v>
      </c>
      <c r="G16" s="12">
        <f>('CSP Working 26-27'!Q22/'CSP Working 26-27'!N22)+('CSP Working 26-27'!Q23/'CSP Working 26-27'!N23)</f>
        <v>5.344834759345372</v>
      </c>
      <c r="H16" s="13">
        <f>IF(G16&lt;$B16,ROUND(G16/0.33,0),ROUND($B16/0.33,0))*$D16</f>
        <v>144</v>
      </c>
      <c r="I16" s="12">
        <f>('CSP Working 26-27'!AC22/'CSP Working 26-27'!Z22)+('CSP Working 26-27'!AC23/'CSP Working 26-27'!Z23)</f>
        <v>4.6294035716134285</v>
      </c>
      <c r="J16" s="13">
        <f>IF(I16&lt;$B16,ROUND(I16/0.33,0),ROUND($B16/0.33,0))*$D16</f>
        <v>144</v>
      </c>
      <c r="K16" s="12">
        <f>('CSP Working 26-27'!AO22/'CSP Working 26-27'!AL22)+('CSP Working 26-27'!AO23/'CSP Working 26-27'!AL23)</f>
        <v>6.2879709694678692</v>
      </c>
      <c r="L16" s="13">
        <f>IF(K16&lt;$B16,ROUND(K16/0.33,0),ROUND($B16/0.33,0))*$D16</f>
        <v>144</v>
      </c>
      <c r="M16" s="12">
        <f>('CSP Working 26-27'!BA22/'CSP Working 26-27'!AX22)+('CSP Working 26-27'!BA23/'CSP Working 26-27'!AX23)</f>
        <v>10.674263591806618</v>
      </c>
      <c r="N16" s="13">
        <f>IF(M16&lt;$B16,ROUND(M16/0.33,0),ROUND($B16/0.33,0))*$D16</f>
        <v>144</v>
      </c>
      <c r="O16" s="12">
        <f>('CSP Working 26-27'!BM22/'CSP Working 26-27'!BJ22)+('CSP Working 26-27'!BM23/'CSP Working 26-27'!BJ23)</f>
        <v>5.7038070461646573</v>
      </c>
      <c r="P16" s="13">
        <f>IF(O16&lt;$B16,ROUND(O16/0.33,0),ROUND($B16/0.33,0))*$D16</f>
        <v>144</v>
      </c>
      <c r="Q16" s="12">
        <f>('CSP Working 26-27'!BY22/'CSP Working 26-27'!BV22)+('CSP Working 26-27'!BY23/'CSP Working 26-27'!BV23)</f>
        <v>5.2102081101609086</v>
      </c>
      <c r="R16" s="13">
        <f>IF(Q16&lt;$B16,ROUND(Q16/0.33,0),ROUND($B16/0.33,0))*$D16</f>
        <v>144</v>
      </c>
      <c r="S16" s="12">
        <f>('CSP Working 26-27'!CK22/'CSP Working 26-27'!CH22)+('CSP Working 26-27'!CK23/'CSP Working 26-27'!CH23)</f>
        <v>3.9910824729946777</v>
      </c>
      <c r="T16" s="13">
        <f>IF(S16&lt;$B16,ROUND(S16/0.33,0),ROUND($B16/0.33,0))*$D16</f>
        <v>144</v>
      </c>
      <c r="U16" s="12">
        <f>('CSP Working 26-27'!CW22/'CSP Working 26-27'!CT22)+('CSP Working 26-27'!CW23/'CSP Working 26-27'!CT23)</f>
        <v>2.7307510647714484</v>
      </c>
      <c r="V16" s="13">
        <f>IF(U16&lt;$B16,ROUND(U16/0.33,0),ROUND($B16/0.33,0))*$D16</f>
        <v>96</v>
      </c>
      <c r="W16" s="12">
        <f>('CSP Working 26-27'!DI22/'CSP Working 26-27'!DF22)+('CSP Working 26-27'!DI23/'CSP Working 26-27'!DF23)</f>
        <v>2.4227348927387005</v>
      </c>
      <c r="X16" s="13">
        <f>IF(W16&lt;$B16,ROUND(W16/0.33,0),ROUND($B16/0.33,0))*$D16</f>
        <v>84</v>
      </c>
      <c r="Y16" s="12">
        <f>('CSP Working 26-27'!DU22/'CSP Working 26-27'!DR22)+('CSP Working 26-27'!DU23/'CSP Working 26-27'!DR23)</f>
        <v>3.0068971178238106</v>
      </c>
      <c r="Z16" s="13">
        <f>IF(Y16&lt;$B16,ROUND(Y16/0.33,0),ROUND($B16/0.33,0))*$D16</f>
        <v>108</v>
      </c>
      <c r="AA16" s="12">
        <f>('CSP Working 26-27'!EG22/'CSP Working 26-27'!ED22)+('CSP Working 26-27'!EG23/'CSP Working 26-27'!ED23)</f>
        <v>3.3075073031806372</v>
      </c>
      <c r="AB16" s="13">
        <f>IF(AA16&lt;$B16,ROUND(AA16/0.33,0),ROUND($B16/0.33,0))*$D16</f>
        <v>120</v>
      </c>
      <c r="AC16" s="13">
        <v>15</v>
      </c>
      <c r="AD16" s="13">
        <f>12*4*3</f>
        <v>144</v>
      </c>
      <c r="AE16" s="13">
        <f>12*4*3</f>
        <v>144</v>
      </c>
      <c r="AF16" s="132">
        <f>12*3*3</f>
        <v>108</v>
      </c>
      <c r="AG16" s="13">
        <f>12*4*3</f>
        <v>144</v>
      </c>
      <c r="AH16" s="13">
        <f>12*3*3</f>
        <v>108</v>
      </c>
      <c r="AI16" s="13">
        <f>12*3*3</f>
        <v>108</v>
      </c>
      <c r="AJ16" s="13">
        <f>12*3*3</f>
        <v>108</v>
      </c>
      <c r="AK16" s="13">
        <f>12*3*2</f>
        <v>72</v>
      </c>
      <c r="AL16" s="13">
        <f>12*3*2</f>
        <v>72</v>
      </c>
      <c r="AM16" s="13">
        <f>12*3*3</f>
        <v>108</v>
      </c>
      <c r="AN16" s="13">
        <f>12*3*3</f>
        <v>108</v>
      </c>
      <c r="AO16" s="13">
        <f>12*3*3</f>
        <v>108</v>
      </c>
      <c r="AP16" s="154" t="s">
        <v>1257</v>
      </c>
      <c r="AT16">
        <f>AF16</f>
        <v>108</v>
      </c>
      <c r="AV16" s="40">
        <f t="shared" si="8"/>
        <v>111</v>
      </c>
      <c r="AY16" t="s">
        <v>770</v>
      </c>
      <c r="AZ16" s="40">
        <v>138.75</v>
      </c>
    </row>
    <row r="17" spans="1:52">
      <c r="A17" s="132" t="s">
        <v>785</v>
      </c>
      <c r="B17" s="13"/>
      <c r="C17" s="13"/>
      <c r="D17" s="13"/>
      <c r="E17" s="13"/>
      <c r="F17" s="13">
        <v>12</v>
      </c>
      <c r="G17" s="13"/>
      <c r="H17" s="13">
        <v>12</v>
      </c>
      <c r="I17" s="13"/>
      <c r="J17" s="13">
        <v>12</v>
      </c>
      <c r="K17" s="13"/>
      <c r="L17" s="13">
        <v>12</v>
      </c>
      <c r="M17" s="13"/>
      <c r="N17" s="13">
        <v>12</v>
      </c>
      <c r="O17" s="13"/>
      <c r="P17" s="13">
        <v>12</v>
      </c>
      <c r="Q17" s="13"/>
      <c r="R17" s="13">
        <v>12</v>
      </c>
      <c r="S17" s="13"/>
      <c r="T17" s="13">
        <v>12</v>
      </c>
      <c r="U17" s="13"/>
      <c r="V17" s="13">
        <v>12</v>
      </c>
      <c r="W17" s="13"/>
      <c r="X17" s="13">
        <v>12</v>
      </c>
      <c r="Y17" s="13"/>
      <c r="Z17" s="13">
        <v>12</v>
      </c>
      <c r="AA17" s="13"/>
      <c r="AB17" s="13">
        <v>12</v>
      </c>
      <c r="AC17" s="13"/>
      <c r="AD17" s="13">
        <f t="shared" ref="AD17:AO17" si="13">4*3</f>
        <v>12</v>
      </c>
      <c r="AE17" s="13">
        <f t="shared" si="13"/>
        <v>12</v>
      </c>
      <c r="AF17" s="132">
        <f t="shared" si="13"/>
        <v>12</v>
      </c>
      <c r="AG17" s="13">
        <f t="shared" si="13"/>
        <v>12</v>
      </c>
      <c r="AH17" s="13">
        <f t="shared" si="13"/>
        <v>12</v>
      </c>
      <c r="AI17" s="13">
        <f t="shared" si="13"/>
        <v>12</v>
      </c>
      <c r="AJ17" s="13">
        <f t="shared" si="13"/>
        <v>12</v>
      </c>
      <c r="AK17" s="13">
        <f t="shared" si="13"/>
        <v>12</v>
      </c>
      <c r="AL17" s="13">
        <f t="shared" si="13"/>
        <v>12</v>
      </c>
      <c r="AM17" s="13">
        <f t="shared" si="13"/>
        <v>12</v>
      </c>
      <c r="AN17" s="13">
        <f t="shared" si="13"/>
        <v>12</v>
      </c>
      <c r="AO17" s="13">
        <f t="shared" si="13"/>
        <v>12</v>
      </c>
      <c r="AR17">
        <v>6</v>
      </c>
      <c r="AS17">
        <v>6</v>
      </c>
      <c r="AV17" s="40">
        <f t="shared" si="8"/>
        <v>12</v>
      </c>
      <c r="AY17" t="s">
        <v>785</v>
      </c>
      <c r="AZ17" s="40">
        <v>12</v>
      </c>
    </row>
    <row r="18" spans="1:52">
      <c r="A18" s="132" t="s">
        <v>121</v>
      </c>
      <c r="B18" s="13"/>
      <c r="C18" s="13"/>
      <c r="D18" s="13"/>
      <c r="E18" s="13"/>
      <c r="F18" s="13">
        <v>4</v>
      </c>
      <c r="G18" s="13"/>
      <c r="H18" s="13">
        <v>4</v>
      </c>
      <c r="I18" s="13"/>
      <c r="J18" s="13">
        <v>4</v>
      </c>
      <c r="K18" s="13"/>
      <c r="L18" s="13">
        <v>4</v>
      </c>
      <c r="M18" s="13"/>
      <c r="N18" s="13">
        <v>4</v>
      </c>
      <c r="O18" s="13"/>
      <c r="P18" s="13">
        <v>4</v>
      </c>
      <c r="Q18" s="13"/>
      <c r="R18" s="13">
        <v>4</v>
      </c>
      <c r="S18" s="13"/>
      <c r="T18" s="13">
        <v>4</v>
      </c>
      <c r="U18" s="13"/>
      <c r="V18" s="13">
        <v>4</v>
      </c>
      <c r="W18" s="13"/>
      <c r="X18" s="13">
        <v>4</v>
      </c>
      <c r="Y18" s="13"/>
      <c r="Z18" s="13">
        <v>4</v>
      </c>
      <c r="AA18" s="13"/>
      <c r="AB18" s="13">
        <v>4</v>
      </c>
      <c r="AC18" s="13"/>
      <c r="AD18" s="13">
        <v>4</v>
      </c>
      <c r="AE18" s="13">
        <v>4</v>
      </c>
      <c r="AF18" s="132">
        <v>4</v>
      </c>
      <c r="AG18" s="13">
        <v>4</v>
      </c>
      <c r="AH18" s="13">
        <v>4</v>
      </c>
      <c r="AI18" s="13">
        <v>4</v>
      </c>
      <c r="AJ18" s="13">
        <v>4</v>
      </c>
      <c r="AK18" s="13">
        <v>4</v>
      </c>
      <c r="AL18" s="13">
        <v>4</v>
      </c>
      <c r="AM18" s="13">
        <v>4</v>
      </c>
      <c r="AN18" s="13">
        <v>4</v>
      </c>
      <c r="AO18" s="13">
        <v>4</v>
      </c>
      <c r="AR18">
        <v>4</v>
      </c>
      <c r="AV18" s="40">
        <f t="shared" si="8"/>
        <v>4</v>
      </c>
      <c r="AY18" t="s">
        <v>121</v>
      </c>
      <c r="AZ18" s="40">
        <v>4</v>
      </c>
    </row>
    <row r="19" spans="1:52">
      <c r="A19" s="132" t="s">
        <v>215</v>
      </c>
      <c r="B19" s="13"/>
      <c r="C19" s="13"/>
      <c r="D19" s="13"/>
      <c r="E19" s="13"/>
      <c r="F19" s="13">
        <v>6</v>
      </c>
      <c r="G19" s="13"/>
      <c r="H19" s="13">
        <v>6</v>
      </c>
      <c r="I19" s="13"/>
      <c r="J19" s="13">
        <v>6</v>
      </c>
      <c r="K19" s="13"/>
      <c r="L19" s="13">
        <v>6</v>
      </c>
      <c r="M19" s="13"/>
      <c r="N19" s="13">
        <v>6</v>
      </c>
      <c r="O19" s="13"/>
      <c r="P19" s="13">
        <v>6</v>
      </c>
      <c r="Q19" s="13"/>
      <c r="R19" s="13">
        <v>6</v>
      </c>
      <c r="S19" s="13"/>
      <c r="T19" s="13">
        <v>6</v>
      </c>
      <c r="U19" s="13"/>
      <c r="V19" s="13">
        <v>6</v>
      </c>
      <c r="W19" s="13"/>
      <c r="X19" s="13">
        <v>6</v>
      </c>
      <c r="Y19" s="13"/>
      <c r="Z19" s="13">
        <v>6</v>
      </c>
      <c r="AA19" s="13"/>
      <c r="AB19" s="13">
        <v>6</v>
      </c>
      <c r="AC19" s="13"/>
      <c r="AD19" s="132">
        <f t="shared" ref="AD19:AO19" si="14">3+3</f>
        <v>6</v>
      </c>
      <c r="AE19" s="132">
        <f t="shared" si="14"/>
        <v>6</v>
      </c>
      <c r="AF19" s="132">
        <f t="shared" si="14"/>
        <v>6</v>
      </c>
      <c r="AG19" s="132">
        <f t="shared" si="14"/>
        <v>6</v>
      </c>
      <c r="AH19" s="132">
        <f t="shared" si="14"/>
        <v>6</v>
      </c>
      <c r="AI19" s="132">
        <f t="shared" si="14"/>
        <v>6</v>
      </c>
      <c r="AJ19" s="132">
        <f t="shared" si="14"/>
        <v>6</v>
      </c>
      <c r="AK19" s="132">
        <f t="shared" si="14"/>
        <v>6</v>
      </c>
      <c r="AL19" s="132">
        <f t="shared" si="14"/>
        <v>6</v>
      </c>
      <c r="AM19" s="132">
        <f t="shared" si="14"/>
        <v>6</v>
      </c>
      <c r="AN19" s="132">
        <f t="shared" si="14"/>
        <v>6</v>
      </c>
      <c r="AO19" s="132">
        <f t="shared" si="14"/>
        <v>6</v>
      </c>
      <c r="AR19" s="154">
        <v>6</v>
      </c>
      <c r="AV19" s="40">
        <f t="shared" si="8"/>
        <v>6</v>
      </c>
      <c r="AY19" t="s">
        <v>215</v>
      </c>
      <c r="AZ19" s="40">
        <v>6</v>
      </c>
    </row>
    <row r="20" spans="1:52">
      <c r="A20" s="132" t="s">
        <v>1236</v>
      </c>
      <c r="B20" s="13"/>
      <c r="C20" s="13"/>
      <c r="D20" s="13"/>
      <c r="E20" s="13"/>
      <c r="F20" s="13">
        <v>2</v>
      </c>
      <c r="G20" s="13"/>
      <c r="H20" s="13">
        <v>2</v>
      </c>
      <c r="I20" s="13"/>
      <c r="J20" s="13">
        <v>2</v>
      </c>
      <c r="K20" s="13"/>
      <c r="L20" s="13">
        <v>2</v>
      </c>
      <c r="M20" s="13"/>
      <c r="N20" s="13">
        <v>2</v>
      </c>
      <c r="O20" s="13"/>
      <c r="P20" s="13">
        <v>2</v>
      </c>
      <c r="Q20" s="13"/>
      <c r="R20" s="13">
        <v>2</v>
      </c>
      <c r="S20" s="13"/>
      <c r="T20" s="13">
        <v>2</v>
      </c>
      <c r="U20" s="13"/>
      <c r="V20" s="13">
        <v>2</v>
      </c>
      <c r="W20" s="13"/>
      <c r="X20" s="13">
        <v>2</v>
      </c>
      <c r="Y20" s="13"/>
      <c r="Z20" s="13">
        <v>2</v>
      </c>
      <c r="AA20" s="13"/>
      <c r="AB20" s="13">
        <v>2</v>
      </c>
      <c r="AC20" s="13"/>
      <c r="AD20" s="13">
        <v>2</v>
      </c>
      <c r="AE20" s="13">
        <v>2</v>
      </c>
      <c r="AF20" s="13">
        <v>2</v>
      </c>
      <c r="AG20" s="13">
        <v>2</v>
      </c>
      <c r="AH20" s="13">
        <v>2</v>
      </c>
      <c r="AI20" s="13">
        <v>2</v>
      </c>
      <c r="AJ20" s="13">
        <v>2</v>
      </c>
      <c r="AK20" s="13">
        <v>2</v>
      </c>
      <c r="AL20" s="13">
        <v>2</v>
      </c>
      <c r="AM20" s="13">
        <v>2</v>
      </c>
      <c r="AN20" s="13">
        <v>2</v>
      </c>
      <c r="AO20" s="13">
        <v>2</v>
      </c>
      <c r="AR20">
        <v>2</v>
      </c>
      <c r="AS20" t="s">
        <v>1260</v>
      </c>
      <c r="AV20" s="40">
        <f t="shared" si="8"/>
        <v>2</v>
      </c>
      <c r="AY20" t="s">
        <v>1236</v>
      </c>
      <c r="AZ20" s="40">
        <v>2</v>
      </c>
    </row>
    <row r="21" spans="1:52">
      <c r="A21" s="132" t="s">
        <v>1261</v>
      </c>
      <c r="B21" s="13"/>
      <c r="C21" s="13"/>
      <c r="D21" s="13"/>
      <c r="E21" s="13"/>
      <c r="F21" s="13">
        <v>3</v>
      </c>
      <c r="G21" s="13"/>
      <c r="H21" s="13">
        <v>3</v>
      </c>
      <c r="I21" s="13"/>
      <c r="J21" s="13">
        <v>3</v>
      </c>
      <c r="K21" s="13"/>
      <c r="L21" s="13">
        <v>3</v>
      </c>
      <c r="M21" s="13"/>
      <c r="N21" s="13">
        <v>3</v>
      </c>
      <c r="O21" s="13"/>
      <c r="P21" s="13">
        <v>3</v>
      </c>
      <c r="Q21" s="13"/>
      <c r="R21" s="13">
        <v>3</v>
      </c>
      <c r="S21" s="13"/>
      <c r="T21" s="13">
        <v>3</v>
      </c>
      <c r="U21" s="13"/>
      <c r="V21" s="13">
        <v>3</v>
      </c>
      <c r="W21" s="13"/>
      <c r="X21" s="13">
        <v>3</v>
      </c>
      <c r="Y21" s="13"/>
      <c r="Z21" s="13">
        <v>3</v>
      </c>
      <c r="AA21" s="13"/>
      <c r="AB21" s="13">
        <v>3</v>
      </c>
      <c r="AC21" s="13"/>
      <c r="AD21" s="13">
        <v>3</v>
      </c>
      <c r="AE21" s="13">
        <v>3</v>
      </c>
      <c r="AF21" s="132">
        <v>3</v>
      </c>
      <c r="AG21" s="13">
        <v>3</v>
      </c>
      <c r="AH21" s="13">
        <v>3</v>
      </c>
      <c r="AI21" s="13">
        <v>3</v>
      </c>
      <c r="AJ21" s="13">
        <v>3</v>
      </c>
      <c r="AK21" s="13">
        <v>3</v>
      </c>
      <c r="AL21" s="13">
        <v>3</v>
      </c>
      <c r="AM21" s="13">
        <v>3</v>
      </c>
      <c r="AN21" s="13">
        <v>3</v>
      </c>
      <c r="AO21" s="13">
        <v>3</v>
      </c>
      <c r="AR21">
        <v>3</v>
      </c>
      <c r="AV21" s="40">
        <f t="shared" si="8"/>
        <v>3</v>
      </c>
      <c r="AY21" t="s">
        <v>1261</v>
      </c>
      <c r="AZ21" s="40">
        <v>3</v>
      </c>
    </row>
    <row r="22" spans="1:52">
      <c r="A22" s="132" t="s">
        <v>1262</v>
      </c>
      <c r="B22" s="13"/>
      <c r="C22" s="13"/>
      <c r="D22" s="13"/>
      <c r="E22" s="13"/>
      <c r="F22" s="13">
        <v>3</v>
      </c>
      <c r="G22" s="13"/>
      <c r="H22" s="13">
        <v>3</v>
      </c>
      <c r="I22" s="13"/>
      <c r="J22" s="13">
        <v>3</v>
      </c>
      <c r="K22" s="13"/>
      <c r="L22" s="13">
        <v>3</v>
      </c>
      <c r="M22" s="13"/>
      <c r="N22" s="13">
        <v>3</v>
      </c>
      <c r="O22" s="13"/>
      <c r="P22" s="13">
        <v>3</v>
      </c>
      <c r="Q22" s="13"/>
      <c r="R22" s="13">
        <v>3</v>
      </c>
      <c r="S22" s="13"/>
      <c r="T22" s="13">
        <v>3</v>
      </c>
      <c r="U22" s="13"/>
      <c r="V22" s="13">
        <v>3</v>
      </c>
      <c r="W22" s="13"/>
      <c r="X22" s="13">
        <v>3</v>
      </c>
      <c r="Y22" s="13"/>
      <c r="Z22" s="13">
        <v>3</v>
      </c>
      <c r="AA22" s="13"/>
      <c r="AB22" s="13">
        <v>3</v>
      </c>
      <c r="AC22" s="13"/>
      <c r="AD22" s="13">
        <v>3</v>
      </c>
      <c r="AE22" s="13">
        <v>3</v>
      </c>
      <c r="AF22" s="132">
        <v>3</v>
      </c>
      <c r="AG22" s="13">
        <v>3</v>
      </c>
      <c r="AH22" s="13">
        <v>3</v>
      </c>
      <c r="AI22" s="13">
        <v>3</v>
      </c>
      <c r="AJ22" s="13">
        <v>3</v>
      </c>
      <c r="AK22" s="13">
        <v>3</v>
      </c>
      <c r="AL22" s="13">
        <v>3</v>
      </c>
      <c r="AM22" s="13">
        <v>3</v>
      </c>
      <c r="AN22" s="13">
        <v>3</v>
      </c>
      <c r="AO22" s="13">
        <v>3</v>
      </c>
      <c r="AR22">
        <v>3</v>
      </c>
      <c r="AV22" s="40">
        <f t="shared" si="8"/>
        <v>3</v>
      </c>
      <c r="AY22" t="s">
        <v>1262</v>
      </c>
      <c r="AZ22" s="40">
        <v>3</v>
      </c>
    </row>
    <row r="23" spans="1:52">
      <c r="A23" s="132" t="s">
        <v>1263</v>
      </c>
      <c r="B23" s="13"/>
      <c r="C23" s="13"/>
      <c r="D23" s="13"/>
      <c r="E23" s="13"/>
      <c r="F23" s="13">
        <v>6</v>
      </c>
      <c r="G23" s="13"/>
      <c r="H23" s="13">
        <v>6</v>
      </c>
      <c r="I23" s="13"/>
      <c r="J23" s="13">
        <v>6</v>
      </c>
      <c r="K23" s="13"/>
      <c r="L23" s="13">
        <v>6</v>
      </c>
      <c r="M23" s="13"/>
      <c r="N23" s="13">
        <v>6</v>
      </c>
      <c r="O23" s="13"/>
      <c r="P23" s="13">
        <v>6</v>
      </c>
      <c r="Q23" s="13"/>
      <c r="R23" s="13">
        <v>6</v>
      </c>
      <c r="S23" s="13"/>
      <c r="T23" s="13">
        <v>6</v>
      </c>
      <c r="U23" s="13"/>
      <c r="V23" s="13">
        <v>6</v>
      </c>
      <c r="W23" s="13"/>
      <c r="X23" s="13">
        <v>6</v>
      </c>
      <c r="Y23" s="13"/>
      <c r="Z23" s="13">
        <v>6</v>
      </c>
      <c r="AA23" s="13"/>
      <c r="AB23" s="13">
        <v>6</v>
      </c>
      <c r="AC23" s="13"/>
      <c r="AD23" s="13">
        <v>6</v>
      </c>
      <c r="AE23" s="13">
        <v>6</v>
      </c>
      <c r="AF23" s="132">
        <v>6</v>
      </c>
      <c r="AG23" s="13">
        <v>6</v>
      </c>
      <c r="AH23" s="13">
        <v>6</v>
      </c>
      <c r="AI23" s="13">
        <v>6</v>
      </c>
      <c r="AJ23" s="13">
        <v>6</v>
      </c>
      <c r="AK23" s="13">
        <v>6</v>
      </c>
      <c r="AL23" s="13">
        <v>6</v>
      </c>
      <c r="AM23" s="13">
        <v>6</v>
      </c>
      <c r="AN23" s="13">
        <v>6</v>
      </c>
      <c r="AO23" s="13">
        <v>6</v>
      </c>
      <c r="AR23">
        <v>6</v>
      </c>
      <c r="AV23" s="40">
        <f t="shared" si="8"/>
        <v>6</v>
      </c>
      <c r="AY23" t="s">
        <v>1263</v>
      </c>
      <c r="AZ23" s="40">
        <v>6</v>
      </c>
    </row>
    <row r="24" spans="1:52">
      <c r="A24" s="132" t="s">
        <v>120</v>
      </c>
      <c r="B24" s="13"/>
      <c r="C24" s="13"/>
      <c r="D24" s="13"/>
      <c r="E24" s="13"/>
      <c r="F24" s="13">
        <v>3</v>
      </c>
      <c r="G24" s="13"/>
      <c r="H24" s="13">
        <v>3</v>
      </c>
      <c r="I24" s="13"/>
      <c r="J24" s="13">
        <v>3</v>
      </c>
      <c r="K24" s="13"/>
      <c r="L24" s="13">
        <v>3</v>
      </c>
      <c r="M24" s="13"/>
      <c r="N24" s="13">
        <v>3</v>
      </c>
      <c r="O24" s="13"/>
      <c r="P24" s="13">
        <v>3</v>
      </c>
      <c r="Q24" s="13"/>
      <c r="R24" s="13">
        <v>3</v>
      </c>
      <c r="S24" s="13"/>
      <c r="T24" s="13">
        <v>3</v>
      </c>
      <c r="U24" s="13"/>
      <c r="V24" s="13">
        <v>3</v>
      </c>
      <c r="W24" s="13"/>
      <c r="X24" s="13">
        <v>3</v>
      </c>
      <c r="Y24" s="13"/>
      <c r="Z24" s="13">
        <v>3</v>
      </c>
      <c r="AA24" s="13"/>
      <c r="AB24" s="13">
        <v>3</v>
      </c>
      <c r="AC24" s="13"/>
      <c r="AD24" s="13">
        <v>3</v>
      </c>
      <c r="AE24" s="13">
        <v>3</v>
      </c>
      <c r="AF24" s="132">
        <v>3</v>
      </c>
      <c r="AG24" s="13">
        <v>3</v>
      </c>
      <c r="AH24" s="13">
        <v>3</v>
      </c>
      <c r="AI24" s="13">
        <v>3</v>
      </c>
      <c r="AJ24" s="13">
        <v>3</v>
      </c>
      <c r="AK24" s="13">
        <v>3</v>
      </c>
      <c r="AL24" s="13">
        <v>3</v>
      </c>
      <c r="AM24" s="13">
        <v>3</v>
      </c>
      <c r="AN24" s="13">
        <v>3</v>
      </c>
      <c r="AO24" s="13">
        <v>3</v>
      </c>
      <c r="AR24">
        <v>3</v>
      </c>
      <c r="AV24" s="40">
        <f t="shared" si="8"/>
        <v>3</v>
      </c>
      <c r="AY24" t="s">
        <v>120</v>
      </c>
      <c r="AZ24" s="40">
        <v>3</v>
      </c>
    </row>
    <row r="25" spans="1:52">
      <c r="F25">
        <f>SUM(F9:F24)</f>
        <v>312</v>
      </c>
      <c r="H25">
        <f>SUM(H9:H24)</f>
        <v>298</v>
      </c>
      <c r="J25">
        <f>SUM(J9:J24)</f>
        <v>288</v>
      </c>
      <c r="K25" s="40"/>
      <c r="L25">
        <f>SUM(L9:L24)</f>
        <v>305</v>
      </c>
      <c r="M25" s="40"/>
      <c r="N25">
        <f>SUM(N9:N24)</f>
        <v>315</v>
      </c>
      <c r="O25" s="40"/>
      <c r="P25">
        <f>SUM(P9:P24)</f>
        <v>298</v>
      </c>
      <c r="Q25" s="40"/>
      <c r="R25">
        <f>SUM(R9:R24)</f>
        <v>296</v>
      </c>
      <c r="S25" s="40"/>
      <c r="T25">
        <f>SUM(T9:T24)</f>
        <v>264.5</v>
      </c>
      <c r="U25" s="40"/>
      <c r="V25">
        <f>SUM(V9:V24)</f>
        <v>205.5</v>
      </c>
      <c r="W25" s="40"/>
      <c r="X25">
        <f>SUM(X9:X24)</f>
        <v>191</v>
      </c>
      <c r="Y25" s="40"/>
      <c r="Z25">
        <f>SUM(Z9:Z24)</f>
        <v>219</v>
      </c>
      <c r="AB25">
        <f>SUM(AB9:AB24)</f>
        <v>235.5</v>
      </c>
      <c r="AD25" s="13">
        <f t="shared" ref="AD25:AO25" si="15">SUM(AD9:AD24)</f>
        <v>312</v>
      </c>
      <c r="AE25" s="13">
        <f>SUM(AE9:AE24)</f>
        <v>312</v>
      </c>
      <c r="AF25" s="132">
        <f t="shared" si="15"/>
        <v>262</v>
      </c>
      <c r="AG25" s="13">
        <f t="shared" si="15"/>
        <v>312</v>
      </c>
      <c r="AH25" s="13">
        <f>SUM(AH9:AH24)</f>
        <v>262</v>
      </c>
      <c r="AI25" s="13">
        <f t="shared" si="15"/>
        <v>262</v>
      </c>
      <c r="AJ25" s="13">
        <f t="shared" si="15"/>
        <v>262</v>
      </c>
      <c r="AK25" s="13">
        <f t="shared" si="15"/>
        <v>193</v>
      </c>
      <c r="AL25" s="13">
        <f t="shared" si="15"/>
        <v>193</v>
      </c>
      <c r="AM25" s="13">
        <f t="shared" si="15"/>
        <v>239</v>
      </c>
      <c r="AN25" s="13">
        <f t="shared" si="15"/>
        <v>232</v>
      </c>
      <c r="AO25" s="13">
        <f t="shared" si="15"/>
        <v>229</v>
      </c>
      <c r="AP25" s="39">
        <f>AVERAGE(AD25:AO25)</f>
        <v>255.83333333333334</v>
      </c>
      <c r="AQ25">
        <v>9031</v>
      </c>
      <c r="AR25" s="41">
        <f>AQ25/AP25</f>
        <v>35.300325732899019</v>
      </c>
      <c r="AV25" s="40">
        <f t="shared" si="8"/>
        <v>255.83333333333334</v>
      </c>
      <c r="AZ25" s="40">
        <v>286.16666666666669</v>
      </c>
    </row>
    <row r="26" spans="1:52">
      <c r="E26" t="s">
        <v>1587</v>
      </c>
      <c r="F26">
        <f>SUM(F9:F16)</f>
        <v>273</v>
      </c>
      <c r="H26">
        <f>SUM(H9:H16)</f>
        <v>259</v>
      </c>
      <c r="J26">
        <f>SUM(J9:J16)</f>
        <v>249</v>
      </c>
      <c r="K26" s="40"/>
      <c r="L26">
        <f>SUM(L9:L16)</f>
        <v>266</v>
      </c>
      <c r="M26" s="40"/>
      <c r="N26">
        <f>SUM(N9:N16)</f>
        <v>276</v>
      </c>
      <c r="O26" s="40"/>
      <c r="P26">
        <f>SUM(P9:P16)</f>
        <v>259</v>
      </c>
      <c r="Q26" s="40"/>
      <c r="R26">
        <f>SUM(R9:R16)</f>
        <v>257</v>
      </c>
      <c r="S26" s="40"/>
      <c r="T26">
        <f>SUM(T9:T16)</f>
        <v>225.5</v>
      </c>
      <c r="U26" s="40"/>
      <c r="V26">
        <f>SUM(V9:V16)</f>
        <v>166.5</v>
      </c>
      <c r="W26" s="40"/>
      <c r="X26">
        <f>SUM(X9:X16)</f>
        <v>152</v>
      </c>
      <c r="Y26" s="40"/>
      <c r="Z26">
        <f>SUM(Z9:Z16)</f>
        <v>180</v>
      </c>
      <c r="AB26">
        <f>SUM(AB9:AB16)</f>
        <v>196.5</v>
      </c>
      <c r="AD26">
        <f>AD25</f>
        <v>312</v>
      </c>
      <c r="AE26">
        <f>AH25</f>
        <v>262</v>
      </c>
      <c r="AF26">
        <f>AF25</f>
        <v>262</v>
      </c>
      <c r="AG26">
        <f>AE25</f>
        <v>312</v>
      </c>
      <c r="AH26">
        <f>AD25</f>
        <v>312</v>
      </c>
      <c r="AI26">
        <f>AG25</f>
        <v>312</v>
      </c>
      <c r="AJ26">
        <f>AH25</f>
        <v>262</v>
      </c>
      <c r="AK26">
        <f>AJ25</f>
        <v>262</v>
      </c>
      <c r="AL26">
        <f>AK25</f>
        <v>193</v>
      </c>
      <c r="AM26">
        <f>AL25</f>
        <v>193</v>
      </c>
      <c r="AN26">
        <f>AL25</f>
        <v>193</v>
      </c>
      <c r="AO26">
        <f>AL25</f>
        <v>193</v>
      </c>
      <c r="AP26" s="39">
        <f>AVERAGE(AD26:AO26)</f>
        <v>255.66666666666666</v>
      </c>
      <c r="AR26" s="41"/>
      <c r="AV26" s="40">
        <f t="shared" si="8"/>
        <v>255.66666666666666</v>
      </c>
    </row>
    <row r="27" spans="1:52">
      <c r="E27" t="s">
        <v>1588</v>
      </c>
      <c r="F27">
        <f>SUM(F17:F24)</f>
        <v>39</v>
      </c>
      <c r="H27">
        <f>SUM(H17:H24)</f>
        <v>39</v>
      </c>
      <c r="J27">
        <f>SUM(J17:J24)</f>
        <v>39</v>
      </c>
      <c r="L27">
        <f>SUM(L17:L24)</f>
        <v>39</v>
      </c>
      <c r="N27">
        <f>SUM(N17:N24)</f>
        <v>39</v>
      </c>
      <c r="P27">
        <f>SUM(P17:P24)</f>
        <v>39</v>
      </c>
      <c r="R27">
        <f>SUM(R17:R24)</f>
        <v>39</v>
      </c>
      <c r="T27">
        <f>SUM(T17:T24)</f>
        <v>39</v>
      </c>
      <c r="V27">
        <f>SUM(V17:V24)</f>
        <v>39</v>
      </c>
      <c r="X27">
        <f>SUM(X17:X24)</f>
        <v>39</v>
      </c>
      <c r="Z27">
        <f>SUM(Z17:Z24)</f>
        <v>39</v>
      </c>
      <c r="AB27">
        <f>SUM(AB17:AB24)</f>
        <v>39</v>
      </c>
      <c r="AD27" s="39"/>
      <c r="AE27" s="39"/>
      <c r="AF27" s="39"/>
      <c r="AG27" s="39"/>
      <c r="AH27" s="39"/>
      <c r="AI27" s="39"/>
      <c r="AJ27" s="39"/>
      <c r="AK27" s="39"/>
      <c r="AL27" s="39"/>
      <c r="AM27" s="39"/>
      <c r="AN27" s="39"/>
      <c r="AO27" s="39"/>
      <c r="AP27" s="39">
        <f>AP25-AP26</f>
        <v>0.16666666666668561</v>
      </c>
    </row>
    <row r="28" spans="1:52">
      <c r="F28">
        <f>F26+F27</f>
        <v>312</v>
      </c>
      <c r="H28">
        <f>H26+H27</f>
        <v>298</v>
      </c>
      <c r="J28">
        <f>J26+J27</f>
        <v>288</v>
      </c>
      <c r="L28">
        <f>L26+L27</f>
        <v>305</v>
      </c>
      <c r="N28">
        <f>N26+N27</f>
        <v>315</v>
      </c>
      <c r="P28">
        <f>P26+P27</f>
        <v>298</v>
      </c>
      <c r="R28">
        <f>R26+R27</f>
        <v>296</v>
      </c>
      <c r="T28">
        <f>T26+T27</f>
        <v>264.5</v>
      </c>
      <c r="V28">
        <f>V26+V27</f>
        <v>205.5</v>
      </c>
      <c r="X28">
        <f>X26+X27</f>
        <v>191</v>
      </c>
      <c r="Z28">
        <f>Z26+Z27</f>
        <v>219</v>
      </c>
      <c r="AB28">
        <f>AB26+AB27</f>
        <v>235.5</v>
      </c>
      <c r="AD28" s="910">
        <f t="shared" ref="AD28:AO28" si="16">AD6*10.2</f>
        <v>4125242.9200370521</v>
      </c>
      <c r="AE28" s="910">
        <f t="shared" si="16"/>
        <v>3904006.2084581056</v>
      </c>
      <c r="AF28" s="910">
        <f t="shared" si="16"/>
        <v>2815963.4525633682</v>
      </c>
      <c r="AG28" s="910">
        <f t="shared" si="16"/>
        <v>3708083.7311808001</v>
      </c>
      <c r="AH28" s="910">
        <f t="shared" si="16"/>
        <v>3031271.7608650108</v>
      </c>
      <c r="AI28" s="910">
        <f t="shared" si="16"/>
        <v>2603100.7342014317</v>
      </c>
      <c r="AJ28" s="910">
        <f t="shared" si="16"/>
        <v>2529216.5027277479</v>
      </c>
      <c r="AK28" s="910">
        <f t="shared" si="16"/>
        <v>2007698.1439235371</v>
      </c>
      <c r="AL28" s="910">
        <f t="shared" si="16"/>
        <v>1995643.2161936844</v>
      </c>
      <c r="AM28" s="910">
        <f t="shared" si="16"/>
        <v>2456932.4988252632</v>
      </c>
      <c r="AN28" s="910">
        <f t="shared" si="16"/>
        <v>2139787.3440287993</v>
      </c>
      <c r="AO28" s="910">
        <f t="shared" si="16"/>
        <v>2336080.4182797475</v>
      </c>
    </row>
    <row r="29" spans="1:52">
      <c r="AD29" s="910">
        <f>AD28/AD16</f>
        <v>28647.520278035085</v>
      </c>
      <c r="AE29" s="910">
        <f t="shared" ref="AE29:AO29" si="17">AE28/AE16</f>
        <v>27111.154225403512</v>
      </c>
      <c r="AF29" s="910">
        <f t="shared" si="17"/>
        <v>26073.735671883038</v>
      </c>
      <c r="AG29" s="910">
        <f t="shared" si="17"/>
        <v>25750.581466533335</v>
      </c>
      <c r="AH29" s="910">
        <f t="shared" si="17"/>
        <v>28067.33111912047</v>
      </c>
      <c r="AI29" s="910">
        <f t="shared" si="17"/>
        <v>24102.784575939182</v>
      </c>
      <c r="AJ29" s="910">
        <f t="shared" si="17"/>
        <v>23418.671321553222</v>
      </c>
      <c r="AK29" s="910">
        <f t="shared" si="17"/>
        <v>27884.696443382461</v>
      </c>
      <c r="AL29" s="910">
        <f t="shared" si="17"/>
        <v>27717.266891578951</v>
      </c>
      <c r="AM29" s="910">
        <f t="shared" si="17"/>
        <v>22749.374989122807</v>
      </c>
      <c r="AN29" s="910">
        <f t="shared" si="17"/>
        <v>19812.845778044437</v>
      </c>
      <c r="AO29" s="910">
        <f t="shared" si="17"/>
        <v>21630.374243330996</v>
      </c>
    </row>
    <row r="30" spans="1:52">
      <c r="AD30" s="910">
        <f>AVERAGE(AD29:AO29)</f>
        <v>25247.194750327297</v>
      </c>
      <c r="AE30" s="910"/>
      <c r="AF30" s="910"/>
      <c r="AG30" s="910"/>
      <c r="AH30" s="910"/>
      <c r="AI30" s="910"/>
      <c r="AJ30" s="910"/>
      <c r="AK30" s="910"/>
      <c r="AL30" s="910"/>
      <c r="AM30" s="910"/>
      <c r="AN30" s="910"/>
      <c r="AO30" s="910"/>
    </row>
    <row r="37" spans="30:32">
      <c r="AD37">
        <v>351</v>
      </c>
      <c r="AE37">
        <f>$AD$26</f>
        <v>312</v>
      </c>
      <c r="AF37">
        <f>SUM($AD$17:$AD$24)</f>
        <v>39</v>
      </c>
    </row>
    <row r="38" spans="30:32">
      <c r="AD38">
        <v>351</v>
      </c>
      <c r="AE38">
        <f>$AE$26</f>
        <v>262</v>
      </c>
      <c r="AF38">
        <f t="shared" ref="AF38:AF48" si="18">SUM($AD$17:$AD$24)</f>
        <v>39</v>
      </c>
    </row>
    <row r="39" spans="30:32">
      <c r="AD39">
        <v>292</v>
      </c>
      <c r="AE39">
        <f>$AF$26</f>
        <v>262</v>
      </c>
      <c r="AF39">
        <f t="shared" si="18"/>
        <v>39</v>
      </c>
    </row>
    <row r="40" spans="30:32">
      <c r="AD40">
        <v>351</v>
      </c>
      <c r="AE40">
        <f>$AG$26</f>
        <v>312</v>
      </c>
      <c r="AF40">
        <f t="shared" si="18"/>
        <v>39</v>
      </c>
    </row>
    <row r="41" spans="30:32">
      <c r="AD41">
        <v>292</v>
      </c>
      <c r="AE41">
        <f>$AH$26</f>
        <v>312</v>
      </c>
      <c r="AF41">
        <f t="shared" si="18"/>
        <v>39</v>
      </c>
    </row>
    <row r="42" spans="30:32">
      <c r="AD42">
        <v>292</v>
      </c>
      <c r="AE42">
        <f>$AI$26</f>
        <v>312</v>
      </c>
      <c r="AF42">
        <f t="shared" si="18"/>
        <v>39</v>
      </c>
    </row>
    <row r="43" spans="30:32">
      <c r="AD43">
        <v>292</v>
      </c>
      <c r="AE43">
        <f>$AJ$26</f>
        <v>262</v>
      </c>
      <c r="AF43">
        <f t="shared" si="18"/>
        <v>39</v>
      </c>
    </row>
    <row r="44" spans="30:32">
      <c r="AD44">
        <v>213</v>
      </c>
      <c r="AE44">
        <f>$AK$26</f>
        <v>262</v>
      </c>
      <c r="AF44">
        <f t="shared" si="18"/>
        <v>39</v>
      </c>
    </row>
    <row r="45" spans="30:32">
      <c r="AD45">
        <v>213</v>
      </c>
      <c r="AE45">
        <f>$AL$26</f>
        <v>193</v>
      </c>
      <c r="AF45">
        <f t="shared" si="18"/>
        <v>39</v>
      </c>
    </row>
    <row r="46" spans="30:32">
      <c r="AD46">
        <v>268</v>
      </c>
      <c r="AE46">
        <f>$AM$26</f>
        <v>193</v>
      </c>
      <c r="AF46">
        <f t="shared" si="18"/>
        <v>39</v>
      </c>
    </row>
    <row r="47" spans="30:32">
      <c r="AD47">
        <v>261</v>
      </c>
      <c r="AE47">
        <f>$AN$26</f>
        <v>193</v>
      </c>
      <c r="AF47">
        <f t="shared" si="18"/>
        <v>39</v>
      </c>
    </row>
    <row r="48" spans="30:32">
      <c r="AD48">
        <v>258</v>
      </c>
      <c r="AE48">
        <f>$AO$26</f>
        <v>193</v>
      </c>
      <c r="AF48">
        <f t="shared" si="18"/>
        <v>39</v>
      </c>
    </row>
  </sheetData>
  <mergeCells count="15">
    <mergeCell ref="K7:L7"/>
    <mergeCell ref="M7:N7"/>
    <mergeCell ref="O7:P7"/>
    <mergeCell ref="Q7:R7"/>
    <mergeCell ref="A4:AC4"/>
    <mergeCell ref="A5:AC5"/>
    <mergeCell ref="A6:AC6"/>
    <mergeCell ref="E7:F7"/>
    <mergeCell ref="G7:H7"/>
    <mergeCell ref="I7:J7"/>
    <mergeCell ref="S7:T7"/>
    <mergeCell ref="U7:V7"/>
    <mergeCell ref="W7:X7"/>
    <mergeCell ref="Y7:Z7"/>
    <mergeCell ref="AA7:AB7"/>
  </mergeCells>
  <pageMargins left="0.7" right="0.7" top="0.75" bottom="0.75" header="0.3" footer="0.3"/>
  <pageSetup orientation="portrait"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M48"/>
  <sheetViews>
    <sheetView workbookViewId="0">
      <selection activeCell="D2" sqref="D2"/>
    </sheetView>
  </sheetViews>
  <sheetFormatPr defaultRowHeight="14.5"/>
  <cols>
    <col min="1" max="1" width="26.26953125" bestFit="1" customWidth="1"/>
    <col min="2" max="2" width="35.1796875" bestFit="1" customWidth="1"/>
    <col min="3" max="3" width="12.26953125" bestFit="1" customWidth="1"/>
    <col min="4" max="4" width="19.7265625" bestFit="1" customWidth="1"/>
    <col min="5" max="5" width="10" bestFit="1" customWidth="1"/>
    <col min="6" max="6" width="10.7265625" bestFit="1" customWidth="1"/>
    <col min="7" max="7" width="9" bestFit="1" customWidth="1"/>
    <col min="8" max="8" width="12.453125" bestFit="1" customWidth="1"/>
    <col min="9" max="9" width="10.26953125" bestFit="1" customWidth="1"/>
    <col min="10" max="11" width="7.453125" bestFit="1" customWidth="1"/>
    <col min="13" max="13" width="26.26953125" bestFit="1" customWidth="1"/>
    <col min="14" max="14" width="35.1796875" bestFit="1" customWidth="1"/>
    <col min="15" max="15" width="12.26953125" bestFit="1" customWidth="1"/>
    <col min="16" max="16" width="19.7265625" bestFit="1" customWidth="1"/>
    <col min="17" max="17" width="10" bestFit="1" customWidth="1"/>
    <col min="18" max="18" width="10.7265625" bestFit="1" customWidth="1"/>
    <col min="19" max="19" width="8" bestFit="1" customWidth="1"/>
    <col min="20" max="20" width="12.453125" bestFit="1" customWidth="1"/>
    <col min="21" max="21" width="8.7265625" bestFit="1" customWidth="1"/>
    <col min="22" max="23" width="7.453125" bestFit="1" customWidth="1"/>
    <col min="25" max="25" width="26.26953125" bestFit="1" customWidth="1"/>
    <col min="26" max="26" width="35.1796875" bestFit="1" customWidth="1"/>
    <col min="27" max="27" width="12.26953125" bestFit="1" customWidth="1"/>
    <col min="28" max="28" width="19.7265625" bestFit="1" customWidth="1"/>
    <col min="30" max="30" width="10.7265625" bestFit="1" customWidth="1"/>
    <col min="31" max="31" width="8" bestFit="1" customWidth="1"/>
    <col min="32" max="32" width="12.453125" bestFit="1" customWidth="1"/>
    <col min="33" max="33" width="8.7265625" bestFit="1" customWidth="1"/>
    <col min="34" max="35" width="7.453125" bestFit="1" customWidth="1"/>
    <col min="37" max="37" width="26.26953125" bestFit="1" customWidth="1"/>
    <col min="38" max="38" width="35.1796875" bestFit="1" customWidth="1"/>
    <col min="39" max="39" width="12.26953125" bestFit="1" customWidth="1"/>
    <col min="40" max="40" width="19.7265625" bestFit="1" customWidth="1"/>
    <col min="41" max="41" width="9.7265625" customWidth="1"/>
    <col min="42" max="42" width="10.7265625" bestFit="1" customWidth="1"/>
    <col min="43" max="43" width="8" bestFit="1" customWidth="1"/>
    <col min="44" max="44" width="12.453125" bestFit="1" customWidth="1"/>
    <col min="45" max="45" width="8.7265625" bestFit="1" customWidth="1"/>
    <col min="46" max="47" width="7.453125" bestFit="1" customWidth="1"/>
    <col min="49" max="49" width="26.26953125" bestFit="1" customWidth="1"/>
    <col min="50" max="50" width="35.1796875" bestFit="1" customWidth="1"/>
    <col min="51" max="51" width="12.26953125" bestFit="1" customWidth="1"/>
    <col min="52" max="52" width="19.7265625" bestFit="1" customWidth="1"/>
    <col min="54" max="54" width="10.7265625" bestFit="1" customWidth="1"/>
    <col min="55" max="55" width="8" bestFit="1" customWidth="1"/>
    <col min="56" max="56" width="12.453125" bestFit="1" customWidth="1"/>
    <col min="57" max="57" width="8.7265625" bestFit="1" customWidth="1"/>
    <col min="58" max="59" width="7.453125" bestFit="1" customWidth="1"/>
    <col min="61" max="61" width="26.26953125" bestFit="1" customWidth="1"/>
    <col min="62" max="62" width="35.1796875" bestFit="1" customWidth="1"/>
    <col min="63" max="63" width="12.26953125" bestFit="1" customWidth="1"/>
    <col min="64" max="64" width="19.7265625" bestFit="1" customWidth="1"/>
    <col min="66" max="66" width="10.7265625" bestFit="1" customWidth="1"/>
    <col min="67" max="67" width="8" bestFit="1" customWidth="1"/>
    <col min="68" max="68" width="12.453125" bestFit="1" customWidth="1"/>
    <col min="69" max="69" width="8.7265625" bestFit="1" customWidth="1"/>
    <col min="70" max="71" width="7.453125" bestFit="1" customWidth="1"/>
    <col min="73" max="73" width="26.26953125" bestFit="1" customWidth="1"/>
    <col min="74" max="74" width="11.81640625" customWidth="1"/>
    <col min="75" max="75" width="12.26953125" bestFit="1" customWidth="1"/>
    <col min="76" max="76" width="19.7265625" bestFit="1" customWidth="1"/>
    <col min="78" max="78" width="11.54296875" bestFit="1" customWidth="1"/>
    <col min="79" max="79" width="8" bestFit="1" customWidth="1"/>
    <col min="80" max="80" width="12.453125" bestFit="1" customWidth="1"/>
    <col min="81" max="81" width="8.7265625" bestFit="1" customWidth="1"/>
    <col min="82" max="83" width="7.453125" bestFit="1" customWidth="1"/>
    <col min="85" max="85" width="26.26953125" bestFit="1" customWidth="1"/>
    <col min="86" max="86" width="35.1796875" bestFit="1" customWidth="1"/>
    <col min="87" max="87" width="12.26953125" bestFit="1" customWidth="1"/>
    <col min="88" max="88" width="19.7265625" bestFit="1" customWidth="1"/>
    <col min="90" max="90" width="10.7265625" bestFit="1" customWidth="1"/>
    <col min="91" max="91" width="8" bestFit="1" customWidth="1"/>
    <col min="92" max="92" width="12.453125" bestFit="1" customWidth="1"/>
    <col min="93" max="93" width="8.7265625" bestFit="1" customWidth="1"/>
    <col min="94" max="95" width="7.453125" bestFit="1" customWidth="1"/>
    <col min="97" max="97" width="26.26953125" bestFit="1" customWidth="1"/>
    <col min="98" max="98" width="35.1796875" bestFit="1" customWidth="1"/>
    <col min="99" max="99" width="12.26953125" bestFit="1" customWidth="1"/>
    <col min="100" max="100" width="19.7265625" bestFit="1" customWidth="1"/>
    <col min="102" max="102" width="10.7265625" bestFit="1" customWidth="1"/>
    <col min="103" max="103" width="8" bestFit="1" customWidth="1"/>
    <col min="104" max="104" width="12.453125" bestFit="1" customWidth="1"/>
    <col min="105" max="105" width="8.7265625" bestFit="1" customWidth="1"/>
    <col min="106" max="107" width="7.453125" bestFit="1" customWidth="1"/>
    <col min="109" max="109" width="26.26953125" bestFit="1" customWidth="1"/>
    <col min="110" max="110" width="35.1796875" bestFit="1" customWidth="1"/>
    <col min="111" max="111" width="12.26953125" bestFit="1" customWidth="1"/>
    <col min="112" max="112" width="19.7265625" bestFit="1" customWidth="1"/>
    <col min="114" max="114" width="10.7265625" bestFit="1" customWidth="1"/>
    <col min="115" max="115" width="8" bestFit="1" customWidth="1"/>
    <col min="116" max="116" width="12.453125" bestFit="1" customWidth="1"/>
    <col min="117" max="117" width="8.7265625" bestFit="1" customWidth="1"/>
    <col min="118" max="119" width="7.453125" bestFit="1" customWidth="1"/>
    <col min="121" max="121" width="26.26953125" bestFit="1" customWidth="1"/>
    <col min="122" max="122" width="35.1796875" bestFit="1" customWidth="1"/>
    <col min="123" max="123" width="12.26953125" bestFit="1" customWidth="1"/>
    <col min="124" max="124" width="19.7265625" bestFit="1" customWidth="1"/>
    <col min="126" max="126" width="10.7265625" bestFit="1" customWidth="1"/>
    <col min="127" max="127" width="8" bestFit="1" customWidth="1"/>
    <col min="128" max="128" width="12.453125" bestFit="1" customWidth="1"/>
    <col min="129" max="129" width="8.7265625" bestFit="1" customWidth="1"/>
    <col min="130" max="131" width="7.453125" bestFit="1" customWidth="1"/>
    <col min="133" max="133" width="26.26953125" bestFit="1" customWidth="1"/>
    <col min="134" max="134" width="35.1796875" bestFit="1" customWidth="1"/>
    <col min="135" max="135" width="12.26953125" bestFit="1" customWidth="1"/>
    <col min="136" max="136" width="19.7265625" bestFit="1" customWidth="1"/>
    <col min="138" max="138" width="10.7265625" bestFit="1" customWidth="1"/>
    <col min="139" max="139" width="8" bestFit="1" customWidth="1"/>
    <col min="140" max="140" width="12.453125" bestFit="1" customWidth="1"/>
    <col min="141" max="141" width="8.7265625" bestFit="1" customWidth="1"/>
    <col min="142" max="142" width="7.453125" bestFit="1" customWidth="1"/>
  </cols>
  <sheetData>
    <row r="1" spans="1:143">
      <c r="A1" s="992">
        <v>46113</v>
      </c>
      <c r="B1" s="771" t="s">
        <v>1043</v>
      </c>
      <c r="C1" s="771" t="s">
        <v>1044</v>
      </c>
      <c r="D1" s="132" t="s">
        <v>1045</v>
      </c>
      <c r="E1" s="771" t="s">
        <v>1046</v>
      </c>
      <c r="F1" s="771" t="s">
        <v>1047</v>
      </c>
      <c r="G1" s="771" t="s">
        <v>1048</v>
      </c>
      <c r="H1" s="771" t="s">
        <v>99</v>
      </c>
      <c r="M1" s="767">
        <v>46143</v>
      </c>
      <c r="N1" s="771" t="s">
        <v>1043</v>
      </c>
      <c r="O1" s="771" t="s">
        <v>1044</v>
      </c>
      <c r="P1" s="132" t="s">
        <v>1045</v>
      </c>
      <c r="Q1" s="771" t="s">
        <v>1046</v>
      </c>
      <c r="R1" s="771" t="s">
        <v>1047</v>
      </c>
      <c r="S1" s="771" t="s">
        <v>1048</v>
      </c>
      <c r="T1" s="771" t="s">
        <v>99</v>
      </c>
      <c r="Y1" s="767">
        <v>46174</v>
      </c>
      <c r="Z1" s="771" t="s">
        <v>1043</v>
      </c>
      <c r="AA1" s="771" t="s">
        <v>1044</v>
      </c>
      <c r="AB1" s="132" t="s">
        <v>1045</v>
      </c>
      <c r="AC1" s="771" t="s">
        <v>1046</v>
      </c>
      <c r="AD1" s="771" t="s">
        <v>1047</v>
      </c>
      <c r="AE1" s="771" t="s">
        <v>1048</v>
      </c>
      <c r="AF1" s="771" t="s">
        <v>99</v>
      </c>
      <c r="AK1" s="767">
        <v>46204</v>
      </c>
      <c r="AL1" s="771" t="s">
        <v>1043</v>
      </c>
      <c r="AM1" s="771" t="s">
        <v>1044</v>
      </c>
      <c r="AN1" s="132" t="s">
        <v>1045</v>
      </c>
      <c r="AO1" s="771" t="s">
        <v>1046</v>
      </c>
      <c r="AP1" s="771" t="s">
        <v>1047</v>
      </c>
      <c r="AQ1" s="771" t="s">
        <v>1048</v>
      </c>
      <c r="AR1" s="771" t="s">
        <v>99</v>
      </c>
      <c r="AW1" s="767">
        <v>46235</v>
      </c>
      <c r="AX1" s="771" t="s">
        <v>1043</v>
      </c>
      <c r="AY1" s="771" t="s">
        <v>1044</v>
      </c>
      <c r="AZ1" s="132" t="s">
        <v>1045</v>
      </c>
      <c r="BA1" s="771" t="s">
        <v>1046</v>
      </c>
      <c r="BB1" s="771" t="s">
        <v>1047</v>
      </c>
      <c r="BC1" s="771" t="s">
        <v>1048</v>
      </c>
      <c r="BD1" s="771" t="s">
        <v>99</v>
      </c>
      <c r="BI1" s="767">
        <v>46266</v>
      </c>
      <c r="BJ1" s="771" t="s">
        <v>1043</v>
      </c>
      <c r="BK1" s="771" t="s">
        <v>1044</v>
      </c>
      <c r="BL1" s="132" t="s">
        <v>1045</v>
      </c>
      <c r="BM1" s="771" t="s">
        <v>1046</v>
      </c>
      <c r="BN1" s="771" t="s">
        <v>1047</v>
      </c>
      <c r="BO1" s="771" t="s">
        <v>1048</v>
      </c>
      <c r="BP1" s="771" t="s">
        <v>99</v>
      </c>
      <c r="BU1" s="767">
        <v>46296</v>
      </c>
      <c r="BV1" s="771" t="s">
        <v>1043</v>
      </c>
      <c r="BW1" s="771" t="s">
        <v>1044</v>
      </c>
      <c r="BX1" s="132" t="s">
        <v>1045</v>
      </c>
      <c r="BY1" s="771" t="s">
        <v>1046</v>
      </c>
      <c r="BZ1" s="771" t="s">
        <v>1047</v>
      </c>
      <c r="CA1" s="771" t="s">
        <v>1048</v>
      </c>
      <c r="CB1" s="771" t="s">
        <v>99</v>
      </c>
      <c r="CG1" s="767">
        <v>46327</v>
      </c>
      <c r="CH1" s="771" t="s">
        <v>1043</v>
      </c>
      <c r="CI1" s="771" t="s">
        <v>1044</v>
      </c>
      <c r="CJ1" s="132" t="s">
        <v>1045</v>
      </c>
      <c r="CK1" s="771" t="s">
        <v>1046</v>
      </c>
      <c r="CL1" s="771" t="s">
        <v>1047</v>
      </c>
      <c r="CM1" s="771" t="s">
        <v>1048</v>
      </c>
      <c r="CN1" s="771" t="s">
        <v>99</v>
      </c>
      <c r="CS1" s="767">
        <v>46357</v>
      </c>
      <c r="CT1" s="771" t="s">
        <v>1043</v>
      </c>
      <c r="CU1" s="771" t="s">
        <v>1044</v>
      </c>
      <c r="CV1" s="132" t="s">
        <v>1045</v>
      </c>
      <c r="CW1" s="771" t="s">
        <v>1046</v>
      </c>
      <c r="CX1" s="771" t="s">
        <v>1047</v>
      </c>
      <c r="CY1" s="771" t="s">
        <v>1048</v>
      </c>
      <c r="CZ1" s="771" t="s">
        <v>99</v>
      </c>
      <c r="DE1" s="767">
        <v>46388</v>
      </c>
      <c r="DF1" s="771" t="s">
        <v>1043</v>
      </c>
      <c r="DG1" s="771" t="s">
        <v>1044</v>
      </c>
      <c r="DH1" s="132" t="s">
        <v>1045</v>
      </c>
      <c r="DI1" s="771" t="s">
        <v>1046</v>
      </c>
      <c r="DJ1" s="771" t="s">
        <v>1047</v>
      </c>
      <c r="DK1" s="771" t="s">
        <v>1048</v>
      </c>
      <c r="DL1" s="771" t="s">
        <v>99</v>
      </c>
      <c r="DQ1" s="767">
        <v>46419</v>
      </c>
      <c r="DR1" s="771" t="s">
        <v>1043</v>
      </c>
      <c r="DS1" s="771" t="s">
        <v>1044</v>
      </c>
      <c r="DT1" s="132" t="s">
        <v>1045</v>
      </c>
      <c r="DU1" s="771" t="s">
        <v>1046</v>
      </c>
      <c r="DV1" s="771" t="s">
        <v>1047</v>
      </c>
      <c r="DW1" s="771" t="s">
        <v>1048</v>
      </c>
      <c r="DX1" s="771" t="s">
        <v>99</v>
      </c>
      <c r="EC1" s="767">
        <v>46447</v>
      </c>
      <c r="ED1" s="771" t="s">
        <v>1043</v>
      </c>
      <c r="EE1" s="771" t="s">
        <v>1044</v>
      </c>
      <c r="EF1" s="132" t="s">
        <v>1045</v>
      </c>
      <c r="EG1" s="771" t="s">
        <v>1046</v>
      </c>
      <c r="EH1" s="771" t="s">
        <v>1047</v>
      </c>
      <c r="EI1" s="771" t="s">
        <v>1048</v>
      </c>
      <c r="EJ1" s="771" t="s">
        <v>99</v>
      </c>
    </row>
    <row r="2" spans="1:143">
      <c r="A2" s="132" t="s">
        <v>1049</v>
      </c>
      <c r="B2" s="10">
        <f>VLOOKUP(A1,'CSP Working 26-27 Base Data'!$A$3:$B$14,2,0)*'CSP Working 26-27 Base Data'!L15</f>
        <v>407552.23420161323</v>
      </c>
      <c r="C2" s="10">
        <f>B2/30</f>
        <v>13585.074473387107</v>
      </c>
      <c r="D2" s="6">
        <v>1.8</v>
      </c>
      <c r="E2" s="10">
        <f>C2/D2</f>
        <v>7547.26359632617</v>
      </c>
      <c r="F2" s="43">
        <f>E2*30</f>
        <v>226417.9078897851</v>
      </c>
      <c r="G2" s="13">
        <v>4</v>
      </c>
      <c r="H2" s="43">
        <f>C2/3.8</f>
        <v>3575.0195982597652</v>
      </c>
      <c r="M2" s="132" t="s">
        <v>1049</v>
      </c>
      <c r="N2" s="10">
        <f>VLOOKUP(M1,'CSP Working 26-27 Base Data'!$A$3:$B$14,2,0)*'CSP Working 26-27 Base Data'!L15</f>
        <v>282256.05817218689</v>
      </c>
      <c r="O2" s="10">
        <f>N2/30</f>
        <v>9408.5352724062304</v>
      </c>
      <c r="P2" s="6">
        <v>1.8</v>
      </c>
      <c r="Q2" s="10">
        <f>O2/P2</f>
        <v>5226.9640402256837</v>
      </c>
      <c r="R2" s="43">
        <f>Q2*30</f>
        <v>156808.92120677052</v>
      </c>
      <c r="S2" s="13">
        <v>4</v>
      </c>
      <c r="T2" s="43">
        <f>O2/3.8</f>
        <v>2475.9303348437452</v>
      </c>
      <c r="Y2" s="132" t="s">
        <v>1049</v>
      </c>
      <c r="Z2" s="10">
        <f>VLOOKUP(Y1,'CSP Working 26-27 Base Data'!$A$3:$B$14,2,0)*'CSP Working 26-27 Base Data'!L15</f>
        <v>244474.76164293804</v>
      </c>
      <c r="AA2" s="10">
        <f>Z2/30</f>
        <v>8149.1587214312685</v>
      </c>
      <c r="AB2" s="6">
        <v>1.8</v>
      </c>
      <c r="AC2" s="10">
        <f>AA2/AB2</f>
        <v>4527.3104007951488</v>
      </c>
      <c r="AD2" s="43">
        <f>AC2*30</f>
        <v>135819.31202385447</v>
      </c>
      <c r="AE2" s="13">
        <v>4</v>
      </c>
      <c r="AF2" s="43">
        <f>AA2/3.8</f>
        <v>2144.5154530082286</v>
      </c>
      <c r="AK2" s="132" t="s">
        <v>1049</v>
      </c>
      <c r="AL2" s="10">
        <f>VLOOKUP(AK1,'CSP Working 26-27 Base Data'!$A$3:$B$14,2,0)*'CSP Working 26-27 Base Data'!L15</f>
        <v>332062.25817176112</v>
      </c>
      <c r="AM2" s="10">
        <f>AL2/30</f>
        <v>11068.741939058704</v>
      </c>
      <c r="AN2" s="6">
        <v>1.8</v>
      </c>
      <c r="AO2" s="10">
        <f>AM2/AN2</f>
        <v>6149.301077254835</v>
      </c>
      <c r="AP2" s="43">
        <f>AO2*30</f>
        <v>184479.03231764506</v>
      </c>
      <c r="AQ2" s="13">
        <v>4</v>
      </c>
      <c r="AR2" s="43">
        <f>AM2/3.8</f>
        <v>2912.8268260680802</v>
      </c>
      <c r="AW2" s="132" t="s">
        <v>1049</v>
      </c>
      <c r="AX2" s="10">
        <f>VLOOKUP(AW1,'CSP Working 26-27 Base Data'!$A$3:$B$14,2,0)*'CSP Working 26-27 Base Data'!L15</f>
        <v>563698.5427933489</v>
      </c>
      <c r="AY2" s="10">
        <f>AX2/30</f>
        <v>18789.951426444964</v>
      </c>
      <c r="AZ2" s="6">
        <v>1.8</v>
      </c>
      <c r="BA2" s="10">
        <f>AY2/AZ2</f>
        <v>10438.861903580535</v>
      </c>
      <c r="BB2" s="43">
        <f>BA2*30</f>
        <v>313165.85710741603</v>
      </c>
      <c r="BC2" s="13">
        <v>4</v>
      </c>
      <c r="BD2" s="43">
        <f>AY2/3.8</f>
        <v>4944.7240595907806</v>
      </c>
      <c r="BI2" s="132" t="s">
        <v>1049</v>
      </c>
      <c r="BJ2" s="10">
        <f>VLOOKUP(BI1,'CSP Working 26-27 Base Data'!$A$3:$B$14,2,0)*'CSP Working 26-27 Base Data'!L15</f>
        <v>301213.07129471737</v>
      </c>
      <c r="BK2" s="10">
        <f>BJ2/30</f>
        <v>10040.435709823912</v>
      </c>
      <c r="BL2" s="6">
        <v>1.8</v>
      </c>
      <c r="BM2" s="10">
        <f>BK2/BL2</f>
        <v>5578.0198387910623</v>
      </c>
      <c r="BN2" s="43">
        <f>BM2*30</f>
        <v>167340.59516373186</v>
      </c>
      <c r="BO2" s="13">
        <v>4</v>
      </c>
      <c r="BP2" s="43">
        <f>BK2/3.8</f>
        <v>2642.2199236378719</v>
      </c>
      <c r="BU2" s="132" t="s">
        <v>1049</v>
      </c>
      <c r="BV2" s="10">
        <f>VLOOKUP(BU1,'CSP Working 26-27 Base Data'!$A$3:$B$14,2,0)*'CSP Working 26-27 Base Data'!L15</f>
        <v>256803.43952052062</v>
      </c>
      <c r="BW2" s="768">
        <f>BV2/28</f>
        <v>9171.5514114471644</v>
      </c>
      <c r="BX2" s="6">
        <v>1.8</v>
      </c>
      <c r="BY2" s="10">
        <f>BW2/BX2</f>
        <v>5095.3063396928692</v>
      </c>
      <c r="BZ2" s="308">
        <f>BY2*28</f>
        <v>142668.57751140033</v>
      </c>
      <c r="CA2" s="13">
        <v>4</v>
      </c>
      <c r="CB2" s="43">
        <f>BW2/3.8</f>
        <v>2413.5661609071485</v>
      </c>
      <c r="CG2" s="132" t="s">
        <v>1049</v>
      </c>
      <c r="CH2" s="10">
        <f>VLOOKUP(CG1,'CSP Working 26-27 Base Data'!$A$3:$B$14,2,0)*'CSP Working 26-27 Base Data'!L15</f>
        <v>210765.58161089986</v>
      </c>
      <c r="CI2" s="10">
        <f>CH2/30</f>
        <v>7025.5193870299954</v>
      </c>
      <c r="CJ2" s="6">
        <v>1.8</v>
      </c>
      <c r="CK2" s="10">
        <f>CI2/CJ2</f>
        <v>3903.066326127775</v>
      </c>
      <c r="CL2" s="43">
        <f>CK2*30</f>
        <v>117091.98978383325</v>
      </c>
      <c r="CM2" s="13">
        <v>4</v>
      </c>
      <c r="CN2" s="43">
        <f>CI2/3.8</f>
        <v>1848.8208913236831</v>
      </c>
      <c r="CS2" s="132" t="s">
        <v>1049</v>
      </c>
      <c r="CT2" s="10">
        <f>VLOOKUP(CS1,'CSP Working 26-27 Base Data'!$A$3:$B$14,2,0)*'CSP Working 26-27 Base Data'!L15</f>
        <v>144208.58007709376</v>
      </c>
      <c r="CU2" s="10">
        <f>CT2/30</f>
        <v>4806.9526692364589</v>
      </c>
      <c r="CV2" s="6">
        <v>1.8</v>
      </c>
      <c r="CW2" s="10">
        <f>CU2/CV2</f>
        <v>2670.5292606869216</v>
      </c>
      <c r="CX2" s="43">
        <f>CW2*30</f>
        <v>80115.877820607653</v>
      </c>
      <c r="CY2" s="13">
        <v>4</v>
      </c>
      <c r="CZ2" s="43">
        <f>CU2/3.8</f>
        <v>1264.9875445359103</v>
      </c>
      <c r="DE2" s="132" t="s">
        <v>1049</v>
      </c>
      <c r="DF2" s="10">
        <f>VLOOKUP(DE1,'CSP Working 26-27 Base Data'!$A$3:$B$14,2,0)*'CSP Working 26-27 Base Data'!L15</f>
        <v>127942.5148972045</v>
      </c>
      <c r="DG2" s="10">
        <f>DF2/30</f>
        <v>4264.7504965734834</v>
      </c>
      <c r="DH2" s="6">
        <v>1.8</v>
      </c>
      <c r="DI2" s="10">
        <f>DG2/DH2</f>
        <v>2369.3058314297127</v>
      </c>
      <c r="DJ2" s="43">
        <f>DI2*30</f>
        <v>71079.174942891375</v>
      </c>
      <c r="DK2" s="13">
        <v>4</v>
      </c>
      <c r="DL2" s="43">
        <f>DG2/3.8</f>
        <v>1122.3027622561799</v>
      </c>
      <c r="DQ2" s="132" t="s">
        <v>1049</v>
      </c>
      <c r="DR2" s="10">
        <f>VLOOKUP(DQ1,'CSP Working 26-27 Base Data'!$A$3:$B$14,2,0)*'CSP Working 26-27 Base Data'!L15</f>
        <v>158791.6120928326</v>
      </c>
      <c r="DS2" s="10">
        <f>DR2/30</f>
        <v>5293.0537364277534</v>
      </c>
      <c r="DT2" s="6">
        <v>1.8</v>
      </c>
      <c r="DU2" s="10">
        <f>DS2/DT2</f>
        <v>2940.5854091265296</v>
      </c>
      <c r="DV2" s="43">
        <f>DU2*30</f>
        <v>88217.562273795891</v>
      </c>
      <c r="DW2" s="13">
        <v>4</v>
      </c>
      <c r="DX2" s="43">
        <f>DS2/3.8</f>
        <v>1392.9088780073037</v>
      </c>
      <c r="EC2" s="132" t="s">
        <v>1049</v>
      </c>
      <c r="ED2" s="10">
        <f>VLOOKUP(EC1,'CSP Working 26-27 Base Data'!$A$3:$B$14,2,0)*'CSP Working 26-27 Base Data'!L15</f>
        <v>174666.57358100041</v>
      </c>
      <c r="EE2" s="10">
        <f>ED2/30</f>
        <v>5822.2191193666804</v>
      </c>
      <c r="EF2" s="6">
        <v>1.8</v>
      </c>
      <c r="EG2" s="10">
        <f>EE2/EF2</f>
        <v>3234.5661774259333</v>
      </c>
      <c r="EH2" s="43">
        <f>EG2*30</f>
        <v>97036.985322777997</v>
      </c>
      <c r="EI2" s="13">
        <v>4</v>
      </c>
      <c r="EJ2" s="43">
        <f>EE2/3.8</f>
        <v>1532.1629261491264</v>
      </c>
    </row>
    <row r="3" spans="1:143">
      <c r="A3" s="132" t="s">
        <v>1050</v>
      </c>
      <c r="B3" s="10">
        <f>VLOOKUP(A1,'CSP Working 26-27 Base Data'!$A$3:$B$14,2,0)*'CSP Working 26-27 Base Data'!K15</f>
        <v>52859.406044065196</v>
      </c>
      <c r="C3" s="10">
        <f>B3/30</f>
        <v>1761.9802014688398</v>
      </c>
      <c r="D3" s="6">
        <v>0.25600000000000001</v>
      </c>
      <c r="E3" s="10">
        <f t="shared" ref="E3" si="0">C3/D3</f>
        <v>6882.7351619876554</v>
      </c>
      <c r="F3" s="43">
        <f>E3*30</f>
        <v>206482.05485962966</v>
      </c>
      <c r="G3" s="13">
        <v>8</v>
      </c>
      <c r="H3" s="43">
        <f>C3/3.8</f>
        <v>463.67900038653681</v>
      </c>
      <c r="M3" s="132" t="s">
        <v>1050</v>
      </c>
      <c r="N3" s="10">
        <f>VLOOKUP(M1,'CSP Working 26-27 Base Data'!$A$3:$B$14,2,0)*'CSP Working 26-27 Base Data'!K15</f>
        <v>36608.528515488768</v>
      </c>
      <c r="O3" s="10">
        <f>N3/30</f>
        <v>1220.2842838496256</v>
      </c>
      <c r="P3" s="6">
        <v>0.25600000000000001</v>
      </c>
      <c r="Q3" s="10">
        <f t="shared" ref="Q3" si="1">O3/P3</f>
        <v>4766.7354837876001</v>
      </c>
      <c r="R3" s="43">
        <f>Q3*30</f>
        <v>143002.06451362799</v>
      </c>
      <c r="S3" s="13">
        <v>8</v>
      </c>
      <c r="T3" s="43">
        <f>O3/3.8</f>
        <v>321.12744311832256</v>
      </c>
      <c r="Y3" s="132" t="s">
        <v>1050</v>
      </c>
      <c r="Z3" s="10">
        <f>VLOOKUP(Y1,'CSP Working 26-27 Base Data'!$A$3:$B$14,2,0)*'CSP Working 26-27 Base Data'!K15</f>
        <v>31708.305362441723</v>
      </c>
      <c r="AA3" s="10">
        <f>Z3/30</f>
        <v>1056.9435120813907</v>
      </c>
      <c r="AB3" s="6">
        <v>0.25600000000000001</v>
      </c>
      <c r="AC3" s="10">
        <f t="shared" ref="AC3" si="2">AA3/AB3</f>
        <v>4128.6855940679325</v>
      </c>
      <c r="AD3" s="43">
        <f>AC3*30</f>
        <v>123860.56782203798</v>
      </c>
      <c r="AE3" s="13">
        <v>8</v>
      </c>
      <c r="AF3" s="43">
        <f>AA3/3.8</f>
        <v>278.14302949510284</v>
      </c>
      <c r="AK3" s="132" t="s">
        <v>1050</v>
      </c>
      <c r="AL3" s="10">
        <f>VLOOKUP(AK1,'CSP Working 26-27 Base Data'!$A$3:$B$14,2,0)*'CSP Working 26-27 Base Data'!K15</f>
        <v>43068.378145430986</v>
      </c>
      <c r="AM3" s="10">
        <f>AL3/30</f>
        <v>1435.6126048476995</v>
      </c>
      <c r="AN3" s="6">
        <v>0.25600000000000001</v>
      </c>
      <c r="AO3" s="10">
        <f t="shared" ref="AO3" si="3">AM3/AN3</f>
        <v>5607.8617376863258</v>
      </c>
      <c r="AP3" s="43">
        <f>AO3*30</f>
        <v>168235.85213058977</v>
      </c>
      <c r="AQ3" s="13">
        <v>8</v>
      </c>
      <c r="AR3" s="43">
        <f>AM3/3.8</f>
        <v>377.79279074939461</v>
      </c>
      <c r="AW3" s="132" t="s">
        <v>1050</v>
      </c>
      <c r="AX3" s="10">
        <f>VLOOKUP(AW1,'CSP Working 26-27 Base Data'!$A$3:$B$14,2,0)*'CSP Working 26-27 Base Data'!K15</f>
        <v>73111.536778427384</v>
      </c>
      <c r="AY3" s="10">
        <f>AX3/30</f>
        <v>2437.0512259475795</v>
      </c>
      <c r="AZ3" s="6">
        <v>0.25600000000000001</v>
      </c>
      <c r="BA3" s="10">
        <f t="shared" ref="BA3" si="4">AY3/AZ3</f>
        <v>9519.7313513577319</v>
      </c>
      <c r="BB3" s="43">
        <f>BA3*30</f>
        <v>285591.94054073194</v>
      </c>
      <c r="BC3" s="13">
        <v>8</v>
      </c>
      <c r="BD3" s="43">
        <f>AY3/3.8</f>
        <v>641.32926998620519</v>
      </c>
      <c r="BI3" s="132" t="s">
        <v>1050</v>
      </c>
      <c r="BJ3" s="10">
        <f>VLOOKUP(BI1,'CSP Working 26-27 Base Data'!$A$3:$B$14,2,0)*'CSP Working 26-27 Base Data'!K15</f>
        <v>39067.247594748682</v>
      </c>
      <c r="BK3" s="10">
        <f>BJ3/30</f>
        <v>1302.2415864916227</v>
      </c>
      <c r="BL3" s="6">
        <v>0.25600000000000001</v>
      </c>
      <c r="BM3" s="10">
        <f t="shared" ref="BM3" si="5">BK3/BL3</f>
        <v>5086.8811972329013</v>
      </c>
      <c r="BN3" s="43">
        <f>BM3*30</f>
        <v>152606.43591698704</v>
      </c>
      <c r="BO3" s="13">
        <v>8</v>
      </c>
      <c r="BP3" s="43">
        <f>BK3/3.8</f>
        <v>342.69515433990074</v>
      </c>
      <c r="BU3" s="132" t="s">
        <v>1050</v>
      </c>
      <c r="BV3" s="10">
        <f>VLOOKUP(BU1,'CSP Working 26-27 Base Data'!$A$3:$B$14,2,0)*'CSP Working 26-27 Base Data'!K15</f>
        <v>33307.331291459785</v>
      </c>
      <c r="BW3" s="768">
        <f>BV3/28</f>
        <v>1189.5475461235637</v>
      </c>
      <c r="BX3" s="6">
        <v>0.25600000000000001</v>
      </c>
      <c r="BY3" s="10">
        <f t="shared" ref="BY3" si="6">BW3/BX3</f>
        <v>4646.670102045171</v>
      </c>
      <c r="BZ3" s="308">
        <f>BY3*28</f>
        <v>130106.76285726478</v>
      </c>
      <c r="CA3" s="13">
        <v>8</v>
      </c>
      <c r="CB3" s="43">
        <f>BW3/3.8</f>
        <v>313.03882792725364</v>
      </c>
      <c r="CG3" s="132" t="s">
        <v>1050</v>
      </c>
      <c r="CH3" s="10">
        <f>VLOOKUP(CG1,'CSP Working 26-27 Base Data'!$A$3:$B$14,2,0)*'CSP Working 26-27 Base Data'!K15</f>
        <v>27336.234532756287</v>
      </c>
      <c r="CI3" s="10">
        <f>CH3/30</f>
        <v>911.20781775854289</v>
      </c>
      <c r="CJ3" s="6">
        <v>0.25600000000000001</v>
      </c>
      <c r="CK3" s="10">
        <f t="shared" ref="CK3" si="7">CI3/CJ3</f>
        <v>3559.4055381193079</v>
      </c>
      <c r="CL3" s="43">
        <f>CK3*30</f>
        <v>106782.16614357923</v>
      </c>
      <c r="CM3" s="13">
        <v>8</v>
      </c>
      <c r="CN3" s="43">
        <f>CI3/3.8</f>
        <v>239.79153098909023</v>
      </c>
      <c r="CS3" s="132" t="s">
        <v>1050</v>
      </c>
      <c r="CT3" s="10">
        <f>VLOOKUP(CS1,'CSP Working 26-27 Base Data'!$A$3:$B$14,2,0)*'CSP Working 26-27 Base Data'!K15</f>
        <v>18703.810823822536</v>
      </c>
      <c r="CU3" s="10">
        <f>CT3/30</f>
        <v>623.46036079408452</v>
      </c>
      <c r="CV3" s="6">
        <v>0.25600000000000001</v>
      </c>
      <c r="CW3" s="10">
        <f t="shared" ref="CW3" si="8">CU3/CV3</f>
        <v>2435.3920343518926</v>
      </c>
      <c r="CX3" s="43">
        <f>CW3*30</f>
        <v>73061.76103055678</v>
      </c>
      <c r="CY3" s="13">
        <v>8</v>
      </c>
      <c r="CZ3" s="43">
        <f>CU3/3.8</f>
        <v>164.0685159984433</v>
      </c>
      <c r="DE3" s="132" t="s">
        <v>1050</v>
      </c>
      <c r="DF3" s="10">
        <f>VLOOKUP(DE1,'CSP Working 26-27 Base Data'!$A$3:$B$14,2,0)*'CSP Working 26-27 Base Data'!K15</f>
        <v>16594.106908771359</v>
      </c>
      <c r="DG3" s="10">
        <f>DF3/30</f>
        <v>553.13689695904532</v>
      </c>
      <c r="DH3" s="6">
        <v>0.25600000000000001</v>
      </c>
      <c r="DI3" s="10">
        <f t="shared" ref="DI3" si="9">DG3/DH3</f>
        <v>2160.6910037462708</v>
      </c>
      <c r="DJ3" s="43">
        <f>DI3*30</f>
        <v>64820.730112388126</v>
      </c>
      <c r="DK3" s="13">
        <v>8</v>
      </c>
      <c r="DL3" s="43">
        <f>DG3/3.8</f>
        <v>145.56234130501193</v>
      </c>
      <c r="DQ3" s="132" t="s">
        <v>1050</v>
      </c>
      <c r="DR3" s="10">
        <f>VLOOKUP(DQ1,'CSP Working 26-27 Base Data'!$A$3:$B$14,2,0)*'CSP Working 26-27 Base Data'!K15</f>
        <v>20595.225827800175</v>
      </c>
      <c r="DS3" s="10">
        <f>DR3/30</f>
        <v>686.5075275933392</v>
      </c>
      <c r="DT3" s="6">
        <v>0.25600000000000001</v>
      </c>
      <c r="DU3" s="10">
        <f t="shared" ref="DU3" si="10">DS3/DT3</f>
        <v>2681.6700296614813</v>
      </c>
      <c r="DV3" s="43">
        <f>DU3*30</f>
        <v>80450.100889844442</v>
      </c>
      <c r="DW3" s="13">
        <v>8</v>
      </c>
      <c r="DX3" s="43">
        <f>DS3/3.8</f>
        <v>180.65987568245768</v>
      </c>
      <c r="EC3" s="132" t="s">
        <v>1050</v>
      </c>
      <c r="ED3" s="10">
        <f>VLOOKUP(EC1,'CSP Working 26-27 Base Data'!$A$3:$B$14,2,0)*'CSP Working 26-27 Base Data'!K15</f>
        <v>22654.203707975023</v>
      </c>
      <c r="EE3" s="10">
        <f>ED3/30</f>
        <v>755.1401235991674</v>
      </c>
      <c r="EF3" s="6">
        <v>0.25600000000000001</v>
      </c>
      <c r="EG3" s="10">
        <f t="shared" ref="EG3" si="11">EE3/EF3</f>
        <v>2949.7661078092474</v>
      </c>
      <c r="EH3" s="43">
        <f>EG3*30</f>
        <v>88492.983234277417</v>
      </c>
      <c r="EI3" s="13">
        <v>8</v>
      </c>
      <c r="EJ3" s="43">
        <f>EE3/3.8</f>
        <v>198.72108515767565</v>
      </c>
    </row>
    <row r="5" spans="1:143" ht="43.5">
      <c r="A5" s="771" t="s">
        <v>1053</v>
      </c>
      <c r="B5" s="771" t="s">
        <v>100</v>
      </c>
      <c r="C5" s="771" t="s">
        <v>101</v>
      </c>
      <c r="D5" s="771" t="s">
        <v>1054</v>
      </c>
      <c r="E5" s="772" t="s">
        <v>1055</v>
      </c>
      <c r="F5" s="772" t="s">
        <v>1056</v>
      </c>
      <c r="G5" s="772" t="s">
        <v>1057</v>
      </c>
      <c r="H5" s="772" t="s">
        <v>1087</v>
      </c>
      <c r="I5" s="772" t="s">
        <v>1088</v>
      </c>
      <c r="J5" s="13"/>
      <c r="M5" s="771" t="s">
        <v>1053</v>
      </c>
      <c r="N5" s="771" t="s">
        <v>100</v>
      </c>
      <c r="O5" s="771" t="s">
        <v>101</v>
      </c>
      <c r="P5" s="771" t="s">
        <v>1054</v>
      </c>
      <c r="Q5" s="772" t="s">
        <v>1055</v>
      </c>
      <c r="R5" s="772" t="s">
        <v>1056</v>
      </c>
      <c r="S5" s="772" t="s">
        <v>1057</v>
      </c>
      <c r="T5" s="772" t="s">
        <v>1087</v>
      </c>
      <c r="U5" s="772" t="s">
        <v>1088</v>
      </c>
      <c r="V5" s="13"/>
      <c r="Y5" s="771" t="s">
        <v>1053</v>
      </c>
      <c r="Z5" s="771" t="s">
        <v>100</v>
      </c>
      <c r="AA5" s="771" t="s">
        <v>101</v>
      </c>
      <c r="AB5" s="771" t="s">
        <v>1054</v>
      </c>
      <c r="AC5" s="772" t="s">
        <v>1055</v>
      </c>
      <c r="AD5" s="772" t="s">
        <v>1056</v>
      </c>
      <c r="AE5" s="772" t="s">
        <v>1057</v>
      </c>
      <c r="AF5" s="772" t="s">
        <v>1087</v>
      </c>
      <c r="AG5" s="772" t="s">
        <v>1088</v>
      </c>
      <c r="AH5" s="13"/>
      <c r="AK5" s="771" t="s">
        <v>1053</v>
      </c>
      <c r="AL5" s="771" t="s">
        <v>100</v>
      </c>
      <c r="AM5" s="771" t="s">
        <v>101</v>
      </c>
      <c r="AN5" s="771" t="s">
        <v>1054</v>
      </c>
      <c r="AO5" s="772" t="s">
        <v>1055</v>
      </c>
      <c r="AP5" s="772" t="s">
        <v>1056</v>
      </c>
      <c r="AQ5" s="772" t="s">
        <v>1057</v>
      </c>
      <c r="AR5" s="772" t="s">
        <v>1087</v>
      </c>
      <c r="AS5" s="772" t="s">
        <v>1088</v>
      </c>
      <c r="AT5" s="13"/>
      <c r="AW5" s="771" t="s">
        <v>1053</v>
      </c>
      <c r="AX5" s="771" t="s">
        <v>100</v>
      </c>
      <c r="AY5" s="771" t="s">
        <v>101</v>
      </c>
      <c r="AZ5" s="771" t="s">
        <v>1054</v>
      </c>
      <c r="BA5" s="772" t="s">
        <v>1055</v>
      </c>
      <c r="BB5" s="772" t="s">
        <v>1056</v>
      </c>
      <c r="BC5" s="772" t="s">
        <v>1057</v>
      </c>
      <c r="BD5" s="772" t="s">
        <v>1087</v>
      </c>
      <c r="BE5" s="772" t="s">
        <v>1088</v>
      </c>
      <c r="BF5" s="13"/>
      <c r="BI5" s="771" t="s">
        <v>1053</v>
      </c>
      <c r="BJ5" s="771" t="s">
        <v>100</v>
      </c>
      <c r="BK5" s="771" t="s">
        <v>101</v>
      </c>
      <c r="BL5" s="771" t="s">
        <v>1054</v>
      </c>
      <c r="BM5" s="772" t="s">
        <v>1055</v>
      </c>
      <c r="BN5" s="772" t="s">
        <v>1056</v>
      </c>
      <c r="BO5" s="772" t="s">
        <v>1057</v>
      </c>
      <c r="BP5" s="772" t="s">
        <v>1087</v>
      </c>
      <c r="BQ5" s="772" t="s">
        <v>1088</v>
      </c>
      <c r="BR5" s="13"/>
      <c r="BU5" s="771" t="s">
        <v>1053</v>
      </c>
      <c r="BV5" s="771" t="s">
        <v>100</v>
      </c>
      <c r="BW5" s="771" t="s">
        <v>101</v>
      </c>
      <c r="BX5" s="771" t="s">
        <v>1054</v>
      </c>
      <c r="BY5" s="772" t="s">
        <v>1055</v>
      </c>
      <c r="BZ5" s="772" t="s">
        <v>1056</v>
      </c>
      <c r="CA5" s="772" t="s">
        <v>1057</v>
      </c>
      <c r="CB5" s="772" t="s">
        <v>1087</v>
      </c>
      <c r="CC5" s="772" t="s">
        <v>1088</v>
      </c>
      <c r="CD5" s="13"/>
      <c r="CG5" s="771" t="s">
        <v>1053</v>
      </c>
      <c r="CH5" s="771" t="s">
        <v>100</v>
      </c>
      <c r="CI5" s="771" t="s">
        <v>101</v>
      </c>
      <c r="CJ5" s="771" t="s">
        <v>1054</v>
      </c>
      <c r="CK5" s="772" t="s">
        <v>1055</v>
      </c>
      <c r="CL5" s="772" t="s">
        <v>1056</v>
      </c>
      <c r="CM5" s="772" t="s">
        <v>1057</v>
      </c>
      <c r="CN5" s="772" t="s">
        <v>1087</v>
      </c>
      <c r="CO5" s="772" t="s">
        <v>1088</v>
      </c>
      <c r="CP5" s="13"/>
      <c r="CS5" s="771" t="s">
        <v>1053</v>
      </c>
      <c r="CT5" s="771" t="s">
        <v>100</v>
      </c>
      <c r="CU5" s="771" t="s">
        <v>101</v>
      </c>
      <c r="CV5" s="771" t="s">
        <v>1054</v>
      </c>
      <c r="CW5" s="772" t="s">
        <v>1055</v>
      </c>
      <c r="CX5" s="772" t="s">
        <v>1056</v>
      </c>
      <c r="CY5" s="772" t="s">
        <v>1057</v>
      </c>
      <c r="CZ5" s="772" t="s">
        <v>1087</v>
      </c>
      <c r="DA5" s="772" t="s">
        <v>1088</v>
      </c>
      <c r="DB5" s="13"/>
      <c r="DE5" s="771" t="s">
        <v>1053</v>
      </c>
      <c r="DF5" s="771" t="s">
        <v>100</v>
      </c>
      <c r="DG5" s="771" t="s">
        <v>101</v>
      </c>
      <c r="DH5" s="771" t="s">
        <v>1054</v>
      </c>
      <c r="DI5" s="772" t="s">
        <v>1055</v>
      </c>
      <c r="DJ5" s="772" t="s">
        <v>1056</v>
      </c>
      <c r="DK5" s="772" t="s">
        <v>1057</v>
      </c>
      <c r="DL5" s="772" t="s">
        <v>1087</v>
      </c>
      <c r="DM5" s="772" t="s">
        <v>1088</v>
      </c>
      <c r="DN5" s="13"/>
      <c r="DQ5" s="771" t="s">
        <v>1053</v>
      </c>
      <c r="DR5" s="771" t="s">
        <v>100</v>
      </c>
      <c r="DS5" s="771" t="s">
        <v>101</v>
      </c>
      <c r="DT5" s="771" t="s">
        <v>1054</v>
      </c>
      <c r="DU5" s="772" t="s">
        <v>1055</v>
      </c>
      <c r="DV5" s="772" t="s">
        <v>1056</v>
      </c>
      <c r="DW5" s="772" t="s">
        <v>1057</v>
      </c>
      <c r="DX5" s="772" t="s">
        <v>1087</v>
      </c>
      <c r="DY5" s="772" t="s">
        <v>1088</v>
      </c>
      <c r="DZ5" s="13"/>
      <c r="EC5" s="771" t="s">
        <v>1053</v>
      </c>
      <c r="ED5" s="771" t="s">
        <v>100</v>
      </c>
      <c r="EE5" s="771" t="s">
        <v>101</v>
      </c>
      <c r="EF5" s="771" t="s">
        <v>1054</v>
      </c>
      <c r="EG5" s="772" t="s">
        <v>1055</v>
      </c>
      <c r="EH5" s="772" t="s">
        <v>1056</v>
      </c>
      <c r="EI5" s="772" t="s">
        <v>1057</v>
      </c>
      <c r="EJ5" s="772" t="s">
        <v>1087</v>
      </c>
      <c r="EK5" s="772" t="s">
        <v>1088</v>
      </c>
      <c r="EL5" s="13"/>
    </row>
    <row r="6" spans="1:143" s="100" customFormat="1">
      <c r="A6" s="773" t="s">
        <v>109</v>
      </c>
      <c r="B6" s="790">
        <f>8*60*24*0.7*0.9</f>
        <v>7257.5999999999995</v>
      </c>
      <c r="C6" s="628" t="s">
        <v>99</v>
      </c>
      <c r="D6" s="45" t="s">
        <v>276</v>
      </c>
      <c r="E6" s="397">
        <f>H3</f>
        <v>463.67900038653681</v>
      </c>
      <c r="F6" s="791">
        <f t="shared" ref="F6:F13" si="12">E6/B6</f>
        <v>6.388875115555237E-2</v>
      </c>
      <c r="G6" s="791">
        <f>SUM(F6:F7)</f>
        <v>0.55647853266180314</v>
      </c>
      <c r="H6" s="791">
        <v>1</v>
      </c>
      <c r="I6" s="791">
        <f>G6-H6</f>
        <v>-0.44352146733819686</v>
      </c>
      <c r="J6" s="791">
        <f>(ROUNDUP(G6/0.33,0))*3</f>
        <v>6</v>
      </c>
      <c r="K6" s="754">
        <f>G6*2*3</f>
        <v>3.3388711959708188</v>
      </c>
      <c r="M6" s="773" t="s">
        <v>109</v>
      </c>
      <c r="N6" s="790">
        <f>8*60*24*0.7*0.9</f>
        <v>7257.5999999999995</v>
      </c>
      <c r="O6" s="628" t="s">
        <v>99</v>
      </c>
      <c r="P6" s="45" t="s">
        <v>276</v>
      </c>
      <c r="Q6" s="397">
        <f>T3</f>
        <v>321.12744311832256</v>
      </c>
      <c r="R6" s="791">
        <f t="shared" ref="R6:R13" si="13">Q6/N6</f>
        <v>4.4247057307969934E-2</v>
      </c>
      <c r="S6" s="791">
        <f>SUM(R6:R7)</f>
        <v>0.38539707037616677</v>
      </c>
      <c r="T6" s="791">
        <v>1</v>
      </c>
      <c r="U6" s="791">
        <f>S6-T6</f>
        <v>-0.61460292962383323</v>
      </c>
      <c r="V6" s="791">
        <f>(ROUNDUP(S6/0.33,0))*3</f>
        <v>6</v>
      </c>
      <c r="W6" s="754">
        <f>S6*2*3</f>
        <v>2.3123824222570004</v>
      </c>
      <c r="Y6" s="773" t="s">
        <v>109</v>
      </c>
      <c r="Z6" s="790">
        <f>8*60*24*0.7*0.9</f>
        <v>7257.5999999999995</v>
      </c>
      <c r="AA6" s="628" t="s">
        <v>99</v>
      </c>
      <c r="AB6" s="45" t="s">
        <v>276</v>
      </c>
      <c r="AC6" s="397">
        <f>AF3</f>
        <v>278.14302949510284</v>
      </c>
      <c r="AD6" s="791">
        <f t="shared" ref="AD6:AD13" si="14">AC6/Z6</f>
        <v>3.8324381268615364E-2</v>
      </c>
      <c r="AE6" s="791">
        <f>SUM(AD6:AD7)</f>
        <v>0.33380986586520772</v>
      </c>
      <c r="AF6" s="791">
        <v>1</v>
      </c>
      <c r="AG6" s="791">
        <f>AE6-AF6</f>
        <v>-0.66619013413479222</v>
      </c>
      <c r="AH6" s="791">
        <f>(ROUNDUP(AE6/0.33,0))*3</f>
        <v>6</v>
      </c>
      <c r="AI6" s="754">
        <f>AE6*2*3</f>
        <v>2.0028591951912462</v>
      </c>
      <c r="AK6" s="773" t="s">
        <v>109</v>
      </c>
      <c r="AL6" s="790">
        <f>8*60*24*0.7*0.9</f>
        <v>7257.5999999999995</v>
      </c>
      <c r="AM6" s="628" t="s">
        <v>99</v>
      </c>
      <c r="AN6" s="45" t="s">
        <v>276</v>
      </c>
      <c r="AO6" s="397">
        <f>AR3</f>
        <v>377.79279074939461</v>
      </c>
      <c r="AP6" s="791">
        <f t="shared" ref="AP6:AP13" si="15">AO6/AL6</f>
        <v>5.2054782676007862E-2</v>
      </c>
      <c r="AQ6" s="791">
        <f>SUM(AP6:AP7)</f>
        <v>0.45340327612674647</v>
      </c>
      <c r="AR6" s="791">
        <v>1</v>
      </c>
      <c r="AS6" s="791">
        <f>AQ6-AR6</f>
        <v>-0.54659672387325353</v>
      </c>
      <c r="AT6" s="791">
        <f>(ROUNDUP(AQ6/0.33,0))*3</f>
        <v>6</v>
      </c>
      <c r="AU6" s="754">
        <f>AQ6*2*3</f>
        <v>2.7204196567604786</v>
      </c>
      <c r="AW6" s="773" t="s">
        <v>109</v>
      </c>
      <c r="AX6" s="790">
        <f>8*60*24*0.7*0.9</f>
        <v>7257.5999999999995</v>
      </c>
      <c r="AY6" s="628" t="s">
        <v>99</v>
      </c>
      <c r="AZ6" s="45" t="s">
        <v>276</v>
      </c>
      <c r="BA6" s="397">
        <f>BD3</f>
        <v>641.32926998620519</v>
      </c>
      <c r="BB6" s="791">
        <f t="shared" ref="BB6:BB13" si="16">BA6/AX6</f>
        <v>8.836657710347845E-2</v>
      </c>
      <c r="BC6" s="791">
        <f>SUM(BB6:BB7)</f>
        <v>0.76968327402681136</v>
      </c>
      <c r="BD6" s="791">
        <v>1</v>
      </c>
      <c r="BE6" s="791">
        <f>BC6-BD6</f>
        <v>-0.23031672597318864</v>
      </c>
      <c r="BF6" s="791">
        <f>(ROUNDUP(BC6/0.33,0))*3</f>
        <v>9</v>
      </c>
      <c r="BG6" s="754">
        <f>BC6*2*3</f>
        <v>4.6180996441608677</v>
      </c>
      <c r="BI6" s="773" t="s">
        <v>109</v>
      </c>
      <c r="BJ6" s="790">
        <f>8*60*24*0.7*0.9</f>
        <v>7257.5999999999995</v>
      </c>
      <c r="BK6" s="628" t="s">
        <v>99</v>
      </c>
      <c r="BL6" s="45" t="s">
        <v>276</v>
      </c>
      <c r="BM6" s="397">
        <f>BP3</f>
        <v>342.69515433990074</v>
      </c>
      <c r="BN6" s="791">
        <f t="shared" ref="BN6:BN13" si="17">BM6/BJ6</f>
        <v>4.7218798823288798E-2</v>
      </c>
      <c r="BO6" s="791">
        <f>SUM(BN6:BN7)</f>
        <v>0.41128128830161109</v>
      </c>
      <c r="BP6" s="791">
        <v>1</v>
      </c>
      <c r="BQ6" s="791">
        <f>BO6-BP6</f>
        <v>-0.58871871169838896</v>
      </c>
      <c r="BR6" s="791">
        <f>(ROUNDUP(BO6/0.33,0))*3</f>
        <v>6</v>
      </c>
      <c r="BS6" s="754">
        <f>BO6*2*3</f>
        <v>2.4676877298096667</v>
      </c>
      <c r="BU6" s="773" t="s">
        <v>109</v>
      </c>
      <c r="BV6" s="790">
        <f>8*60*24*0.7*0.9</f>
        <v>7257.5999999999995</v>
      </c>
      <c r="BW6" s="628" t="s">
        <v>99</v>
      </c>
      <c r="BX6" s="45" t="s">
        <v>276</v>
      </c>
      <c r="BY6" s="397">
        <f>CB3</f>
        <v>313.03882792725364</v>
      </c>
      <c r="BZ6" s="791">
        <f t="shared" ref="BZ6:BZ13" si="18">BY6/BV6</f>
        <v>4.3132554553468594E-2</v>
      </c>
      <c r="CA6" s="791">
        <f>SUM(BZ6:BZ7)</f>
        <v>0.37568962037511056</v>
      </c>
      <c r="CB6" s="791">
        <v>1</v>
      </c>
      <c r="CC6" s="791">
        <f>CA6-CB6</f>
        <v>-0.62431037962488944</v>
      </c>
      <c r="CD6" s="791">
        <f>(ROUNDUP(CA6/0.33,0))*3</f>
        <v>6</v>
      </c>
      <c r="CE6" s="754">
        <f>CA6*2*3</f>
        <v>2.2541377222506633</v>
      </c>
      <c r="CG6" s="773" t="s">
        <v>109</v>
      </c>
      <c r="CH6" s="790">
        <f>8*60*24*0.7*0.9</f>
        <v>7257.5999999999995</v>
      </c>
      <c r="CI6" s="628" t="s">
        <v>99</v>
      </c>
      <c r="CJ6" s="45" t="s">
        <v>276</v>
      </c>
      <c r="CK6" s="397">
        <f>CN3</f>
        <v>239.79153098909023</v>
      </c>
      <c r="CL6" s="791">
        <f t="shared" ref="CL6:CL13" si="19">CK6/CH6</f>
        <v>3.3040058833373326E-2</v>
      </c>
      <c r="CM6" s="791">
        <f>SUM(CL6:CL7)</f>
        <v>0.28778279628427761</v>
      </c>
      <c r="CN6" s="791">
        <v>1</v>
      </c>
      <c r="CO6" s="791">
        <f>CM6-CN6</f>
        <v>-0.71221720371572239</v>
      </c>
      <c r="CP6" s="791">
        <f>(ROUNDUP(CM6/0.33,0))*3</f>
        <v>3</v>
      </c>
      <c r="CQ6" s="754">
        <f>CM6*2*3</f>
        <v>1.7266967777056657</v>
      </c>
      <c r="CS6" s="773" t="s">
        <v>109</v>
      </c>
      <c r="CT6" s="790">
        <f>8*60*24*0.7*0.9</f>
        <v>7257.5999999999995</v>
      </c>
      <c r="CU6" s="628" t="s">
        <v>99</v>
      </c>
      <c r="CV6" s="45" t="s">
        <v>276</v>
      </c>
      <c r="CW6" s="397">
        <f>CZ3</f>
        <v>164.0685159984433</v>
      </c>
      <c r="CX6" s="791">
        <f t="shared" ref="CX6:CX13" si="20">CW6/CT6</f>
        <v>2.2606442349873693E-2</v>
      </c>
      <c r="CY6" s="791">
        <f>SUM(CX6:CX7)</f>
        <v>0.19690477024558445</v>
      </c>
      <c r="CZ6" s="791">
        <v>1</v>
      </c>
      <c r="DA6" s="791">
        <f>CY6-CZ6</f>
        <v>-0.80309522975441561</v>
      </c>
      <c r="DB6" s="791">
        <f>(ROUNDUP(CY6/0.33,0))*3</f>
        <v>3</v>
      </c>
      <c r="DC6" s="754">
        <f>CY6*2*3</f>
        <v>1.1814286214735068</v>
      </c>
      <c r="DE6" s="773" t="s">
        <v>109</v>
      </c>
      <c r="DF6" s="790">
        <f>8*60*24*0.7*0.9</f>
        <v>7257.5999999999995</v>
      </c>
      <c r="DG6" s="628" t="s">
        <v>99</v>
      </c>
      <c r="DH6" s="45" t="s">
        <v>276</v>
      </c>
      <c r="DI6" s="397">
        <f>DL3</f>
        <v>145.56234130501193</v>
      </c>
      <c r="DJ6" s="791">
        <f t="shared" ref="DJ6:DJ13" si="21">DI6/DF6</f>
        <v>2.0056539531665005E-2</v>
      </c>
      <c r="DK6" s="791">
        <f>SUM(DJ6:DJ7)</f>
        <v>0.17469481695893849</v>
      </c>
      <c r="DL6" s="791">
        <v>1</v>
      </c>
      <c r="DM6" s="791">
        <f>DK6-DL6</f>
        <v>-0.82530518304106149</v>
      </c>
      <c r="DN6" s="791">
        <f>(ROUNDUP(DK6/0.33,0))*3</f>
        <v>3</v>
      </c>
      <c r="DO6" s="754">
        <f>DK6*2*3</f>
        <v>1.0481689017536309</v>
      </c>
      <c r="DQ6" s="773" t="s">
        <v>109</v>
      </c>
      <c r="DR6" s="790">
        <f>8*60*24*0.7*0.9</f>
        <v>7257.5999999999995</v>
      </c>
      <c r="DS6" s="628" t="s">
        <v>99</v>
      </c>
      <c r="DT6" s="45" t="s">
        <v>276</v>
      </c>
      <c r="DU6" s="397">
        <f>DX3</f>
        <v>180.65987568245768</v>
      </c>
      <c r="DV6" s="791">
        <f t="shared" ref="DV6:DV13" si="22">DU6/DR6</f>
        <v>2.4892509325735463E-2</v>
      </c>
      <c r="DW6" s="791">
        <f>SUM(DV6:DV7)</f>
        <v>0.21681668233159193</v>
      </c>
      <c r="DX6" s="791">
        <v>1</v>
      </c>
      <c r="DY6" s="791">
        <f>DW6-DX6</f>
        <v>-0.7831833176684081</v>
      </c>
      <c r="DZ6" s="791">
        <f>(ROUNDUP(DW6/0.33,0))*3</f>
        <v>3</v>
      </c>
      <c r="EA6" s="754">
        <f>DW6*2*3</f>
        <v>1.3009000939895516</v>
      </c>
      <c r="EC6" s="773" t="s">
        <v>109</v>
      </c>
      <c r="ED6" s="790">
        <f>8*60*24*0.7*0.9</f>
        <v>7257.5999999999995</v>
      </c>
      <c r="EE6" s="628" t="s">
        <v>99</v>
      </c>
      <c r="EF6" s="45" t="s">
        <v>276</v>
      </c>
      <c r="EG6" s="397">
        <f>EJ3</f>
        <v>198.72108515767565</v>
      </c>
      <c r="EH6" s="791">
        <f t="shared" ref="EH6:EH13" si="23">EG6/ED6</f>
        <v>2.7381101901134762E-2</v>
      </c>
      <c r="EI6" s="791">
        <f>SUM(EH6:EH7)</f>
        <v>0.23849261619637377</v>
      </c>
      <c r="EJ6" s="791">
        <v>1</v>
      </c>
      <c r="EK6" s="791">
        <f>EI6-EJ6</f>
        <v>-0.76150738380362626</v>
      </c>
      <c r="EL6" s="791">
        <f>(ROUNDUP(EI6/0.33,0))*3</f>
        <v>3</v>
      </c>
      <c r="EM6" s="754">
        <f>EI6*2*3</f>
        <v>1.4309556971782427</v>
      </c>
    </row>
    <row r="7" spans="1:143" s="100" customFormat="1">
      <c r="A7" s="773" t="s">
        <v>109</v>
      </c>
      <c r="B7" s="790">
        <f>8*60*24*0.7*0.9</f>
        <v>7257.5999999999995</v>
      </c>
      <c r="C7" s="628" t="s">
        <v>99</v>
      </c>
      <c r="D7" s="45" t="s">
        <v>92</v>
      </c>
      <c r="E7" s="397">
        <f>H2</f>
        <v>3575.0195982597652</v>
      </c>
      <c r="F7" s="791">
        <f t="shared" si="12"/>
        <v>0.49258978150625077</v>
      </c>
      <c r="G7" s="791"/>
      <c r="H7" s="791"/>
      <c r="I7" s="791"/>
      <c r="J7" s="45"/>
      <c r="M7" s="773" t="s">
        <v>109</v>
      </c>
      <c r="N7" s="790">
        <f>8*60*24*0.7*0.9</f>
        <v>7257.5999999999995</v>
      </c>
      <c r="O7" s="628" t="s">
        <v>99</v>
      </c>
      <c r="P7" s="45" t="s">
        <v>92</v>
      </c>
      <c r="Q7" s="397">
        <f>T2</f>
        <v>2475.9303348437452</v>
      </c>
      <c r="R7" s="791">
        <f t="shared" si="13"/>
        <v>0.34115001306819681</v>
      </c>
      <c r="S7" s="791"/>
      <c r="T7" s="791"/>
      <c r="U7" s="791"/>
      <c r="V7" s="45"/>
      <c r="Y7" s="773" t="s">
        <v>109</v>
      </c>
      <c r="Z7" s="790">
        <f>8*60*24*0.7*0.9</f>
        <v>7257.5999999999995</v>
      </c>
      <c r="AA7" s="628" t="s">
        <v>99</v>
      </c>
      <c r="AB7" s="45" t="s">
        <v>92</v>
      </c>
      <c r="AC7" s="397">
        <f>AF2</f>
        <v>2144.5154530082286</v>
      </c>
      <c r="AD7" s="791">
        <f t="shared" si="14"/>
        <v>0.29548548459659235</v>
      </c>
      <c r="AE7" s="791"/>
      <c r="AF7" s="791"/>
      <c r="AG7" s="791"/>
      <c r="AH7" s="45"/>
      <c r="AK7" s="773" t="s">
        <v>109</v>
      </c>
      <c r="AL7" s="790">
        <f>8*60*24*0.7*0.9</f>
        <v>7257.5999999999995</v>
      </c>
      <c r="AM7" s="628" t="s">
        <v>99</v>
      </c>
      <c r="AN7" s="45" t="s">
        <v>92</v>
      </c>
      <c r="AO7" s="397">
        <f>AR2</f>
        <v>2912.8268260680802</v>
      </c>
      <c r="AP7" s="791">
        <f t="shared" si="15"/>
        <v>0.40134849345073859</v>
      </c>
      <c r="AQ7" s="791"/>
      <c r="AR7" s="791"/>
      <c r="AS7" s="791"/>
      <c r="AT7" s="45"/>
      <c r="AW7" s="773" t="s">
        <v>109</v>
      </c>
      <c r="AX7" s="790">
        <f>8*60*24*0.7*0.9</f>
        <v>7257.5999999999995</v>
      </c>
      <c r="AY7" s="628" t="s">
        <v>99</v>
      </c>
      <c r="AZ7" s="45" t="s">
        <v>92</v>
      </c>
      <c r="BA7" s="397">
        <f>BD2</f>
        <v>4944.7240595907806</v>
      </c>
      <c r="BB7" s="791">
        <f t="shared" si="16"/>
        <v>0.68131669692333297</v>
      </c>
      <c r="BC7" s="791"/>
      <c r="BD7" s="791"/>
      <c r="BE7" s="791"/>
      <c r="BF7" s="45"/>
      <c r="BI7" s="773" t="s">
        <v>109</v>
      </c>
      <c r="BJ7" s="790">
        <f>8*60*24*0.7*0.9</f>
        <v>7257.5999999999995</v>
      </c>
      <c r="BK7" s="628" t="s">
        <v>99</v>
      </c>
      <c r="BL7" s="45" t="s">
        <v>92</v>
      </c>
      <c r="BM7" s="397">
        <f>BP2</f>
        <v>2642.2199236378719</v>
      </c>
      <c r="BN7" s="791">
        <f t="shared" si="17"/>
        <v>0.36406248947832232</v>
      </c>
      <c r="BO7" s="791"/>
      <c r="BP7" s="791"/>
      <c r="BQ7" s="791"/>
      <c r="BR7" s="45"/>
      <c r="BU7" s="773" t="s">
        <v>109</v>
      </c>
      <c r="BV7" s="790">
        <f>8*60*24*0.7*0.9</f>
        <v>7257.5999999999995</v>
      </c>
      <c r="BW7" s="628" t="s">
        <v>99</v>
      </c>
      <c r="BX7" s="45" t="s">
        <v>92</v>
      </c>
      <c r="BY7" s="397">
        <f>CB2</f>
        <v>2413.5661609071485</v>
      </c>
      <c r="BZ7" s="791">
        <f t="shared" si="18"/>
        <v>0.33255706582164196</v>
      </c>
      <c r="CA7" s="791"/>
      <c r="CB7" s="791"/>
      <c r="CC7" s="791"/>
      <c r="CD7" s="45"/>
      <c r="CG7" s="773" t="s">
        <v>109</v>
      </c>
      <c r="CH7" s="790">
        <f>8*60*24*0.7*0.9</f>
        <v>7257.5999999999995</v>
      </c>
      <c r="CI7" s="628" t="s">
        <v>99</v>
      </c>
      <c r="CJ7" s="45" t="s">
        <v>92</v>
      </c>
      <c r="CK7" s="397">
        <f>CN2</f>
        <v>1848.8208913236831</v>
      </c>
      <c r="CL7" s="791">
        <f t="shared" si="19"/>
        <v>0.25474273745090431</v>
      </c>
      <c r="CM7" s="791"/>
      <c r="CN7" s="791"/>
      <c r="CO7" s="791"/>
      <c r="CP7" s="45"/>
      <c r="CS7" s="773" t="s">
        <v>109</v>
      </c>
      <c r="CT7" s="790">
        <f>8*60*24*0.7*0.9</f>
        <v>7257.5999999999995</v>
      </c>
      <c r="CU7" s="628" t="s">
        <v>99</v>
      </c>
      <c r="CV7" s="45" t="s">
        <v>92</v>
      </c>
      <c r="CW7" s="397">
        <f>CZ2</f>
        <v>1264.9875445359103</v>
      </c>
      <c r="CX7" s="791">
        <f t="shared" si="20"/>
        <v>0.17429832789571076</v>
      </c>
      <c r="CY7" s="791"/>
      <c r="CZ7" s="791"/>
      <c r="DA7" s="791"/>
      <c r="DB7" s="45"/>
      <c r="DE7" s="773" t="s">
        <v>109</v>
      </c>
      <c r="DF7" s="790">
        <f>8*60*24*0.7*0.9</f>
        <v>7257.5999999999995</v>
      </c>
      <c r="DG7" s="628" t="s">
        <v>99</v>
      </c>
      <c r="DH7" s="45" t="s">
        <v>92</v>
      </c>
      <c r="DI7" s="397">
        <f>DL2</f>
        <v>1122.3027622561799</v>
      </c>
      <c r="DJ7" s="791">
        <f t="shared" si="21"/>
        <v>0.15463827742727349</v>
      </c>
      <c r="DK7" s="791"/>
      <c r="DL7" s="791"/>
      <c r="DM7" s="791"/>
      <c r="DN7" s="45"/>
      <c r="DQ7" s="773" t="s">
        <v>109</v>
      </c>
      <c r="DR7" s="790">
        <f>8*60*24*0.7*0.9</f>
        <v>7257.5999999999995</v>
      </c>
      <c r="DS7" s="628" t="s">
        <v>99</v>
      </c>
      <c r="DT7" s="45" t="s">
        <v>92</v>
      </c>
      <c r="DU7" s="397">
        <f>DX2</f>
        <v>1392.9088780073037</v>
      </c>
      <c r="DV7" s="791">
        <f t="shared" si="22"/>
        <v>0.19192417300585646</v>
      </c>
      <c r="DW7" s="791"/>
      <c r="DX7" s="791"/>
      <c r="DY7" s="791"/>
      <c r="DZ7" s="45"/>
      <c r="EC7" s="773" t="s">
        <v>109</v>
      </c>
      <c r="ED7" s="790">
        <f>8*60*24*0.7*0.9</f>
        <v>7257.5999999999995</v>
      </c>
      <c r="EE7" s="628" t="s">
        <v>99</v>
      </c>
      <c r="EF7" s="45" t="s">
        <v>92</v>
      </c>
      <c r="EG7" s="397">
        <f>EJ2</f>
        <v>1532.1629261491264</v>
      </c>
      <c r="EH7" s="791">
        <f t="shared" si="23"/>
        <v>0.211111514295239</v>
      </c>
      <c r="EI7" s="791"/>
      <c r="EJ7" s="791"/>
      <c r="EK7" s="791"/>
      <c r="EL7" s="45"/>
    </row>
    <row r="8" spans="1:143" s="100" customFormat="1">
      <c r="A8" s="773" t="s">
        <v>110</v>
      </c>
      <c r="B8" s="790">
        <f>(6*60*24*0.82)</f>
        <v>7084.7999999999993</v>
      </c>
      <c r="C8" s="628" t="s">
        <v>99</v>
      </c>
      <c r="D8" s="45" t="s">
        <v>276</v>
      </c>
      <c r="E8" s="397">
        <f>(H3*G3)*70%</f>
        <v>2596.6024021646058</v>
      </c>
      <c r="F8" s="791">
        <f t="shared" si="12"/>
        <v>0.36650327492160767</v>
      </c>
      <c r="G8" s="791">
        <f>SUM(F8:F9)</f>
        <v>2.3849199406057568</v>
      </c>
      <c r="H8" s="791">
        <v>2</v>
      </c>
      <c r="I8" s="791">
        <f>G8-H8</f>
        <v>0.38491994060575685</v>
      </c>
      <c r="J8" s="791">
        <f>(ROUNDUP(G8/0.33,0))*2</f>
        <v>16</v>
      </c>
      <c r="K8" s="754">
        <f>G8*2*3</f>
        <v>14.309519643634541</v>
      </c>
      <c r="M8" s="773" t="s">
        <v>110</v>
      </c>
      <c r="N8" s="790">
        <f>(6*60*24*0.82)</f>
        <v>7084.7999999999993</v>
      </c>
      <c r="O8" s="628" t="s">
        <v>99</v>
      </c>
      <c r="P8" s="45" t="s">
        <v>276</v>
      </c>
      <c r="Q8" s="397">
        <f>(T3*S3)*70%</f>
        <v>1798.3136814626062</v>
      </c>
      <c r="R8" s="791">
        <f t="shared" si="13"/>
        <v>0.25382702143498848</v>
      </c>
      <c r="S8" s="791">
        <f>SUM(R8:R9)</f>
        <v>1.6517100018119901</v>
      </c>
      <c r="T8" s="791">
        <v>2</v>
      </c>
      <c r="U8" s="791">
        <f>S8-T8</f>
        <v>-0.34828999818800987</v>
      </c>
      <c r="V8" s="791">
        <f>(ROUNDUP(S8/0.33,0))*2</f>
        <v>12</v>
      </c>
      <c r="W8" s="754">
        <f>S8*2*3</f>
        <v>9.9102600108719408</v>
      </c>
      <c r="Y8" s="773" t="s">
        <v>110</v>
      </c>
      <c r="Z8" s="790">
        <f>(6*60*24*0.82)</f>
        <v>7084.7999999999993</v>
      </c>
      <c r="AA8" s="628" t="s">
        <v>99</v>
      </c>
      <c r="AB8" s="45" t="s">
        <v>276</v>
      </c>
      <c r="AC8" s="397">
        <f>(AF3*AE3)*70%</f>
        <v>1557.6009651725758</v>
      </c>
      <c r="AD8" s="791">
        <f t="shared" si="14"/>
        <v>0.21985108474093495</v>
      </c>
      <c r="AE8" s="791">
        <f>SUM(AD8:AD9)</f>
        <v>1.4306208752830696</v>
      </c>
      <c r="AF8" s="791">
        <v>2</v>
      </c>
      <c r="AG8" s="791">
        <f>AE8-AF8</f>
        <v>-0.56937912471693042</v>
      </c>
      <c r="AH8" s="791">
        <f>(ROUNDUP(AE8/0.33,0))*2</f>
        <v>10</v>
      </c>
      <c r="AI8" s="754">
        <f>AE8*2*3</f>
        <v>8.5837252516984179</v>
      </c>
      <c r="AK8" s="773" t="s">
        <v>110</v>
      </c>
      <c r="AL8" s="790">
        <f>(6*60*24*0.82)</f>
        <v>7084.7999999999993</v>
      </c>
      <c r="AM8" s="628" t="s">
        <v>99</v>
      </c>
      <c r="AN8" s="45" t="s">
        <v>276</v>
      </c>
      <c r="AO8" s="397">
        <f>(AR3*AQ3)*70%</f>
        <v>2115.6396281966099</v>
      </c>
      <c r="AP8" s="791">
        <f t="shared" si="15"/>
        <v>0.29861670452187927</v>
      </c>
      <c r="AQ8" s="791">
        <f>SUM(AP8:AP9)</f>
        <v>1.9431666289053935</v>
      </c>
      <c r="AR8" s="791">
        <v>2</v>
      </c>
      <c r="AS8" s="791">
        <f>AQ8-AR8</f>
        <v>-5.6833371094606511E-2</v>
      </c>
      <c r="AT8" s="791">
        <f>(ROUNDUP(AQ8/0.33,0))*2</f>
        <v>12</v>
      </c>
      <c r="AU8" s="754">
        <f>AQ8*2*3</f>
        <v>11.658999773432361</v>
      </c>
      <c r="AW8" s="773" t="s">
        <v>110</v>
      </c>
      <c r="AX8" s="790">
        <f>(6*60*24*0.82)</f>
        <v>7084.7999999999993</v>
      </c>
      <c r="AY8" s="628" t="s">
        <v>99</v>
      </c>
      <c r="AZ8" s="45" t="s">
        <v>276</v>
      </c>
      <c r="BA8" s="397">
        <f>(BD3*BC3)*70%</f>
        <v>3591.4439119227486</v>
      </c>
      <c r="BB8" s="791">
        <f t="shared" si="16"/>
        <v>0.50692241304239338</v>
      </c>
      <c r="BC8" s="791">
        <f>SUM(BB8:BB9)</f>
        <v>3.2986591223867823</v>
      </c>
      <c r="BD8" s="791">
        <v>2</v>
      </c>
      <c r="BE8" s="791">
        <f>BC8-BD8</f>
        <v>1.2986591223867823</v>
      </c>
      <c r="BF8" s="791">
        <f>(ROUNDUP(BC8/0.33,0))*2</f>
        <v>20</v>
      </c>
      <c r="BG8" s="754">
        <f>BC8*2*3</f>
        <v>19.791954734320694</v>
      </c>
      <c r="BI8" s="773" t="s">
        <v>110</v>
      </c>
      <c r="BJ8" s="790">
        <f>(6*60*24*0.82)</f>
        <v>7084.7999999999993</v>
      </c>
      <c r="BK8" s="628" t="s">
        <v>99</v>
      </c>
      <c r="BL8" s="45" t="s">
        <v>276</v>
      </c>
      <c r="BM8" s="397">
        <f>(BP3*BO3)*70%</f>
        <v>1919.092864303444</v>
      </c>
      <c r="BN8" s="791">
        <f t="shared" si="17"/>
        <v>0.27087467032286644</v>
      </c>
      <c r="BO8" s="791">
        <f>SUM(BN8:BN9)</f>
        <v>1.7626429198925775</v>
      </c>
      <c r="BP8" s="791">
        <v>2</v>
      </c>
      <c r="BQ8" s="791">
        <f>BO8-BP8</f>
        <v>-0.23735708010742251</v>
      </c>
      <c r="BR8" s="791">
        <f>(ROUNDUP(BO8/0.33,0))*2</f>
        <v>12</v>
      </c>
      <c r="BS8" s="754">
        <f>BO8*2*3</f>
        <v>10.575857519355464</v>
      </c>
      <c r="BU8" s="773" t="s">
        <v>110</v>
      </c>
      <c r="BV8" s="790">
        <f>(6*60*24*0.82)</f>
        <v>7084.7999999999993</v>
      </c>
      <c r="BW8" s="628" t="s">
        <v>99</v>
      </c>
      <c r="BX8" s="45" t="s">
        <v>276</v>
      </c>
      <c r="BY8" s="397">
        <f>(CB3*CA3)*70%</f>
        <v>1753.0174363926203</v>
      </c>
      <c r="BZ8" s="791">
        <f t="shared" si="18"/>
        <v>0.24743358124331252</v>
      </c>
      <c r="CA8" s="791">
        <f>SUM(BZ8:BZ9)</f>
        <v>1.6101064363173578</v>
      </c>
      <c r="CB8" s="791">
        <v>2</v>
      </c>
      <c r="CC8" s="791">
        <f>CA8-CB8</f>
        <v>-0.38989356368264216</v>
      </c>
      <c r="CD8" s="791">
        <f>(ROUNDUP(CA8/0.33,0))*2</f>
        <v>10</v>
      </c>
      <c r="CE8" s="754">
        <f>CA8*2*3</f>
        <v>9.6606386179041479</v>
      </c>
      <c r="CG8" s="773" t="s">
        <v>110</v>
      </c>
      <c r="CH8" s="790">
        <f>(6*60*24*0.82)</f>
        <v>7084.7999999999993</v>
      </c>
      <c r="CI8" s="628" t="s">
        <v>99</v>
      </c>
      <c r="CJ8" s="45" t="s">
        <v>276</v>
      </c>
      <c r="CK8" s="397">
        <f>(CN3*CM3)*70%</f>
        <v>1342.8325735389053</v>
      </c>
      <c r="CL8" s="791">
        <f t="shared" si="19"/>
        <v>0.18953711799047332</v>
      </c>
      <c r="CM8" s="791">
        <f>SUM(CL8:CL9)</f>
        <v>1.2333610177893009</v>
      </c>
      <c r="CN8" s="791">
        <v>2</v>
      </c>
      <c r="CO8" s="791">
        <f>CM8-CN8</f>
        <v>-0.76663898221069915</v>
      </c>
      <c r="CP8" s="791">
        <f>(ROUNDUP(CM8/0.33,0))*2</f>
        <v>8</v>
      </c>
      <c r="CQ8" s="754">
        <f>CM8*2*3</f>
        <v>7.4001661067358047</v>
      </c>
      <c r="CS8" s="773" t="s">
        <v>110</v>
      </c>
      <c r="CT8" s="790">
        <f>(6*60*24*0.82)</f>
        <v>7084.7999999999993</v>
      </c>
      <c r="CU8" s="628" t="s">
        <v>99</v>
      </c>
      <c r="CV8" s="45" t="s">
        <v>276</v>
      </c>
      <c r="CW8" s="397">
        <f>(CZ3*CY3)*70%</f>
        <v>918.78368959128238</v>
      </c>
      <c r="CX8" s="791">
        <f t="shared" si="20"/>
        <v>0.1296837863582998</v>
      </c>
      <c r="CY8" s="791">
        <f>SUM(CX8:CX9)</f>
        <v>0.84388181285779751</v>
      </c>
      <c r="CZ8" s="791">
        <v>2</v>
      </c>
      <c r="DA8" s="791">
        <f>CY8-CZ8</f>
        <v>-1.1561181871422024</v>
      </c>
      <c r="DB8" s="791">
        <f>(ROUNDUP(CY8/0.34,0))*2</f>
        <v>6</v>
      </c>
      <c r="DC8" s="754">
        <f>CY8*2*3</f>
        <v>5.0632908771467848</v>
      </c>
      <c r="DE8" s="773" t="s">
        <v>110</v>
      </c>
      <c r="DF8" s="790">
        <f>(6*60*24*0.82)</f>
        <v>7084.7999999999993</v>
      </c>
      <c r="DG8" s="628" t="s">
        <v>99</v>
      </c>
      <c r="DH8" s="45" t="s">
        <v>276</v>
      </c>
      <c r="DI8" s="397">
        <f>(DL3*DK3)*70%</f>
        <v>815.14911130806672</v>
      </c>
      <c r="DJ8" s="791">
        <f t="shared" si="21"/>
        <v>0.11505605116701485</v>
      </c>
      <c r="DK8" s="791">
        <f>SUM(DJ8:DJ9)</f>
        <v>0.7486958220885257</v>
      </c>
      <c r="DL8" s="791">
        <v>2</v>
      </c>
      <c r="DM8" s="791">
        <f>DK8-DL8</f>
        <v>-1.2513041779114742</v>
      </c>
      <c r="DN8" s="791">
        <f>(ROUNDUP(DK8/0.33,0))*2</f>
        <v>6</v>
      </c>
      <c r="DO8" s="754">
        <f>DK8*2*3</f>
        <v>4.492174932531154</v>
      </c>
      <c r="DQ8" s="773" t="s">
        <v>110</v>
      </c>
      <c r="DR8" s="790">
        <f>(6*60*24*0.82)</f>
        <v>7084.7999999999993</v>
      </c>
      <c r="DS8" s="628" t="s">
        <v>99</v>
      </c>
      <c r="DT8" s="45" t="s">
        <v>276</v>
      </c>
      <c r="DU8" s="397">
        <f>(DX3*DW3)*70%</f>
        <v>1011.695303821763</v>
      </c>
      <c r="DV8" s="791">
        <f t="shared" si="22"/>
        <v>0.14279800471738976</v>
      </c>
      <c r="DW8" s="791">
        <f>SUM(DV8:DV9)</f>
        <v>0.92921900630236254</v>
      </c>
      <c r="DX8" s="791">
        <v>2</v>
      </c>
      <c r="DY8" s="791">
        <f>DW8-DX8</f>
        <v>-1.0707809936976376</v>
      </c>
      <c r="DZ8" s="791">
        <f>(ROUNDUP(DW8/0.33,0))*2</f>
        <v>6</v>
      </c>
      <c r="EA8" s="754">
        <f>DW8*2*3</f>
        <v>5.5753140378141754</v>
      </c>
      <c r="EC8" s="773" t="s">
        <v>110</v>
      </c>
      <c r="ED8" s="790">
        <f>(6*60*24*0.82)</f>
        <v>7084.7999999999993</v>
      </c>
      <c r="EE8" s="628" t="s">
        <v>99</v>
      </c>
      <c r="EF8" s="45" t="s">
        <v>276</v>
      </c>
      <c r="EG8" s="397">
        <f>(EJ3*EI3)*70%</f>
        <v>1112.8380768829836</v>
      </c>
      <c r="EH8" s="791">
        <f t="shared" si="23"/>
        <v>0.15707402846699747</v>
      </c>
      <c r="EI8" s="791">
        <f>SUM(EH8:EH9)</f>
        <v>1.0221163309450501</v>
      </c>
      <c r="EJ8" s="791">
        <v>2</v>
      </c>
      <c r="EK8" s="791">
        <f>EI8-EJ8</f>
        <v>-0.97788366905494994</v>
      </c>
      <c r="EL8" s="791">
        <f>(ROUNDUP(EI8/0.33,0))*2</f>
        <v>8</v>
      </c>
      <c r="EM8" s="754">
        <f>EI8*2*3</f>
        <v>6.1326979856703003</v>
      </c>
    </row>
    <row r="9" spans="1:143" s="100" customFormat="1">
      <c r="A9" s="773" t="s">
        <v>110</v>
      </c>
      <c r="B9" s="790">
        <f>(6*60*24*0.82)</f>
        <v>7084.7999999999993</v>
      </c>
      <c r="C9" s="628" t="s">
        <v>99</v>
      </c>
      <c r="D9" s="45" t="s">
        <v>92</v>
      </c>
      <c r="E9" s="792">
        <f>H2*G2</f>
        <v>14300.078393039061</v>
      </c>
      <c r="F9" s="791">
        <f t="shared" si="12"/>
        <v>2.0184166656841493</v>
      </c>
      <c r="G9" s="791"/>
      <c r="H9" s="791"/>
      <c r="I9" s="791"/>
      <c r="J9" s="45"/>
      <c r="M9" s="773" t="s">
        <v>110</v>
      </c>
      <c r="N9" s="790">
        <f>(6*60*24*0.82)</f>
        <v>7084.7999999999993</v>
      </c>
      <c r="O9" s="628" t="s">
        <v>99</v>
      </c>
      <c r="P9" s="45" t="s">
        <v>92</v>
      </c>
      <c r="Q9" s="792">
        <f>T2*S2</f>
        <v>9903.7213393749807</v>
      </c>
      <c r="R9" s="791">
        <f t="shared" si="13"/>
        <v>1.3978829803770016</v>
      </c>
      <c r="S9" s="791"/>
      <c r="T9" s="791"/>
      <c r="U9" s="791"/>
      <c r="V9" s="45"/>
      <c r="Y9" s="773" t="s">
        <v>110</v>
      </c>
      <c r="Z9" s="790">
        <f>(6*60*24*0.82)</f>
        <v>7084.7999999999993</v>
      </c>
      <c r="AA9" s="628" t="s">
        <v>99</v>
      </c>
      <c r="AB9" s="45" t="s">
        <v>92</v>
      </c>
      <c r="AC9" s="792">
        <f>AF2*AE2</f>
        <v>8578.0618120329145</v>
      </c>
      <c r="AD9" s="791">
        <f t="shared" si="14"/>
        <v>1.2107697905421346</v>
      </c>
      <c r="AE9" s="791"/>
      <c r="AF9" s="791"/>
      <c r="AG9" s="791"/>
      <c r="AH9" s="45"/>
      <c r="AK9" s="773" t="s">
        <v>110</v>
      </c>
      <c r="AL9" s="790">
        <f>(6*60*24*0.82)</f>
        <v>7084.7999999999993</v>
      </c>
      <c r="AM9" s="628" t="s">
        <v>99</v>
      </c>
      <c r="AN9" s="45" t="s">
        <v>92</v>
      </c>
      <c r="AO9" s="792">
        <f>AR2*AQ2</f>
        <v>11651.307304272321</v>
      </c>
      <c r="AP9" s="791">
        <f t="shared" si="15"/>
        <v>1.6445499243835142</v>
      </c>
      <c r="AQ9" s="791"/>
      <c r="AR9" s="791"/>
      <c r="AS9" s="791"/>
      <c r="AT9" s="45"/>
      <c r="AW9" s="773" t="s">
        <v>110</v>
      </c>
      <c r="AX9" s="790">
        <f>(6*60*24*0.82)</f>
        <v>7084.7999999999993</v>
      </c>
      <c r="AY9" s="628" t="s">
        <v>99</v>
      </c>
      <c r="AZ9" s="45" t="s">
        <v>92</v>
      </c>
      <c r="BA9" s="792">
        <f>BD2*BC2</f>
        <v>19778.896238363122</v>
      </c>
      <c r="BB9" s="791">
        <f t="shared" si="16"/>
        <v>2.7917367093443888</v>
      </c>
      <c r="BC9" s="791"/>
      <c r="BD9" s="791"/>
      <c r="BE9" s="791"/>
      <c r="BF9" s="45"/>
      <c r="BI9" s="773" t="s">
        <v>110</v>
      </c>
      <c r="BJ9" s="790">
        <f>(6*60*24*0.82)</f>
        <v>7084.7999999999993</v>
      </c>
      <c r="BK9" s="628" t="s">
        <v>99</v>
      </c>
      <c r="BL9" s="45" t="s">
        <v>92</v>
      </c>
      <c r="BM9" s="792">
        <f>BP2*BO2</f>
        <v>10568.879694551488</v>
      </c>
      <c r="BN9" s="791">
        <f t="shared" si="17"/>
        <v>1.4917682495697111</v>
      </c>
      <c r="BO9" s="791"/>
      <c r="BP9" s="791"/>
      <c r="BQ9" s="791"/>
      <c r="BR9" s="45"/>
      <c r="BU9" s="773" t="s">
        <v>110</v>
      </c>
      <c r="BV9" s="790">
        <f>(6*60*24*0.82)</f>
        <v>7084.7999999999993</v>
      </c>
      <c r="BW9" s="628" t="s">
        <v>99</v>
      </c>
      <c r="BX9" s="45" t="s">
        <v>92</v>
      </c>
      <c r="BY9" s="792">
        <f>CB2*CA2</f>
        <v>9654.2646436285941</v>
      </c>
      <c r="BZ9" s="791">
        <f t="shared" si="18"/>
        <v>1.3626728550740452</v>
      </c>
      <c r="CA9" s="791"/>
      <c r="CB9" s="791"/>
      <c r="CC9" s="791"/>
      <c r="CD9" s="45"/>
      <c r="CG9" s="773" t="s">
        <v>110</v>
      </c>
      <c r="CH9" s="790">
        <f>(6*60*24*0.82)</f>
        <v>7084.7999999999993</v>
      </c>
      <c r="CI9" s="628" t="s">
        <v>99</v>
      </c>
      <c r="CJ9" s="45" t="s">
        <v>92</v>
      </c>
      <c r="CK9" s="792">
        <f>CN2*CM2</f>
        <v>7395.2835652947324</v>
      </c>
      <c r="CL9" s="791">
        <f t="shared" si="19"/>
        <v>1.0438238997988276</v>
      </c>
      <c r="CM9" s="791"/>
      <c r="CN9" s="791"/>
      <c r="CO9" s="791"/>
      <c r="CP9" s="45"/>
      <c r="CS9" s="773" t="s">
        <v>110</v>
      </c>
      <c r="CT9" s="790">
        <f>(6*60*24*0.82)</f>
        <v>7084.7999999999993</v>
      </c>
      <c r="CU9" s="628" t="s">
        <v>99</v>
      </c>
      <c r="CV9" s="45" t="s">
        <v>92</v>
      </c>
      <c r="CW9" s="792">
        <f>CZ2*CY2</f>
        <v>5059.9501781436411</v>
      </c>
      <c r="CX9" s="791">
        <f t="shared" si="20"/>
        <v>0.71419802649949771</v>
      </c>
      <c r="CY9" s="791"/>
      <c r="CZ9" s="791"/>
      <c r="DA9" s="791"/>
      <c r="DB9" s="45"/>
      <c r="DE9" s="773" t="s">
        <v>110</v>
      </c>
      <c r="DF9" s="790">
        <f>(6*60*24*0.82)</f>
        <v>7084.7999999999993</v>
      </c>
      <c r="DG9" s="628" t="s">
        <v>99</v>
      </c>
      <c r="DH9" s="45" t="s">
        <v>92</v>
      </c>
      <c r="DI9" s="792">
        <f>DL2*DK2</f>
        <v>4489.2110490247196</v>
      </c>
      <c r="DJ9" s="791">
        <f t="shared" si="21"/>
        <v>0.6336397709215108</v>
      </c>
      <c r="DK9" s="791"/>
      <c r="DL9" s="791"/>
      <c r="DM9" s="791"/>
      <c r="DN9" s="45"/>
      <c r="DQ9" s="773" t="s">
        <v>110</v>
      </c>
      <c r="DR9" s="790">
        <f>(6*60*24*0.82)</f>
        <v>7084.7999999999993</v>
      </c>
      <c r="DS9" s="628" t="s">
        <v>99</v>
      </c>
      <c r="DT9" s="45" t="s">
        <v>92</v>
      </c>
      <c r="DU9" s="792">
        <f>DX2*DW2</f>
        <v>5571.6355120292146</v>
      </c>
      <c r="DV9" s="791">
        <f t="shared" si="22"/>
        <v>0.78642100158497275</v>
      </c>
      <c r="DW9" s="791"/>
      <c r="DX9" s="791"/>
      <c r="DY9" s="791"/>
      <c r="DZ9" s="45"/>
      <c r="EC9" s="773" t="s">
        <v>110</v>
      </c>
      <c r="ED9" s="790">
        <f>(6*60*24*0.82)</f>
        <v>7084.7999999999993</v>
      </c>
      <c r="EE9" s="628" t="s">
        <v>99</v>
      </c>
      <c r="EF9" s="45" t="s">
        <v>92</v>
      </c>
      <c r="EG9" s="792">
        <f>EJ2*EI2</f>
        <v>6128.6517045965056</v>
      </c>
      <c r="EH9" s="791">
        <f t="shared" si="23"/>
        <v>0.86504230247805247</v>
      </c>
      <c r="EI9" s="791"/>
      <c r="EJ9" s="791"/>
      <c r="EK9" s="791"/>
      <c r="EL9" s="45"/>
    </row>
    <row r="10" spans="1:143" s="100" customFormat="1">
      <c r="A10" s="793" t="s">
        <v>111</v>
      </c>
      <c r="B10" s="794">
        <f>10*60*24*0.8</f>
        <v>11520</v>
      </c>
      <c r="C10" s="628" t="s">
        <v>97</v>
      </c>
      <c r="D10" s="598" t="s">
        <v>276</v>
      </c>
      <c r="E10" s="792">
        <f>E3*70%</f>
        <v>4817.9146133913582</v>
      </c>
      <c r="F10" s="791">
        <f t="shared" si="12"/>
        <v>0.41822175463466649</v>
      </c>
      <c r="G10" s="791">
        <f>('CSP Working 26-27'!Q8/'CSP Working 26-27'!N8)+9</f>
        <v>9.2538270214349883</v>
      </c>
      <c r="H10" s="791">
        <v>1</v>
      </c>
      <c r="I10" s="791">
        <f>G10-H10</f>
        <v>8.2538270214349883</v>
      </c>
      <c r="J10" s="791">
        <f>(ROUNDUP(G10/0.33,0))*3</f>
        <v>87</v>
      </c>
      <c r="K10" s="754">
        <f>G10*3*3</f>
        <v>83.284443192914893</v>
      </c>
      <c r="M10" s="793" t="s">
        <v>111</v>
      </c>
      <c r="N10" s="794">
        <f>10*60*24*0.8</f>
        <v>11520</v>
      </c>
      <c r="O10" s="628" t="s">
        <v>97</v>
      </c>
      <c r="P10" s="45" t="s">
        <v>276</v>
      </c>
      <c r="Q10" s="792">
        <f>Q3*70%</f>
        <v>3336.71483865132</v>
      </c>
      <c r="R10" s="791">
        <f t="shared" si="13"/>
        <v>0.28964538529959377</v>
      </c>
      <c r="S10" s="791">
        <f>SUM(R10:R11)</f>
        <v>0.81899648891041243</v>
      </c>
      <c r="T10" s="791">
        <v>1</v>
      </c>
      <c r="U10" s="791">
        <f>S10-T10</f>
        <v>-0.18100351108958757</v>
      </c>
      <c r="V10" s="791">
        <f>(ROUNDUP(S10/0.33,0))*3</f>
        <v>9</v>
      </c>
      <c r="W10" s="754">
        <f>S10*3*3</f>
        <v>7.3709684001937124</v>
      </c>
      <c r="Y10" s="793" t="s">
        <v>111</v>
      </c>
      <c r="Z10" s="794">
        <f>10*60*24*0.8</f>
        <v>11520</v>
      </c>
      <c r="AA10" s="628" t="s">
        <v>97</v>
      </c>
      <c r="AB10" s="45" t="s">
        <v>276</v>
      </c>
      <c r="AC10" s="792">
        <f>AC3*70%</f>
        <v>2890.0799158475525</v>
      </c>
      <c r="AD10" s="791">
        <f t="shared" si="14"/>
        <v>0.25087499269510005</v>
      </c>
      <c r="AE10" s="791">
        <f>SUM(AD10:AD11)</f>
        <v>0.70936996962747911</v>
      </c>
      <c r="AF10" s="791">
        <v>1</v>
      </c>
      <c r="AG10" s="791">
        <f>AE10-AF10</f>
        <v>-0.29063003037252089</v>
      </c>
      <c r="AH10" s="791">
        <f>(ROUNDUP(AE10/0.33,0))*3</f>
        <v>9</v>
      </c>
      <c r="AI10" s="754">
        <f>AE10*3*3</f>
        <v>6.3843297266473114</v>
      </c>
      <c r="AK10" s="793" t="s">
        <v>111</v>
      </c>
      <c r="AL10" s="794">
        <f>10*60*24*0.8</f>
        <v>11520</v>
      </c>
      <c r="AM10" s="628" t="s">
        <v>97</v>
      </c>
      <c r="AN10" s="45" t="s">
        <v>276</v>
      </c>
      <c r="AO10" s="792">
        <f>AO3*70%</f>
        <v>3925.5032163804276</v>
      </c>
      <c r="AP10" s="791">
        <f t="shared" si="15"/>
        <v>0.3407554875330232</v>
      </c>
      <c r="AQ10" s="791">
        <f>SUM(AP10:AP11)</f>
        <v>0.96351456653741896</v>
      </c>
      <c r="AR10" s="791">
        <v>1</v>
      </c>
      <c r="AS10" s="791">
        <f>AQ10-AR10</f>
        <v>-3.6485433462581041E-2</v>
      </c>
      <c r="AT10" s="791">
        <f>(ROUNDUP(AQ10/0.33,0))*3</f>
        <v>9</v>
      </c>
      <c r="AU10" s="754">
        <f>AQ10*3*3</f>
        <v>8.6716310988367713</v>
      </c>
      <c r="AW10" s="793" t="s">
        <v>111</v>
      </c>
      <c r="AX10" s="794">
        <f>10*60*24*0.8</f>
        <v>11520</v>
      </c>
      <c r="AY10" s="628" t="s">
        <v>97</v>
      </c>
      <c r="AZ10" s="45" t="s">
        <v>276</v>
      </c>
      <c r="BA10" s="792">
        <f>BA3*70%</f>
        <v>6663.8119459504123</v>
      </c>
      <c r="BB10" s="791">
        <f t="shared" si="16"/>
        <v>0.57845589808597331</v>
      </c>
      <c r="BC10" s="791">
        <f>SUM(BB10:BB11)</f>
        <v>1.6356323061453446</v>
      </c>
      <c r="BD10" s="791">
        <v>1</v>
      </c>
      <c r="BE10" s="791">
        <f>BC10-BD10</f>
        <v>0.63563230614534461</v>
      </c>
      <c r="BF10" s="791">
        <f>(ROUNDUP(BC10/0.33,0))*3</f>
        <v>15</v>
      </c>
      <c r="BG10" s="754">
        <f>BC10*3*3</f>
        <v>14.720690755308102</v>
      </c>
      <c r="BI10" s="793" t="s">
        <v>111</v>
      </c>
      <c r="BJ10" s="794">
        <f>10*60*24*0.8</f>
        <v>11520</v>
      </c>
      <c r="BK10" s="628" t="s">
        <v>97</v>
      </c>
      <c r="BL10" s="45" t="s">
        <v>276</v>
      </c>
      <c r="BM10" s="792">
        <f>BM3*70%</f>
        <v>3560.8168380630309</v>
      </c>
      <c r="BN10" s="791">
        <f t="shared" si="17"/>
        <v>0.30909868385963812</v>
      </c>
      <c r="BO10" s="791">
        <f>SUM(BN10:BN11)</f>
        <v>0.87400231336683476</v>
      </c>
      <c r="BP10" s="791">
        <v>1</v>
      </c>
      <c r="BQ10" s="791">
        <f>BO10-BP10</f>
        <v>-0.12599768663316524</v>
      </c>
      <c r="BR10" s="791">
        <f>(ROUNDUP(BO10/0.33,0))*3</f>
        <v>9</v>
      </c>
      <c r="BS10" s="754">
        <f>BO10*3*3</f>
        <v>7.8660208203015127</v>
      </c>
      <c r="BU10" s="793" t="s">
        <v>111</v>
      </c>
      <c r="BV10" s="794">
        <f>10*60*24*0.8</f>
        <v>11520</v>
      </c>
      <c r="BW10" s="628" t="s">
        <v>97</v>
      </c>
      <c r="BX10" s="45" t="s">
        <v>276</v>
      </c>
      <c r="BY10" s="792">
        <f>BY3*70%</f>
        <v>3252.6690714316196</v>
      </c>
      <c r="BZ10" s="791">
        <f t="shared" si="18"/>
        <v>0.28234974578399474</v>
      </c>
      <c r="CA10" s="791">
        <f>SUM(BZ10:BZ11)</f>
        <v>0.79836745958390909</v>
      </c>
      <c r="CB10" s="791">
        <v>1</v>
      </c>
      <c r="CC10" s="791">
        <f>CA10-CB10</f>
        <v>-0.20163254041609091</v>
      </c>
      <c r="CD10" s="791">
        <f>(ROUNDUP(CA10/0.33,0))*3</f>
        <v>9</v>
      </c>
      <c r="CE10" s="754">
        <f>CA10*3*3</f>
        <v>7.1853071362551821</v>
      </c>
      <c r="CG10" s="793" t="s">
        <v>111</v>
      </c>
      <c r="CH10" s="794">
        <f>10*60*24*0.8</f>
        <v>11520</v>
      </c>
      <c r="CI10" s="628" t="s">
        <v>97</v>
      </c>
      <c r="CJ10" s="45" t="s">
        <v>276</v>
      </c>
      <c r="CK10" s="792">
        <f>CK3*70%</f>
        <v>2491.5838766835154</v>
      </c>
      <c r="CL10" s="791">
        <f t="shared" si="19"/>
        <v>0.21628332262877739</v>
      </c>
      <c r="CM10" s="791">
        <f>SUM(CL10:CL11)</f>
        <v>0.61155913690676378</v>
      </c>
      <c r="CN10" s="791">
        <v>1</v>
      </c>
      <c r="CO10" s="791">
        <f>CM10-CN10</f>
        <v>-0.38844086309323622</v>
      </c>
      <c r="CP10" s="791">
        <f>(ROUNDUP(CM10/0.33,0))*3</f>
        <v>6</v>
      </c>
      <c r="CQ10" s="754">
        <f>CM10*3*3</f>
        <v>5.5040322321608741</v>
      </c>
      <c r="CS10" s="793" t="s">
        <v>111</v>
      </c>
      <c r="CT10" s="794">
        <f>10*60*24*0.8</f>
        <v>11520</v>
      </c>
      <c r="CU10" s="628" t="s">
        <v>97</v>
      </c>
      <c r="CV10" s="45" t="s">
        <v>276</v>
      </c>
      <c r="CW10" s="792">
        <f>CW3*70%</f>
        <v>1704.7744240463246</v>
      </c>
      <c r="CX10" s="791">
        <f t="shared" si="20"/>
        <v>0.14798389097624345</v>
      </c>
      <c r="CY10" s="791">
        <f>SUM(CX10:CX11)</f>
        <v>0.41843679642775455</v>
      </c>
      <c r="CZ10" s="791">
        <v>1</v>
      </c>
      <c r="DA10" s="791">
        <f>CY10-CZ10</f>
        <v>-0.58156320357224545</v>
      </c>
      <c r="DB10" s="791">
        <f>(ROUNDUP(CY10/0.33,0))*3</f>
        <v>6</v>
      </c>
      <c r="DC10" s="754">
        <f>CY10*3*3</f>
        <v>3.7659311678497907</v>
      </c>
      <c r="DE10" s="793" t="s">
        <v>111</v>
      </c>
      <c r="DF10" s="794">
        <f>10*60*24*0.8</f>
        <v>11520</v>
      </c>
      <c r="DG10" s="628" t="s">
        <v>97</v>
      </c>
      <c r="DH10" s="45" t="s">
        <v>276</v>
      </c>
      <c r="DI10" s="792">
        <f>DI3*70%</f>
        <v>1512.4837026223895</v>
      </c>
      <c r="DJ10" s="791">
        <f t="shared" si="21"/>
        <v>0.1312919880748602</v>
      </c>
      <c r="DK10" s="791">
        <f>SUM(DJ10:DJ11)</f>
        <v>0.37123904854951284</v>
      </c>
      <c r="DL10" s="791">
        <v>1</v>
      </c>
      <c r="DM10" s="791">
        <f>DK10-DL10</f>
        <v>-0.62876095145048716</v>
      </c>
      <c r="DN10" s="791">
        <f>(ROUNDUP(DK10/0.33,0))*3</f>
        <v>6</v>
      </c>
      <c r="DO10" s="754">
        <f>DK10*3*3</f>
        <v>3.3411514369456152</v>
      </c>
      <c r="DQ10" s="793" t="s">
        <v>111</v>
      </c>
      <c r="DR10" s="794">
        <f>10*60*24*0.8</f>
        <v>11520</v>
      </c>
      <c r="DS10" s="628" t="s">
        <v>97</v>
      </c>
      <c r="DT10" s="45" t="s">
        <v>276</v>
      </c>
      <c r="DU10" s="792">
        <f>DU3*70%</f>
        <v>1877.1690207630368</v>
      </c>
      <c r="DV10" s="791">
        <f t="shared" si="22"/>
        <v>0.1629486997190136</v>
      </c>
      <c r="DW10" s="791">
        <f>SUM(DV10:DV11)</f>
        <v>0.46075104149976742</v>
      </c>
      <c r="DX10" s="791">
        <v>1</v>
      </c>
      <c r="DY10" s="791">
        <f>DW10-DX10</f>
        <v>-0.53924895850023258</v>
      </c>
      <c r="DZ10" s="791">
        <f>(ROUNDUP(DW10/0.33,0))*3</f>
        <v>6</v>
      </c>
      <c r="EA10" s="754">
        <f>DW10*3*3</f>
        <v>4.1467593734979076</v>
      </c>
      <c r="EC10" s="793" t="s">
        <v>111</v>
      </c>
      <c r="ED10" s="794">
        <f>10*60*24*0.8</f>
        <v>11520</v>
      </c>
      <c r="EE10" s="628" t="s">
        <v>97</v>
      </c>
      <c r="EF10" s="45" t="s">
        <v>276</v>
      </c>
      <c r="EG10" s="792">
        <f>EG3*70%</f>
        <v>2064.8362754664731</v>
      </c>
      <c r="EH10" s="791">
        <f t="shared" si="23"/>
        <v>0.17923926002313134</v>
      </c>
      <c r="EI10" s="791">
        <f>SUM(EH10:EH11)</f>
        <v>0.5068139597045771</v>
      </c>
      <c r="EJ10" s="791">
        <v>1</v>
      </c>
      <c r="EK10" s="791">
        <f>EI10-EJ10</f>
        <v>-0.4931860402954229</v>
      </c>
      <c r="EL10" s="791">
        <f>(ROUNDUP(EI10/0.33,0))*3</f>
        <v>6</v>
      </c>
      <c r="EM10" s="754">
        <f>EI10*3*3</f>
        <v>4.5613256373411941</v>
      </c>
    </row>
    <row r="11" spans="1:143" s="100" customFormat="1">
      <c r="A11" s="793" t="s">
        <v>111</v>
      </c>
      <c r="B11" s="794">
        <f>6*60*24*0.8</f>
        <v>6912</v>
      </c>
      <c r="C11" s="628" t="s">
        <v>97</v>
      </c>
      <c r="D11" s="598" t="s">
        <v>92</v>
      </c>
      <c r="E11" s="792">
        <f>E2*70%</f>
        <v>5283.0845174283186</v>
      </c>
      <c r="F11" s="791">
        <f t="shared" si="12"/>
        <v>0.76433514430386551</v>
      </c>
      <c r="G11" s="791"/>
      <c r="H11" s="791"/>
      <c r="I11" s="791"/>
      <c r="J11" s="45"/>
      <c r="M11" s="793" t="s">
        <v>111</v>
      </c>
      <c r="N11" s="794">
        <f>6*60*24*0.8</f>
        <v>6912</v>
      </c>
      <c r="O11" s="628" t="s">
        <v>97</v>
      </c>
      <c r="P11" s="45" t="s">
        <v>92</v>
      </c>
      <c r="Q11" s="792">
        <f>Q2*70%</f>
        <v>3658.8748281579783</v>
      </c>
      <c r="R11" s="791">
        <f t="shared" si="13"/>
        <v>0.52935110361081861</v>
      </c>
      <c r="S11" s="791"/>
      <c r="T11" s="791"/>
      <c r="U11" s="791"/>
      <c r="V11" s="45"/>
      <c r="Y11" s="793" t="s">
        <v>111</v>
      </c>
      <c r="Z11" s="794">
        <f>6*60*24*0.8</f>
        <v>6912</v>
      </c>
      <c r="AA11" s="628" t="s">
        <v>97</v>
      </c>
      <c r="AB11" s="45" t="s">
        <v>92</v>
      </c>
      <c r="AC11" s="792">
        <f>AC2*70%</f>
        <v>3169.1172805566039</v>
      </c>
      <c r="AD11" s="791">
        <f t="shared" si="14"/>
        <v>0.45849497693237901</v>
      </c>
      <c r="AE11" s="791"/>
      <c r="AF11" s="791"/>
      <c r="AG11" s="791"/>
      <c r="AH11" s="45"/>
      <c r="AK11" s="793" t="s">
        <v>111</v>
      </c>
      <c r="AL11" s="794">
        <f>6*60*24*0.8</f>
        <v>6912</v>
      </c>
      <c r="AM11" s="628" t="s">
        <v>97</v>
      </c>
      <c r="AN11" s="45" t="s">
        <v>92</v>
      </c>
      <c r="AO11" s="792">
        <f>AO2*70%</f>
        <v>4304.5107540783838</v>
      </c>
      <c r="AP11" s="791">
        <f t="shared" si="15"/>
        <v>0.62275907900439575</v>
      </c>
      <c r="AQ11" s="791"/>
      <c r="AR11" s="791"/>
      <c r="AS11" s="791"/>
      <c r="AT11" s="45"/>
      <c r="AW11" s="793" t="s">
        <v>111</v>
      </c>
      <c r="AX11" s="794">
        <f>6*60*24*0.8</f>
        <v>6912</v>
      </c>
      <c r="AY11" s="628" t="s">
        <v>97</v>
      </c>
      <c r="AZ11" s="45" t="s">
        <v>92</v>
      </c>
      <c r="BA11" s="792">
        <f>BA2*70%</f>
        <v>7307.203332506374</v>
      </c>
      <c r="BB11" s="791">
        <f t="shared" si="16"/>
        <v>1.0571764080593713</v>
      </c>
      <c r="BC11" s="791"/>
      <c r="BD11" s="791"/>
      <c r="BE11" s="791"/>
      <c r="BF11" s="45"/>
      <c r="BI11" s="793" t="s">
        <v>111</v>
      </c>
      <c r="BJ11" s="794">
        <f>6*60*24*0.8</f>
        <v>6912</v>
      </c>
      <c r="BK11" s="628" t="s">
        <v>97</v>
      </c>
      <c r="BL11" s="45" t="s">
        <v>92</v>
      </c>
      <c r="BM11" s="792">
        <f>BM2*70%</f>
        <v>3904.6138871537432</v>
      </c>
      <c r="BN11" s="791">
        <f t="shared" si="17"/>
        <v>0.56490362950719664</v>
      </c>
      <c r="BO11" s="791"/>
      <c r="BP11" s="791"/>
      <c r="BQ11" s="791"/>
      <c r="BR11" s="45"/>
      <c r="BU11" s="793" t="s">
        <v>111</v>
      </c>
      <c r="BV11" s="794">
        <f>6*60*24*0.8</f>
        <v>6912</v>
      </c>
      <c r="BW11" s="628" t="s">
        <v>97</v>
      </c>
      <c r="BX11" s="45" t="s">
        <v>92</v>
      </c>
      <c r="BY11" s="792">
        <f>BY2*70%</f>
        <v>3566.7144377850082</v>
      </c>
      <c r="BZ11" s="791">
        <f t="shared" si="18"/>
        <v>0.51601771379991435</v>
      </c>
      <c r="CA11" s="791"/>
      <c r="CB11" s="791"/>
      <c r="CC11" s="791"/>
      <c r="CD11" s="45"/>
      <c r="CG11" s="793" t="s">
        <v>111</v>
      </c>
      <c r="CH11" s="794">
        <f>6*60*24*0.8</f>
        <v>6912</v>
      </c>
      <c r="CI11" s="628" t="s">
        <v>97</v>
      </c>
      <c r="CJ11" s="45" t="s">
        <v>92</v>
      </c>
      <c r="CK11" s="792">
        <f>CK2*70%</f>
        <v>2732.1464282894422</v>
      </c>
      <c r="CL11" s="791">
        <f t="shared" si="19"/>
        <v>0.39527581427798641</v>
      </c>
      <c r="CM11" s="791"/>
      <c r="CN11" s="791"/>
      <c r="CO11" s="791"/>
      <c r="CP11" s="45"/>
      <c r="CS11" s="793" t="s">
        <v>111</v>
      </c>
      <c r="CT11" s="794">
        <f>6*60*24*0.8</f>
        <v>6912</v>
      </c>
      <c r="CU11" s="628" t="s">
        <v>97</v>
      </c>
      <c r="CV11" s="45" t="s">
        <v>92</v>
      </c>
      <c r="CW11" s="792">
        <f>CW2*70%</f>
        <v>1869.3704824808449</v>
      </c>
      <c r="CX11" s="791">
        <f t="shared" si="20"/>
        <v>0.27045290545151113</v>
      </c>
      <c r="CY11" s="791"/>
      <c r="CZ11" s="791"/>
      <c r="DA11" s="791"/>
      <c r="DB11" s="45"/>
      <c r="DE11" s="793" t="s">
        <v>111</v>
      </c>
      <c r="DF11" s="794">
        <f>6*60*24*0.8</f>
        <v>6912</v>
      </c>
      <c r="DG11" s="628" t="s">
        <v>97</v>
      </c>
      <c r="DH11" s="45" t="s">
        <v>92</v>
      </c>
      <c r="DI11" s="792">
        <f>DI2*70%</f>
        <v>1658.5140820007989</v>
      </c>
      <c r="DJ11" s="791">
        <f t="shared" si="21"/>
        <v>0.23994706047465261</v>
      </c>
      <c r="DK11" s="791"/>
      <c r="DL11" s="791"/>
      <c r="DM11" s="791"/>
      <c r="DN11" s="45"/>
      <c r="DQ11" s="793" t="s">
        <v>111</v>
      </c>
      <c r="DR11" s="794">
        <f>6*60*24*0.8</f>
        <v>6912</v>
      </c>
      <c r="DS11" s="628" t="s">
        <v>97</v>
      </c>
      <c r="DT11" s="45" t="s">
        <v>92</v>
      </c>
      <c r="DU11" s="792">
        <f>DU2*70%</f>
        <v>2058.4097863885704</v>
      </c>
      <c r="DV11" s="791">
        <f t="shared" si="22"/>
        <v>0.29780234178075382</v>
      </c>
      <c r="DW11" s="791"/>
      <c r="DX11" s="791"/>
      <c r="DY11" s="791"/>
      <c r="DZ11" s="45"/>
      <c r="EC11" s="793" t="s">
        <v>111</v>
      </c>
      <c r="ED11" s="794">
        <f>6*60*24*0.8</f>
        <v>6912</v>
      </c>
      <c r="EE11" s="628" t="s">
        <v>97</v>
      </c>
      <c r="EF11" s="45" t="s">
        <v>92</v>
      </c>
      <c r="EG11" s="792">
        <f>EG2*70%</f>
        <v>2264.196324198153</v>
      </c>
      <c r="EH11" s="791">
        <f t="shared" si="23"/>
        <v>0.32757469968144576</v>
      </c>
      <c r="EI11" s="791"/>
      <c r="EJ11" s="791"/>
      <c r="EK11" s="791"/>
      <c r="EL11" s="45"/>
    </row>
    <row r="12" spans="1:143" s="100" customFormat="1">
      <c r="A12" s="45" t="s">
        <v>1058</v>
      </c>
      <c r="B12" s="246">
        <f>216*24*0.8</f>
        <v>4147.2</v>
      </c>
      <c r="C12" s="628" t="s">
        <v>97</v>
      </c>
      <c r="D12" s="45" t="s">
        <v>276</v>
      </c>
      <c r="E12" s="792">
        <f>E3*30%</f>
        <v>2064.8205485962967</v>
      </c>
      <c r="F12" s="791">
        <f t="shared" si="12"/>
        <v>0.49788304123174593</v>
      </c>
      <c r="G12" s="791">
        <f>SUM(F12:F13)</f>
        <v>1.7262788088629584</v>
      </c>
      <c r="H12" s="791">
        <v>2</v>
      </c>
      <c r="I12" s="791">
        <f>G12-H12</f>
        <v>-0.27372119113704163</v>
      </c>
      <c r="J12" s="791">
        <f>(ROUNDUP(G12/0.33,0))*7</f>
        <v>42</v>
      </c>
      <c r="K12" s="754">
        <f>G12*7*3</f>
        <v>36.251854986122126</v>
      </c>
      <c r="M12" s="45" t="s">
        <v>1058</v>
      </c>
      <c r="N12" s="246">
        <f>216*24*0.8</f>
        <v>4147.2</v>
      </c>
      <c r="O12" s="628" t="s">
        <v>97</v>
      </c>
      <c r="P12" s="45" t="s">
        <v>276</v>
      </c>
      <c r="Q12" s="792">
        <f>Q3*30%</f>
        <v>1430.0206451362799</v>
      </c>
      <c r="R12" s="791">
        <f t="shared" si="13"/>
        <v>0.34481593488046874</v>
      </c>
      <c r="S12" s="791">
        <f>SUM(R12:R13)</f>
        <v>1.1955587799692844</v>
      </c>
      <c r="T12" s="791">
        <v>2</v>
      </c>
      <c r="U12" s="791">
        <f>S12-T12</f>
        <v>-0.80444122003071561</v>
      </c>
      <c r="V12" s="791">
        <f>(ROUNDUP(S12/0.33,0))*7</f>
        <v>28</v>
      </c>
      <c r="W12" s="754">
        <f>S12*7*3</f>
        <v>25.106734379354975</v>
      </c>
      <c r="Y12" s="45" t="s">
        <v>1058</v>
      </c>
      <c r="Z12" s="246">
        <f>216*24*0.8</f>
        <v>4147.2</v>
      </c>
      <c r="AA12" s="628" t="s">
        <v>97</v>
      </c>
      <c r="AB12" s="45" t="s">
        <v>276</v>
      </c>
      <c r="AC12" s="792">
        <f>AC3*30%</f>
        <v>1238.6056782203798</v>
      </c>
      <c r="AD12" s="791">
        <f t="shared" si="14"/>
        <v>0.29866070558940488</v>
      </c>
      <c r="AE12" s="791">
        <f>SUM(AD12:AD13)</f>
        <v>1.035527632802157</v>
      </c>
      <c r="AF12" s="791">
        <v>2</v>
      </c>
      <c r="AG12" s="791">
        <f>AE12-AF12</f>
        <v>-0.96447236719784302</v>
      </c>
      <c r="AH12" s="791">
        <f>(ROUNDUP(AE12/0.33,0))*7</f>
        <v>28</v>
      </c>
      <c r="AI12" s="754">
        <f>AE12*7*3</f>
        <v>21.746080288845295</v>
      </c>
      <c r="AK12" s="45" t="s">
        <v>1058</v>
      </c>
      <c r="AL12" s="246">
        <f>216*24*0.8</f>
        <v>4147.2</v>
      </c>
      <c r="AM12" s="628" t="s">
        <v>97</v>
      </c>
      <c r="AN12" s="45" t="s">
        <v>276</v>
      </c>
      <c r="AO12" s="792">
        <f>AO3*30%</f>
        <v>1682.3585213058977</v>
      </c>
      <c r="AP12" s="791">
        <f t="shared" si="15"/>
        <v>0.4056612946821706</v>
      </c>
      <c r="AQ12" s="791">
        <f>SUM(AP12:AP13)</f>
        <v>1.4065241002249498</v>
      </c>
      <c r="AR12" s="791">
        <v>2</v>
      </c>
      <c r="AS12" s="791">
        <f>AQ12-AR12</f>
        <v>-0.59347589977505022</v>
      </c>
      <c r="AT12" s="791">
        <f>(ROUNDUP(AQ12/0.33,0))*7</f>
        <v>35</v>
      </c>
      <c r="AU12" s="754">
        <f>AQ12*7*3</f>
        <v>29.537006104723947</v>
      </c>
      <c r="AW12" s="45" t="s">
        <v>1058</v>
      </c>
      <c r="AX12" s="246">
        <f>216*24*0.8</f>
        <v>4147.2</v>
      </c>
      <c r="AY12" s="628" t="s">
        <v>97</v>
      </c>
      <c r="AZ12" s="45" t="s">
        <v>276</v>
      </c>
      <c r="BA12" s="792">
        <f>BA3*30%</f>
        <v>2855.9194054073196</v>
      </c>
      <c r="BB12" s="791">
        <f t="shared" si="16"/>
        <v>0.68863797391187298</v>
      </c>
      <c r="BC12" s="791">
        <f>SUM(BB12:BB13)</f>
        <v>2.3876714868644342</v>
      </c>
      <c r="BD12" s="791">
        <v>2</v>
      </c>
      <c r="BE12" s="791">
        <f>BC12-BD12</f>
        <v>0.3876714868644342</v>
      </c>
      <c r="BF12" s="791">
        <f>(ROUNDUP(BC12/0.33,0))*7</f>
        <v>56</v>
      </c>
      <c r="BG12" s="754">
        <f>BC12*7*3</f>
        <v>50.141101224153118</v>
      </c>
      <c r="BI12" s="45" t="s">
        <v>1058</v>
      </c>
      <c r="BJ12" s="246">
        <f>216*24*0.8</f>
        <v>4147.2</v>
      </c>
      <c r="BK12" s="628" t="s">
        <v>97</v>
      </c>
      <c r="BL12" s="45" t="s">
        <v>276</v>
      </c>
      <c r="BM12" s="792">
        <f>BM3*30%</f>
        <v>1526.0643591698704</v>
      </c>
      <c r="BN12" s="791">
        <f t="shared" si="17"/>
        <v>0.36797462364242634</v>
      </c>
      <c r="BO12" s="791">
        <f>SUM(BN12:BN13)</f>
        <v>1.2758554567789924</v>
      </c>
      <c r="BP12" s="791">
        <v>2</v>
      </c>
      <c r="BQ12" s="791">
        <f>BO12-BP12</f>
        <v>-0.72414454322100763</v>
      </c>
      <c r="BR12" s="791">
        <f>(ROUNDUP(BO12/0.33,0))*7</f>
        <v>28</v>
      </c>
      <c r="BS12" s="754">
        <f>BO12*7*3</f>
        <v>26.792964592358842</v>
      </c>
      <c r="BU12" s="45" t="s">
        <v>1058</v>
      </c>
      <c r="BV12" s="246">
        <f>216*24*0.8</f>
        <v>4147.2</v>
      </c>
      <c r="BW12" s="628" t="s">
        <v>97</v>
      </c>
      <c r="BX12" s="45" t="s">
        <v>276</v>
      </c>
      <c r="BY12" s="792">
        <f>BY3*30%</f>
        <v>1394.0010306135512</v>
      </c>
      <c r="BZ12" s="791">
        <f t="shared" si="18"/>
        <v>0.3361306497428509</v>
      </c>
      <c r="CA12" s="791">
        <f>SUM(BZ12:BZ13)</f>
        <v>1.1654448326355706</v>
      </c>
      <c r="CB12" s="791">
        <v>2</v>
      </c>
      <c r="CC12" s="791">
        <f>CA12-CB12</f>
        <v>-0.83455516736442936</v>
      </c>
      <c r="CD12" s="791">
        <f>(ROUNDUP(CA12/0.33,0))*7</f>
        <v>28</v>
      </c>
      <c r="CE12" s="754">
        <f>CA12*7*3</f>
        <v>24.474341485346983</v>
      </c>
      <c r="CG12" s="45" t="s">
        <v>1058</v>
      </c>
      <c r="CH12" s="246">
        <f>216*24*0.8</f>
        <v>4147.2</v>
      </c>
      <c r="CI12" s="628" t="s">
        <v>97</v>
      </c>
      <c r="CJ12" s="45" t="s">
        <v>276</v>
      </c>
      <c r="CK12" s="792">
        <f>CK3*30%</f>
        <v>1067.8216614357923</v>
      </c>
      <c r="CL12" s="791">
        <f t="shared" si="19"/>
        <v>0.25748014598663976</v>
      </c>
      <c r="CM12" s="791">
        <f>SUM(CL12:CL13)</f>
        <v>0.8927448475048323</v>
      </c>
      <c r="CN12" s="791">
        <v>2</v>
      </c>
      <c r="CO12" s="791">
        <f>CM12-CN12</f>
        <v>-1.1072551524951677</v>
      </c>
      <c r="CP12" s="791">
        <f>(ROUNDUP(CM12/0.33,0))*7</f>
        <v>21</v>
      </c>
      <c r="CQ12" s="754">
        <f>CM12*7*3</f>
        <v>18.747641797601478</v>
      </c>
      <c r="CS12" s="45" t="s">
        <v>1058</v>
      </c>
      <c r="CT12" s="246">
        <f>216*24*0.8</f>
        <v>4147.2</v>
      </c>
      <c r="CU12" s="628" t="s">
        <v>97</v>
      </c>
      <c r="CV12" s="45" t="s">
        <v>276</v>
      </c>
      <c r="CW12" s="792">
        <f>CW3*30%</f>
        <v>730.61761030556772</v>
      </c>
      <c r="CX12" s="791">
        <f t="shared" si="20"/>
        <v>0.17617129878124221</v>
      </c>
      <c r="CY12" s="791">
        <f>SUM(CX12:CX13)</f>
        <v>0.61082775397117084</v>
      </c>
      <c r="CZ12" s="791">
        <v>2</v>
      </c>
      <c r="DA12" s="791">
        <f>CY12-CZ12</f>
        <v>-1.3891722460288292</v>
      </c>
      <c r="DB12" s="791">
        <f>(ROUNDUP(CY12/0.35,0))*7</f>
        <v>14</v>
      </c>
      <c r="DC12" s="754">
        <f>CY12*7*3</f>
        <v>12.827382833394589</v>
      </c>
      <c r="DE12" s="45" t="s">
        <v>1058</v>
      </c>
      <c r="DF12" s="246">
        <f>216*24*0.8</f>
        <v>4147.2</v>
      </c>
      <c r="DG12" s="628" t="s">
        <v>97</v>
      </c>
      <c r="DH12" s="45" t="s">
        <v>276</v>
      </c>
      <c r="DI12" s="792">
        <f>DI3*30%</f>
        <v>648.20730112388117</v>
      </c>
      <c r="DJ12" s="791">
        <f t="shared" si="21"/>
        <v>0.15629998580340498</v>
      </c>
      <c r="DK12" s="791">
        <f>SUM(DJ12:DJ13)</f>
        <v>0.54192919013766816</v>
      </c>
      <c r="DL12" s="791">
        <v>2</v>
      </c>
      <c r="DM12" s="791">
        <f>DK12-DL12</f>
        <v>-1.4580708098623318</v>
      </c>
      <c r="DN12" s="791">
        <f>(ROUNDUP(DK12/0.33,0))*7</f>
        <v>14</v>
      </c>
      <c r="DO12" s="754">
        <f>DK12*7*3</f>
        <v>11.380512992891031</v>
      </c>
      <c r="DQ12" s="45" t="s">
        <v>1058</v>
      </c>
      <c r="DR12" s="246">
        <f>216*24*0.8</f>
        <v>4147.2</v>
      </c>
      <c r="DS12" s="628" t="s">
        <v>97</v>
      </c>
      <c r="DT12" s="45" t="s">
        <v>276</v>
      </c>
      <c r="DU12" s="792">
        <f>DU3*30%</f>
        <v>804.50100889844441</v>
      </c>
      <c r="DV12" s="791">
        <f t="shared" si="22"/>
        <v>0.19398654728454004</v>
      </c>
      <c r="DW12" s="791">
        <f>SUM(DV12:DV13)</f>
        <v>0.67259745371789448</v>
      </c>
      <c r="DX12" s="791">
        <v>2</v>
      </c>
      <c r="DY12" s="791">
        <f>DW12-DX12</f>
        <v>-1.3274025462821055</v>
      </c>
      <c r="DZ12" s="791">
        <f>(ROUNDUP(DW12/0.33,0))*7</f>
        <v>21</v>
      </c>
      <c r="EA12" s="754">
        <f>DW12*7*3</f>
        <v>14.124546528075783</v>
      </c>
      <c r="EC12" s="45" t="s">
        <v>1058</v>
      </c>
      <c r="ED12" s="246">
        <f>216*24*0.8</f>
        <v>4147.2</v>
      </c>
      <c r="EE12" s="628" t="s">
        <v>97</v>
      </c>
      <c r="EF12" s="45" t="s">
        <v>276</v>
      </c>
      <c r="EG12" s="792">
        <f>EG3*30%</f>
        <v>884.92983234277415</v>
      </c>
      <c r="EH12" s="791">
        <f t="shared" si="23"/>
        <v>0.21338007145610874</v>
      </c>
      <c r="EI12" s="791">
        <f>SUM(EH12:EH13)</f>
        <v>0.73983941022986077</v>
      </c>
      <c r="EJ12" s="791">
        <v>2</v>
      </c>
      <c r="EK12" s="791">
        <f>EI12-EJ12</f>
        <v>-1.2601605897701393</v>
      </c>
      <c r="EL12" s="791">
        <f>(ROUNDUP(EI12/0.33,0))*7</f>
        <v>21</v>
      </c>
      <c r="EM12" s="754">
        <f>EI12*7*3</f>
        <v>15.536627614827076</v>
      </c>
    </row>
    <row r="13" spans="1:143" s="100" customFormat="1">
      <c r="A13" s="45" t="s">
        <v>1058</v>
      </c>
      <c r="B13" s="246">
        <f>96*24*0.8</f>
        <v>1843.2</v>
      </c>
      <c r="C13" s="628" t="s">
        <v>97</v>
      </c>
      <c r="D13" s="45" t="s">
        <v>92</v>
      </c>
      <c r="E13" s="792">
        <f>E2*30%</f>
        <v>2264.179078897851</v>
      </c>
      <c r="F13" s="791">
        <f t="shared" si="12"/>
        <v>1.2283957676312125</v>
      </c>
      <c r="G13" s="791"/>
      <c r="H13" s="791"/>
      <c r="I13" s="791">
        <f>('CSP Working 26-27'!AC12/'CSP Working 26-27'!Z12)+9</f>
        <v>9.2986607055894055</v>
      </c>
      <c r="J13" s="45"/>
      <c r="M13" s="45" t="s">
        <v>1058</v>
      </c>
      <c r="N13" s="246">
        <f>96*24*0.8</f>
        <v>1843.2</v>
      </c>
      <c r="O13" s="628" t="s">
        <v>97</v>
      </c>
      <c r="P13" s="45" t="s">
        <v>92</v>
      </c>
      <c r="Q13" s="792">
        <f>Q2*30%</f>
        <v>1568.0892120677051</v>
      </c>
      <c r="R13" s="791">
        <f t="shared" si="13"/>
        <v>0.8507428450888157</v>
      </c>
      <c r="S13" s="791"/>
      <c r="T13" s="791"/>
      <c r="U13" s="791"/>
      <c r="V13" s="45"/>
      <c r="Y13" s="45" t="s">
        <v>1058</v>
      </c>
      <c r="Z13" s="246">
        <f>96*24*0.8</f>
        <v>1843.2</v>
      </c>
      <c r="AA13" s="628" t="s">
        <v>97</v>
      </c>
      <c r="AB13" s="45" t="s">
        <v>92</v>
      </c>
      <c r="AC13" s="792">
        <f>AC2*30%</f>
        <v>1358.1931202385447</v>
      </c>
      <c r="AD13" s="791">
        <f t="shared" si="14"/>
        <v>0.73686692721275204</v>
      </c>
      <c r="AE13" s="791"/>
      <c r="AF13" s="791"/>
      <c r="AG13" s="791"/>
      <c r="AH13" s="45"/>
      <c r="AK13" s="45" t="s">
        <v>1058</v>
      </c>
      <c r="AL13" s="246">
        <f>96*24*0.8</f>
        <v>1843.2</v>
      </c>
      <c r="AM13" s="628" t="s">
        <v>97</v>
      </c>
      <c r="AN13" s="45" t="s">
        <v>92</v>
      </c>
      <c r="AO13" s="792">
        <f>AO2*30%</f>
        <v>1844.7903231764503</v>
      </c>
      <c r="AP13" s="791">
        <f t="shared" si="15"/>
        <v>1.0008628055427791</v>
      </c>
      <c r="AQ13" s="791"/>
      <c r="AR13" s="791"/>
      <c r="AS13" s="791"/>
      <c r="AT13" s="45"/>
      <c r="AW13" s="45" t="s">
        <v>1058</v>
      </c>
      <c r="AX13" s="246">
        <f>96*24*0.8</f>
        <v>1843.2</v>
      </c>
      <c r="AY13" s="628" t="s">
        <v>97</v>
      </c>
      <c r="AZ13" s="45" t="s">
        <v>92</v>
      </c>
      <c r="BA13" s="792">
        <f>BA2*30%</f>
        <v>3131.6585710741606</v>
      </c>
      <c r="BB13" s="791">
        <f t="shared" si="16"/>
        <v>1.6990335129525611</v>
      </c>
      <c r="BC13" s="791"/>
      <c r="BD13" s="791"/>
      <c r="BE13" s="791"/>
      <c r="BF13" s="45"/>
      <c r="BI13" s="45" t="s">
        <v>1058</v>
      </c>
      <c r="BJ13" s="246">
        <f>96*24*0.8</f>
        <v>1843.2</v>
      </c>
      <c r="BK13" s="628" t="s">
        <v>97</v>
      </c>
      <c r="BL13" s="45" t="s">
        <v>92</v>
      </c>
      <c r="BM13" s="792">
        <f>BM2*30%</f>
        <v>1673.4059516373186</v>
      </c>
      <c r="BN13" s="791">
        <f t="shared" si="17"/>
        <v>0.90788083313656609</v>
      </c>
      <c r="BO13" s="791"/>
      <c r="BP13" s="791"/>
      <c r="BQ13" s="791"/>
      <c r="BR13" s="45"/>
      <c r="BU13" s="45" t="s">
        <v>1058</v>
      </c>
      <c r="BV13" s="246">
        <f>96*24*0.8</f>
        <v>1843.2</v>
      </c>
      <c r="BW13" s="628" t="s">
        <v>97</v>
      </c>
      <c r="BX13" s="45" t="s">
        <v>92</v>
      </c>
      <c r="BY13" s="792">
        <f>BY2*30%</f>
        <v>1528.5919019078608</v>
      </c>
      <c r="BZ13" s="791">
        <f t="shared" si="18"/>
        <v>0.82931418289271963</v>
      </c>
      <c r="CA13" s="791"/>
      <c r="CB13" s="791"/>
      <c r="CC13" s="791"/>
      <c r="CD13" s="45"/>
      <c r="CG13" s="45" t="s">
        <v>1058</v>
      </c>
      <c r="CH13" s="246">
        <f>96*24*0.8</f>
        <v>1843.2</v>
      </c>
      <c r="CI13" s="628" t="s">
        <v>97</v>
      </c>
      <c r="CJ13" s="45" t="s">
        <v>92</v>
      </c>
      <c r="CK13" s="792">
        <f>CK2*30%</f>
        <v>1170.9198978383324</v>
      </c>
      <c r="CL13" s="791">
        <f t="shared" si="19"/>
        <v>0.63526470151819248</v>
      </c>
      <c r="CM13" s="791"/>
      <c r="CN13" s="791"/>
      <c r="CO13" s="791"/>
      <c r="CP13" s="45"/>
      <c r="CS13" s="45" t="s">
        <v>1058</v>
      </c>
      <c r="CT13" s="246">
        <f>96*24*0.8</f>
        <v>1843.2</v>
      </c>
      <c r="CU13" s="628" t="s">
        <v>97</v>
      </c>
      <c r="CV13" s="45" t="s">
        <v>92</v>
      </c>
      <c r="CW13" s="792">
        <f>CW2*30%</f>
        <v>801.15877820607648</v>
      </c>
      <c r="CX13" s="791">
        <f t="shared" si="20"/>
        <v>0.43465645518992863</v>
      </c>
      <c r="CY13" s="791"/>
      <c r="CZ13" s="791"/>
      <c r="DA13" s="791"/>
      <c r="DB13" s="45"/>
      <c r="DE13" s="45" t="s">
        <v>1058</v>
      </c>
      <c r="DF13" s="246">
        <f>96*24*0.8</f>
        <v>1843.2</v>
      </c>
      <c r="DG13" s="628" t="s">
        <v>97</v>
      </c>
      <c r="DH13" s="45" t="s">
        <v>92</v>
      </c>
      <c r="DI13" s="792">
        <f>DI2*30%</f>
        <v>710.79174942891382</v>
      </c>
      <c r="DJ13" s="791">
        <f t="shared" si="21"/>
        <v>0.38562920433426312</v>
      </c>
      <c r="DK13" s="791"/>
      <c r="DL13" s="791"/>
      <c r="DM13" s="791"/>
      <c r="DN13" s="45"/>
      <c r="DQ13" s="45" t="s">
        <v>1058</v>
      </c>
      <c r="DR13" s="246">
        <f>96*24*0.8</f>
        <v>1843.2</v>
      </c>
      <c r="DS13" s="628" t="s">
        <v>97</v>
      </c>
      <c r="DT13" s="45" t="s">
        <v>92</v>
      </c>
      <c r="DU13" s="792">
        <f>DU2*30%</f>
        <v>882.17562273795886</v>
      </c>
      <c r="DV13" s="791">
        <f t="shared" si="22"/>
        <v>0.47861090643335441</v>
      </c>
      <c r="DW13" s="791"/>
      <c r="DX13" s="791"/>
      <c r="DY13" s="791"/>
      <c r="DZ13" s="45"/>
      <c r="EC13" s="45" t="s">
        <v>1058</v>
      </c>
      <c r="ED13" s="246">
        <f>96*24*0.8</f>
        <v>1843.2</v>
      </c>
      <c r="EE13" s="628" t="s">
        <v>97</v>
      </c>
      <c r="EF13" s="45" t="s">
        <v>92</v>
      </c>
      <c r="EG13" s="792">
        <f>EG2*30%</f>
        <v>970.36985322777991</v>
      </c>
      <c r="EH13" s="791">
        <f t="shared" si="23"/>
        <v>0.52645933877375206</v>
      </c>
      <c r="EI13" s="791"/>
      <c r="EJ13" s="791"/>
      <c r="EK13" s="791"/>
      <c r="EL13" s="45"/>
    </row>
    <row r="14" spans="1:143" s="100" customFormat="1">
      <c r="A14" s="795"/>
      <c r="B14" s="794"/>
      <c r="C14" s="628"/>
      <c r="D14" s="45"/>
      <c r="E14" s="397"/>
      <c r="F14" s="45"/>
      <c r="G14" s="791"/>
      <c r="H14" s="45"/>
      <c r="I14" s="45"/>
      <c r="J14" s="45"/>
      <c r="M14" s="795"/>
      <c r="N14" s="794"/>
      <c r="O14" s="628"/>
      <c r="P14" s="45"/>
      <c r="Q14" s="397"/>
      <c r="R14" s="45"/>
      <c r="S14" s="45"/>
      <c r="T14" s="45"/>
      <c r="U14" s="45"/>
      <c r="V14" s="45"/>
      <c r="Y14" s="795"/>
      <c r="Z14" s="794"/>
      <c r="AA14" s="628"/>
      <c r="AB14" s="45"/>
      <c r="AC14" s="397"/>
      <c r="AD14" s="45"/>
      <c r="AE14" s="45"/>
      <c r="AF14" s="45"/>
      <c r="AG14" s="45"/>
      <c r="AH14" s="45"/>
      <c r="AK14" s="795"/>
      <c r="AL14" s="794"/>
      <c r="AM14" s="628"/>
      <c r="AN14" s="45"/>
      <c r="AO14" s="397"/>
      <c r="AP14" s="45"/>
      <c r="AQ14" s="45"/>
      <c r="AR14" s="45"/>
      <c r="AS14" s="45"/>
      <c r="AT14" s="45"/>
      <c r="AW14" s="795"/>
      <c r="AX14" s="794"/>
      <c r="AY14" s="628"/>
      <c r="AZ14" s="45"/>
      <c r="BA14" s="397"/>
      <c r="BB14" s="45"/>
      <c r="BC14" s="45"/>
      <c r="BD14" s="45"/>
      <c r="BE14" s="45"/>
      <c r="BF14" s="45"/>
      <c r="BI14" s="795"/>
      <c r="BJ14" s="794"/>
      <c r="BK14" s="628"/>
      <c r="BL14" s="45"/>
      <c r="BM14" s="397"/>
      <c r="BN14" s="45"/>
      <c r="BO14" s="45"/>
      <c r="BP14" s="45"/>
      <c r="BQ14" s="45"/>
      <c r="BR14" s="45"/>
      <c r="BU14" s="795"/>
      <c r="BV14" s="794"/>
      <c r="BW14" s="628"/>
      <c r="BX14" s="45"/>
      <c r="BY14" s="397"/>
      <c r="BZ14" s="45"/>
      <c r="CA14" s="45"/>
      <c r="CB14" s="45"/>
      <c r="CC14" s="45"/>
      <c r="CD14" s="45"/>
      <c r="CG14" s="795"/>
      <c r="CH14" s="794"/>
      <c r="CI14" s="628"/>
      <c r="CJ14" s="45"/>
      <c r="CK14" s="397"/>
      <c r="CL14" s="45"/>
      <c r="CM14" s="45"/>
      <c r="CN14" s="45"/>
      <c r="CO14" s="45"/>
      <c r="CP14" s="45"/>
      <c r="CS14" s="795"/>
      <c r="CT14" s="794"/>
      <c r="CU14" s="628"/>
      <c r="CV14" s="45"/>
      <c r="CW14" s="397"/>
      <c r="CX14" s="45"/>
      <c r="CY14" s="45"/>
      <c r="CZ14" s="45"/>
      <c r="DA14" s="45"/>
      <c r="DB14" s="45"/>
      <c r="DE14" s="795"/>
      <c r="DF14" s="794"/>
      <c r="DG14" s="628"/>
      <c r="DH14" s="45"/>
      <c r="DI14" s="397"/>
      <c r="DJ14" s="45"/>
      <c r="DK14" s="45"/>
      <c r="DL14" s="45"/>
      <c r="DM14" s="45"/>
      <c r="DN14" s="45"/>
      <c r="DQ14" s="795"/>
      <c r="DR14" s="794"/>
      <c r="DS14" s="628"/>
      <c r="DT14" s="45"/>
      <c r="DU14" s="397"/>
      <c r="DV14" s="45"/>
      <c r="DW14" s="45"/>
      <c r="DX14" s="45"/>
      <c r="DY14" s="45"/>
      <c r="DZ14" s="45"/>
      <c r="EC14" s="795"/>
      <c r="ED14" s="794"/>
      <c r="EE14" s="628"/>
      <c r="EF14" s="45"/>
      <c r="EG14" s="397"/>
      <c r="EH14" s="45"/>
      <c r="EI14" s="45"/>
      <c r="EJ14" s="45"/>
      <c r="EK14" s="45"/>
      <c r="EL14" s="45"/>
    </row>
    <row r="15" spans="1:143" s="100" customFormat="1">
      <c r="A15" s="795" t="s">
        <v>1059</v>
      </c>
      <c r="B15" s="246"/>
      <c r="C15" s="628"/>
      <c r="D15" s="45"/>
      <c r="E15" s="397"/>
      <c r="F15" s="45"/>
      <c r="G15" s="45"/>
      <c r="H15" s="45"/>
      <c r="I15" s="45"/>
      <c r="J15" s="45"/>
      <c r="M15" s="795" t="s">
        <v>1059</v>
      </c>
      <c r="N15" s="246"/>
      <c r="O15" s="628"/>
      <c r="P15" s="45"/>
      <c r="Q15" s="397"/>
      <c r="R15" s="45"/>
      <c r="S15" s="45"/>
      <c r="T15" s="45"/>
      <c r="U15" s="45"/>
      <c r="V15" s="45"/>
      <c r="Y15" s="795" t="s">
        <v>1059</v>
      </c>
      <c r="Z15" s="246"/>
      <c r="AA15" s="628"/>
      <c r="AB15" s="45"/>
      <c r="AC15" s="397"/>
      <c r="AD15" s="45"/>
      <c r="AE15" s="45"/>
      <c r="AF15" s="45"/>
      <c r="AG15" s="45"/>
      <c r="AH15" s="45"/>
      <c r="AK15" s="795" t="s">
        <v>1059</v>
      </c>
      <c r="AL15" s="246"/>
      <c r="AM15" s="628"/>
      <c r="AN15" s="45"/>
      <c r="AO15" s="397"/>
      <c r="AP15" s="45"/>
      <c r="AQ15" s="45"/>
      <c r="AR15" s="45"/>
      <c r="AS15" s="45"/>
      <c r="AT15" s="45"/>
      <c r="AW15" s="795" t="s">
        <v>1059</v>
      </c>
      <c r="AX15" s="246"/>
      <c r="AY15" s="628"/>
      <c r="AZ15" s="45"/>
      <c r="BA15" s="397"/>
      <c r="BB15" s="45"/>
      <c r="BC15" s="45"/>
      <c r="BD15" s="45"/>
      <c r="BE15" s="45"/>
      <c r="BF15" s="45"/>
      <c r="BI15" s="795" t="s">
        <v>1059</v>
      </c>
      <c r="BJ15" s="246"/>
      <c r="BK15" s="628"/>
      <c r="BL15" s="45"/>
      <c r="BM15" s="397"/>
      <c r="BN15" s="45"/>
      <c r="BO15" s="45"/>
      <c r="BP15" s="45"/>
      <c r="BQ15" s="45"/>
      <c r="BR15" s="45"/>
      <c r="BU15" s="795" t="s">
        <v>1059</v>
      </c>
      <c r="BV15" s="246"/>
      <c r="BW15" s="628"/>
      <c r="BX15" s="45"/>
      <c r="BY15" s="397"/>
      <c r="BZ15" s="45"/>
      <c r="CA15" s="45"/>
      <c r="CB15" s="45"/>
      <c r="CC15" s="45"/>
      <c r="CD15" s="45"/>
      <c r="CG15" s="795" t="s">
        <v>1059</v>
      </c>
      <c r="CH15" s="246"/>
      <c r="CI15" s="628"/>
      <c r="CJ15" s="45"/>
      <c r="CK15" s="397"/>
      <c r="CL15" s="45"/>
      <c r="CM15" s="45"/>
      <c r="CN15" s="45"/>
      <c r="CO15" s="45"/>
      <c r="CP15" s="45"/>
      <c r="CS15" s="795" t="s">
        <v>1059</v>
      </c>
      <c r="CT15" s="246"/>
      <c r="CU15" s="628"/>
      <c r="CV15" s="45"/>
      <c r="CW15" s="397"/>
      <c r="CX15" s="45"/>
      <c r="CY15" s="45"/>
      <c r="CZ15" s="45"/>
      <c r="DA15" s="45"/>
      <c r="DB15" s="45"/>
      <c r="DE15" s="795" t="s">
        <v>1059</v>
      </c>
      <c r="DF15" s="246"/>
      <c r="DG15" s="628"/>
      <c r="DH15" s="45"/>
      <c r="DI15" s="397"/>
      <c r="DJ15" s="45"/>
      <c r="DK15" s="45"/>
      <c r="DL15" s="45"/>
      <c r="DM15" s="45"/>
      <c r="DN15" s="45"/>
      <c r="DQ15" s="795" t="s">
        <v>1059</v>
      </c>
      <c r="DR15" s="246"/>
      <c r="DS15" s="628"/>
      <c r="DT15" s="45"/>
      <c r="DU15" s="397"/>
      <c r="DV15" s="45"/>
      <c r="DW15" s="45"/>
      <c r="DX15" s="45"/>
      <c r="DY15" s="45"/>
      <c r="DZ15" s="45"/>
      <c r="EC15" s="795" t="s">
        <v>1059</v>
      </c>
      <c r="ED15" s="246"/>
      <c r="EE15" s="628"/>
      <c r="EF15" s="45"/>
      <c r="EG15" s="397"/>
      <c r="EH15" s="45"/>
      <c r="EI15" s="45"/>
      <c r="EJ15" s="45"/>
      <c r="EK15" s="45"/>
      <c r="EL15" s="45"/>
    </row>
    <row r="16" spans="1:143" s="100" customFormat="1">
      <c r="A16" s="796" t="s">
        <v>113</v>
      </c>
      <c r="B16" s="246">
        <v>1200</v>
      </c>
      <c r="C16" s="628" t="s">
        <v>97</v>
      </c>
      <c r="D16" s="45" t="s">
        <v>1061</v>
      </c>
      <c r="E16" s="397">
        <f>E3</f>
        <v>6882.7351619876554</v>
      </c>
      <c r="F16" s="791">
        <f>E16/B16</f>
        <v>5.735612634989713</v>
      </c>
      <c r="G16" s="791">
        <f>SUM(F16:F17)</f>
        <v>9.5092444331527979</v>
      </c>
      <c r="H16" s="791">
        <v>8</v>
      </c>
      <c r="I16" s="791">
        <f>('CSP Working 26-27'!AC22/'CSP Working 26-27'!Z22)+9</f>
        <v>10.146857109463316</v>
      </c>
      <c r="J16" s="791">
        <f>F16*1*3</f>
        <v>17.206837904969138</v>
      </c>
      <c r="K16" s="754">
        <f>F16*1*3</f>
        <v>17.206837904969138</v>
      </c>
      <c r="M16" s="796" t="s">
        <v>113</v>
      </c>
      <c r="N16" s="246">
        <v>1200</v>
      </c>
      <c r="O16" s="628" t="s">
        <v>97</v>
      </c>
      <c r="P16" s="45" t="s">
        <v>1061</v>
      </c>
      <c r="Q16" s="397">
        <f>Q3</f>
        <v>4766.7354837876001</v>
      </c>
      <c r="R16" s="791">
        <f>Q16/N16</f>
        <v>3.9722795698230002</v>
      </c>
      <c r="S16" s="791">
        <f>SUM(R16:R17)</f>
        <v>6.5857615899358422</v>
      </c>
      <c r="T16" s="791">
        <v>8</v>
      </c>
      <c r="U16" s="791"/>
      <c r="V16" s="791">
        <f>R16*1*3</f>
        <v>11.916838709469001</v>
      </c>
      <c r="W16" s="754">
        <f>R16*1*3</f>
        <v>11.916838709469001</v>
      </c>
      <c r="Y16" s="796" t="s">
        <v>113</v>
      </c>
      <c r="Z16" s="246">
        <v>1200</v>
      </c>
      <c r="AA16" s="628" t="s">
        <v>97</v>
      </c>
      <c r="AB16" s="45" t="s">
        <v>1061</v>
      </c>
      <c r="AC16" s="397">
        <f>AC3</f>
        <v>4128.6855940679325</v>
      </c>
      <c r="AD16" s="791">
        <f>AC16/Z16</f>
        <v>3.4405713283899435</v>
      </c>
      <c r="AE16" s="791">
        <f>SUM(AD16:AD17)</f>
        <v>5.704226528787518</v>
      </c>
      <c r="AF16" s="791">
        <v>8</v>
      </c>
      <c r="AG16" s="791"/>
      <c r="AH16" s="791">
        <f>AD16*1*3</f>
        <v>10.321713985169831</v>
      </c>
      <c r="AI16" s="754">
        <f>AD16*1*3</f>
        <v>10.321713985169831</v>
      </c>
      <c r="AK16" s="796" t="s">
        <v>113</v>
      </c>
      <c r="AL16" s="246">
        <v>1200</v>
      </c>
      <c r="AM16" s="628" t="s">
        <v>97</v>
      </c>
      <c r="AN16" s="45" t="s">
        <v>1061</v>
      </c>
      <c r="AO16" s="397">
        <f>AO3</f>
        <v>5607.8617376863258</v>
      </c>
      <c r="AP16" s="791">
        <f>AO16/AL16</f>
        <v>4.6732181147386047</v>
      </c>
      <c r="AQ16" s="791">
        <f>SUM(AP16:AP17)</f>
        <v>7.7478686533660213</v>
      </c>
      <c r="AR16" s="791">
        <v>8</v>
      </c>
      <c r="AS16" s="791"/>
      <c r="AT16" s="791">
        <f>AP16*1*3</f>
        <v>14.019654344215814</v>
      </c>
      <c r="AU16" s="754">
        <f>AP16*1*3</f>
        <v>14.019654344215814</v>
      </c>
      <c r="AW16" s="796" t="s">
        <v>113</v>
      </c>
      <c r="AX16" s="246">
        <v>1200</v>
      </c>
      <c r="AY16" s="628" t="s">
        <v>97</v>
      </c>
      <c r="AZ16" s="45" t="s">
        <v>1061</v>
      </c>
      <c r="BA16" s="397">
        <f>BA3</f>
        <v>9519.7313513577319</v>
      </c>
      <c r="BB16" s="791">
        <f>BA16/AX16</f>
        <v>7.9331094594647764</v>
      </c>
      <c r="BC16" s="791">
        <f>SUM(BB16:BB17)</f>
        <v>13.152540411255044</v>
      </c>
      <c r="BD16" s="791">
        <v>8</v>
      </c>
      <c r="BE16" s="791"/>
      <c r="BF16" s="791">
        <f>BB16*1*3</f>
        <v>23.799328378394328</v>
      </c>
      <c r="BG16" s="754">
        <f>BB16*1*3</f>
        <v>23.799328378394328</v>
      </c>
      <c r="BI16" s="796" t="s">
        <v>113</v>
      </c>
      <c r="BJ16" s="246">
        <v>1200</v>
      </c>
      <c r="BK16" s="628" t="s">
        <v>97</v>
      </c>
      <c r="BL16" s="45" t="s">
        <v>1061</v>
      </c>
      <c r="BM16" s="397">
        <f>BM3</f>
        <v>5086.8811972329013</v>
      </c>
      <c r="BN16" s="791">
        <f>BM16/BJ16</f>
        <v>4.2390676643607508</v>
      </c>
      <c r="BO16" s="791">
        <f>SUM(BN16:BN17)</f>
        <v>7.0280775837562821</v>
      </c>
      <c r="BP16" s="791">
        <v>8</v>
      </c>
      <c r="BQ16" s="791"/>
      <c r="BR16" s="791">
        <f>BN16*1*3</f>
        <v>12.717202993082253</v>
      </c>
      <c r="BS16" s="754">
        <f>BN16*1*3</f>
        <v>12.717202993082253</v>
      </c>
      <c r="BU16" s="796" t="s">
        <v>113</v>
      </c>
      <c r="BV16" s="246">
        <v>1200</v>
      </c>
      <c r="BW16" s="628" t="s">
        <v>97</v>
      </c>
      <c r="BX16" s="45" t="s">
        <v>1061</v>
      </c>
      <c r="BY16" s="397">
        <f>BY3</f>
        <v>4646.670102045171</v>
      </c>
      <c r="BZ16" s="791">
        <f>BY16/BV16</f>
        <v>3.8722250850376425</v>
      </c>
      <c r="CA16" s="791">
        <f>SUM(BZ16:BZ17)</f>
        <v>6.4198782548840772</v>
      </c>
      <c r="CB16" s="791">
        <v>8</v>
      </c>
      <c r="CC16" s="791"/>
      <c r="CD16" s="791">
        <f>BZ16*1*3</f>
        <v>11.616675255112927</v>
      </c>
      <c r="CE16" s="754">
        <f>BZ16*1*3</f>
        <v>11.616675255112927</v>
      </c>
      <c r="CG16" s="796" t="s">
        <v>113</v>
      </c>
      <c r="CH16" s="246">
        <v>1200</v>
      </c>
      <c r="CI16" s="628" t="s">
        <v>97</v>
      </c>
      <c r="CJ16" s="45" t="s">
        <v>1061</v>
      </c>
      <c r="CK16" s="397">
        <f>CK3</f>
        <v>3559.4055381193079</v>
      </c>
      <c r="CL16" s="791">
        <f>CK16/CH16</f>
        <v>2.9661712817660901</v>
      </c>
      <c r="CM16" s="791">
        <f>SUM(CL16:CL17)</f>
        <v>4.9177044448299778</v>
      </c>
      <c r="CN16" s="791">
        <v>8</v>
      </c>
      <c r="CO16" s="791"/>
      <c r="CP16" s="791">
        <f>CL16*1*3</f>
        <v>8.8985138452982699</v>
      </c>
      <c r="CQ16" s="754">
        <f>CL16*1*3</f>
        <v>8.8985138452982699</v>
      </c>
      <c r="CS16" s="796" t="s">
        <v>113</v>
      </c>
      <c r="CT16" s="246">
        <v>1200</v>
      </c>
      <c r="CU16" s="628" t="s">
        <v>97</v>
      </c>
      <c r="CV16" s="45" t="s">
        <v>1061</v>
      </c>
      <c r="CW16" s="397">
        <f>CW3</f>
        <v>2435.3920343518926</v>
      </c>
      <c r="CX16" s="791">
        <f>CW16/CT16</f>
        <v>2.0294933619599105</v>
      </c>
      <c r="CY16" s="791">
        <f>SUM(CX16:CX17)</f>
        <v>3.364757992303371</v>
      </c>
      <c r="CZ16" s="791">
        <v>8</v>
      </c>
      <c r="DA16" s="791"/>
      <c r="DB16" s="791">
        <f>CX16*1*3</f>
        <v>6.0884800858797314</v>
      </c>
      <c r="DC16" s="754">
        <f>CX16*1*3</f>
        <v>6.0884800858797314</v>
      </c>
      <c r="DE16" s="796" t="s">
        <v>113</v>
      </c>
      <c r="DF16" s="246">
        <v>1200</v>
      </c>
      <c r="DG16" s="628" t="s">
        <v>97</v>
      </c>
      <c r="DH16" s="45" t="s">
        <v>1061</v>
      </c>
      <c r="DI16" s="397">
        <f>DI3</f>
        <v>2160.6910037462708</v>
      </c>
      <c r="DJ16" s="791">
        <f>DI16/DF16</f>
        <v>1.8005758364552256</v>
      </c>
      <c r="DK16" s="791">
        <f>SUM(DJ16:DJ17)</f>
        <v>2.985228752170082</v>
      </c>
      <c r="DL16" s="791">
        <v>8</v>
      </c>
      <c r="DM16" s="791"/>
      <c r="DN16" s="791">
        <f>DJ16*1*3</f>
        <v>5.4017275093656769</v>
      </c>
      <c r="DO16" s="754">
        <f>DJ16*1*3</f>
        <v>5.4017275093656769</v>
      </c>
      <c r="DQ16" s="796" t="s">
        <v>113</v>
      </c>
      <c r="DR16" s="246">
        <v>1200</v>
      </c>
      <c r="DS16" s="628" t="s">
        <v>97</v>
      </c>
      <c r="DT16" s="45" t="s">
        <v>1061</v>
      </c>
      <c r="DU16" s="397">
        <f>DU3</f>
        <v>2681.6700296614813</v>
      </c>
      <c r="DV16" s="791">
        <f>DU16/DR16</f>
        <v>2.2347250247179011</v>
      </c>
      <c r="DW16" s="791">
        <f>SUM(DV16:DV17)</f>
        <v>3.7050177292811659</v>
      </c>
      <c r="DX16" s="791">
        <v>8</v>
      </c>
      <c r="DY16" s="791"/>
      <c r="DZ16" s="791">
        <f>DV16*1*3</f>
        <v>6.704175074153703</v>
      </c>
      <c r="EA16" s="754">
        <f>DV16*1*3</f>
        <v>6.704175074153703</v>
      </c>
      <c r="EC16" s="796" t="s">
        <v>113</v>
      </c>
      <c r="ED16" s="246">
        <v>1200</v>
      </c>
      <c r="EE16" s="628" t="s">
        <v>97</v>
      </c>
      <c r="EF16" s="45" t="s">
        <v>1061</v>
      </c>
      <c r="EG16" s="397">
        <f>EG3</f>
        <v>2949.7661078092474</v>
      </c>
      <c r="EH16" s="791">
        <f>EG16/ED16</f>
        <v>2.4581384231743728</v>
      </c>
      <c r="EI16" s="791">
        <f>SUM(EH16:EH17)</f>
        <v>4.0754215118873391</v>
      </c>
      <c r="EJ16" s="791">
        <v>8</v>
      </c>
      <c r="EK16" s="791"/>
      <c r="EL16" s="791">
        <f>EH16*1*3</f>
        <v>7.3744152695231184</v>
      </c>
      <c r="EM16" s="754">
        <f>EH16*1*3</f>
        <v>7.3744152695231184</v>
      </c>
    </row>
    <row r="17" spans="1:143" s="100" customFormat="1">
      <c r="A17" s="796" t="s">
        <v>113</v>
      </c>
      <c r="B17" s="625">
        <v>600</v>
      </c>
      <c r="C17" s="628" t="s">
        <v>97</v>
      </c>
      <c r="D17" s="45" t="s">
        <v>92</v>
      </c>
      <c r="E17" s="792">
        <f>E2*30%</f>
        <v>2264.179078897851</v>
      </c>
      <c r="F17" s="791">
        <f>E17/B17</f>
        <v>3.7736317981630849</v>
      </c>
      <c r="G17" s="791"/>
      <c r="H17" s="791"/>
      <c r="I17" s="791"/>
      <c r="J17" s="791">
        <f>F17*2*3</f>
        <v>22.641790788978511</v>
      </c>
      <c r="K17" s="754">
        <f>F17*2*3</f>
        <v>22.641790788978511</v>
      </c>
      <c r="M17" s="796" t="s">
        <v>113</v>
      </c>
      <c r="N17" s="625">
        <v>600</v>
      </c>
      <c r="O17" s="628" t="s">
        <v>97</v>
      </c>
      <c r="P17" s="45" t="s">
        <v>92</v>
      </c>
      <c r="Q17" s="792">
        <f>Q2*30%</f>
        <v>1568.0892120677051</v>
      </c>
      <c r="R17" s="791">
        <f>Q17/N17</f>
        <v>2.6134820201128419</v>
      </c>
      <c r="S17" s="791"/>
      <c r="T17" s="791"/>
      <c r="U17" s="791"/>
      <c r="V17" s="791">
        <f>R17*2*3</f>
        <v>15.680892120677051</v>
      </c>
      <c r="W17" s="754">
        <f>R17*2*3</f>
        <v>15.680892120677051</v>
      </c>
      <c r="Y17" s="796" t="s">
        <v>113</v>
      </c>
      <c r="Z17" s="625">
        <v>600</v>
      </c>
      <c r="AA17" s="628" t="s">
        <v>97</v>
      </c>
      <c r="AB17" s="45" t="s">
        <v>92</v>
      </c>
      <c r="AC17" s="792">
        <f>AC2*30%</f>
        <v>1358.1931202385447</v>
      </c>
      <c r="AD17" s="791">
        <f>AC17/Z17</f>
        <v>2.2636552003975745</v>
      </c>
      <c r="AE17" s="791"/>
      <c r="AF17" s="791"/>
      <c r="AG17" s="791"/>
      <c r="AH17" s="791">
        <f>AD17*2*3</f>
        <v>13.581931202385448</v>
      </c>
      <c r="AI17" s="754">
        <f>AD17*2*3</f>
        <v>13.581931202385448</v>
      </c>
      <c r="AK17" s="796" t="s">
        <v>113</v>
      </c>
      <c r="AL17" s="625">
        <v>600</v>
      </c>
      <c r="AM17" s="628" t="s">
        <v>97</v>
      </c>
      <c r="AN17" s="45" t="s">
        <v>92</v>
      </c>
      <c r="AO17" s="792">
        <f>AO2*30%</f>
        <v>1844.7903231764503</v>
      </c>
      <c r="AP17" s="791">
        <f>AO17/AL17</f>
        <v>3.074650538627417</v>
      </c>
      <c r="AQ17" s="791"/>
      <c r="AR17" s="791"/>
      <c r="AS17" s="791"/>
      <c r="AT17" s="791">
        <f>AP17*2*3</f>
        <v>18.447903231764503</v>
      </c>
      <c r="AU17" s="754">
        <f>AP17*2*3</f>
        <v>18.447903231764503</v>
      </c>
      <c r="AW17" s="796" t="s">
        <v>113</v>
      </c>
      <c r="AX17" s="625">
        <v>600</v>
      </c>
      <c r="AY17" s="628" t="s">
        <v>97</v>
      </c>
      <c r="AZ17" s="45" t="s">
        <v>92</v>
      </c>
      <c r="BA17" s="792">
        <f>BA2*30%</f>
        <v>3131.6585710741606</v>
      </c>
      <c r="BB17" s="791">
        <f>BA17/AX17</f>
        <v>5.2194309517902679</v>
      </c>
      <c r="BC17" s="791"/>
      <c r="BD17" s="791"/>
      <c r="BE17" s="791"/>
      <c r="BF17" s="791">
        <f>BB17*2*3</f>
        <v>31.316585710741606</v>
      </c>
      <c r="BG17" s="754">
        <f>BB17*2*3</f>
        <v>31.316585710741606</v>
      </c>
      <c r="BI17" s="796" t="s">
        <v>113</v>
      </c>
      <c r="BJ17" s="625">
        <v>600</v>
      </c>
      <c r="BK17" s="628" t="s">
        <v>97</v>
      </c>
      <c r="BL17" s="45" t="s">
        <v>92</v>
      </c>
      <c r="BM17" s="792">
        <f>BM2*30%</f>
        <v>1673.4059516373186</v>
      </c>
      <c r="BN17" s="791">
        <f>BM17/BJ17</f>
        <v>2.7890099193955309</v>
      </c>
      <c r="BO17" s="791"/>
      <c r="BP17" s="791"/>
      <c r="BQ17" s="791"/>
      <c r="BR17" s="791">
        <f>BN17*2*3</f>
        <v>16.734059516373186</v>
      </c>
      <c r="BS17" s="754">
        <f>BN17*2*3</f>
        <v>16.734059516373186</v>
      </c>
      <c r="BU17" s="796" t="s">
        <v>113</v>
      </c>
      <c r="BV17" s="625">
        <v>600</v>
      </c>
      <c r="BW17" s="628" t="s">
        <v>97</v>
      </c>
      <c r="BX17" s="45" t="s">
        <v>92</v>
      </c>
      <c r="BY17" s="792">
        <f>BY2*30%</f>
        <v>1528.5919019078608</v>
      </c>
      <c r="BZ17" s="791">
        <f>BY17/BV17</f>
        <v>2.5476531698464346</v>
      </c>
      <c r="CA17" s="791"/>
      <c r="CB17" s="791"/>
      <c r="CC17" s="791"/>
      <c r="CD17" s="791">
        <f>BZ17*2*3</f>
        <v>15.285919019078609</v>
      </c>
      <c r="CE17" s="754">
        <f>BZ17*2*3</f>
        <v>15.285919019078609</v>
      </c>
      <c r="CG17" s="796" t="s">
        <v>113</v>
      </c>
      <c r="CH17" s="625">
        <v>600</v>
      </c>
      <c r="CI17" s="628" t="s">
        <v>97</v>
      </c>
      <c r="CJ17" s="45" t="s">
        <v>92</v>
      </c>
      <c r="CK17" s="792">
        <f>CK2*30%</f>
        <v>1170.9198978383324</v>
      </c>
      <c r="CL17" s="791">
        <f>CK17/CH17</f>
        <v>1.9515331630638875</v>
      </c>
      <c r="CM17" s="791"/>
      <c r="CN17" s="791"/>
      <c r="CO17" s="791"/>
      <c r="CP17" s="791">
        <f>CL17*2*3</f>
        <v>11.709198978383325</v>
      </c>
      <c r="CQ17" s="754">
        <f>CL17*2*3</f>
        <v>11.709198978383325</v>
      </c>
      <c r="CS17" s="796" t="s">
        <v>113</v>
      </c>
      <c r="CT17" s="625">
        <v>600</v>
      </c>
      <c r="CU17" s="628" t="s">
        <v>97</v>
      </c>
      <c r="CV17" s="45" t="s">
        <v>92</v>
      </c>
      <c r="CW17" s="792">
        <f>CW2*30%</f>
        <v>801.15877820607648</v>
      </c>
      <c r="CX17" s="791">
        <f>CW17/CT17</f>
        <v>1.3352646303434608</v>
      </c>
      <c r="CY17" s="791"/>
      <c r="CZ17" s="791"/>
      <c r="DA17" s="791"/>
      <c r="DB17" s="791">
        <f>CX17*2*3</f>
        <v>8.0115877820607651</v>
      </c>
      <c r="DC17" s="754">
        <f>CX17*2*3</f>
        <v>8.0115877820607651</v>
      </c>
      <c r="DE17" s="796" t="s">
        <v>113</v>
      </c>
      <c r="DF17" s="625">
        <v>600</v>
      </c>
      <c r="DG17" s="628" t="s">
        <v>97</v>
      </c>
      <c r="DH17" s="45" t="s">
        <v>92</v>
      </c>
      <c r="DI17" s="792">
        <f>DI2*30%</f>
        <v>710.79174942891382</v>
      </c>
      <c r="DJ17" s="791">
        <f>DI17/DF17</f>
        <v>1.1846529157148564</v>
      </c>
      <c r="DK17" s="791"/>
      <c r="DL17" s="791"/>
      <c r="DM17" s="791"/>
      <c r="DN17" s="791">
        <f>DJ17*2*3</f>
        <v>7.1079174942891381</v>
      </c>
      <c r="DO17" s="754">
        <f>DJ17*2*3</f>
        <v>7.1079174942891381</v>
      </c>
      <c r="DQ17" s="796" t="s">
        <v>113</v>
      </c>
      <c r="DR17" s="625">
        <v>600</v>
      </c>
      <c r="DS17" s="628" t="s">
        <v>97</v>
      </c>
      <c r="DT17" s="45" t="s">
        <v>92</v>
      </c>
      <c r="DU17" s="792">
        <f>DU2*30%</f>
        <v>882.17562273795886</v>
      </c>
      <c r="DV17" s="791">
        <f>DU17/DR17</f>
        <v>1.4702927045632648</v>
      </c>
      <c r="DW17" s="791"/>
      <c r="DX17" s="791"/>
      <c r="DY17" s="791"/>
      <c r="DZ17" s="791">
        <f>DV17*2*3</f>
        <v>8.8217562273795878</v>
      </c>
      <c r="EA17" s="754">
        <f>DV17*2*3</f>
        <v>8.8217562273795878</v>
      </c>
      <c r="EC17" s="796" t="s">
        <v>113</v>
      </c>
      <c r="ED17" s="625">
        <v>600</v>
      </c>
      <c r="EE17" s="628" t="s">
        <v>97</v>
      </c>
      <c r="EF17" s="45" t="s">
        <v>92</v>
      </c>
      <c r="EG17" s="792">
        <f>EG2*30%</f>
        <v>970.36985322777991</v>
      </c>
      <c r="EH17" s="791">
        <f>EG17/ED17</f>
        <v>1.6172830887129666</v>
      </c>
      <c r="EI17" s="791"/>
      <c r="EJ17" s="791"/>
      <c r="EK17" s="791"/>
      <c r="EL17" s="791">
        <f>EH17*2*3</f>
        <v>9.7036985322777998</v>
      </c>
      <c r="EM17" s="754">
        <f>EH17*2*3</f>
        <v>9.7036985322777998</v>
      </c>
    </row>
    <row r="18" spans="1:143" s="100" customFormat="1">
      <c r="A18" s="773" t="s">
        <v>1062</v>
      </c>
      <c r="B18" s="625" t="s">
        <v>1063</v>
      </c>
      <c r="C18" s="628"/>
      <c r="D18" s="45"/>
      <c r="E18" s="397"/>
      <c r="F18" s="45">
        <v>6</v>
      </c>
      <c r="G18" s="45"/>
      <c r="H18" s="45"/>
      <c r="I18" s="45"/>
      <c r="J18" s="45"/>
      <c r="M18" s="773" t="s">
        <v>1062</v>
      </c>
      <c r="N18" s="625" t="s">
        <v>1063</v>
      </c>
      <c r="O18" s="628"/>
      <c r="P18" s="45"/>
      <c r="Q18" s="397"/>
      <c r="R18" s="45">
        <v>6</v>
      </c>
      <c r="S18" s="45"/>
      <c r="T18" s="45"/>
      <c r="U18" s="45"/>
      <c r="V18" s="45"/>
      <c r="Y18" s="773" t="s">
        <v>1062</v>
      </c>
      <c r="Z18" s="625" t="s">
        <v>1063</v>
      </c>
      <c r="AA18" s="628"/>
      <c r="AB18" s="45"/>
      <c r="AC18" s="397"/>
      <c r="AD18" s="45">
        <v>6</v>
      </c>
      <c r="AE18" s="45"/>
      <c r="AF18" s="45"/>
      <c r="AG18" s="45"/>
      <c r="AH18" s="45"/>
      <c r="AK18" s="773" t="s">
        <v>1062</v>
      </c>
      <c r="AL18" s="625" t="s">
        <v>1063</v>
      </c>
      <c r="AM18" s="628"/>
      <c r="AN18" s="45"/>
      <c r="AO18" s="397"/>
      <c r="AP18" s="45">
        <v>6</v>
      </c>
      <c r="AQ18" s="45"/>
      <c r="AR18" s="45"/>
      <c r="AS18" s="45"/>
      <c r="AT18" s="45"/>
      <c r="AW18" s="773" t="s">
        <v>1062</v>
      </c>
      <c r="AX18" s="625" t="s">
        <v>1063</v>
      </c>
      <c r="AY18" s="628"/>
      <c r="AZ18" s="45"/>
      <c r="BA18" s="397"/>
      <c r="BB18" s="45">
        <v>6</v>
      </c>
      <c r="BC18" s="45"/>
      <c r="BD18" s="45"/>
      <c r="BE18" s="45"/>
      <c r="BF18" s="45"/>
      <c r="BI18" s="773" t="s">
        <v>1062</v>
      </c>
      <c r="BJ18" s="625" t="s">
        <v>1063</v>
      </c>
      <c r="BK18" s="628"/>
      <c r="BL18" s="45"/>
      <c r="BM18" s="397"/>
      <c r="BN18" s="45">
        <v>6</v>
      </c>
      <c r="BO18" s="45"/>
      <c r="BP18" s="45"/>
      <c r="BQ18" s="45"/>
      <c r="BR18" s="45"/>
      <c r="BU18" s="773" t="s">
        <v>1062</v>
      </c>
      <c r="BV18" s="625" t="s">
        <v>1063</v>
      </c>
      <c r="BW18" s="628"/>
      <c r="BX18" s="45"/>
      <c r="BY18" s="397"/>
      <c r="BZ18" s="45">
        <v>6</v>
      </c>
      <c r="CA18" s="45"/>
      <c r="CB18" s="45"/>
      <c r="CC18" s="45"/>
      <c r="CD18" s="45"/>
      <c r="CG18" s="773" t="s">
        <v>1062</v>
      </c>
      <c r="CH18" s="625" t="s">
        <v>1063</v>
      </c>
      <c r="CI18" s="628"/>
      <c r="CJ18" s="45"/>
      <c r="CK18" s="397"/>
      <c r="CL18" s="45">
        <v>6</v>
      </c>
      <c r="CM18" s="45"/>
      <c r="CN18" s="45"/>
      <c r="CO18" s="45"/>
      <c r="CP18" s="45"/>
      <c r="CS18" s="773" t="s">
        <v>1062</v>
      </c>
      <c r="CT18" s="625" t="s">
        <v>1063</v>
      </c>
      <c r="CU18" s="628"/>
      <c r="CV18" s="45"/>
      <c r="CW18" s="397"/>
      <c r="CX18" s="45">
        <v>6</v>
      </c>
      <c r="CY18" s="45"/>
      <c r="CZ18" s="45"/>
      <c r="DA18" s="45"/>
      <c r="DB18" s="45"/>
      <c r="DE18" s="773" t="s">
        <v>1062</v>
      </c>
      <c r="DF18" s="625" t="s">
        <v>1063</v>
      </c>
      <c r="DG18" s="628"/>
      <c r="DH18" s="45"/>
      <c r="DI18" s="397"/>
      <c r="DJ18" s="45">
        <v>6</v>
      </c>
      <c r="DK18" s="45"/>
      <c r="DL18" s="45"/>
      <c r="DM18" s="45"/>
      <c r="DN18" s="45"/>
      <c r="DQ18" s="773" t="s">
        <v>1062</v>
      </c>
      <c r="DR18" s="625" t="s">
        <v>1063</v>
      </c>
      <c r="DS18" s="628"/>
      <c r="DT18" s="45"/>
      <c r="DU18" s="397"/>
      <c r="DV18" s="45">
        <v>6</v>
      </c>
      <c r="DW18" s="45"/>
      <c r="DX18" s="45"/>
      <c r="DY18" s="45"/>
      <c r="DZ18" s="45"/>
      <c r="EC18" s="773" t="s">
        <v>1062</v>
      </c>
      <c r="ED18" s="625" t="s">
        <v>1063</v>
      </c>
      <c r="EE18" s="628"/>
      <c r="EF18" s="45"/>
      <c r="EG18" s="397"/>
      <c r="EH18" s="45">
        <v>6</v>
      </c>
      <c r="EI18" s="45"/>
      <c r="EJ18" s="45"/>
      <c r="EK18" s="45"/>
      <c r="EL18" s="45"/>
    </row>
    <row r="19" spans="1:143" s="100" customFormat="1">
      <c r="A19" s="773" t="s">
        <v>1064</v>
      </c>
      <c r="B19" s="790">
        <v>3000</v>
      </c>
      <c r="C19" s="628" t="s">
        <v>97</v>
      </c>
      <c r="D19" s="45" t="s">
        <v>92</v>
      </c>
      <c r="E19" s="792">
        <f>E2*70%</f>
        <v>5283.0845174283186</v>
      </c>
      <c r="F19" s="791">
        <f t="shared" ref="F19:F23" si="24">E19/B19</f>
        <v>1.7610281724761061</v>
      </c>
      <c r="G19" s="791">
        <f>F19</f>
        <v>1.7610281724761061</v>
      </c>
      <c r="H19" s="791">
        <v>2</v>
      </c>
      <c r="I19" s="791">
        <f>G19-H19</f>
        <v>-0.2389718275238939</v>
      </c>
      <c r="J19" s="791">
        <f>(ROUNDUP(G19/0.33,0))*7</f>
        <v>42</v>
      </c>
      <c r="K19" s="754">
        <f>G19*7*3</f>
        <v>36.981591621998227</v>
      </c>
      <c r="M19" s="773" t="s">
        <v>1064</v>
      </c>
      <c r="N19" s="790">
        <v>3000</v>
      </c>
      <c r="O19" s="628" t="s">
        <v>97</v>
      </c>
      <c r="P19" s="45" t="s">
        <v>92</v>
      </c>
      <c r="Q19" s="792">
        <f>Q2*70%</f>
        <v>3658.8748281579783</v>
      </c>
      <c r="R19" s="791">
        <f t="shared" ref="R19:R23" si="25">Q19/N19</f>
        <v>1.2196249427193262</v>
      </c>
      <c r="S19" s="791">
        <f>R19</f>
        <v>1.2196249427193262</v>
      </c>
      <c r="T19" s="791">
        <v>2</v>
      </c>
      <c r="U19" s="791">
        <f>S19-T19</f>
        <v>-0.7803750572806738</v>
      </c>
      <c r="V19" s="791">
        <f>(ROUNDUP(S19/0.33,0))*7</f>
        <v>28</v>
      </c>
      <c r="W19" s="754">
        <f>S19*7*3</f>
        <v>25.612123797105852</v>
      </c>
      <c r="Y19" s="773" t="s">
        <v>1064</v>
      </c>
      <c r="Z19" s="790">
        <v>3000</v>
      </c>
      <c r="AA19" s="628" t="s">
        <v>97</v>
      </c>
      <c r="AB19" s="45" t="s">
        <v>92</v>
      </c>
      <c r="AC19" s="792">
        <f>AC2*70%</f>
        <v>3169.1172805566039</v>
      </c>
      <c r="AD19" s="791">
        <f t="shared" ref="AD19:AD23" si="26">AC19/Z19</f>
        <v>1.0563724268522012</v>
      </c>
      <c r="AE19" s="791">
        <f>AD19</f>
        <v>1.0563724268522012</v>
      </c>
      <c r="AF19" s="791">
        <v>2</v>
      </c>
      <c r="AG19" s="791">
        <f>AE19-AF19</f>
        <v>-0.94362757314779877</v>
      </c>
      <c r="AH19" s="791">
        <f>(ROUNDUP(AE19/0.33,0))*7</f>
        <v>28</v>
      </c>
      <c r="AI19" s="754">
        <f>AE19*7*3</f>
        <v>22.183820963896224</v>
      </c>
      <c r="AK19" s="773" t="s">
        <v>1064</v>
      </c>
      <c r="AL19" s="790">
        <v>3000</v>
      </c>
      <c r="AM19" s="628" t="s">
        <v>97</v>
      </c>
      <c r="AN19" s="45" t="s">
        <v>92</v>
      </c>
      <c r="AO19" s="792">
        <f>AO2*70%</f>
        <v>4304.5107540783838</v>
      </c>
      <c r="AP19" s="791">
        <f t="shared" ref="AP19:AP23" si="27">AO19/AL19</f>
        <v>1.434836918026128</v>
      </c>
      <c r="AQ19" s="791">
        <f>AP19</f>
        <v>1.434836918026128</v>
      </c>
      <c r="AR19" s="791">
        <v>2</v>
      </c>
      <c r="AS19" s="791">
        <f>AQ19-AR19</f>
        <v>-0.56516308197387199</v>
      </c>
      <c r="AT19" s="791">
        <f>(ROUNDUP(AQ19/0.33,0))*7</f>
        <v>35</v>
      </c>
      <c r="AU19" s="754">
        <f>AQ19*7*3</f>
        <v>30.131575278548688</v>
      </c>
      <c r="AW19" s="773" t="s">
        <v>1064</v>
      </c>
      <c r="AX19" s="790">
        <v>3000</v>
      </c>
      <c r="AY19" s="628" t="s">
        <v>97</v>
      </c>
      <c r="AZ19" s="45" t="s">
        <v>92</v>
      </c>
      <c r="BA19" s="792">
        <f>BA2*70%</f>
        <v>7307.203332506374</v>
      </c>
      <c r="BB19" s="791">
        <f t="shared" ref="BB19:BB23" si="28">BA19/AX19</f>
        <v>2.4357344441687911</v>
      </c>
      <c r="BC19" s="791">
        <f>BB19</f>
        <v>2.4357344441687911</v>
      </c>
      <c r="BD19" s="791">
        <v>2</v>
      </c>
      <c r="BE19" s="791">
        <f>BC19-BD19</f>
        <v>0.43573444416879115</v>
      </c>
      <c r="BF19" s="791">
        <f>(ROUNDUP(BC19/0.33,0))*7</f>
        <v>56</v>
      </c>
      <c r="BG19" s="754">
        <f>BC19*7*3</f>
        <v>51.150423327544615</v>
      </c>
      <c r="BI19" s="773" t="s">
        <v>1064</v>
      </c>
      <c r="BJ19" s="790">
        <v>3000</v>
      </c>
      <c r="BK19" s="628" t="s">
        <v>97</v>
      </c>
      <c r="BL19" s="45" t="s">
        <v>92</v>
      </c>
      <c r="BM19" s="792">
        <f>BM2*70%</f>
        <v>3904.6138871537432</v>
      </c>
      <c r="BN19" s="791">
        <f t="shared" ref="BN19:BN23" si="29">BM19/BJ19</f>
        <v>1.3015379623845811</v>
      </c>
      <c r="BO19" s="791">
        <f>BN19</f>
        <v>1.3015379623845811</v>
      </c>
      <c r="BP19" s="791">
        <v>2</v>
      </c>
      <c r="BQ19" s="791">
        <f>BO19-BP19</f>
        <v>-0.69846203761541892</v>
      </c>
      <c r="BR19" s="791">
        <f>(ROUNDUP(BO19/0.33,0))*7</f>
        <v>28</v>
      </c>
      <c r="BS19" s="754">
        <f>BO19*7*3</f>
        <v>27.332297210076206</v>
      </c>
      <c r="BU19" s="773" t="s">
        <v>1064</v>
      </c>
      <c r="BV19" s="790">
        <v>3000</v>
      </c>
      <c r="BW19" s="628" t="s">
        <v>97</v>
      </c>
      <c r="BX19" s="45" t="s">
        <v>92</v>
      </c>
      <c r="BY19" s="792">
        <f>BY2*70%</f>
        <v>3566.7144377850082</v>
      </c>
      <c r="BZ19" s="791">
        <f t="shared" ref="BZ19:BZ23" si="30">BY19/BV19</f>
        <v>1.1889048125950028</v>
      </c>
      <c r="CA19" s="791">
        <f>BZ19</f>
        <v>1.1889048125950028</v>
      </c>
      <c r="CB19" s="791">
        <v>2</v>
      </c>
      <c r="CC19" s="791">
        <f>CA19-CB19</f>
        <v>-0.8110951874049972</v>
      </c>
      <c r="CD19" s="791">
        <f>(ROUNDUP(CA19/0.33,0))*7</f>
        <v>28</v>
      </c>
      <c r="CE19" s="754">
        <f>CA19*7*3</f>
        <v>24.967001064495062</v>
      </c>
      <c r="CG19" s="773" t="s">
        <v>1064</v>
      </c>
      <c r="CH19" s="790">
        <v>3000</v>
      </c>
      <c r="CI19" s="628" t="s">
        <v>97</v>
      </c>
      <c r="CJ19" s="45" t="s">
        <v>92</v>
      </c>
      <c r="CK19" s="792">
        <f>CK2*70%</f>
        <v>2732.1464282894422</v>
      </c>
      <c r="CL19" s="791">
        <f t="shared" ref="CL19:CL23" si="31">CK19/CH19</f>
        <v>0.91071547609648074</v>
      </c>
      <c r="CM19" s="791">
        <f>CL19</f>
        <v>0.91071547609648074</v>
      </c>
      <c r="CN19" s="791">
        <v>2</v>
      </c>
      <c r="CO19" s="791">
        <f>CM19-CN19</f>
        <v>-1.0892845239035194</v>
      </c>
      <c r="CP19" s="791">
        <f>(ROUNDUP(CM19/0.33,0))*7</f>
        <v>21</v>
      </c>
      <c r="CQ19" s="754">
        <f>CM19*7*3</f>
        <v>19.125024998026095</v>
      </c>
      <c r="CS19" s="773" t="s">
        <v>1064</v>
      </c>
      <c r="CT19" s="790">
        <v>3000</v>
      </c>
      <c r="CU19" s="628" t="s">
        <v>97</v>
      </c>
      <c r="CV19" s="45" t="s">
        <v>92</v>
      </c>
      <c r="CW19" s="792">
        <f>CW2*70%</f>
        <v>1869.3704824808449</v>
      </c>
      <c r="CX19" s="791">
        <f t="shared" ref="CX19:CX23" si="32">CW19/CT19</f>
        <v>0.62312349416028168</v>
      </c>
      <c r="CY19" s="791">
        <f>CX19</f>
        <v>0.62312349416028168</v>
      </c>
      <c r="CZ19" s="791">
        <v>2</v>
      </c>
      <c r="DA19" s="791">
        <f>CY19-CZ19</f>
        <v>-1.3768765058397183</v>
      </c>
      <c r="DB19" s="791">
        <f>(ROUNDUP(CY19/0.33,0))*7</f>
        <v>14</v>
      </c>
      <c r="DC19" s="754">
        <f>CY19*7*3</f>
        <v>13.085593377365914</v>
      </c>
      <c r="DE19" s="773" t="s">
        <v>1064</v>
      </c>
      <c r="DF19" s="790">
        <v>3000</v>
      </c>
      <c r="DG19" s="628" t="s">
        <v>97</v>
      </c>
      <c r="DH19" s="45" t="s">
        <v>92</v>
      </c>
      <c r="DI19" s="792">
        <f>DI2*70%</f>
        <v>1658.5140820007989</v>
      </c>
      <c r="DJ19" s="791">
        <f t="shared" ref="DJ19:DJ23" si="33">DI19/DF19</f>
        <v>0.55283802733359966</v>
      </c>
      <c r="DK19" s="791">
        <f>DJ19</f>
        <v>0.55283802733359966</v>
      </c>
      <c r="DL19" s="791">
        <v>2</v>
      </c>
      <c r="DM19" s="791">
        <f>DK19-DL19</f>
        <v>-1.4471619726664002</v>
      </c>
      <c r="DN19" s="791">
        <f>(ROUNDUP(DK19/0.33,0))*7</f>
        <v>14</v>
      </c>
      <c r="DO19" s="754">
        <f>DK19*7*3</f>
        <v>11.609598574005592</v>
      </c>
      <c r="DQ19" s="773" t="s">
        <v>1064</v>
      </c>
      <c r="DR19" s="790">
        <v>3000</v>
      </c>
      <c r="DS19" s="628" t="s">
        <v>97</v>
      </c>
      <c r="DT19" s="45" t="s">
        <v>92</v>
      </c>
      <c r="DU19" s="792">
        <f>DU2*70%</f>
        <v>2058.4097863885704</v>
      </c>
      <c r="DV19" s="791">
        <f t="shared" ref="DV19:DV23" si="34">DU19/DR19</f>
        <v>0.68613659546285677</v>
      </c>
      <c r="DW19" s="791">
        <f>DV19</f>
        <v>0.68613659546285677</v>
      </c>
      <c r="DX19" s="791">
        <v>2</v>
      </c>
      <c r="DY19" s="791">
        <f>DW19-DX19</f>
        <v>-1.3138634045371433</v>
      </c>
      <c r="DZ19" s="791">
        <f>(ROUNDUP(DW19/0.33,0))*7</f>
        <v>21</v>
      </c>
      <c r="EA19" s="754">
        <f>DW19*7*3</f>
        <v>14.40886850471999</v>
      </c>
      <c r="EC19" s="773" t="s">
        <v>1064</v>
      </c>
      <c r="ED19" s="790">
        <v>3000</v>
      </c>
      <c r="EE19" s="628" t="s">
        <v>97</v>
      </c>
      <c r="EF19" s="45" t="s">
        <v>92</v>
      </c>
      <c r="EG19" s="792">
        <f>EG2*70%</f>
        <v>2264.196324198153</v>
      </c>
      <c r="EH19" s="791">
        <f t="shared" ref="EH19:EH23" si="35">EG19/ED19</f>
        <v>0.75473210806605096</v>
      </c>
      <c r="EI19" s="791">
        <f>EH19</f>
        <v>0.75473210806605096</v>
      </c>
      <c r="EJ19" s="791">
        <v>2</v>
      </c>
      <c r="EK19" s="791">
        <f>EI19-EJ19</f>
        <v>-1.245267891933949</v>
      </c>
      <c r="EL19" s="791">
        <f>(ROUNDUP(EI19/0.33,0))*7</f>
        <v>21</v>
      </c>
      <c r="EM19" s="754">
        <f>EI19*7*3</f>
        <v>15.84937426938707</v>
      </c>
    </row>
    <row r="20" spans="1:143" s="100" customFormat="1">
      <c r="A20" s="796" t="s">
        <v>114</v>
      </c>
      <c r="B20" s="246">
        <v>3400</v>
      </c>
      <c r="C20" s="628" t="s">
        <v>97</v>
      </c>
      <c r="D20" s="45" t="s">
        <v>276</v>
      </c>
      <c r="E20" s="397">
        <f>E3</f>
        <v>6882.7351619876554</v>
      </c>
      <c r="F20" s="791">
        <f t="shared" si="24"/>
        <v>2.02433387117284</v>
      </c>
      <c r="G20" s="791">
        <f>SUM(F20:F21)</f>
        <v>6.2172580913540454</v>
      </c>
      <c r="H20" s="791">
        <v>4</v>
      </c>
      <c r="I20" s="791">
        <f>G20-H20</f>
        <v>2.2172580913540454</v>
      </c>
      <c r="J20" s="791">
        <f>(ROUNDUP(G20/0.33,0))*1</f>
        <v>19</v>
      </c>
      <c r="K20" s="754">
        <f>G20*1*3</f>
        <v>18.651774274062134</v>
      </c>
      <c r="M20" s="796" t="s">
        <v>114</v>
      </c>
      <c r="N20" s="246">
        <v>3400</v>
      </c>
      <c r="O20" s="628" t="s">
        <v>97</v>
      </c>
      <c r="P20" s="45" t="s">
        <v>276</v>
      </c>
      <c r="Q20" s="397">
        <f>Q3</f>
        <v>4766.7354837876001</v>
      </c>
      <c r="R20" s="791">
        <f t="shared" si="25"/>
        <v>1.4019810246434117</v>
      </c>
      <c r="S20" s="791">
        <f>SUM(R20:R21)</f>
        <v>4.3058499358799027</v>
      </c>
      <c r="T20" s="791">
        <v>4</v>
      </c>
      <c r="U20" s="791">
        <f>S20-T20</f>
        <v>0.30584993587990272</v>
      </c>
      <c r="V20" s="791">
        <f>(ROUNDUP(S20/0.33,0))*1</f>
        <v>14</v>
      </c>
      <c r="W20" s="754">
        <f>S20*1*3</f>
        <v>12.917549807639709</v>
      </c>
      <c r="Y20" s="796" t="s">
        <v>114</v>
      </c>
      <c r="Z20" s="246">
        <v>3400</v>
      </c>
      <c r="AA20" s="628" t="s">
        <v>97</v>
      </c>
      <c r="AB20" s="45" t="s">
        <v>276</v>
      </c>
      <c r="AC20" s="397">
        <f>AC3</f>
        <v>4128.6855940679325</v>
      </c>
      <c r="AD20" s="791">
        <f t="shared" si="26"/>
        <v>1.2143192923729214</v>
      </c>
      <c r="AE20" s="791">
        <f>SUM(AD20:AD21)</f>
        <v>3.7294917372591154</v>
      </c>
      <c r="AF20" s="791">
        <v>4</v>
      </c>
      <c r="AG20" s="791">
        <f>AE20-AF20</f>
        <v>-0.27050826274088458</v>
      </c>
      <c r="AH20" s="791">
        <f>(ROUNDUP(AE20/0.33,0))*1</f>
        <v>12</v>
      </c>
      <c r="AI20" s="754">
        <f>AE20*1*3</f>
        <v>11.188475211777346</v>
      </c>
      <c r="AK20" s="796" t="s">
        <v>114</v>
      </c>
      <c r="AL20" s="246">
        <v>3400</v>
      </c>
      <c r="AM20" s="628" t="s">
        <v>97</v>
      </c>
      <c r="AN20" s="45" t="s">
        <v>276</v>
      </c>
      <c r="AO20" s="397">
        <f>AO3</f>
        <v>5607.8617376863258</v>
      </c>
      <c r="AP20" s="791">
        <f t="shared" si="27"/>
        <v>1.6493710993195076</v>
      </c>
      <c r="AQ20" s="791">
        <f>SUM(AP20:AP21)</f>
        <v>5.0656494755721937</v>
      </c>
      <c r="AR20" s="791">
        <v>4</v>
      </c>
      <c r="AS20" s="791">
        <f>AQ20-AR20</f>
        <v>1.0656494755721937</v>
      </c>
      <c r="AT20" s="791">
        <f>(ROUNDUP(AQ20/0.33,0))*1</f>
        <v>16</v>
      </c>
      <c r="AU20" s="754">
        <f>AQ20*1*3</f>
        <v>15.196948426716581</v>
      </c>
      <c r="AW20" s="796" t="s">
        <v>114</v>
      </c>
      <c r="AX20" s="246">
        <v>3400</v>
      </c>
      <c r="AY20" s="628" t="s">
        <v>97</v>
      </c>
      <c r="AZ20" s="45" t="s">
        <v>276</v>
      </c>
      <c r="BA20" s="397">
        <f>BA3</f>
        <v>9519.7313513577319</v>
      </c>
      <c r="BB20" s="791">
        <f t="shared" si="28"/>
        <v>2.7999209856934506</v>
      </c>
      <c r="BC20" s="791">
        <f>SUM(BB20:BB21)</f>
        <v>8.5992887099048581</v>
      </c>
      <c r="BD20" s="791">
        <v>4</v>
      </c>
      <c r="BE20" s="791">
        <f>BC20-BD20</f>
        <v>4.5992887099048581</v>
      </c>
      <c r="BF20" s="791">
        <f>(ROUNDUP(BC20/0.33,0))*1</f>
        <v>27</v>
      </c>
      <c r="BG20" s="754">
        <f>BC20*1*3</f>
        <v>25.797866129714574</v>
      </c>
      <c r="BI20" s="796" t="s">
        <v>114</v>
      </c>
      <c r="BJ20" s="246">
        <v>3400</v>
      </c>
      <c r="BK20" s="628" t="s">
        <v>97</v>
      </c>
      <c r="BL20" s="45" t="s">
        <v>276</v>
      </c>
      <c r="BM20" s="397">
        <f>BM3</f>
        <v>5086.8811972329013</v>
      </c>
      <c r="BN20" s="791">
        <f t="shared" si="29"/>
        <v>1.4961415285979121</v>
      </c>
      <c r="BO20" s="791">
        <f>SUM(BN20:BN21)</f>
        <v>4.5950414390373915</v>
      </c>
      <c r="BP20" s="791">
        <v>4</v>
      </c>
      <c r="BQ20" s="791">
        <f>BO20-BP20</f>
        <v>0.59504143903739148</v>
      </c>
      <c r="BR20" s="791">
        <f>(ROUNDUP(BO20/0.33,0))*1</f>
        <v>14</v>
      </c>
      <c r="BS20" s="754">
        <f>BO20*1*3</f>
        <v>13.785124317112174</v>
      </c>
      <c r="BU20" s="796" t="s">
        <v>114</v>
      </c>
      <c r="BV20" s="246">
        <v>3400</v>
      </c>
      <c r="BW20" s="628" t="s">
        <v>97</v>
      </c>
      <c r="BX20" s="45" t="s">
        <v>276</v>
      </c>
      <c r="BY20" s="397">
        <f>BY3</f>
        <v>4646.670102045171</v>
      </c>
      <c r="BZ20" s="791">
        <f t="shared" si="30"/>
        <v>1.3666676770721091</v>
      </c>
      <c r="CA20" s="791">
        <f>SUM(BZ20:BZ21)</f>
        <v>4.1973934213459252</v>
      </c>
      <c r="CB20" s="791">
        <v>4</v>
      </c>
      <c r="CC20" s="791">
        <f>CA20-CB20</f>
        <v>0.19739342134592519</v>
      </c>
      <c r="CD20" s="791">
        <f>(ROUNDUP(CA20/0.33,0))*1</f>
        <v>13</v>
      </c>
      <c r="CE20" s="754">
        <f>CA20*1*3</f>
        <v>12.592180264037776</v>
      </c>
      <c r="CG20" s="796" t="s">
        <v>114</v>
      </c>
      <c r="CH20" s="246">
        <v>3400</v>
      </c>
      <c r="CI20" s="628" t="s">
        <v>97</v>
      </c>
      <c r="CJ20" s="45" t="s">
        <v>276</v>
      </c>
      <c r="CK20" s="397">
        <f>CK3</f>
        <v>3559.4055381193079</v>
      </c>
      <c r="CL20" s="791">
        <f t="shared" si="31"/>
        <v>1.0468839817997964</v>
      </c>
      <c r="CM20" s="791">
        <f>SUM(CL20:CL21)</f>
        <v>3.2152541629818936</v>
      </c>
      <c r="CN20" s="791">
        <v>4</v>
      </c>
      <c r="CO20" s="791">
        <f>CM20-CN20</f>
        <v>-0.78474583701810641</v>
      </c>
      <c r="CP20" s="791">
        <f>(ROUNDUP(CM20/0.33,0))*1</f>
        <v>10</v>
      </c>
      <c r="CQ20" s="754">
        <f>CM20*1*3</f>
        <v>9.6457624889456817</v>
      </c>
      <c r="CS20" s="796" t="s">
        <v>114</v>
      </c>
      <c r="CT20" s="246">
        <v>3400</v>
      </c>
      <c r="CU20" s="628" t="s">
        <v>97</v>
      </c>
      <c r="CV20" s="45" t="s">
        <v>276</v>
      </c>
      <c r="CW20" s="397">
        <f>CW3</f>
        <v>2435.3920343518926</v>
      </c>
      <c r="CX20" s="791">
        <f t="shared" si="32"/>
        <v>0.71629177480938011</v>
      </c>
      <c r="CY20" s="791">
        <f>SUM(CX20:CX21)</f>
        <v>2.19991914185767</v>
      </c>
      <c r="CZ20" s="791">
        <v>4</v>
      </c>
      <c r="DA20" s="791">
        <f>CY20-CZ20</f>
        <v>-1.80008085814233</v>
      </c>
      <c r="DB20" s="791">
        <f>(ROUNDUP(CY20/0.33,0))*1</f>
        <v>7</v>
      </c>
      <c r="DC20" s="754">
        <f>CY20*1*3</f>
        <v>6.59975742557301</v>
      </c>
      <c r="DE20" s="796" t="s">
        <v>114</v>
      </c>
      <c r="DF20" s="246">
        <v>3400</v>
      </c>
      <c r="DG20" s="628" t="s">
        <v>97</v>
      </c>
      <c r="DH20" s="45" t="s">
        <v>276</v>
      </c>
      <c r="DI20" s="397">
        <f>DI3</f>
        <v>2160.6910037462708</v>
      </c>
      <c r="DJ20" s="791">
        <f t="shared" si="33"/>
        <v>0.63549735404302077</v>
      </c>
      <c r="DK20" s="791">
        <f>SUM(DJ20:DJ21)</f>
        <v>1.9517783715039725</v>
      </c>
      <c r="DL20" s="791">
        <v>4</v>
      </c>
      <c r="DM20" s="791">
        <f>DK20-DL20</f>
        <v>-2.0482216284960275</v>
      </c>
      <c r="DN20" s="791">
        <f>(ROUNDUP(DK20/0.33,0))*1</f>
        <v>6</v>
      </c>
      <c r="DO20" s="754">
        <f>DK20*1*3</f>
        <v>5.8553351145119175</v>
      </c>
      <c r="DQ20" s="796" t="s">
        <v>114</v>
      </c>
      <c r="DR20" s="246">
        <v>3400</v>
      </c>
      <c r="DS20" s="628" t="s">
        <v>97</v>
      </c>
      <c r="DT20" s="45" t="s">
        <v>276</v>
      </c>
      <c r="DU20" s="397">
        <f>DU3</f>
        <v>2681.6700296614813</v>
      </c>
      <c r="DV20" s="791">
        <f t="shared" si="34"/>
        <v>0.78872647931220041</v>
      </c>
      <c r="DW20" s="791">
        <f>SUM(DV20:DV21)</f>
        <v>2.4223850399380504</v>
      </c>
      <c r="DX20" s="791">
        <v>4</v>
      </c>
      <c r="DY20" s="791">
        <f>DW20-DX20</f>
        <v>-1.5776149600619496</v>
      </c>
      <c r="DZ20" s="791">
        <f>(ROUNDUP(DW20/0.33,0))*1</f>
        <v>8</v>
      </c>
      <c r="EA20" s="754">
        <f>DW20*1*3</f>
        <v>7.2671551198141513</v>
      </c>
      <c r="EC20" s="796" t="s">
        <v>114</v>
      </c>
      <c r="ED20" s="246">
        <v>3400</v>
      </c>
      <c r="EE20" s="628" t="s">
        <v>97</v>
      </c>
      <c r="EF20" s="45" t="s">
        <v>276</v>
      </c>
      <c r="EG20" s="397">
        <f>EG3</f>
        <v>2949.7661078092474</v>
      </c>
      <c r="EH20" s="791">
        <f t="shared" si="35"/>
        <v>0.86757826700271978</v>
      </c>
      <c r="EI20" s="791">
        <f>SUM(EH20:EH21)</f>
        <v>2.6645594766837939</v>
      </c>
      <c r="EJ20" s="791">
        <v>4</v>
      </c>
      <c r="EK20" s="791">
        <f>EI20-EJ20</f>
        <v>-1.3354405233162061</v>
      </c>
      <c r="EL20" s="791">
        <f>(ROUNDUP(EI20/0.33,0))*1</f>
        <v>9</v>
      </c>
      <c r="EM20" s="754">
        <f>EI20*1*3</f>
        <v>7.9936784300513821</v>
      </c>
    </row>
    <row r="21" spans="1:143" s="100" customFormat="1">
      <c r="A21" s="796" t="s">
        <v>114</v>
      </c>
      <c r="B21" s="628">
        <v>1800</v>
      </c>
      <c r="C21" s="628" t="s">
        <v>97</v>
      </c>
      <c r="D21" s="45" t="s">
        <v>92</v>
      </c>
      <c r="E21" s="397">
        <f>E2</f>
        <v>7547.26359632617</v>
      </c>
      <c r="F21" s="791">
        <f t="shared" si="24"/>
        <v>4.1929242201812054</v>
      </c>
      <c r="G21" s="791"/>
      <c r="H21" s="791"/>
      <c r="I21" s="791"/>
      <c r="J21" s="45"/>
      <c r="M21" s="796" t="s">
        <v>114</v>
      </c>
      <c r="N21" s="628">
        <v>1800</v>
      </c>
      <c r="O21" s="628" t="s">
        <v>97</v>
      </c>
      <c r="P21" s="45" t="s">
        <v>92</v>
      </c>
      <c r="Q21" s="397">
        <f>Q2</f>
        <v>5226.9640402256837</v>
      </c>
      <c r="R21" s="791">
        <f t="shared" si="25"/>
        <v>2.9038689112364908</v>
      </c>
      <c r="S21" s="791"/>
      <c r="T21" s="791"/>
      <c r="U21" s="791"/>
      <c r="V21" s="45"/>
      <c r="Y21" s="796" t="s">
        <v>114</v>
      </c>
      <c r="Z21" s="628">
        <v>1800</v>
      </c>
      <c r="AA21" s="628" t="s">
        <v>97</v>
      </c>
      <c r="AB21" s="45" t="s">
        <v>92</v>
      </c>
      <c r="AC21" s="397">
        <f>AC2</f>
        <v>4527.3104007951488</v>
      </c>
      <c r="AD21" s="791">
        <f t="shared" si="26"/>
        <v>2.5151724448861938</v>
      </c>
      <c r="AE21" s="791"/>
      <c r="AF21" s="791"/>
      <c r="AG21" s="791"/>
      <c r="AH21" s="45"/>
      <c r="AK21" s="796" t="s">
        <v>114</v>
      </c>
      <c r="AL21" s="628">
        <v>1800</v>
      </c>
      <c r="AM21" s="628" t="s">
        <v>97</v>
      </c>
      <c r="AN21" s="45" t="s">
        <v>92</v>
      </c>
      <c r="AO21" s="397">
        <f>AO2</f>
        <v>6149.301077254835</v>
      </c>
      <c r="AP21" s="791">
        <f t="shared" si="27"/>
        <v>3.416278376252686</v>
      </c>
      <c r="AQ21" s="791"/>
      <c r="AR21" s="791"/>
      <c r="AS21" s="791"/>
      <c r="AT21" s="45"/>
      <c r="AW21" s="796" t="s">
        <v>114</v>
      </c>
      <c r="AX21" s="628">
        <v>1800</v>
      </c>
      <c r="AY21" s="628" t="s">
        <v>97</v>
      </c>
      <c r="AZ21" s="45" t="s">
        <v>92</v>
      </c>
      <c r="BA21" s="397">
        <f>BA2</f>
        <v>10438.861903580535</v>
      </c>
      <c r="BB21" s="791">
        <f t="shared" si="28"/>
        <v>5.7993677242114083</v>
      </c>
      <c r="BC21" s="791"/>
      <c r="BD21" s="791"/>
      <c r="BE21" s="791"/>
      <c r="BF21" s="45"/>
      <c r="BI21" s="796" t="s">
        <v>114</v>
      </c>
      <c r="BJ21" s="628">
        <v>1800</v>
      </c>
      <c r="BK21" s="628" t="s">
        <v>97</v>
      </c>
      <c r="BL21" s="45" t="s">
        <v>92</v>
      </c>
      <c r="BM21" s="397">
        <f>BM2</f>
        <v>5578.0198387910623</v>
      </c>
      <c r="BN21" s="791">
        <f t="shared" si="29"/>
        <v>3.0988999104394792</v>
      </c>
      <c r="BO21" s="791"/>
      <c r="BP21" s="791"/>
      <c r="BQ21" s="791"/>
      <c r="BR21" s="45"/>
      <c r="BU21" s="796" t="s">
        <v>114</v>
      </c>
      <c r="BV21" s="628">
        <v>1800</v>
      </c>
      <c r="BW21" s="628" t="s">
        <v>97</v>
      </c>
      <c r="BX21" s="45" t="s">
        <v>92</v>
      </c>
      <c r="BY21" s="397">
        <f>BY2</f>
        <v>5095.3063396928692</v>
      </c>
      <c r="BZ21" s="791">
        <f t="shared" si="30"/>
        <v>2.8307257442738161</v>
      </c>
      <c r="CA21" s="791"/>
      <c r="CB21" s="791"/>
      <c r="CC21" s="791"/>
      <c r="CD21" s="45"/>
      <c r="CG21" s="796" t="s">
        <v>114</v>
      </c>
      <c r="CH21" s="628">
        <v>1800</v>
      </c>
      <c r="CI21" s="628" t="s">
        <v>97</v>
      </c>
      <c r="CJ21" s="45" t="s">
        <v>92</v>
      </c>
      <c r="CK21" s="397">
        <f>CK2</f>
        <v>3903.066326127775</v>
      </c>
      <c r="CL21" s="791">
        <f t="shared" si="31"/>
        <v>2.1683701811820972</v>
      </c>
      <c r="CM21" s="791"/>
      <c r="CN21" s="791"/>
      <c r="CO21" s="791"/>
      <c r="CP21" s="45"/>
      <c r="CS21" s="796" t="s">
        <v>114</v>
      </c>
      <c r="CT21" s="628">
        <v>1800</v>
      </c>
      <c r="CU21" s="628" t="s">
        <v>97</v>
      </c>
      <c r="CV21" s="45" t="s">
        <v>92</v>
      </c>
      <c r="CW21" s="397">
        <f>CW2</f>
        <v>2670.5292606869216</v>
      </c>
      <c r="CX21" s="791">
        <f t="shared" si="32"/>
        <v>1.4836273670482898</v>
      </c>
      <c r="CY21" s="791"/>
      <c r="CZ21" s="791"/>
      <c r="DA21" s="791"/>
      <c r="DB21" s="45"/>
      <c r="DE21" s="796" t="s">
        <v>114</v>
      </c>
      <c r="DF21" s="628">
        <v>1800</v>
      </c>
      <c r="DG21" s="628" t="s">
        <v>97</v>
      </c>
      <c r="DH21" s="45" t="s">
        <v>92</v>
      </c>
      <c r="DI21" s="397">
        <f>DI2</f>
        <v>2369.3058314297127</v>
      </c>
      <c r="DJ21" s="791">
        <f t="shared" si="33"/>
        <v>1.3162810174609516</v>
      </c>
      <c r="DK21" s="791"/>
      <c r="DL21" s="791"/>
      <c r="DM21" s="791"/>
      <c r="DN21" s="45"/>
      <c r="DQ21" s="796" t="s">
        <v>114</v>
      </c>
      <c r="DR21" s="628">
        <v>1800</v>
      </c>
      <c r="DS21" s="628" t="s">
        <v>97</v>
      </c>
      <c r="DT21" s="45" t="s">
        <v>92</v>
      </c>
      <c r="DU21" s="397">
        <f>DU2</f>
        <v>2940.5854091265296</v>
      </c>
      <c r="DV21" s="791">
        <f t="shared" si="34"/>
        <v>1.6336585606258498</v>
      </c>
      <c r="DW21" s="791"/>
      <c r="DX21" s="791"/>
      <c r="DY21" s="791"/>
      <c r="DZ21" s="45"/>
      <c r="EC21" s="796" t="s">
        <v>114</v>
      </c>
      <c r="ED21" s="628">
        <v>1800</v>
      </c>
      <c r="EE21" s="628" t="s">
        <v>97</v>
      </c>
      <c r="EF21" s="45" t="s">
        <v>92</v>
      </c>
      <c r="EG21" s="397">
        <f>EG2</f>
        <v>3234.5661774259333</v>
      </c>
      <c r="EH21" s="791">
        <f t="shared" si="35"/>
        <v>1.796981209681074</v>
      </c>
      <c r="EI21" s="791"/>
      <c r="EJ21" s="791"/>
      <c r="EK21" s="791"/>
      <c r="EL21" s="45"/>
    </row>
    <row r="22" spans="1:143" s="100" customFormat="1">
      <c r="A22" s="796" t="s">
        <v>770</v>
      </c>
      <c r="B22" s="625">
        <v>3600</v>
      </c>
      <c r="C22" s="628" t="s">
        <v>97</v>
      </c>
      <c r="D22" s="45" t="s">
        <v>276</v>
      </c>
      <c r="E22" s="397">
        <f>E3</f>
        <v>6882.7351619876554</v>
      </c>
      <c r="F22" s="791">
        <f t="shared" si="24"/>
        <v>1.9118708783299043</v>
      </c>
      <c r="G22" s="791">
        <f>SUM(F22:F23)</f>
        <v>7.7174582601192663</v>
      </c>
      <c r="H22" s="791">
        <v>4</v>
      </c>
      <c r="I22" s="791">
        <f>G22-H22</f>
        <v>3.7174582601192663</v>
      </c>
      <c r="J22" s="791">
        <f>G22*12*3</f>
        <v>277.82849736429358</v>
      </c>
      <c r="K22" s="754">
        <f>G22*12*3</f>
        <v>277.82849736429358</v>
      </c>
      <c r="M22" s="796" t="s">
        <v>770</v>
      </c>
      <c r="N22" s="625">
        <v>3600</v>
      </c>
      <c r="O22" s="628" t="s">
        <v>97</v>
      </c>
      <c r="P22" s="45" t="s">
        <v>276</v>
      </c>
      <c r="Q22" s="397">
        <f>Q3</f>
        <v>4766.7354837876001</v>
      </c>
      <c r="R22" s="791">
        <f t="shared" si="25"/>
        <v>1.324093189941</v>
      </c>
      <c r="S22" s="791">
        <f>SUM(R22:R23)</f>
        <v>5.344834759345372</v>
      </c>
      <c r="T22" s="791">
        <v>4</v>
      </c>
      <c r="U22" s="791">
        <f>S22-T22</f>
        <v>1.344834759345372</v>
      </c>
      <c r="V22" s="791">
        <f>S22*12*3</f>
        <v>192.4140513364334</v>
      </c>
      <c r="W22" s="754">
        <f>S22*12*3</f>
        <v>192.4140513364334</v>
      </c>
      <c r="Y22" s="796" t="s">
        <v>770</v>
      </c>
      <c r="Z22" s="625">
        <v>3600</v>
      </c>
      <c r="AA22" s="628" t="s">
        <v>97</v>
      </c>
      <c r="AB22" s="45" t="s">
        <v>276</v>
      </c>
      <c r="AC22" s="397">
        <f>AC3</f>
        <v>4128.6855940679325</v>
      </c>
      <c r="AD22" s="791">
        <f t="shared" si="26"/>
        <v>1.1468571094633147</v>
      </c>
      <c r="AE22" s="791">
        <f>SUM(AD22:AD23)</f>
        <v>4.6294035716134285</v>
      </c>
      <c r="AF22" s="791">
        <v>4</v>
      </c>
      <c r="AG22" s="791">
        <f>AE22-AF22</f>
        <v>0.62940357161342853</v>
      </c>
      <c r="AH22" s="791">
        <f>AE22*12*3</f>
        <v>166.65852857808343</v>
      </c>
      <c r="AI22" s="754">
        <f>AE22*12*3</f>
        <v>166.65852857808343</v>
      </c>
      <c r="AK22" s="796" t="s">
        <v>770</v>
      </c>
      <c r="AL22" s="625">
        <v>3600</v>
      </c>
      <c r="AM22" s="628" t="s">
        <v>97</v>
      </c>
      <c r="AN22" s="45" t="s">
        <v>276</v>
      </c>
      <c r="AO22" s="397">
        <f>AO3</f>
        <v>5607.8617376863258</v>
      </c>
      <c r="AP22" s="791">
        <f t="shared" si="27"/>
        <v>1.5577393715795349</v>
      </c>
      <c r="AQ22" s="791">
        <f>SUM(AP22:AP23)</f>
        <v>6.2879709694678692</v>
      </c>
      <c r="AR22" s="791">
        <v>4</v>
      </c>
      <c r="AS22" s="791">
        <f>AQ22-AR22</f>
        <v>2.2879709694678692</v>
      </c>
      <c r="AT22" s="791">
        <f>AQ22*12*3</f>
        <v>226.36695490084327</v>
      </c>
      <c r="AU22" s="754">
        <f>AQ22*12*3</f>
        <v>226.36695490084327</v>
      </c>
      <c r="AW22" s="796" t="s">
        <v>770</v>
      </c>
      <c r="AX22" s="625">
        <v>3600</v>
      </c>
      <c r="AY22" s="628" t="s">
        <v>97</v>
      </c>
      <c r="AZ22" s="45" t="s">
        <v>276</v>
      </c>
      <c r="BA22" s="397">
        <f>BA3</f>
        <v>9519.7313513577319</v>
      </c>
      <c r="BB22" s="791">
        <f t="shared" si="28"/>
        <v>2.6443698198215921</v>
      </c>
      <c r="BC22" s="791">
        <f>SUM(BB22:BB23)</f>
        <v>10.674263591806618</v>
      </c>
      <c r="BD22" s="791">
        <v>4</v>
      </c>
      <c r="BE22" s="791">
        <f>BC22-BD22</f>
        <v>6.6742635918066178</v>
      </c>
      <c r="BF22" s="791">
        <f>BC22*12*3</f>
        <v>384.2734893050382</v>
      </c>
      <c r="BG22" s="754">
        <f>BC22*12*3</f>
        <v>384.2734893050382</v>
      </c>
      <c r="BI22" s="796" t="s">
        <v>770</v>
      </c>
      <c r="BJ22" s="625">
        <v>3600</v>
      </c>
      <c r="BK22" s="628" t="s">
        <v>97</v>
      </c>
      <c r="BL22" s="45" t="s">
        <v>276</v>
      </c>
      <c r="BM22" s="397">
        <f>BM3</f>
        <v>5086.8811972329013</v>
      </c>
      <c r="BN22" s="791">
        <f t="shared" si="29"/>
        <v>1.4130225547869171</v>
      </c>
      <c r="BO22" s="791">
        <f>SUM(BN22:BN23)</f>
        <v>5.7038070461646573</v>
      </c>
      <c r="BP22" s="791">
        <v>4</v>
      </c>
      <c r="BQ22" s="791">
        <f>BO22-BP22</f>
        <v>1.7038070461646573</v>
      </c>
      <c r="BR22" s="791">
        <f>BO22*12*3</f>
        <v>205.33705366192768</v>
      </c>
      <c r="BS22" s="754">
        <f>BO22*12*3</f>
        <v>205.33705366192768</v>
      </c>
      <c r="BU22" s="796" t="s">
        <v>770</v>
      </c>
      <c r="BV22" s="625">
        <v>3600</v>
      </c>
      <c r="BW22" s="628" t="s">
        <v>97</v>
      </c>
      <c r="BX22" s="45" t="s">
        <v>276</v>
      </c>
      <c r="BY22" s="397">
        <f>BY3</f>
        <v>4646.670102045171</v>
      </c>
      <c r="BZ22" s="791">
        <f t="shared" si="30"/>
        <v>1.2907416950125474</v>
      </c>
      <c r="CA22" s="791">
        <f>SUM(BZ22:BZ23)</f>
        <v>5.2102081101609086</v>
      </c>
      <c r="CB22" s="791">
        <v>4</v>
      </c>
      <c r="CC22" s="791">
        <f>CA22-CB22</f>
        <v>1.2102081101609086</v>
      </c>
      <c r="CD22" s="791">
        <f>CA22*12*3</f>
        <v>187.5674919657927</v>
      </c>
      <c r="CE22" s="754">
        <f>CA22*12*3</f>
        <v>187.5674919657927</v>
      </c>
      <c r="CG22" s="796" t="s">
        <v>770</v>
      </c>
      <c r="CH22" s="625">
        <v>3600</v>
      </c>
      <c r="CI22" s="628" t="s">
        <v>97</v>
      </c>
      <c r="CJ22" s="45" t="s">
        <v>276</v>
      </c>
      <c r="CK22" s="397">
        <f>CK3</f>
        <v>3559.4055381193079</v>
      </c>
      <c r="CL22" s="791">
        <f t="shared" si="31"/>
        <v>0.9887237605886966</v>
      </c>
      <c r="CM22" s="791">
        <f>SUM(CL22:CL23)</f>
        <v>3.9910824729946777</v>
      </c>
      <c r="CN22" s="791">
        <v>4</v>
      </c>
      <c r="CO22" s="791">
        <f>CM22-CN22</f>
        <v>-8.9175270053223343E-3</v>
      </c>
      <c r="CP22" s="791">
        <f>CM22*12*3</f>
        <v>143.67896902780842</v>
      </c>
      <c r="CQ22" s="754">
        <f>CM22*12*3</f>
        <v>143.67896902780842</v>
      </c>
      <c r="CS22" s="796" t="s">
        <v>770</v>
      </c>
      <c r="CT22" s="625">
        <v>3600</v>
      </c>
      <c r="CU22" s="628" t="s">
        <v>97</v>
      </c>
      <c r="CV22" s="45" t="s">
        <v>276</v>
      </c>
      <c r="CW22" s="397">
        <f>CW3</f>
        <v>2435.3920343518926</v>
      </c>
      <c r="CX22" s="791">
        <f t="shared" si="32"/>
        <v>0.67649778731997012</v>
      </c>
      <c r="CY22" s="791">
        <f>SUM(CX22:CX23)</f>
        <v>2.7307510647714484</v>
      </c>
      <c r="CZ22" s="791">
        <v>4</v>
      </c>
      <c r="DA22" s="791">
        <f>CY22-CZ22</f>
        <v>-1.2692489352285516</v>
      </c>
      <c r="DB22" s="791">
        <f>CY22*12*3</f>
        <v>98.307038331772134</v>
      </c>
      <c r="DC22" s="754">
        <f>CY22*12*3</f>
        <v>98.307038331772134</v>
      </c>
      <c r="DE22" s="796" t="s">
        <v>770</v>
      </c>
      <c r="DF22" s="625">
        <v>3600</v>
      </c>
      <c r="DG22" s="628" t="s">
        <v>97</v>
      </c>
      <c r="DH22" s="45" t="s">
        <v>276</v>
      </c>
      <c r="DI22" s="397">
        <f>DI3</f>
        <v>2160.6910037462708</v>
      </c>
      <c r="DJ22" s="791">
        <f t="shared" si="33"/>
        <v>0.60019194548507526</v>
      </c>
      <c r="DK22" s="791">
        <f>SUM(DJ22:DJ23)</f>
        <v>2.4227348927387005</v>
      </c>
      <c r="DL22" s="791">
        <v>4</v>
      </c>
      <c r="DM22" s="791">
        <f>DK22-DL22</f>
        <v>-1.5772651072612995</v>
      </c>
      <c r="DN22" s="791">
        <f>DK22*12*3</f>
        <v>87.218456138593211</v>
      </c>
      <c r="DO22" s="754">
        <f>DK22*12*3</f>
        <v>87.218456138593211</v>
      </c>
      <c r="DQ22" s="796" t="s">
        <v>770</v>
      </c>
      <c r="DR22" s="625">
        <v>3600</v>
      </c>
      <c r="DS22" s="628" t="s">
        <v>97</v>
      </c>
      <c r="DT22" s="45" t="s">
        <v>276</v>
      </c>
      <c r="DU22" s="397">
        <f>DU3</f>
        <v>2681.6700296614813</v>
      </c>
      <c r="DV22" s="791">
        <f t="shared" si="34"/>
        <v>0.74490834157263375</v>
      </c>
      <c r="DW22" s="791">
        <f>SUM(DV22:DV23)</f>
        <v>3.0068971178238106</v>
      </c>
      <c r="DX22" s="791">
        <v>4</v>
      </c>
      <c r="DY22" s="791">
        <f>DW22-DX22</f>
        <v>-0.99310288217618936</v>
      </c>
      <c r="DZ22" s="791">
        <f>DW22*12*3</f>
        <v>108.24829624165717</v>
      </c>
      <c r="EA22" s="754">
        <f>DW22*12*3</f>
        <v>108.24829624165717</v>
      </c>
      <c r="EC22" s="796" t="s">
        <v>770</v>
      </c>
      <c r="ED22" s="625">
        <v>3600</v>
      </c>
      <c r="EE22" s="628" t="s">
        <v>97</v>
      </c>
      <c r="EF22" s="45" t="s">
        <v>276</v>
      </c>
      <c r="EG22" s="397">
        <f>EG3</f>
        <v>2949.7661078092474</v>
      </c>
      <c r="EH22" s="791">
        <f t="shared" si="35"/>
        <v>0.81937947439145764</v>
      </c>
      <c r="EI22" s="791">
        <f>SUM(EH22:EH23)</f>
        <v>3.3075073031806372</v>
      </c>
      <c r="EJ22" s="791">
        <v>4</v>
      </c>
      <c r="EK22" s="791">
        <f>EI22-EJ22</f>
        <v>-0.69249269681936276</v>
      </c>
      <c r="EL22" s="791">
        <f>EI22*12*3</f>
        <v>119.07026291450293</v>
      </c>
      <c r="EM22" s="754">
        <f>EI22*12*3</f>
        <v>119.07026291450293</v>
      </c>
    </row>
    <row r="23" spans="1:143" s="100" customFormat="1">
      <c r="A23" s="796" t="s">
        <v>770</v>
      </c>
      <c r="B23" s="626">
        <v>1300</v>
      </c>
      <c r="C23" s="628" t="s">
        <v>97</v>
      </c>
      <c r="D23" s="45" t="s">
        <v>92</v>
      </c>
      <c r="E23" s="397">
        <f>E2</f>
        <v>7547.26359632617</v>
      </c>
      <c r="F23" s="791">
        <f t="shared" si="24"/>
        <v>5.805587381789362</v>
      </c>
      <c r="G23" s="791"/>
      <c r="H23" s="791"/>
      <c r="I23" s="791"/>
      <c r="J23" s="45"/>
      <c r="M23" s="796" t="s">
        <v>770</v>
      </c>
      <c r="N23" s="626">
        <v>1300</v>
      </c>
      <c r="O23" s="628" t="s">
        <v>97</v>
      </c>
      <c r="P23" s="45" t="s">
        <v>92</v>
      </c>
      <c r="Q23" s="397">
        <f>Q2</f>
        <v>5226.9640402256837</v>
      </c>
      <c r="R23" s="791">
        <f t="shared" si="25"/>
        <v>4.0207415694043718</v>
      </c>
      <c r="S23" s="791"/>
      <c r="T23" s="791"/>
      <c r="U23" s="791"/>
      <c r="V23" s="45"/>
      <c r="Y23" s="796" t="s">
        <v>770</v>
      </c>
      <c r="Z23" s="626">
        <v>1300</v>
      </c>
      <c r="AA23" s="628" t="s">
        <v>97</v>
      </c>
      <c r="AB23" s="45" t="s">
        <v>92</v>
      </c>
      <c r="AC23" s="397">
        <f>AC2</f>
        <v>4527.3104007951488</v>
      </c>
      <c r="AD23" s="791">
        <f t="shared" si="26"/>
        <v>3.4825464621501143</v>
      </c>
      <c r="AE23" s="791"/>
      <c r="AF23" s="791"/>
      <c r="AG23" s="791"/>
      <c r="AH23" s="45"/>
      <c r="AK23" s="796" t="s">
        <v>770</v>
      </c>
      <c r="AL23" s="626">
        <v>1300</v>
      </c>
      <c r="AM23" s="628" t="s">
        <v>97</v>
      </c>
      <c r="AN23" s="45" t="s">
        <v>92</v>
      </c>
      <c r="AO23" s="397">
        <f>AO2</f>
        <v>6149.301077254835</v>
      </c>
      <c r="AP23" s="791">
        <f t="shared" si="27"/>
        <v>4.7302315978883342</v>
      </c>
      <c r="AQ23" s="791"/>
      <c r="AR23" s="791"/>
      <c r="AS23" s="791"/>
      <c r="AT23" s="45"/>
      <c r="AW23" s="796" t="s">
        <v>770</v>
      </c>
      <c r="AX23" s="626">
        <v>1300</v>
      </c>
      <c r="AY23" s="628" t="s">
        <v>97</v>
      </c>
      <c r="AZ23" s="45" t="s">
        <v>92</v>
      </c>
      <c r="BA23" s="397">
        <f>BA2</f>
        <v>10438.861903580535</v>
      </c>
      <c r="BB23" s="791">
        <f t="shared" si="28"/>
        <v>8.0298937719850265</v>
      </c>
      <c r="BC23" s="791"/>
      <c r="BD23" s="791"/>
      <c r="BE23" s="791"/>
      <c r="BF23" s="45"/>
      <c r="BI23" s="796" t="s">
        <v>770</v>
      </c>
      <c r="BJ23" s="626">
        <v>1300</v>
      </c>
      <c r="BK23" s="628" t="s">
        <v>97</v>
      </c>
      <c r="BL23" s="45" t="s">
        <v>92</v>
      </c>
      <c r="BM23" s="397">
        <f>BM2</f>
        <v>5578.0198387910623</v>
      </c>
      <c r="BN23" s="791">
        <f t="shared" si="29"/>
        <v>4.2907844913777407</v>
      </c>
      <c r="BO23" s="791"/>
      <c r="BP23" s="791"/>
      <c r="BQ23" s="791"/>
      <c r="BR23" s="45"/>
      <c r="BU23" s="796" t="s">
        <v>770</v>
      </c>
      <c r="BV23" s="626">
        <v>1300</v>
      </c>
      <c r="BW23" s="628" t="s">
        <v>97</v>
      </c>
      <c r="BX23" s="45" t="s">
        <v>92</v>
      </c>
      <c r="BY23" s="397">
        <f>BY2</f>
        <v>5095.3063396928692</v>
      </c>
      <c r="BZ23" s="791">
        <f t="shared" si="30"/>
        <v>3.9194664151483609</v>
      </c>
      <c r="CA23" s="791"/>
      <c r="CB23" s="791"/>
      <c r="CC23" s="791"/>
      <c r="CD23" s="45"/>
      <c r="CG23" s="796" t="s">
        <v>770</v>
      </c>
      <c r="CH23" s="626">
        <v>1300</v>
      </c>
      <c r="CI23" s="628" t="s">
        <v>97</v>
      </c>
      <c r="CJ23" s="45" t="s">
        <v>92</v>
      </c>
      <c r="CK23" s="397">
        <f>CK2</f>
        <v>3903.066326127775</v>
      </c>
      <c r="CL23" s="791">
        <f t="shared" si="31"/>
        <v>3.002358712405981</v>
      </c>
      <c r="CM23" s="791"/>
      <c r="CN23" s="791"/>
      <c r="CO23" s="791"/>
      <c r="CP23" s="45"/>
      <c r="CS23" s="796" t="s">
        <v>770</v>
      </c>
      <c r="CT23" s="626">
        <v>1300</v>
      </c>
      <c r="CU23" s="628" t="s">
        <v>97</v>
      </c>
      <c r="CV23" s="45" t="s">
        <v>92</v>
      </c>
      <c r="CW23" s="397">
        <f>CW2</f>
        <v>2670.5292606869216</v>
      </c>
      <c r="CX23" s="791">
        <f t="shared" si="32"/>
        <v>2.0542532774514783</v>
      </c>
      <c r="CY23" s="791"/>
      <c r="CZ23" s="791"/>
      <c r="DA23" s="791"/>
      <c r="DB23" s="45"/>
      <c r="DE23" s="796" t="s">
        <v>770</v>
      </c>
      <c r="DF23" s="626">
        <v>1300</v>
      </c>
      <c r="DG23" s="628" t="s">
        <v>97</v>
      </c>
      <c r="DH23" s="45" t="s">
        <v>92</v>
      </c>
      <c r="DI23" s="397">
        <f>DI2</f>
        <v>2369.3058314297127</v>
      </c>
      <c r="DJ23" s="791">
        <f t="shared" si="33"/>
        <v>1.8225429472536252</v>
      </c>
      <c r="DK23" s="791"/>
      <c r="DL23" s="791"/>
      <c r="DM23" s="791"/>
      <c r="DN23" s="45"/>
      <c r="DQ23" s="796" t="s">
        <v>770</v>
      </c>
      <c r="DR23" s="626">
        <v>1300</v>
      </c>
      <c r="DS23" s="628" t="s">
        <v>97</v>
      </c>
      <c r="DT23" s="45" t="s">
        <v>92</v>
      </c>
      <c r="DU23" s="397">
        <f>DU2</f>
        <v>2940.5854091265296</v>
      </c>
      <c r="DV23" s="791">
        <f t="shared" si="34"/>
        <v>2.2619887762511768</v>
      </c>
      <c r="DW23" s="791"/>
      <c r="DX23" s="791"/>
      <c r="DY23" s="791"/>
      <c r="DZ23" s="45"/>
      <c r="EC23" s="796" t="s">
        <v>770</v>
      </c>
      <c r="ED23" s="626">
        <v>1300</v>
      </c>
      <c r="EE23" s="628" t="s">
        <v>97</v>
      </c>
      <c r="EF23" s="45" t="s">
        <v>92</v>
      </c>
      <c r="EG23" s="397">
        <f>EG2</f>
        <v>3234.5661774259333</v>
      </c>
      <c r="EH23" s="791">
        <f t="shared" si="35"/>
        <v>2.4881278287891795</v>
      </c>
      <c r="EI23" s="791"/>
      <c r="EJ23" s="791"/>
      <c r="EK23" s="791"/>
      <c r="EL23" s="45"/>
    </row>
    <row r="24" spans="1:143" s="100" customFormat="1">
      <c r="A24" s="100" t="s">
        <v>119</v>
      </c>
      <c r="J24" s="100">
        <v>3</v>
      </c>
      <c r="K24" s="100">
        <v>3</v>
      </c>
      <c r="M24" s="100" t="s">
        <v>119</v>
      </c>
      <c r="V24" s="100">
        <v>3</v>
      </c>
      <c r="W24" s="100">
        <v>3</v>
      </c>
      <c r="Y24" s="100" t="s">
        <v>119</v>
      </c>
      <c r="AH24" s="100">
        <v>3</v>
      </c>
      <c r="AI24" s="100">
        <v>3</v>
      </c>
      <c r="AK24" s="100" t="s">
        <v>119</v>
      </c>
      <c r="AT24" s="100">
        <v>3</v>
      </c>
      <c r="AU24" s="100">
        <v>3</v>
      </c>
      <c r="AW24" s="100" t="s">
        <v>119</v>
      </c>
      <c r="BF24" s="100">
        <v>3</v>
      </c>
      <c r="BG24" s="100">
        <v>3</v>
      </c>
      <c r="BI24" s="100" t="s">
        <v>119</v>
      </c>
      <c r="BR24" s="100">
        <v>3</v>
      </c>
      <c r="BS24" s="100">
        <v>3</v>
      </c>
      <c r="BU24" s="100" t="s">
        <v>119</v>
      </c>
      <c r="CD24" s="100">
        <v>3</v>
      </c>
      <c r="CE24" s="100">
        <v>3</v>
      </c>
      <c r="CG24" s="100" t="s">
        <v>119</v>
      </c>
      <c r="CP24" s="100">
        <v>3</v>
      </c>
      <c r="CQ24" s="100">
        <v>3</v>
      </c>
      <c r="CS24" s="100" t="s">
        <v>119</v>
      </c>
      <c r="DB24" s="100">
        <v>3</v>
      </c>
      <c r="DC24" s="100">
        <v>3</v>
      </c>
      <c r="DE24" s="100" t="s">
        <v>119</v>
      </c>
      <c r="DN24" s="100">
        <v>3</v>
      </c>
      <c r="DO24" s="100">
        <v>3</v>
      </c>
      <c r="DQ24" s="100" t="s">
        <v>119</v>
      </c>
      <c r="DZ24" s="100">
        <v>3</v>
      </c>
      <c r="EA24" s="100">
        <v>3</v>
      </c>
      <c r="EC24" s="100" t="s">
        <v>119</v>
      </c>
      <c r="EL24" s="100">
        <v>3</v>
      </c>
      <c r="EM24" s="100">
        <v>3</v>
      </c>
    </row>
    <row r="25" spans="1:143" s="100" customFormat="1">
      <c r="A25" s="100" t="s">
        <v>120</v>
      </c>
      <c r="J25" s="100">
        <v>3</v>
      </c>
      <c r="K25" s="100">
        <v>3</v>
      </c>
      <c r="M25" s="100" t="s">
        <v>120</v>
      </c>
      <c r="V25" s="100">
        <v>3</v>
      </c>
      <c r="W25" s="100">
        <v>3</v>
      </c>
      <c r="Y25" s="100" t="s">
        <v>120</v>
      </c>
      <c r="AH25" s="100">
        <v>3</v>
      </c>
      <c r="AI25" s="100">
        <v>3</v>
      </c>
      <c r="AK25" s="100" t="s">
        <v>120</v>
      </c>
      <c r="AT25" s="100">
        <v>3</v>
      </c>
      <c r="AU25" s="100">
        <v>3</v>
      </c>
      <c r="AW25" s="100" t="s">
        <v>120</v>
      </c>
      <c r="BF25" s="100">
        <v>3</v>
      </c>
      <c r="BG25" s="100">
        <v>3</v>
      </c>
      <c r="BI25" s="100" t="s">
        <v>120</v>
      </c>
      <c r="BR25" s="100">
        <v>3</v>
      </c>
      <c r="BS25" s="100">
        <v>3</v>
      </c>
      <c r="BU25" s="100" t="s">
        <v>120</v>
      </c>
      <c r="CD25" s="100">
        <v>3</v>
      </c>
      <c r="CE25" s="100">
        <v>3</v>
      </c>
      <c r="CG25" s="100" t="s">
        <v>120</v>
      </c>
      <c r="CP25" s="100">
        <v>3</v>
      </c>
      <c r="CQ25" s="100">
        <v>3</v>
      </c>
      <c r="CS25" s="100" t="s">
        <v>120</v>
      </c>
      <c r="DB25" s="100">
        <v>3</v>
      </c>
      <c r="DC25" s="100">
        <v>3</v>
      </c>
      <c r="DE25" s="100" t="s">
        <v>120</v>
      </c>
      <c r="DN25" s="100">
        <v>3</v>
      </c>
      <c r="DO25" s="100">
        <v>3</v>
      </c>
      <c r="DQ25" s="100" t="s">
        <v>120</v>
      </c>
      <c r="DZ25" s="100">
        <v>3</v>
      </c>
      <c r="EA25" s="100">
        <v>3</v>
      </c>
      <c r="EC25" s="100" t="s">
        <v>120</v>
      </c>
      <c r="EL25" s="100">
        <v>3</v>
      </c>
      <c r="EM25" s="100">
        <v>3</v>
      </c>
    </row>
    <row r="26" spans="1:143" s="100" customFormat="1">
      <c r="A26" s="100" t="s">
        <v>121</v>
      </c>
      <c r="J26" s="100">
        <v>3</v>
      </c>
      <c r="K26" s="100">
        <v>3</v>
      </c>
      <c r="M26" s="100" t="s">
        <v>121</v>
      </c>
      <c r="V26" s="100">
        <v>3</v>
      </c>
      <c r="W26" s="100">
        <v>3</v>
      </c>
      <c r="Y26" s="100" t="s">
        <v>121</v>
      </c>
      <c r="AH26" s="100">
        <v>3</v>
      </c>
      <c r="AI26" s="100">
        <v>3</v>
      </c>
      <c r="AK26" s="100" t="s">
        <v>121</v>
      </c>
      <c r="AT26" s="100">
        <v>3</v>
      </c>
      <c r="AU26" s="100">
        <v>3</v>
      </c>
      <c r="AW26" s="100" t="s">
        <v>121</v>
      </c>
      <c r="BF26" s="100">
        <v>3</v>
      </c>
      <c r="BG26" s="100">
        <v>3</v>
      </c>
      <c r="BI26" s="100" t="s">
        <v>121</v>
      </c>
      <c r="BR26" s="100">
        <v>3</v>
      </c>
      <c r="BS26" s="100">
        <v>3</v>
      </c>
      <c r="BU26" s="100" t="s">
        <v>121</v>
      </c>
      <c r="CD26" s="100">
        <v>3</v>
      </c>
      <c r="CE26" s="100">
        <v>3</v>
      </c>
      <c r="CG26" s="100" t="s">
        <v>121</v>
      </c>
      <c r="CP26" s="100">
        <v>3</v>
      </c>
      <c r="CQ26" s="100">
        <v>3</v>
      </c>
      <c r="CS26" s="100" t="s">
        <v>121</v>
      </c>
      <c r="DB26" s="100">
        <v>3</v>
      </c>
      <c r="DC26" s="100">
        <v>3</v>
      </c>
      <c r="DE26" s="100" t="s">
        <v>121</v>
      </c>
      <c r="DN26" s="100">
        <v>3</v>
      </c>
      <c r="DO26" s="100">
        <v>3</v>
      </c>
      <c r="DQ26" s="100" t="s">
        <v>121</v>
      </c>
      <c r="DZ26" s="100">
        <v>3</v>
      </c>
      <c r="EA26" s="100">
        <v>3</v>
      </c>
      <c r="EC26" s="100" t="s">
        <v>121</v>
      </c>
      <c r="EL26" s="100">
        <v>3</v>
      </c>
      <c r="EM26" s="100">
        <v>3</v>
      </c>
    </row>
    <row r="27" spans="1:143" s="100" customFormat="1">
      <c r="A27" s="100" t="s">
        <v>122</v>
      </c>
      <c r="J27" s="100">
        <v>6</v>
      </c>
      <c r="K27" s="100">
        <v>6</v>
      </c>
      <c r="M27" s="100" t="s">
        <v>122</v>
      </c>
      <c r="V27" s="100">
        <v>6</v>
      </c>
      <c r="W27" s="100">
        <v>6</v>
      </c>
      <c r="Y27" s="100" t="s">
        <v>122</v>
      </c>
      <c r="AH27" s="100">
        <v>6</v>
      </c>
      <c r="AI27" s="100">
        <v>6</v>
      </c>
      <c r="AK27" s="100" t="s">
        <v>122</v>
      </c>
      <c r="AT27" s="100">
        <v>6</v>
      </c>
      <c r="AU27" s="100">
        <v>6</v>
      </c>
      <c r="AW27" s="100" t="s">
        <v>122</v>
      </c>
      <c r="BF27" s="100">
        <v>6</v>
      </c>
      <c r="BG27" s="100">
        <v>6</v>
      </c>
      <c r="BI27" s="100" t="s">
        <v>122</v>
      </c>
      <c r="BR27" s="100">
        <v>6</v>
      </c>
      <c r="BS27" s="100">
        <v>6</v>
      </c>
      <c r="BU27" s="100" t="s">
        <v>122</v>
      </c>
      <c r="CD27" s="100">
        <v>6</v>
      </c>
      <c r="CE27" s="100">
        <v>6</v>
      </c>
      <c r="CG27" s="100" t="s">
        <v>122</v>
      </c>
      <c r="CP27" s="100">
        <v>6</v>
      </c>
      <c r="CQ27" s="100">
        <v>6</v>
      </c>
      <c r="CS27" s="100" t="s">
        <v>122</v>
      </c>
      <c r="DB27" s="100">
        <v>6</v>
      </c>
      <c r="DC27" s="100">
        <v>6</v>
      </c>
      <c r="DE27" s="100" t="s">
        <v>122</v>
      </c>
      <c r="DN27" s="100">
        <v>6</v>
      </c>
      <c r="DO27" s="100">
        <v>6</v>
      </c>
      <c r="DQ27" s="100" t="s">
        <v>122</v>
      </c>
      <c r="DZ27" s="100">
        <v>6</v>
      </c>
      <c r="EA27" s="100">
        <v>6</v>
      </c>
      <c r="EC27" s="100" t="s">
        <v>122</v>
      </c>
      <c r="EL27" s="100">
        <v>6</v>
      </c>
      <c r="EM27" s="100">
        <v>6</v>
      </c>
    </row>
    <row r="28" spans="1:143" s="100" customFormat="1">
      <c r="A28" s="100" t="s">
        <v>123</v>
      </c>
      <c r="J28" s="100">
        <v>3</v>
      </c>
      <c r="K28" s="100">
        <v>3</v>
      </c>
      <c r="M28" s="100" t="s">
        <v>123</v>
      </c>
      <c r="V28" s="100">
        <v>3</v>
      </c>
      <c r="W28" s="100">
        <v>3</v>
      </c>
      <c r="Y28" s="100" t="s">
        <v>123</v>
      </c>
      <c r="AH28" s="100">
        <v>3</v>
      </c>
      <c r="AI28" s="100">
        <v>3</v>
      </c>
      <c r="AK28" s="100" t="s">
        <v>123</v>
      </c>
      <c r="AT28" s="100">
        <v>3</v>
      </c>
      <c r="AU28" s="100">
        <v>3</v>
      </c>
      <c r="AW28" s="100" t="s">
        <v>123</v>
      </c>
      <c r="BF28" s="100">
        <v>3</v>
      </c>
      <c r="BG28" s="100">
        <v>3</v>
      </c>
      <c r="BI28" s="100" t="s">
        <v>123</v>
      </c>
      <c r="BR28" s="100">
        <v>3</v>
      </c>
      <c r="BS28" s="100">
        <v>3</v>
      </c>
      <c r="BU28" s="100" t="s">
        <v>123</v>
      </c>
      <c r="CD28" s="100">
        <v>3</v>
      </c>
      <c r="CE28" s="100">
        <v>3</v>
      </c>
      <c r="CG28" s="100" t="s">
        <v>123</v>
      </c>
      <c r="CP28" s="100">
        <v>3</v>
      </c>
      <c r="CQ28" s="100">
        <v>3</v>
      </c>
      <c r="CS28" s="100" t="s">
        <v>123</v>
      </c>
      <c r="DB28" s="100">
        <v>3</v>
      </c>
      <c r="DC28" s="100">
        <v>3</v>
      </c>
      <c r="DE28" s="100" t="s">
        <v>123</v>
      </c>
      <c r="DN28" s="100">
        <v>3</v>
      </c>
      <c r="DO28" s="100">
        <v>3</v>
      </c>
      <c r="DQ28" s="100" t="s">
        <v>123</v>
      </c>
      <c r="DZ28" s="100">
        <v>3</v>
      </c>
      <c r="EA28" s="100">
        <v>3</v>
      </c>
      <c r="EC28" s="100" t="s">
        <v>123</v>
      </c>
      <c r="EL28" s="100">
        <v>3</v>
      </c>
      <c r="EM28" s="100">
        <v>3</v>
      </c>
    </row>
    <row r="29" spans="1:143" s="100" customFormat="1">
      <c r="A29" s="100" t="s">
        <v>124</v>
      </c>
      <c r="J29" s="100">
        <v>6</v>
      </c>
      <c r="K29" s="100">
        <v>6</v>
      </c>
      <c r="M29" s="100" t="s">
        <v>124</v>
      </c>
      <c r="V29" s="100">
        <v>6</v>
      </c>
      <c r="W29" s="100">
        <v>6</v>
      </c>
      <c r="Y29" s="100" t="s">
        <v>124</v>
      </c>
      <c r="AH29" s="100">
        <v>6</v>
      </c>
      <c r="AI29" s="100">
        <v>6</v>
      </c>
      <c r="AK29" s="100" t="s">
        <v>124</v>
      </c>
      <c r="AT29" s="100">
        <v>6</v>
      </c>
      <c r="AU29" s="100">
        <v>6</v>
      </c>
      <c r="AW29" s="100" t="s">
        <v>124</v>
      </c>
      <c r="BF29" s="100">
        <v>6</v>
      </c>
      <c r="BG29" s="100">
        <v>6</v>
      </c>
      <c r="BI29" s="100" t="s">
        <v>124</v>
      </c>
      <c r="BR29" s="100">
        <v>6</v>
      </c>
      <c r="BS29" s="100">
        <v>6</v>
      </c>
      <c r="BU29" s="100" t="s">
        <v>124</v>
      </c>
      <c r="CD29" s="100">
        <v>6</v>
      </c>
      <c r="CE29" s="100">
        <v>6</v>
      </c>
      <c r="CG29" s="100" t="s">
        <v>124</v>
      </c>
      <c r="CP29" s="100">
        <v>6</v>
      </c>
      <c r="CQ29" s="100">
        <v>6</v>
      </c>
      <c r="CS29" s="100" t="s">
        <v>124</v>
      </c>
      <c r="DB29" s="100">
        <v>6</v>
      </c>
      <c r="DC29" s="100">
        <v>6</v>
      </c>
      <c r="DE29" s="100" t="s">
        <v>124</v>
      </c>
      <c r="DN29" s="100">
        <v>6</v>
      </c>
      <c r="DO29" s="100">
        <v>6</v>
      </c>
      <c r="DQ29" s="100" t="s">
        <v>124</v>
      </c>
      <c r="DZ29" s="100">
        <v>6</v>
      </c>
      <c r="EA29" s="100">
        <v>6</v>
      </c>
      <c r="EC29" s="100" t="s">
        <v>124</v>
      </c>
      <c r="EL29" s="100">
        <v>6</v>
      </c>
      <c r="EM29" s="100">
        <v>6</v>
      </c>
    </row>
    <row r="30" spans="1:143" s="100" customFormat="1">
      <c r="A30" s="100" t="s">
        <v>125</v>
      </c>
      <c r="J30" s="100">
        <v>3</v>
      </c>
      <c r="K30" s="100">
        <v>3</v>
      </c>
      <c r="M30" s="100" t="s">
        <v>125</v>
      </c>
      <c r="V30" s="100">
        <v>3</v>
      </c>
      <c r="W30" s="100">
        <v>3</v>
      </c>
      <c r="Y30" s="100" t="s">
        <v>125</v>
      </c>
      <c r="AH30" s="100">
        <v>3</v>
      </c>
      <c r="AI30" s="100">
        <v>3</v>
      </c>
      <c r="AK30" s="100" t="s">
        <v>125</v>
      </c>
      <c r="AT30" s="100">
        <v>3</v>
      </c>
      <c r="AU30" s="100">
        <v>3</v>
      </c>
      <c r="AW30" s="100" t="s">
        <v>125</v>
      </c>
      <c r="BF30" s="100">
        <v>3</v>
      </c>
      <c r="BG30" s="100">
        <v>3</v>
      </c>
      <c r="BI30" s="100" t="s">
        <v>125</v>
      </c>
      <c r="BR30" s="100">
        <v>3</v>
      </c>
      <c r="BS30" s="100">
        <v>3</v>
      </c>
      <c r="BU30" s="100" t="s">
        <v>125</v>
      </c>
      <c r="CD30" s="100">
        <v>3</v>
      </c>
      <c r="CE30" s="100">
        <v>3</v>
      </c>
      <c r="CG30" s="100" t="s">
        <v>125</v>
      </c>
      <c r="CP30" s="100">
        <v>3</v>
      </c>
      <c r="CQ30" s="100">
        <v>3</v>
      </c>
      <c r="CS30" s="100" t="s">
        <v>125</v>
      </c>
      <c r="DB30" s="100">
        <v>3</v>
      </c>
      <c r="DC30" s="100">
        <v>3</v>
      </c>
      <c r="DE30" s="100" t="s">
        <v>125</v>
      </c>
      <c r="DN30" s="100">
        <v>3</v>
      </c>
      <c r="DO30" s="100">
        <v>3</v>
      </c>
      <c r="DQ30" s="100" t="s">
        <v>125</v>
      </c>
      <c r="DZ30" s="100">
        <v>3</v>
      </c>
      <c r="EA30" s="100">
        <v>3</v>
      </c>
      <c r="EC30" s="100" t="s">
        <v>125</v>
      </c>
      <c r="EL30" s="100">
        <v>3</v>
      </c>
      <c r="EM30" s="100">
        <v>3</v>
      </c>
    </row>
    <row r="31" spans="1:143" s="100" customFormat="1">
      <c r="A31" s="100" t="s">
        <v>126</v>
      </c>
      <c r="J31" s="100">
        <v>1</v>
      </c>
      <c r="K31" s="100">
        <v>1</v>
      </c>
      <c r="M31" s="100" t="s">
        <v>126</v>
      </c>
      <c r="V31" s="100">
        <v>1</v>
      </c>
      <c r="W31" s="100">
        <v>1</v>
      </c>
      <c r="Y31" s="100" t="s">
        <v>126</v>
      </c>
      <c r="AH31" s="100">
        <v>1</v>
      </c>
      <c r="AI31" s="100">
        <v>1</v>
      </c>
      <c r="AK31" s="100" t="s">
        <v>126</v>
      </c>
      <c r="AT31" s="100">
        <v>1</v>
      </c>
      <c r="AU31" s="100">
        <v>1</v>
      </c>
      <c r="AW31" s="100" t="s">
        <v>126</v>
      </c>
      <c r="BF31" s="100">
        <v>1</v>
      </c>
      <c r="BG31" s="100">
        <v>1</v>
      </c>
      <c r="BI31" s="100" t="s">
        <v>126</v>
      </c>
      <c r="BR31" s="100">
        <v>1</v>
      </c>
      <c r="BS31" s="100">
        <v>1</v>
      </c>
      <c r="BU31" s="100" t="s">
        <v>126</v>
      </c>
      <c r="CD31" s="100">
        <v>1</v>
      </c>
      <c r="CE31" s="100">
        <v>1</v>
      </c>
      <c r="CG31" s="100" t="s">
        <v>126</v>
      </c>
      <c r="CP31" s="100">
        <v>1</v>
      </c>
      <c r="CQ31" s="100">
        <v>1</v>
      </c>
      <c r="CS31" s="100" t="s">
        <v>126</v>
      </c>
      <c r="DB31" s="100">
        <v>1</v>
      </c>
      <c r="DC31" s="100">
        <v>1</v>
      </c>
      <c r="DE31" s="100" t="s">
        <v>126</v>
      </c>
      <c r="DN31" s="100">
        <v>1</v>
      </c>
      <c r="DO31" s="100">
        <v>1</v>
      </c>
      <c r="DQ31" s="100" t="s">
        <v>126</v>
      </c>
      <c r="DZ31" s="100">
        <v>1</v>
      </c>
      <c r="EA31" s="100">
        <v>1</v>
      </c>
      <c r="EC31" s="100" t="s">
        <v>126</v>
      </c>
      <c r="EL31" s="100">
        <v>1</v>
      </c>
      <c r="EM31" s="100">
        <v>1</v>
      </c>
    </row>
    <row r="32" spans="1:143" s="755" customFormat="1">
      <c r="J32" s="755">
        <f>SUM(J6:J31)</f>
        <v>557.67712605824124</v>
      </c>
      <c r="K32" s="755">
        <f>SUM(K6:K31)</f>
        <v>538.4951809729439</v>
      </c>
      <c r="V32" s="755">
        <f>SUM(V6:V31)</f>
        <v>345.01178216657945</v>
      </c>
      <c r="W32" s="755">
        <f>SUM(W6:W31)</f>
        <v>331.24180098400268</v>
      </c>
      <c r="AH32" s="755">
        <f>SUM(AH6:AH31)</f>
        <v>311.5621737656387</v>
      </c>
      <c r="AI32" s="755">
        <f>SUM(AI6:AI31)</f>
        <v>290.65146440369455</v>
      </c>
      <c r="AT32" s="755">
        <f>SUM(AT6:AT31)</f>
        <v>399.83451247682359</v>
      </c>
      <c r="AU32" s="755">
        <f>SUM(AU6:AU31)</f>
        <v>384.75109281584241</v>
      </c>
      <c r="BF32" s="755">
        <f>SUM(BF6:BF31)</f>
        <v>650.38940339417411</v>
      </c>
      <c r="BG32" s="755">
        <f>SUM(BG6:BG31)</f>
        <v>633.60953920937607</v>
      </c>
      <c r="BR32" s="755">
        <f>SUM(BR6:BR31)</f>
        <v>359.78831617138314</v>
      </c>
      <c r="BS32" s="755">
        <f>SUM(BS6:BS31)</f>
        <v>351.60826836039701</v>
      </c>
      <c r="CD32" s="755">
        <f>SUM(CD6:CD31)</f>
        <v>336.4700862399842</v>
      </c>
      <c r="CE32" s="755">
        <f>SUM(CE6:CE31)</f>
        <v>323.60369253027403</v>
      </c>
      <c r="CP32" s="755">
        <f>SUM(CP6:CP31)</f>
        <v>261.28668185149002</v>
      </c>
      <c r="CQ32" s="755">
        <f>SUM(CQ6:CQ31)</f>
        <v>254.43600625266561</v>
      </c>
      <c r="DB32" s="755">
        <f>SUM(DB6:DB31)</f>
        <v>190.40710619971264</v>
      </c>
      <c r="DC32" s="755">
        <f>SUM(DC6:DC31)</f>
        <v>182.93049050251622</v>
      </c>
      <c r="DN32" s="755">
        <f>SUM(DN6:DN31)</f>
        <v>176.72810114224802</v>
      </c>
      <c r="DO32" s="755">
        <f>SUM(DO6:DO31)</f>
        <v>165.45504309488697</v>
      </c>
      <c r="DZ32" s="755">
        <f>SUM(DZ6:DZ31)</f>
        <v>216.77422754319048</v>
      </c>
      <c r="EA32" s="755">
        <f>SUM(EA6:EA31)</f>
        <v>198.59777120110203</v>
      </c>
      <c r="EL32" s="755">
        <f>SUM(EL6:EL31)</f>
        <v>232.14837671630386</v>
      </c>
      <c r="EM32" s="755">
        <f>SUM(EM6:EM31)</f>
        <v>215.65303635075912</v>
      </c>
    </row>
    <row r="33" spans="2:82" s="100" customFormat="1"/>
    <row r="34" spans="2:82">
      <c r="CD34" s="41"/>
    </row>
    <row r="36" spans="2:82">
      <c r="B36" s="127">
        <v>46113</v>
      </c>
      <c r="C36" s="39">
        <f t="shared" ref="C36:D36" si="36">J32</f>
        <v>557.67712605824124</v>
      </c>
      <c r="D36" s="39">
        <f t="shared" si="36"/>
        <v>538.4951809729439</v>
      </c>
      <c r="E36" s="39">
        <f>C36-D36</f>
        <v>19.181945085297343</v>
      </c>
      <c r="H36" s="127"/>
      <c r="K36" s="39"/>
      <c r="L36" s="39"/>
    </row>
    <row r="37" spans="2:82">
      <c r="B37" s="127">
        <v>46143</v>
      </c>
      <c r="C37" s="39">
        <f>V32</f>
        <v>345.01178216657945</v>
      </c>
      <c r="D37" s="39">
        <f>W32</f>
        <v>331.24180098400268</v>
      </c>
      <c r="E37" s="39">
        <f t="shared" ref="E37:E47" si="37">C37-D37</f>
        <v>13.769981182576771</v>
      </c>
      <c r="H37" s="127"/>
      <c r="K37" s="39"/>
      <c r="L37" s="39"/>
    </row>
    <row r="38" spans="2:82">
      <c r="B38" s="127">
        <v>46174</v>
      </c>
      <c r="C38" s="39">
        <f>AH32</f>
        <v>311.5621737656387</v>
      </c>
      <c r="D38" s="39">
        <f>AI32</f>
        <v>290.65146440369455</v>
      </c>
      <c r="E38" s="39">
        <f t="shared" si="37"/>
        <v>20.910709361944157</v>
      </c>
      <c r="H38" s="127"/>
      <c r="K38" s="39"/>
      <c r="L38" s="39"/>
    </row>
    <row r="39" spans="2:82">
      <c r="B39" s="127">
        <v>46204</v>
      </c>
      <c r="C39" s="39">
        <f>AT32</f>
        <v>399.83451247682359</v>
      </c>
      <c r="D39" s="39">
        <f>AU32</f>
        <v>384.75109281584241</v>
      </c>
      <c r="E39" s="39">
        <f t="shared" si="37"/>
        <v>15.083419660981178</v>
      </c>
      <c r="H39" s="127"/>
      <c r="K39" s="39"/>
      <c r="L39" s="39"/>
    </row>
    <row r="40" spans="2:82">
      <c r="B40" s="127">
        <v>46235</v>
      </c>
      <c r="C40" s="39">
        <f>BF32</f>
        <v>650.38940339417411</v>
      </c>
      <c r="D40" s="39">
        <f>BG32</f>
        <v>633.60953920937607</v>
      </c>
      <c r="E40" s="39">
        <f t="shared" si="37"/>
        <v>16.779864184798043</v>
      </c>
      <c r="H40" s="127"/>
      <c r="K40" s="39"/>
      <c r="L40" s="39"/>
    </row>
    <row r="41" spans="2:82">
      <c r="B41" s="127">
        <v>46266</v>
      </c>
      <c r="C41" s="39">
        <f>BR32</f>
        <v>359.78831617138314</v>
      </c>
      <c r="D41" s="39">
        <f>BS32</f>
        <v>351.60826836039701</v>
      </c>
      <c r="E41" s="39">
        <f t="shared" si="37"/>
        <v>8.1800478109861388</v>
      </c>
      <c r="H41" s="127"/>
      <c r="K41" s="39"/>
      <c r="L41" s="39"/>
    </row>
    <row r="42" spans="2:82">
      <c r="B42" s="127">
        <v>46296</v>
      </c>
      <c r="C42" s="39">
        <f>CD32</f>
        <v>336.4700862399842</v>
      </c>
      <c r="D42" s="39">
        <f>CE32</f>
        <v>323.60369253027403</v>
      </c>
      <c r="E42" s="39">
        <f t="shared" si="37"/>
        <v>12.866393709710167</v>
      </c>
      <c r="H42" s="127"/>
      <c r="K42" s="39"/>
      <c r="L42" s="39"/>
    </row>
    <row r="43" spans="2:82">
      <c r="B43" s="127">
        <v>46327</v>
      </c>
      <c r="C43" s="39">
        <f>CP32</f>
        <v>261.28668185149002</v>
      </c>
      <c r="D43" s="39">
        <f>CQ32</f>
        <v>254.43600625266561</v>
      </c>
      <c r="E43" s="39">
        <f t="shared" si="37"/>
        <v>6.8506755988244095</v>
      </c>
      <c r="H43" s="127"/>
      <c r="K43" s="39"/>
      <c r="L43" s="39"/>
    </row>
    <row r="44" spans="2:82">
      <c r="B44" s="127">
        <v>46357</v>
      </c>
      <c r="C44" s="39">
        <f>DB32</f>
        <v>190.40710619971264</v>
      </c>
      <c r="D44" s="39">
        <f>DC32</f>
        <v>182.93049050251622</v>
      </c>
      <c r="E44" s="39">
        <f t="shared" si="37"/>
        <v>7.4766156971964222</v>
      </c>
      <c r="H44" s="127"/>
      <c r="K44" s="39"/>
      <c r="L44" s="39"/>
    </row>
    <row r="45" spans="2:82">
      <c r="B45" s="127">
        <v>46388</v>
      </c>
      <c r="C45" s="39">
        <f>DN32</f>
        <v>176.72810114224802</v>
      </c>
      <c r="D45" s="39">
        <f>DO32</f>
        <v>165.45504309488697</v>
      </c>
      <c r="E45" s="39">
        <f t="shared" si="37"/>
        <v>11.273058047361047</v>
      </c>
      <c r="H45" s="127"/>
      <c r="K45" s="39"/>
      <c r="L45" s="39"/>
    </row>
    <row r="46" spans="2:82">
      <c r="B46" s="127">
        <v>46419</v>
      </c>
      <c r="C46" s="39">
        <f>DZ32</f>
        <v>216.77422754319048</v>
      </c>
      <c r="D46" s="39">
        <f>EA32</f>
        <v>198.59777120110203</v>
      </c>
      <c r="E46" s="39">
        <f t="shared" si="37"/>
        <v>18.176456342088443</v>
      </c>
      <c r="H46" s="127"/>
      <c r="K46" s="39"/>
      <c r="L46" s="39"/>
    </row>
    <row r="47" spans="2:82">
      <c r="B47" s="127">
        <v>46447</v>
      </c>
      <c r="C47" s="39">
        <f>EL32</f>
        <v>232.14837671630386</v>
      </c>
      <c r="D47" s="39">
        <f>EM32</f>
        <v>215.65303635075912</v>
      </c>
      <c r="E47" s="39">
        <f t="shared" si="37"/>
        <v>16.495340365544735</v>
      </c>
      <c r="H47" s="127"/>
      <c r="K47" s="39"/>
      <c r="L47" s="39"/>
    </row>
    <row r="48" spans="2:82">
      <c r="H48" s="127"/>
    </row>
  </sheetData>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6"/>
  <sheetViews>
    <sheetView workbookViewId="0">
      <selection activeCell="D3" sqref="D3"/>
    </sheetView>
  </sheetViews>
  <sheetFormatPr defaultRowHeight="14.5"/>
  <cols>
    <col min="4" max="4" width="11.54296875" bestFit="1" customWidth="1"/>
    <col min="6" max="7" width="11.54296875" bestFit="1" customWidth="1"/>
  </cols>
  <sheetData>
    <row r="1" spans="1:19">
      <c r="A1" s="780">
        <f>BP!$D$191</f>
        <v>460411.64024567843</v>
      </c>
      <c r="B1" s="780">
        <f>BP!$E$191</f>
        <v>318864.58668767568</v>
      </c>
      <c r="C1" s="780">
        <f>BP!$F$191</f>
        <v>276183.06700537977</v>
      </c>
      <c r="D1" s="780">
        <f>BP!$G$191</f>
        <v>375130.63631719211</v>
      </c>
      <c r="E1" s="780">
        <f>BP!$H$191</f>
        <v>636810.07957177632</v>
      </c>
      <c r="F1" s="780">
        <f>BP!$I$191</f>
        <v>340280.31888946606</v>
      </c>
      <c r="G1" s="780">
        <f>BP!$J$191</f>
        <v>290110.77081198042</v>
      </c>
      <c r="H1" s="780">
        <f>BP!$K$191</f>
        <v>238101.81614365615</v>
      </c>
      <c r="I1" s="780">
        <f>BP!$L$191</f>
        <v>162912.3909009163</v>
      </c>
      <c r="J1" s="780">
        <f>BP!$M$191</f>
        <v>144536.62180597585</v>
      </c>
      <c r="K1" s="780">
        <f>BP!$N$191</f>
        <v>179386.83792063277</v>
      </c>
      <c r="L1" s="780">
        <f>BP!$O$191</f>
        <v>197320.77728897543</v>
      </c>
    </row>
    <row r="2" spans="1:19">
      <c r="A2" s="46"/>
      <c r="B2" s="46"/>
      <c r="C2" s="46" t="s">
        <v>1089</v>
      </c>
      <c r="D2" s="46" t="s">
        <v>280</v>
      </c>
      <c r="E2" s="46"/>
      <c r="F2" s="46"/>
      <c r="G2" s="46"/>
      <c r="H2" s="46"/>
      <c r="I2" s="46"/>
      <c r="J2" s="46"/>
      <c r="K2" s="46"/>
      <c r="L2" s="46"/>
    </row>
    <row r="3" spans="1:19">
      <c r="A3" s="127">
        <v>46113</v>
      </c>
      <c r="B3" s="780">
        <f>BP!$D$191</f>
        <v>460411.64024567843</v>
      </c>
      <c r="C3" s="797">
        <v>29035</v>
      </c>
      <c r="D3" s="797">
        <f>B3-C3</f>
        <v>431376.64024567843</v>
      </c>
      <c r="F3" s="39">
        <f>C3/$C$16</f>
        <v>113417.96875</v>
      </c>
      <c r="G3" s="39">
        <f>D3/$D$16</f>
        <v>239653.68902537689</v>
      </c>
      <c r="H3" s="798">
        <f>F3/(SUM(F3:G3))</f>
        <v>0.32123215288539575</v>
      </c>
      <c r="I3" s="798">
        <f>G3/(SUM(F3:G3))</f>
        <v>0.67876784711460414</v>
      </c>
      <c r="K3" s="798">
        <f>C3/B3</f>
        <v>6.3063131906280101E-2</v>
      </c>
      <c r="L3" s="156">
        <f>D3/B3</f>
        <v>0.9369368680937199</v>
      </c>
      <c r="N3">
        <f>DAY(EOMONTH(A3,0))</f>
        <v>30</v>
      </c>
      <c r="O3" s="40">
        <f>B3/N3</f>
        <v>15347.054674855948</v>
      </c>
      <c r="S3">
        <v>41369.616999999998</v>
      </c>
    </row>
    <row r="4" spans="1:19">
      <c r="A4" s="127">
        <v>46143</v>
      </c>
      <c r="B4" s="780">
        <f>BP!$E$191</f>
        <v>318864.58668767568</v>
      </c>
      <c r="C4" s="797">
        <v>29035</v>
      </c>
      <c r="D4" s="797">
        <f t="shared" ref="D4:D14" si="0">B4-C4</f>
        <v>289829.58668767568</v>
      </c>
      <c r="F4" s="39">
        <f t="shared" ref="F4:F14" si="1">C4/$C$16</f>
        <v>113417.96875</v>
      </c>
      <c r="G4" s="39">
        <f t="shared" ref="G4:G14" si="2">D4/$D$16</f>
        <v>161016.4370487087</v>
      </c>
      <c r="H4" s="798">
        <f t="shared" ref="H4:H14" si="3">F4/(SUM(F4:G4))</f>
        <v>0.41327897068849839</v>
      </c>
      <c r="I4" s="798">
        <f t="shared" ref="I4:I14" si="4">G4/(SUM(F4:G4))</f>
        <v>0.58672102931150172</v>
      </c>
      <c r="K4" s="798">
        <f t="shared" ref="K4:K14" si="5">C4/B4</f>
        <v>9.1057462045603263E-2</v>
      </c>
      <c r="L4" s="156">
        <f t="shared" ref="L4:L14" si="6">D4/B4</f>
        <v>0.90894253795439672</v>
      </c>
      <c r="N4">
        <f t="shared" ref="N4:N14" si="7">DAY(EOMONTH(A4,0))</f>
        <v>31</v>
      </c>
      <c r="O4" s="40">
        <f t="shared" ref="O4:O14" si="8">B4/N4</f>
        <v>10285.954409279861</v>
      </c>
      <c r="S4">
        <v>25157.836999999996</v>
      </c>
    </row>
    <row r="5" spans="1:19">
      <c r="A5" s="127">
        <v>46174</v>
      </c>
      <c r="B5" s="780">
        <f>BP!$F$191</f>
        <v>276183.06700537977</v>
      </c>
      <c r="C5" s="797">
        <v>29035</v>
      </c>
      <c r="D5" s="797">
        <f t="shared" si="0"/>
        <v>247148.06700537977</v>
      </c>
      <c r="F5" s="39">
        <f t="shared" si="1"/>
        <v>113417.96875</v>
      </c>
      <c r="G5" s="39">
        <f t="shared" si="2"/>
        <v>137304.48166965542</v>
      </c>
      <c r="H5" s="798">
        <f t="shared" si="3"/>
        <v>0.45236463093018886</v>
      </c>
      <c r="I5" s="798">
        <f t="shared" si="4"/>
        <v>0.54763536906981114</v>
      </c>
      <c r="K5" s="798">
        <f t="shared" si="5"/>
        <v>0.10512954438091755</v>
      </c>
      <c r="L5" s="156">
        <f t="shared" si="6"/>
        <v>0.89487045561908241</v>
      </c>
      <c r="N5">
        <f t="shared" si="7"/>
        <v>30</v>
      </c>
      <c r="O5" s="40">
        <f t="shared" si="8"/>
        <v>9206.1022335126581</v>
      </c>
      <c r="S5">
        <v>26493.044499999989</v>
      </c>
    </row>
    <row r="6" spans="1:19">
      <c r="A6" s="127">
        <v>46204</v>
      </c>
      <c r="B6" s="780">
        <f>BP!$G$191</f>
        <v>375130.63631719211</v>
      </c>
      <c r="C6" s="797">
        <v>29035</v>
      </c>
      <c r="D6" s="797">
        <f t="shared" si="0"/>
        <v>346095.63631719211</v>
      </c>
      <c r="F6" s="39">
        <f t="shared" si="1"/>
        <v>113417.96875</v>
      </c>
      <c r="G6" s="39">
        <f t="shared" si="2"/>
        <v>192275.35350955118</v>
      </c>
      <c r="H6" s="798">
        <f t="shared" si="3"/>
        <v>0.37101879724314568</v>
      </c>
      <c r="I6" s="798">
        <f t="shared" si="4"/>
        <v>0.62898120275685443</v>
      </c>
      <c r="K6" s="798">
        <f t="shared" si="5"/>
        <v>7.7399703434110956E-2</v>
      </c>
      <c r="L6" s="156">
        <f t="shared" si="6"/>
        <v>0.92260029656588904</v>
      </c>
      <c r="N6">
        <f t="shared" si="7"/>
        <v>31</v>
      </c>
      <c r="O6" s="40">
        <f t="shared" si="8"/>
        <v>12100.98826829652</v>
      </c>
      <c r="S6">
        <v>24397.756000000001</v>
      </c>
    </row>
    <row r="7" spans="1:19">
      <c r="A7" s="127">
        <v>46235</v>
      </c>
      <c r="B7" s="780">
        <f>BP!$H$191</f>
        <v>636810.07957177632</v>
      </c>
      <c r="C7" s="797">
        <v>29035</v>
      </c>
      <c r="D7" s="797">
        <f t="shared" si="0"/>
        <v>607775.07957177632</v>
      </c>
      <c r="F7" s="39">
        <f t="shared" si="1"/>
        <v>113417.96875</v>
      </c>
      <c r="G7" s="39">
        <f t="shared" si="2"/>
        <v>337652.82198432018</v>
      </c>
      <c r="H7" s="798">
        <f t="shared" si="3"/>
        <v>0.25144161643754709</v>
      </c>
      <c r="I7" s="798">
        <f t="shared" si="4"/>
        <v>0.74855838356245297</v>
      </c>
      <c r="K7" s="798">
        <f t="shared" si="5"/>
        <v>4.5594441626182515E-2</v>
      </c>
      <c r="L7" s="156">
        <f t="shared" si="6"/>
        <v>0.95440555837381746</v>
      </c>
      <c r="N7">
        <f t="shared" si="7"/>
        <v>31</v>
      </c>
      <c r="O7" s="40">
        <f t="shared" si="8"/>
        <v>20542.260631347624</v>
      </c>
      <c r="S7">
        <v>36431.735499999995</v>
      </c>
    </row>
    <row r="8" spans="1:19">
      <c r="A8" s="127">
        <v>46266</v>
      </c>
      <c r="B8" s="780">
        <f>BP!$I$191</f>
        <v>340280.31888946606</v>
      </c>
      <c r="C8" s="797">
        <v>29035</v>
      </c>
      <c r="D8" s="797">
        <f t="shared" si="0"/>
        <v>311245.31888946606</v>
      </c>
      <c r="F8" s="39">
        <f t="shared" si="1"/>
        <v>113417.96875</v>
      </c>
      <c r="G8" s="39">
        <f t="shared" si="2"/>
        <v>172914.06604970337</v>
      </c>
      <c r="H8" s="798">
        <f t="shared" si="3"/>
        <v>0.39610646021266455</v>
      </c>
      <c r="I8" s="798">
        <f t="shared" si="4"/>
        <v>0.60389353978733529</v>
      </c>
      <c r="K8" s="798">
        <f t="shared" si="5"/>
        <v>8.5326709739658779E-2</v>
      </c>
      <c r="L8" s="156">
        <f t="shared" si="6"/>
        <v>0.91467329026034117</v>
      </c>
      <c r="N8">
        <f t="shared" si="7"/>
        <v>30</v>
      </c>
      <c r="O8" s="40">
        <f t="shared" si="8"/>
        <v>11342.677296315534</v>
      </c>
      <c r="S8">
        <v>12949.391</v>
      </c>
    </row>
    <row r="9" spans="1:19">
      <c r="A9" s="127">
        <v>46296</v>
      </c>
      <c r="B9" s="780">
        <f>BP!$J$191</f>
        <v>290110.77081198042</v>
      </c>
      <c r="C9" s="797">
        <v>29035</v>
      </c>
      <c r="D9" s="797">
        <f t="shared" si="0"/>
        <v>261075.77081198042</v>
      </c>
      <c r="F9" s="39">
        <f t="shared" si="1"/>
        <v>113417.96875</v>
      </c>
      <c r="G9" s="39">
        <f t="shared" si="2"/>
        <v>145042.09489554467</v>
      </c>
      <c r="H9" s="798">
        <f t="shared" si="3"/>
        <v>0.43882202592638375</v>
      </c>
      <c r="I9" s="798">
        <f t="shared" si="4"/>
        <v>0.56117797407361625</v>
      </c>
      <c r="K9" s="798">
        <f t="shared" si="5"/>
        <v>0.10008246132584117</v>
      </c>
      <c r="L9" s="156">
        <f t="shared" si="6"/>
        <v>0.8999175386741588</v>
      </c>
      <c r="N9">
        <f t="shared" si="7"/>
        <v>31</v>
      </c>
      <c r="O9" s="40">
        <f t="shared" si="8"/>
        <v>9358.4119616767875</v>
      </c>
      <c r="S9">
        <v>30461.360999999997</v>
      </c>
    </row>
    <row r="10" spans="1:19">
      <c r="A10" s="127">
        <v>46327</v>
      </c>
      <c r="B10" s="780">
        <f>BP!$K$191</f>
        <v>238101.81614365615</v>
      </c>
      <c r="C10" s="797">
        <v>29035</v>
      </c>
      <c r="D10" s="797">
        <f t="shared" si="0"/>
        <v>209066.81614365615</v>
      </c>
      <c r="F10" s="39">
        <f t="shared" si="1"/>
        <v>113417.96875</v>
      </c>
      <c r="G10" s="39">
        <f t="shared" si="2"/>
        <v>116148.23119092008</v>
      </c>
      <c r="H10" s="798">
        <f t="shared" si="3"/>
        <v>0.49405343112003702</v>
      </c>
      <c r="I10" s="798">
        <f t="shared" si="4"/>
        <v>0.50594656887996303</v>
      </c>
      <c r="K10" s="798">
        <f t="shared" si="5"/>
        <v>0.12194363096534319</v>
      </c>
      <c r="L10" s="156">
        <f t="shared" si="6"/>
        <v>0.87805636903465678</v>
      </c>
      <c r="N10">
        <f t="shared" si="7"/>
        <v>30</v>
      </c>
      <c r="O10" s="40">
        <f t="shared" si="8"/>
        <v>7936.7272047885381</v>
      </c>
      <c r="S10">
        <v>30537.812999999991</v>
      </c>
    </row>
    <row r="11" spans="1:19">
      <c r="A11" s="127">
        <v>46357</v>
      </c>
      <c r="B11" s="780">
        <f>BP!$L$191</f>
        <v>162912.3909009163</v>
      </c>
      <c r="C11" s="797">
        <v>29035</v>
      </c>
      <c r="D11" s="797">
        <f t="shared" si="0"/>
        <v>133877.3909009163</v>
      </c>
      <c r="F11" s="39">
        <f t="shared" si="1"/>
        <v>113417.96875</v>
      </c>
      <c r="G11" s="39">
        <f t="shared" si="2"/>
        <v>74376.328278286834</v>
      </c>
      <c r="H11" s="798">
        <f t="shared" si="3"/>
        <v>0.60394788630304475</v>
      </c>
      <c r="I11" s="798">
        <f t="shared" si="4"/>
        <v>0.3960521136969552</v>
      </c>
      <c r="K11" s="798">
        <f t="shared" si="5"/>
        <v>0.17822462637393344</v>
      </c>
      <c r="L11" s="156">
        <f t="shared" si="6"/>
        <v>0.82177537362606656</v>
      </c>
      <c r="N11">
        <f t="shared" si="7"/>
        <v>31</v>
      </c>
      <c r="O11" s="40">
        <f t="shared" si="8"/>
        <v>5255.2384161585906</v>
      </c>
      <c r="S11">
        <v>6125.3944999999985</v>
      </c>
    </row>
    <row r="12" spans="1:19">
      <c r="A12" s="127">
        <v>46388</v>
      </c>
      <c r="B12" s="780">
        <f>BP!$M$191</f>
        <v>144536.62180597585</v>
      </c>
      <c r="C12" s="797">
        <v>29035</v>
      </c>
      <c r="D12" s="797">
        <f t="shared" si="0"/>
        <v>115501.62180597585</v>
      </c>
      <c r="F12" s="39">
        <f t="shared" si="1"/>
        <v>113417.96875</v>
      </c>
      <c r="G12" s="39">
        <f t="shared" si="2"/>
        <v>64167.567669986587</v>
      </c>
      <c r="H12" s="798">
        <f t="shared" si="3"/>
        <v>0.63866670133410275</v>
      </c>
      <c r="I12" s="798">
        <f t="shared" si="4"/>
        <v>0.36133329866589731</v>
      </c>
      <c r="K12" s="798">
        <f t="shared" si="5"/>
        <v>0.20088334456146498</v>
      </c>
      <c r="L12" s="156">
        <f t="shared" si="6"/>
        <v>0.79911665543853505</v>
      </c>
      <c r="N12">
        <f t="shared" si="7"/>
        <v>31</v>
      </c>
      <c r="O12" s="40">
        <f t="shared" si="8"/>
        <v>4662.4716711605115</v>
      </c>
      <c r="S12">
        <v>15592.942000000001</v>
      </c>
    </row>
    <row r="13" spans="1:19">
      <c r="A13" s="127">
        <v>46419</v>
      </c>
      <c r="B13" s="780">
        <f>BP!$N$191</f>
        <v>179386.83792063277</v>
      </c>
      <c r="C13" s="797">
        <v>29035</v>
      </c>
      <c r="D13" s="797">
        <f t="shared" si="0"/>
        <v>150351.83792063277</v>
      </c>
      <c r="F13" s="39">
        <f t="shared" si="1"/>
        <v>113417.96875</v>
      </c>
      <c r="G13" s="39">
        <f t="shared" si="2"/>
        <v>83528.79884479598</v>
      </c>
      <c r="H13" s="798">
        <f t="shared" si="3"/>
        <v>0.57588134161891624</v>
      </c>
      <c r="I13" s="798">
        <f t="shared" si="4"/>
        <v>0.42411865838108381</v>
      </c>
      <c r="K13" s="798">
        <f t="shared" si="5"/>
        <v>0.16185691401086036</v>
      </c>
      <c r="L13" s="156">
        <f t="shared" si="6"/>
        <v>0.83814308598913967</v>
      </c>
      <c r="N13">
        <f t="shared" si="7"/>
        <v>28</v>
      </c>
      <c r="O13" s="40">
        <f t="shared" si="8"/>
        <v>6406.672782879742</v>
      </c>
      <c r="S13">
        <v>12684.96</v>
      </c>
    </row>
    <row r="14" spans="1:19">
      <c r="A14" s="127">
        <v>46447</v>
      </c>
      <c r="B14" s="780">
        <f>BP!$O$191</f>
        <v>197320.77728897543</v>
      </c>
      <c r="C14" s="797">
        <v>29035</v>
      </c>
      <c r="D14" s="797">
        <f t="shared" si="0"/>
        <v>168285.77728897543</v>
      </c>
      <c r="F14" s="39">
        <f t="shared" si="1"/>
        <v>113417.96875</v>
      </c>
      <c r="G14" s="39">
        <f t="shared" si="2"/>
        <v>93492.098493875237</v>
      </c>
      <c r="H14" s="798">
        <f t="shared" si="3"/>
        <v>0.54815104098496825</v>
      </c>
      <c r="I14" s="798">
        <f t="shared" si="4"/>
        <v>0.45184895901503169</v>
      </c>
      <c r="K14" s="798">
        <f t="shared" si="5"/>
        <v>0.14714618703066615</v>
      </c>
      <c r="L14" s="156">
        <f t="shared" si="6"/>
        <v>0.85285381296933382</v>
      </c>
      <c r="N14">
        <f t="shared" si="7"/>
        <v>31</v>
      </c>
      <c r="O14" s="40">
        <f t="shared" si="8"/>
        <v>6365.1863641604978</v>
      </c>
      <c r="S14">
        <v>13123.44902</v>
      </c>
    </row>
    <row r="15" spans="1:19">
      <c r="K15" s="62">
        <f>AVERAGE(K3:K14)</f>
        <v>0.11480901311673854</v>
      </c>
      <c r="L15" s="62">
        <f>AVERAGE(L3:L14)</f>
        <v>0.88519098688326148</v>
      </c>
    </row>
    <row r="16" spans="1:19">
      <c r="C16">
        <v>0.25600000000000001</v>
      </c>
      <c r="D16">
        <v>1.8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9"/>
  <sheetViews>
    <sheetView workbookViewId="0">
      <pane xSplit="3" ySplit="1" topLeftCell="D20" activePane="bottomRight" state="frozen"/>
      <selection pane="topRight" activeCell="D1" sqref="D1"/>
      <selection pane="bottomLeft" activeCell="A2" sqref="A2"/>
      <selection pane="bottomRight" activeCell="F38" sqref="F38"/>
    </sheetView>
  </sheetViews>
  <sheetFormatPr defaultRowHeight="14.5"/>
  <cols>
    <col min="1" max="1" width="3.7265625" bestFit="1" customWidth="1"/>
    <col min="2" max="2" width="9.81640625" bestFit="1" customWidth="1"/>
    <col min="3" max="3" width="11.81640625" bestFit="1" customWidth="1"/>
    <col min="4" max="4" width="6" bestFit="1" customWidth="1"/>
    <col min="5" max="5" width="6.1796875" bestFit="1" customWidth="1"/>
    <col min="6" max="6" width="5.26953125" bestFit="1" customWidth="1"/>
    <col min="7" max="7" width="12.81640625" bestFit="1" customWidth="1"/>
    <col min="8" max="8" width="14.453125" bestFit="1" customWidth="1"/>
    <col min="9" max="9" width="5.81640625" bestFit="1" customWidth="1"/>
    <col min="10" max="10" width="11.54296875" bestFit="1" customWidth="1"/>
    <col min="11" max="11" width="19.7265625" bestFit="1" customWidth="1"/>
    <col min="12" max="12" width="9.81640625" bestFit="1" customWidth="1"/>
    <col min="13" max="13" width="12.7265625" bestFit="1" customWidth="1"/>
    <col min="14" max="14" width="14.453125" bestFit="1" customWidth="1"/>
    <col min="15" max="15" width="21" bestFit="1" customWidth="1"/>
    <col min="16" max="16" width="6.1796875" bestFit="1" customWidth="1"/>
  </cols>
  <sheetData>
    <row r="1" spans="1:22" ht="15.5">
      <c r="A1" s="862" t="s">
        <v>1175</v>
      </c>
      <c r="B1" s="863" t="s">
        <v>1176</v>
      </c>
      <c r="C1" s="863" t="s">
        <v>1177</v>
      </c>
      <c r="D1" s="863" t="s">
        <v>16</v>
      </c>
      <c r="E1" s="863" t="s">
        <v>18</v>
      </c>
      <c r="F1" s="863" t="s">
        <v>141</v>
      </c>
      <c r="G1" s="863" t="s">
        <v>23</v>
      </c>
      <c r="H1" s="863" t="s">
        <v>1178</v>
      </c>
      <c r="I1" s="863" t="s">
        <v>256</v>
      </c>
      <c r="J1" s="863" t="s">
        <v>26</v>
      </c>
      <c r="K1" s="863" t="s">
        <v>1179</v>
      </c>
      <c r="L1" s="863" t="s">
        <v>32</v>
      </c>
      <c r="M1" s="863" t="s">
        <v>367</v>
      </c>
      <c r="N1" s="863" t="s">
        <v>1180</v>
      </c>
      <c r="O1" s="863" t="s">
        <v>1181</v>
      </c>
      <c r="P1" s="863" t="s">
        <v>295</v>
      </c>
    </row>
    <row r="2" spans="1:22" ht="15.5">
      <c r="A2" s="864">
        <v>1</v>
      </c>
      <c r="B2" s="865">
        <v>46036</v>
      </c>
      <c r="C2" s="866" t="s">
        <v>1182</v>
      </c>
      <c r="D2" s="866" t="s">
        <v>1183</v>
      </c>
      <c r="E2" s="866" t="s">
        <v>1183</v>
      </c>
      <c r="F2" s="866" t="s">
        <v>1183</v>
      </c>
      <c r="G2" s="866" t="s">
        <v>1184</v>
      </c>
      <c r="H2" s="866" t="s">
        <v>1185</v>
      </c>
      <c r="I2" s="866" t="s">
        <v>1186</v>
      </c>
      <c r="J2" s="866" t="s">
        <v>1187</v>
      </c>
      <c r="K2" s="866" t="s">
        <v>1188</v>
      </c>
      <c r="L2" s="866" t="s">
        <v>1186</v>
      </c>
      <c r="M2" s="866" t="s">
        <v>1186</v>
      </c>
      <c r="N2" s="866" t="s">
        <v>1186</v>
      </c>
      <c r="O2" s="866" t="s">
        <v>1189</v>
      </c>
      <c r="P2" s="866" t="s">
        <v>1186</v>
      </c>
    </row>
    <row r="3" spans="1:22" ht="15.5">
      <c r="A3" s="864">
        <v>2</v>
      </c>
      <c r="B3" s="865">
        <v>46048</v>
      </c>
      <c r="C3" s="866" t="s">
        <v>1190</v>
      </c>
      <c r="D3" s="866" t="s">
        <v>1183</v>
      </c>
      <c r="E3" s="867" t="s">
        <v>1186</v>
      </c>
      <c r="F3" s="866" t="s">
        <v>1183</v>
      </c>
      <c r="G3" s="866" t="s">
        <v>1184</v>
      </c>
      <c r="H3" s="866" t="s">
        <v>1185</v>
      </c>
      <c r="I3" s="866" t="s">
        <v>1186</v>
      </c>
      <c r="J3" s="866" t="s">
        <v>1187</v>
      </c>
      <c r="K3" s="866" t="s">
        <v>1188</v>
      </c>
      <c r="L3" s="866" t="s">
        <v>1186</v>
      </c>
      <c r="M3" s="866" t="s">
        <v>1186</v>
      </c>
      <c r="N3" s="866" t="s">
        <v>1186</v>
      </c>
      <c r="O3" s="866" t="s">
        <v>1189</v>
      </c>
      <c r="P3" s="866" t="s">
        <v>1186</v>
      </c>
    </row>
    <row r="4" spans="1:22" ht="15.5">
      <c r="A4" s="864">
        <v>3</v>
      </c>
      <c r="B4" s="865">
        <v>46085</v>
      </c>
      <c r="C4" s="866" t="s">
        <v>1182</v>
      </c>
      <c r="D4" s="866" t="s">
        <v>1183</v>
      </c>
      <c r="E4" s="866" t="s">
        <v>1183</v>
      </c>
      <c r="F4" s="866" t="s">
        <v>1183</v>
      </c>
      <c r="G4" s="866" t="s">
        <v>1184</v>
      </c>
      <c r="H4" s="866" t="s">
        <v>1185</v>
      </c>
      <c r="I4" s="866" t="s">
        <v>1186</v>
      </c>
      <c r="J4" s="866" t="s">
        <v>1187</v>
      </c>
      <c r="K4" s="866" t="s">
        <v>1186</v>
      </c>
      <c r="L4" s="866" t="s">
        <v>1186</v>
      </c>
      <c r="M4" s="866" t="s">
        <v>1186</v>
      </c>
      <c r="N4" s="866" t="s">
        <v>1186</v>
      </c>
      <c r="O4" s="866" t="s">
        <v>1189</v>
      </c>
      <c r="P4" s="866" t="s">
        <v>1186</v>
      </c>
    </row>
    <row r="5" spans="1:22" ht="15.5">
      <c r="A5" s="864">
        <v>4</v>
      </c>
      <c r="B5" s="865">
        <v>46143</v>
      </c>
      <c r="C5" s="866" t="s">
        <v>1191</v>
      </c>
      <c r="D5" s="866" t="s">
        <v>1183</v>
      </c>
      <c r="E5" s="866" t="s">
        <v>1183</v>
      </c>
      <c r="F5" s="866" t="s">
        <v>1183</v>
      </c>
      <c r="G5" s="866" t="s">
        <v>1184</v>
      </c>
      <c r="H5" s="866" t="s">
        <v>1185</v>
      </c>
      <c r="I5" s="866" t="s">
        <v>1186</v>
      </c>
      <c r="J5" s="866" t="s">
        <v>1187</v>
      </c>
      <c r="K5" s="866" t="s">
        <v>1186</v>
      </c>
      <c r="L5" s="866" t="s">
        <v>1186</v>
      </c>
      <c r="M5" s="866" t="s">
        <v>1186</v>
      </c>
      <c r="N5" s="866" t="s">
        <v>1186</v>
      </c>
      <c r="O5" s="866" t="s">
        <v>1189</v>
      </c>
      <c r="P5" s="866" t="s">
        <v>1186</v>
      </c>
    </row>
    <row r="6" spans="1:22" ht="15.5">
      <c r="A6" s="864">
        <v>5</v>
      </c>
      <c r="B6" s="865">
        <v>46249</v>
      </c>
      <c r="C6" s="866" t="s">
        <v>1192</v>
      </c>
      <c r="D6" s="866" t="s">
        <v>1183</v>
      </c>
      <c r="E6" s="866" t="s">
        <v>1183</v>
      </c>
      <c r="F6" s="866" t="s">
        <v>1183</v>
      </c>
      <c r="G6" s="866" t="s">
        <v>1184</v>
      </c>
      <c r="H6" s="866" t="s">
        <v>1185</v>
      </c>
      <c r="I6" s="866" t="s">
        <v>1186</v>
      </c>
      <c r="J6" s="866" t="s">
        <v>1187</v>
      </c>
      <c r="K6" s="866" t="s">
        <v>1193</v>
      </c>
      <c r="L6" s="866" t="s">
        <v>1186</v>
      </c>
      <c r="M6" s="866" t="s">
        <v>1186</v>
      </c>
      <c r="N6" s="866" t="s">
        <v>1186</v>
      </c>
      <c r="O6" s="866" t="s">
        <v>1189</v>
      </c>
      <c r="P6" s="866" t="s">
        <v>1186</v>
      </c>
    </row>
    <row r="7" spans="1:22" ht="15.5">
      <c r="A7" s="864">
        <v>6</v>
      </c>
      <c r="B7" s="865">
        <v>46297</v>
      </c>
      <c r="C7" s="866" t="s">
        <v>1191</v>
      </c>
      <c r="D7" s="866" t="s">
        <v>1183</v>
      </c>
      <c r="E7" s="866" t="s">
        <v>1183</v>
      </c>
      <c r="F7" s="866" t="s">
        <v>1183</v>
      </c>
      <c r="G7" s="866" t="s">
        <v>1184</v>
      </c>
      <c r="H7" s="866" t="s">
        <v>1185</v>
      </c>
      <c r="I7" s="866" t="s">
        <v>1186</v>
      </c>
      <c r="J7" s="866" t="s">
        <v>1187</v>
      </c>
      <c r="K7" s="866" t="s">
        <v>1186</v>
      </c>
      <c r="L7" s="866" t="s">
        <v>1186</v>
      </c>
      <c r="M7" s="866" t="s">
        <v>1186</v>
      </c>
      <c r="N7" s="866" t="s">
        <v>1186</v>
      </c>
      <c r="O7" s="866" t="s">
        <v>1189</v>
      </c>
      <c r="P7" s="866" t="s">
        <v>1186</v>
      </c>
    </row>
    <row r="8" spans="1:22" ht="15.5">
      <c r="A8" s="864">
        <v>7</v>
      </c>
      <c r="B8" s="865">
        <v>46315</v>
      </c>
      <c r="C8" s="866" t="s">
        <v>1194</v>
      </c>
      <c r="D8" s="866" t="s">
        <v>1183</v>
      </c>
      <c r="E8" s="866" t="s">
        <v>1183</v>
      </c>
      <c r="F8" s="866" t="s">
        <v>1183</v>
      </c>
      <c r="G8" s="866" t="s">
        <v>1184</v>
      </c>
      <c r="H8" s="866" t="s">
        <v>1185</v>
      </c>
      <c r="I8" s="866" t="s">
        <v>1186</v>
      </c>
      <c r="J8" s="866" t="s">
        <v>1195</v>
      </c>
      <c r="K8" s="866" t="s">
        <v>1193</v>
      </c>
      <c r="L8" s="866" t="s">
        <v>1186</v>
      </c>
      <c r="M8" s="866" t="s">
        <v>1186</v>
      </c>
      <c r="N8" s="866" t="s">
        <v>1186</v>
      </c>
      <c r="O8" s="866" t="s">
        <v>1189</v>
      </c>
      <c r="P8" s="866" t="s">
        <v>1186</v>
      </c>
    </row>
    <row r="9" spans="1:22" ht="15.5">
      <c r="A9" s="864">
        <v>8</v>
      </c>
      <c r="B9" s="865">
        <v>46334</v>
      </c>
      <c r="C9" s="866" t="s">
        <v>1196</v>
      </c>
      <c r="D9" s="866" t="s">
        <v>1183</v>
      </c>
      <c r="E9" s="867" t="s">
        <v>1186</v>
      </c>
      <c r="F9" s="866" t="s">
        <v>1183</v>
      </c>
      <c r="G9" s="866" t="s">
        <v>1184</v>
      </c>
      <c r="H9" s="866" t="s">
        <v>1185</v>
      </c>
      <c r="I9" s="866" t="s">
        <v>1186</v>
      </c>
      <c r="J9" s="866" t="s">
        <v>1187</v>
      </c>
      <c r="K9" s="866" t="s">
        <v>1193</v>
      </c>
      <c r="L9" s="866" t="s">
        <v>1186</v>
      </c>
      <c r="M9" s="866" t="s">
        <v>1186</v>
      </c>
      <c r="N9" s="866" t="s">
        <v>1186</v>
      </c>
      <c r="O9" s="866" t="s">
        <v>1189</v>
      </c>
      <c r="P9" s="866" t="s">
        <v>1186</v>
      </c>
    </row>
    <row r="10" spans="1:22" ht="15.5">
      <c r="A10" s="864">
        <v>9</v>
      </c>
      <c r="B10" s="865">
        <v>46335</v>
      </c>
      <c r="C10" s="866" t="s">
        <v>1190</v>
      </c>
      <c r="D10" s="866" t="s">
        <v>1183</v>
      </c>
      <c r="E10" s="867" t="s">
        <v>1186</v>
      </c>
      <c r="F10" s="866" t="s">
        <v>1183</v>
      </c>
      <c r="G10" s="866" t="s">
        <v>1184</v>
      </c>
      <c r="H10" s="866" t="s">
        <v>1185</v>
      </c>
      <c r="I10" s="866" t="s">
        <v>1186</v>
      </c>
      <c r="J10" s="866" t="s">
        <v>1187</v>
      </c>
      <c r="K10" s="866" t="s">
        <v>1193</v>
      </c>
      <c r="L10" s="866" t="s">
        <v>1186</v>
      </c>
      <c r="M10" s="866" t="s">
        <v>1186</v>
      </c>
      <c r="N10" s="866" t="s">
        <v>1186</v>
      </c>
      <c r="O10" s="866" t="s">
        <v>1189</v>
      </c>
      <c r="P10" s="866" t="s">
        <v>1186</v>
      </c>
    </row>
    <row r="11" spans="1:22" ht="15.5">
      <c r="A11" s="864">
        <v>10</v>
      </c>
      <c r="B11" s="865">
        <v>46381</v>
      </c>
      <c r="C11" s="866" t="s">
        <v>1191</v>
      </c>
      <c r="D11" s="866" t="s">
        <v>1183</v>
      </c>
      <c r="E11" s="866" t="s">
        <v>1183</v>
      </c>
      <c r="F11" s="866" t="s">
        <v>1183</v>
      </c>
      <c r="G11" s="866" t="s">
        <v>1184</v>
      </c>
      <c r="H11" s="866" t="s">
        <v>1185</v>
      </c>
      <c r="I11" s="866" t="s">
        <v>1186</v>
      </c>
      <c r="J11" s="866" t="s">
        <v>1195</v>
      </c>
      <c r="K11" s="866" t="s">
        <v>1188</v>
      </c>
      <c r="L11" s="866" t="s">
        <v>1186</v>
      </c>
      <c r="M11" s="866" t="s">
        <v>1186</v>
      </c>
      <c r="N11" s="866" t="s">
        <v>1186</v>
      </c>
      <c r="O11" s="866" t="s">
        <v>1189</v>
      </c>
      <c r="P11" s="866" t="s">
        <v>1186</v>
      </c>
    </row>
    <row r="16" spans="1:22">
      <c r="A16" s="860" t="s">
        <v>1175</v>
      </c>
      <c r="B16" s="860" t="s">
        <v>1176</v>
      </c>
      <c r="C16" s="860" t="s">
        <v>1177</v>
      </c>
      <c r="D16" s="860" t="s">
        <v>16</v>
      </c>
      <c r="E16" s="860" t="s">
        <v>18</v>
      </c>
      <c r="F16" s="860" t="s">
        <v>141</v>
      </c>
      <c r="G16" s="860" t="s">
        <v>23</v>
      </c>
      <c r="H16" s="860" t="s">
        <v>1178</v>
      </c>
      <c r="I16" s="860" t="s">
        <v>256</v>
      </c>
      <c r="J16" s="860" t="s">
        <v>26</v>
      </c>
      <c r="K16" s="860" t="s">
        <v>1179</v>
      </c>
      <c r="L16" s="860" t="s">
        <v>32</v>
      </c>
      <c r="M16" s="860" t="s">
        <v>367</v>
      </c>
      <c r="N16" s="860" t="s">
        <v>1180</v>
      </c>
      <c r="O16" s="860" t="s">
        <v>344</v>
      </c>
      <c r="P16" s="860" t="s">
        <v>308</v>
      </c>
      <c r="Q16" s="860" t="s">
        <v>475</v>
      </c>
      <c r="R16" s="860" t="s">
        <v>298</v>
      </c>
      <c r="S16" s="860" t="s">
        <v>315</v>
      </c>
      <c r="T16" s="860" t="s">
        <v>1197</v>
      </c>
      <c r="U16" s="860" t="s">
        <v>1152</v>
      </c>
      <c r="V16" s="860" t="s">
        <v>91</v>
      </c>
    </row>
    <row r="17" spans="1:22" ht="15.5">
      <c r="A17" s="868">
        <v>1</v>
      </c>
      <c r="B17" s="869">
        <v>46036</v>
      </c>
      <c r="C17" s="868" t="s">
        <v>1182</v>
      </c>
      <c r="D17" s="13">
        <v>42</v>
      </c>
      <c r="E17" s="13">
        <v>38</v>
      </c>
      <c r="F17" s="13">
        <v>84</v>
      </c>
      <c r="G17" s="13">
        <f>10*1*3+9</f>
        <v>39</v>
      </c>
      <c r="H17" s="13">
        <f>4*2*3+12</f>
        <v>36</v>
      </c>
      <c r="I17" s="13" t="s">
        <v>395</v>
      </c>
      <c r="J17" s="13">
        <f>(2.5*3*2)+(3.5*3*2)+SUM($K$29:$K$33)</f>
        <v>51</v>
      </c>
      <c r="K17" s="13">
        <v>42</v>
      </c>
      <c r="L17" s="13" t="s">
        <v>395</v>
      </c>
      <c r="M17" s="13" t="s">
        <v>395</v>
      </c>
      <c r="N17" s="13" t="s">
        <v>395</v>
      </c>
      <c r="O17" s="13">
        <v>22</v>
      </c>
      <c r="P17" s="13">
        <f>3+3+6+3+3+3+3+3+2+1+3</f>
        <v>33</v>
      </c>
      <c r="Q17" s="13">
        <f>3+3+2+4+6+1</f>
        <v>19</v>
      </c>
      <c r="R17" s="13">
        <v>25</v>
      </c>
      <c r="S17" s="13">
        <v>50</v>
      </c>
      <c r="T17" s="13">
        <v>125</v>
      </c>
      <c r="U17" s="13">
        <v>15</v>
      </c>
      <c r="V17" s="13">
        <f>SUM(D17:U17)</f>
        <v>621</v>
      </c>
    </row>
    <row r="18" spans="1:22" ht="15.5">
      <c r="A18" s="868">
        <v>2</v>
      </c>
      <c r="B18" s="869">
        <v>46048</v>
      </c>
      <c r="C18" s="868" t="s">
        <v>1190</v>
      </c>
      <c r="D18" s="13">
        <v>42</v>
      </c>
      <c r="E18" s="861" t="s">
        <v>395</v>
      </c>
      <c r="F18" s="13">
        <v>84</v>
      </c>
      <c r="G18" s="13">
        <f t="shared" ref="G18:G26" si="0">10*1*3+9</f>
        <v>39</v>
      </c>
      <c r="H18" s="13">
        <f t="shared" ref="H18:H26" si="1">4*2*3+12</f>
        <v>36</v>
      </c>
      <c r="I18" s="13" t="s">
        <v>395</v>
      </c>
      <c r="J18" s="13">
        <f t="shared" ref="J18:J25" si="2">(2.5*3*2)+(3.5*3*2)+SUM($K$29:$K$33)</f>
        <v>51</v>
      </c>
      <c r="K18" s="13">
        <v>42</v>
      </c>
      <c r="L18" s="13" t="s">
        <v>395</v>
      </c>
      <c r="M18" s="13" t="s">
        <v>395</v>
      </c>
      <c r="N18" s="13" t="s">
        <v>395</v>
      </c>
      <c r="O18" s="13">
        <v>22</v>
      </c>
      <c r="P18" s="13">
        <f>3+0+6+3+3+3+3+3+2+1+3</f>
        <v>30</v>
      </c>
      <c r="Q18" s="13">
        <f t="shared" ref="Q18:Q26" si="3">3+3+2+4+6+1</f>
        <v>19</v>
      </c>
      <c r="R18" s="13">
        <v>25</v>
      </c>
      <c r="S18" s="13">
        <v>50</v>
      </c>
      <c r="T18" s="13">
        <v>125</v>
      </c>
      <c r="U18" s="13">
        <v>15</v>
      </c>
      <c r="V18" s="13">
        <f t="shared" ref="V18:V26" si="4">SUM(D18:U18)</f>
        <v>580</v>
      </c>
    </row>
    <row r="19" spans="1:22" ht="15.5">
      <c r="A19" s="868">
        <v>3</v>
      </c>
      <c r="B19" s="869">
        <v>46085</v>
      </c>
      <c r="C19" s="868" t="s">
        <v>1182</v>
      </c>
      <c r="D19" s="13">
        <v>42</v>
      </c>
      <c r="E19" s="13">
        <v>38</v>
      </c>
      <c r="F19" s="13">
        <v>84</v>
      </c>
      <c r="G19" s="13">
        <f t="shared" si="0"/>
        <v>39</v>
      </c>
      <c r="H19" s="13">
        <f t="shared" si="1"/>
        <v>36</v>
      </c>
      <c r="I19" s="13" t="s">
        <v>395</v>
      </c>
      <c r="J19" s="13">
        <f t="shared" si="2"/>
        <v>51</v>
      </c>
      <c r="K19" s="13"/>
      <c r="L19" s="13" t="s">
        <v>395</v>
      </c>
      <c r="M19" s="13" t="s">
        <v>395</v>
      </c>
      <c r="N19" s="13" t="s">
        <v>395</v>
      </c>
      <c r="O19" s="13">
        <v>22</v>
      </c>
      <c r="P19" s="13">
        <f>3+3+6+3+3+3+0+3+2+1+3</f>
        <v>30</v>
      </c>
      <c r="Q19" s="13">
        <f t="shared" si="3"/>
        <v>19</v>
      </c>
      <c r="R19" s="13">
        <v>25</v>
      </c>
      <c r="S19" s="13">
        <v>50</v>
      </c>
      <c r="T19" s="13">
        <v>125</v>
      </c>
      <c r="U19" s="13">
        <v>15</v>
      </c>
      <c r="V19" s="13">
        <f t="shared" si="4"/>
        <v>576</v>
      </c>
    </row>
    <row r="20" spans="1:22" ht="15.5">
      <c r="A20" s="868">
        <v>4</v>
      </c>
      <c r="B20" s="869">
        <v>46143</v>
      </c>
      <c r="C20" s="868" t="s">
        <v>1191</v>
      </c>
      <c r="D20" s="13">
        <v>43</v>
      </c>
      <c r="E20" s="13">
        <f>'Workmen Category'!H4</f>
        <v>25</v>
      </c>
      <c r="F20" s="13">
        <f>'Workmen Category'!H5</f>
        <v>84</v>
      </c>
      <c r="G20" s="13">
        <f t="shared" si="0"/>
        <v>39</v>
      </c>
      <c r="H20" s="13">
        <f t="shared" si="1"/>
        <v>36</v>
      </c>
      <c r="I20" s="13" t="s">
        <v>395</v>
      </c>
      <c r="J20" s="13">
        <f t="shared" si="2"/>
        <v>51</v>
      </c>
      <c r="K20" s="13"/>
      <c r="L20" s="13" t="s">
        <v>395</v>
      </c>
      <c r="M20" s="13" t="s">
        <v>395</v>
      </c>
      <c r="N20" s="13" t="s">
        <v>395</v>
      </c>
      <c r="O20" s="13">
        <v>22</v>
      </c>
      <c r="P20" s="13">
        <f>3+3+6+3+3+3+0+3+2+1+3</f>
        <v>30</v>
      </c>
      <c r="Q20" s="13">
        <f t="shared" si="3"/>
        <v>19</v>
      </c>
      <c r="R20" s="13">
        <v>25</v>
      </c>
      <c r="S20" s="13">
        <v>50</v>
      </c>
      <c r="T20" s="13">
        <v>125</v>
      </c>
      <c r="U20" s="13">
        <v>15</v>
      </c>
      <c r="V20" s="13">
        <f t="shared" si="4"/>
        <v>564</v>
      </c>
    </row>
    <row r="21" spans="1:22" ht="15.5">
      <c r="A21" s="868">
        <v>5</v>
      </c>
      <c r="B21" s="869">
        <v>46249</v>
      </c>
      <c r="C21" s="868" t="s">
        <v>1192</v>
      </c>
      <c r="D21" s="13">
        <v>43</v>
      </c>
      <c r="E21" s="13">
        <f>'Workmen Category'!Z4</f>
        <v>25</v>
      </c>
      <c r="F21" s="13">
        <f>'Workmen Category'!Z5</f>
        <v>84</v>
      </c>
      <c r="G21" s="13">
        <f t="shared" si="0"/>
        <v>39</v>
      </c>
      <c r="H21" s="13">
        <f t="shared" si="1"/>
        <v>36</v>
      </c>
      <c r="I21" s="13" t="s">
        <v>395</v>
      </c>
      <c r="J21" s="13">
        <f t="shared" si="2"/>
        <v>51</v>
      </c>
      <c r="K21" s="13">
        <f>('Manpower Allocation'!D85+'Manpower Allocation'!D95)*3+SUM(K35:K36)</f>
        <v>51</v>
      </c>
      <c r="L21" s="13" t="s">
        <v>395</v>
      </c>
      <c r="M21" s="13" t="s">
        <v>395</v>
      </c>
      <c r="N21" s="13" t="s">
        <v>395</v>
      </c>
      <c r="O21" s="13">
        <v>22</v>
      </c>
      <c r="P21" s="13">
        <f>3+3+6+3+3+3+3+3+2+1+3</f>
        <v>33</v>
      </c>
      <c r="Q21" s="13">
        <f t="shared" si="3"/>
        <v>19</v>
      </c>
      <c r="R21" s="13">
        <v>25</v>
      </c>
      <c r="S21" s="13">
        <v>50</v>
      </c>
      <c r="T21" s="13">
        <v>125</v>
      </c>
      <c r="U21" s="13">
        <v>15</v>
      </c>
      <c r="V21" s="13">
        <f t="shared" si="4"/>
        <v>618</v>
      </c>
    </row>
    <row r="22" spans="1:22" ht="15.5">
      <c r="A22" s="868">
        <v>6</v>
      </c>
      <c r="B22" s="869">
        <v>46297</v>
      </c>
      <c r="C22" s="868" t="s">
        <v>1191</v>
      </c>
      <c r="D22" s="13">
        <v>43</v>
      </c>
      <c r="E22" s="13">
        <f>'Workmen Category'!AL4</f>
        <v>26</v>
      </c>
      <c r="F22" s="13">
        <f>'Workmen Category'!AL5</f>
        <v>84</v>
      </c>
      <c r="G22" s="13">
        <f t="shared" si="0"/>
        <v>39</v>
      </c>
      <c r="H22" s="13">
        <f t="shared" si="1"/>
        <v>36</v>
      </c>
      <c r="I22" s="13" t="s">
        <v>395</v>
      </c>
      <c r="J22" s="13">
        <f t="shared" si="2"/>
        <v>51</v>
      </c>
      <c r="K22" s="13"/>
      <c r="L22" s="13" t="s">
        <v>395</v>
      </c>
      <c r="M22" s="13" t="s">
        <v>395</v>
      </c>
      <c r="N22" s="13" t="s">
        <v>395</v>
      </c>
      <c r="O22" s="13">
        <v>22</v>
      </c>
      <c r="P22" s="13">
        <f>3+3+6+3+3+3+0+3+2+1+3</f>
        <v>30</v>
      </c>
      <c r="Q22" s="13">
        <f t="shared" si="3"/>
        <v>19</v>
      </c>
      <c r="R22" s="13">
        <v>25</v>
      </c>
      <c r="S22" s="13">
        <v>50</v>
      </c>
      <c r="T22" s="13">
        <v>125</v>
      </c>
      <c r="U22" s="13">
        <v>15</v>
      </c>
      <c r="V22" s="13">
        <f t="shared" si="4"/>
        <v>565</v>
      </c>
    </row>
    <row r="23" spans="1:22" ht="15.5">
      <c r="A23" s="868">
        <v>7</v>
      </c>
      <c r="B23" s="869">
        <v>46315</v>
      </c>
      <c r="C23" s="868" t="s">
        <v>1194</v>
      </c>
      <c r="D23" s="13">
        <v>43</v>
      </c>
      <c r="E23" s="13">
        <f>'Workmen Category'!AL4</f>
        <v>26</v>
      </c>
      <c r="F23" s="13">
        <f>'Workmen Category'!AL5</f>
        <v>84</v>
      </c>
      <c r="G23" s="13">
        <f t="shared" si="0"/>
        <v>39</v>
      </c>
      <c r="H23" s="13">
        <f t="shared" si="1"/>
        <v>36</v>
      </c>
      <c r="I23" s="13" t="s">
        <v>395</v>
      </c>
      <c r="J23" s="13">
        <f>(2.5*3*6)+(3.5*3*2)+SUM($K$29:$K$33)</f>
        <v>81</v>
      </c>
      <c r="K23" s="13">
        <f>K21</f>
        <v>51</v>
      </c>
      <c r="L23" s="13" t="s">
        <v>395</v>
      </c>
      <c r="M23" s="13" t="s">
        <v>395</v>
      </c>
      <c r="N23" s="13" t="s">
        <v>395</v>
      </c>
      <c r="O23" s="13">
        <v>22</v>
      </c>
      <c r="P23" s="13">
        <f>3+3+6+3+3+3+3+3+2+1+3</f>
        <v>33</v>
      </c>
      <c r="Q23" s="13">
        <f t="shared" si="3"/>
        <v>19</v>
      </c>
      <c r="R23" s="13">
        <v>25</v>
      </c>
      <c r="S23" s="13">
        <v>50</v>
      </c>
      <c r="T23" s="13">
        <v>125</v>
      </c>
      <c r="U23" s="13">
        <v>15</v>
      </c>
      <c r="V23" s="13">
        <f t="shared" si="4"/>
        <v>649</v>
      </c>
    </row>
    <row r="24" spans="1:22" ht="15.5">
      <c r="A24" s="868">
        <v>8</v>
      </c>
      <c r="B24" s="869">
        <v>46334</v>
      </c>
      <c r="C24" s="868" t="s">
        <v>1196</v>
      </c>
      <c r="D24" s="13">
        <v>43</v>
      </c>
      <c r="E24" s="861" t="s">
        <v>395</v>
      </c>
      <c r="F24" s="13">
        <f>'Workmen Category'!AR5</f>
        <v>84</v>
      </c>
      <c r="G24" s="13">
        <f t="shared" si="0"/>
        <v>39</v>
      </c>
      <c r="H24" s="13">
        <f t="shared" si="1"/>
        <v>36</v>
      </c>
      <c r="I24" s="13" t="s">
        <v>395</v>
      </c>
      <c r="J24" s="13">
        <f t="shared" si="2"/>
        <v>51</v>
      </c>
      <c r="K24" s="13">
        <f>K21</f>
        <v>51</v>
      </c>
      <c r="L24" s="13" t="s">
        <v>395</v>
      </c>
      <c r="M24" s="13" t="s">
        <v>395</v>
      </c>
      <c r="N24" s="13" t="s">
        <v>395</v>
      </c>
      <c r="O24" s="13">
        <v>22</v>
      </c>
      <c r="P24" s="13">
        <f>3+0+6+3+3+3+3+3+2+1+3</f>
        <v>30</v>
      </c>
      <c r="Q24" s="13">
        <f t="shared" si="3"/>
        <v>19</v>
      </c>
      <c r="R24" s="13">
        <v>25</v>
      </c>
      <c r="S24" s="13">
        <v>50</v>
      </c>
      <c r="T24" s="13">
        <v>125</v>
      </c>
      <c r="U24" s="13">
        <v>15</v>
      </c>
      <c r="V24" s="13">
        <f t="shared" si="4"/>
        <v>590</v>
      </c>
    </row>
    <row r="25" spans="1:22" ht="15.5">
      <c r="A25" s="868">
        <v>9</v>
      </c>
      <c r="B25" s="869">
        <v>46335</v>
      </c>
      <c r="C25" s="868" t="s">
        <v>1190</v>
      </c>
      <c r="D25" s="13">
        <v>43</v>
      </c>
      <c r="E25" s="861" t="s">
        <v>395</v>
      </c>
      <c r="F25" s="13">
        <f>'Workmen Category'!AR5</f>
        <v>84</v>
      </c>
      <c r="G25" s="13">
        <f t="shared" si="0"/>
        <v>39</v>
      </c>
      <c r="H25" s="13">
        <f t="shared" si="1"/>
        <v>36</v>
      </c>
      <c r="I25" s="13" t="s">
        <v>395</v>
      </c>
      <c r="J25" s="13">
        <f t="shared" si="2"/>
        <v>51</v>
      </c>
      <c r="K25" s="13">
        <f>K21</f>
        <v>51</v>
      </c>
      <c r="L25" s="13" t="s">
        <v>395</v>
      </c>
      <c r="M25" s="13" t="s">
        <v>395</v>
      </c>
      <c r="N25" s="13" t="s">
        <v>395</v>
      </c>
      <c r="O25" s="13">
        <v>22</v>
      </c>
      <c r="P25" s="13">
        <f>3+0+6+3+3+3+3+3+2+1+3</f>
        <v>30</v>
      </c>
      <c r="Q25" s="13">
        <f t="shared" si="3"/>
        <v>19</v>
      </c>
      <c r="R25" s="13">
        <v>25</v>
      </c>
      <c r="S25" s="13">
        <v>50</v>
      </c>
      <c r="T25" s="13">
        <v>125</v>
      </c>
      <c r="U25" s="13">
        <v>15</v>
      </c>
      <c r="V25" s="13">
        <f t="shared" si="4"/>
        <v>590</v>
      </c>
    </row>
    <row r="26" spans="1:22" ht="15.5">
      <c r="A26" s="868">
        <v>10</v>
      </c>
      <c r="B26" s="869">
        <v>46381</v>
      </c>
      <c r="C26" s="868" t="s">
        <v>1191</v>
      </c>
      <c r="D26" s="13">
        <v>43</v>
      </c>
      <c r="E26" s="13">
        <f>'Workmen Category'!AX4</f>
        <v>38</v>
      </c>
      <c r="F26" s="13">
        <f>'Workmen Category'!AX5</f>
        <v>84</v>
      </c>
      <c r="G26" s="13">
        <f t="shared" si="0"/>
        <v>39</v>
      </c>
      <c r="H26" s="13">
        <f t="shared" si="1"/>
        <v>36</v>
      </c>
      <c r="I26" s="13" t="s">
        <v>395</v>
      </c>
      <c r="J26" s="13">
        <f>(2.5*3*6)+(3.5*3*2)+SUM($K$29:$K$33)</f>
        <v>81</v>
      </c>
      <c r="K26" s="13">
        <f>'Workmen Category'!AX16</f>
        <v>54</v>
      </c>
      <c r="L26" s="13" t="s">
        <v>395</v>
      </c>
      <c r="M26" s="13" t="s">
        <v>395</v>
      </c>
      <c r="N26" s="13" t="s">
        <v>395</v>
      </c>
      <c r="O26" s="13">
        <v>22</v>
      </c>
      <c r="P26" s="13">
        <f>3+3+6+3+3+3+3+3+2+1+3</f>
        <v>33</v>
      </c>
      <c r="Q26" s="13">
        <f t="shared" si="3"/>
        <v>19</v>
      </c>
      <c r="R26" s="13">
        <v>25</v>
      </c>
      <c r="S26" s="13">
        <v>50</v>
      </c>
      <c r="T26" s="13">
        <v>125</v>
      </c>
      <c r="U26" s="13">
        <v>15</v>
      </c>
      <c r="V26" s="13">
        <f t="shared" si="4"/>
        <v>664</v>
      </c>
    </row>
    <row r="28" spans="1:22">
      <c r="P28" s="1438" t="s">
        <v>308</v>
      </c>
      <c r="Q28" s="1438"/>
      <c r="S28" s="1438" t="s">
        <v>475</v>
      </c>
      <c r="T28" s="1438"/>
    </row>
    <row r="29" spans="1:22">
      <c r="I29" t="s">
        <v>26</v>
      </c>
      <c r="J29" t="s">
        <v>122</v>
      </c>
      <c r="K29">
        <v>3</v>
      </c>
      <c r="P29" t="s">
        <v>16</v>
      </c>
      <c r="Q29">
        <v>3</v>
      </c>
      <c r="S29" t="s">
        <v>908</v>
      </c>
      <c r="T29">
        <v>3</v>
      </c>
    </row>
    <row r="30" spans="1:22">
      <c r="I30" t="s">
        <v>26</v>
      </c>
      <c r="J30" t="s">
        <v>152</v>
      </c>
      <c r="K30">
        <v>3</v>
      </c>
      <c r="P30" t="s">
        <v>18</v>
      </c>
      <c r="Q30">
        <v>3</v>
      </c>
      <c r="S30" t="s">
        <v>1202</v>
      </c>
      <c r="T30">
        <v>3</v>
      </c>
    </row>
    <row r="31" spans="1:22">
      <c r="I31" t="s">
        <v>26</v>
      </c>
      <c r="J31" t="s">
        <v>153</v>
      </c>
      <c r="K31">
        <v>3</v>
      </c>
      <c r="P31" t="s">
        <v>141</v>
      </c>
      <c r="Q31">
        <v>6</v>
      </c>
      <c r="S31" t="s">
        <v>444</v>
      </c>
      <c r="T31">
        <v>2</v>
      </c>
    </row>
    <row r="32" spans="1:22">
      <c r="I32" t="s">
        <v>26</v>
      </c>
      <c r="J32" t="s">
        <v>154</v>
      </c>
      <c r="K32">
        <v>3</v>
      </c>
      <c r="P32" t="s">
        <v>23</v>
      </c>
      <c r="Q32">
        <v>3</v>
      </c>
      <c r="S32" t="s">
        <v>1203</v>
      </c>
      <c r="T32">
        <v>4</v>
      </c>
    </row>
    <row r="33" spans="9:20">
      <c r="I33" t="s">
        <v>26</v>
      </c>
      <c r="J33" t="s">
        <v>156</v>
      </c>
      <c r="K33">
        <v>3</v>
      </c>
      <c r="P33" t="s">
        <v>1198</v>
      </c>
      <c r="Q33">
        <v>3</v>
      </c>
      <c r="S33" t="s">
        <v>1204</v>
      </c>
      <c r="T33">
        <v>6</v>
      </c>
    </row>
    <row r="34" spans="9:20">
      <c r="P34" t="s">
        <v>26</v>
      </c>
      <c r="Q34">
        <v>3</v>
      </c>
      <c r="S34" t="s">
        <v>1205</v>
      </c>
      <c r="T34">
        <v>1</v>
      </c>
    </row>
    <row r="35" spans="9:20">
      <c r="I35" t="s">
        <v>31</v>
      </c>
      <c r="J35" t="s">
        <v>122</v>
      </c>
      <c r="K35">
        <v>3</v>
      </c>
      <c r="P35" t="s">
        <v>31</v>
      </c>
      <c r="Q35">
        <v>3</v>
      </c>
    </row>
    <row r="36" spans="9:20">
      <c r="I36" t="s">
        <v>31</v>
      </c>
      <c r="J36" t="s">
        <v>152</v>
      </c>
      <c r="K36">
        <v>3</v>
      </c>
      <c r="P36" t="s">
        <v>159</v>
      </c>
      <c r="Q36">
        <v>3</v>
      </c>
    </row>
    <row r="37" spans="9:20">
      <c r="P37" t="s">
        <v>1199</v>
      </c>
      <c r="Q37">
        <v>2</v>
      </c>
    </row>
    <row r="38" spans="9:20">
      <c r="P38" t="s">
        <v>1200</v>
      </c>
      <c r="Q38">
        <v>1</v>
      </c>
    </row>
    <row r="39" spans="9:20">
      <c r="P39" t="s">
        <v>1201</v>
      </c>
      <c r="Q39">
        <v>3</v>
      </c>
    </row>
  </sheetData>
  <mergeCells count="2">
    <mergeCell ref="P28:Q28"/>
    <mergeCell ref="S28:T28"/>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55"/>
  <sheetViews>
    <sheetView workbookViewId="0">
      <selection activeCell="G11" sqref="G11"/>
    </sheetView>
  </sheetViews>
  <sheetFormatPr defaultRowHeight="14.5"/>
  <cols>
    <col min="1" max="1" width="20.1796875" customWidth="1"/>
    <col min="2" max="2" width="38.54296875" bestFit="1" customWidth="1"/>
    <col min="4" max="4" width="11.1796875" customWidth="1"/>
    <col min="5" max="5" width="13.1796875" bestFit="1" customWidth="1"/>
    <col min="11" max="11" width="14.453125" bestFit="1" customWidth="1"/>
    <col min="12" max="12" width="14.453125" customWidth="1"/>
    <col min="16" max="16" width="13.26953125" customWidth="1"/>
    <col min="17" max="17" width="14.26953125" bestFit="1" customWidth="1"/>
    <col min="18" max="18" width="13.1796875" customWidth="1"/>
  </cols>
  <sheetData>
    <row r="2" spans="1:18" ht="43.5">
      <c r="A2" s="1042" t="s">
        <v>1379</v>
      </c>
      <c r="B2" s="1043" t="s">
        <v>0</v>
      </c>
      <c r="C2" s="1043" t="s">
        <v>2</v>
      </c>
      <c r="D2" s="1042" t="s">
        <v>1380</v>
      </c>
      <c r="E2" s="1042" t="s">
        <v>1381</v>
      </c>
      <c r="F2" s="1042" t="s">
        <v>1382</v>
      </c>
      <c r="G2" s="1042" t="s">
        <v>1383</v>
      </c>
      <c r="H2" s="1042" t="s">
        <v>1384</v>
      </c>
      <c r="K2" s="1042" t="s">
        <v>520</v>
      </c>
      <c r="L2" s="1042" t="s">
        <v>101</v>
      </c>
      <c r="M2" s="1042" t="s">
        <v>1391</v>
      </c>
      <c r="N2" s="1042" t="s">
        <v>1398</v>
      </c>
      <c r="O2" s="1042" t="s">
        <v>101</v>
      </c>
      <c r="P2" s="1042" t="s">
        <v>1399</v>
      </c>
      <c r="Q2" s="1042" t="s">
        <v>1402</v>
      </c>
      <c r="R2" s="1042" t="s">
        <v>1403</v>
      </c>
    </row>
    <row r="3" spans="1:18">
      <c r="A3" s="1530" t="s">
        <v>1385</v>
      </c>
      <c r="B3" s="1531" t="s">
        <v>20</v>
      </c>
      <c r="C3" s="767">
        <v>45689</v>
      </c>
      <c r="D3" s="10">
        <v>821344.58900000004</v>
      </c>
      <c r="E3" s="10">
        <v>2813673.4166666656</v>
      </c>
      <c r="F3" s="768">
        <v>3.4256917916660985</v>
      </c>
      <c r="G3" s="38">
        <v>93.25</v>
      </c>
      <c r="H3" s="43">
        <v>30173.441465594267</v>
      </c>
      <c r="K3" s="13" t="s">
        <v>1396</v>
      </c>
      <c r="L3" s="13" t="s">
        <v>1404</v>
      </c>
      <c r="M3" s="216">
        <f>F8</f>
        <v>3.6698957583430349</v>
      </c>
      <c r="N3" s="216">
        <v>2.4900000000000002</v>
      </c>
      <c r="O3" s="216" t="s">
        <v>1250</v>
      </c>
      <c r="P3" s="10">
        <f>BP!Q105</f>
        <v>13784708.149214264</v>
      </c>
      <c r="Q3" s="10">
        <f t="shared" ref="Q3:Q10" si="0">P3*(M3-N3)</f>
        <v>16264518.675254574</v>
      </c>
      <c r="R3" s="768">
        <f>Q3/10^7</f>
        <v>1.6264518675254573</v>
      </c>
    </row>
    <row r="4" spans="1:18">
      <c r="A4" s="1530"/>
      <c r="B4" s="1532"/>
      <c r="C4" s="767">
        <v>45717</v>
      </c>
      <c r="D4" s="10">
        <v>839010.87199999997</v>
      </c>
      <c r="E4" s="10">
        <v>3189373.833333334</v>
      </c>
      <c r="F4" s="768">
        <v>3.8013498272443531</v>
      </c>
      <c r="G4" s="38">
        <v>94.354838709677423</v>
      </c>
      <c r="H4" s="43">
        <v>33801.910712250719</v>
      </c>
      <c r="K4" s="13" t="s">
        <v>23</v>
      </c>
      <c r="L4" s="13" t="s">
        <v>1404</v>
      </c>
      <c r="M4" s="216">
        <f>F14</f>
        <v>2.0728800832601202</v>
      </c>
      <c r="N4" s="216">
        <v>1.71</v>
      </c>
      <c r="O4" s="216" t="s">
        <v>1250</v>
      </c>
      <c r="P4" s="10">
        <f>BP!$Q$30</f>
        <v>13170064.602285273</v>
      </c>
      <c r="Q4" s="10">
        <f t="shared" si="0"/>
        <v>4779154.1394184418</v>
      </c>
      <c r="R4" s="768">
        <f>Q4/10^7</f>
        <v>0.47791541394184417</v>
      </c>
    </row>
    <row r="5" spans="1:18">
      <c r="A5" s="1530"/>
      <c r="B5" s="1532"/>
      <c r="C5" s="767">
        <v>45748</v>
      </c>
      <c r="D5" s="10">
        <v>799451.679</v>
      </c>
      <c r="E5" s="10">
        <v>2850600.666666667</v>
      </c>
      <c r="F5" s="768">
        <v>3.5656947649823709</v>
      </c>
      <c r="G5" s="38">
        <v>95.666666666666671</v>
      </c>
      <c r="H5" s="43">
        <v>29797.219512195123</v>
      </c>
      <c r="K5" s="13" t="s">
        <v>147</v>
      </c>
      <c r="L5" s="13" t="s">
        <v>1404</v>
      </c>
      <c r="M5" s="216">
        <f>F20</f>
        <v>2.0195303314992921</v>
      </c>
      <c r="N5" s="216">
        <v>1.9</v>
      </c>
      <c r="O5" s="216" t="s">
        <v>1250</v>
      </c>
      <c r="P5" s="10">
        <f>BP!$Q$115</f>
        <v>7718732.2454243656</v>
      </c>
      <c r="Q5" s="10">
        <f t="shared" si="0"/>
        <v>922622.62404985004</v>
      </c>
      <c r="R5" s="768">
        <f t="shared" ref="R5:R10" si="1">Q5/10^7</f>
        <v>9.2262262404985002E-2</v>
      </c>
    </row>
    <row r="6" spans="1:18">
      <c r="A6" s="1530"/>
      <c r="B6" s="1533"/>
      <c r="C6" s="767">
        <v>45778</v>
      </c>
      <c r="D6" s="10">
        <v>811427.12400000007</v>
      </c>
      <c r="E6" s="10">
        <v>3151440.8333333335</v>
      </c>
      <c r="F6" s="768">
        <v>3.8838248563814748</v>
      </c>
      <c r="G6" s="38">
        <v>97.161290322580641</v>
      </c>
      <c r="H6" s="43">
        <v>32435.148019034976</v>
      </c>
      <c r="K6" s="13" t="s">
        <v>1400</v>
      </c>
      <c r="L6" s="13" t="s">
        <v>1392</v>
      </c>
      <c r="M6" s="216">
        <f>F29</f>
        <v>11.5</v>
      </c>
      <c r="N6" s="216">
        <v>10.1</v>
      </c>
      <c r="O6" s="216" t="s">
        <v>94</v>
      </c>
      <c r="P6" s="10">
        <f>BP!P191*0.88</f>
        <v>3185643.5983585888</v>
      </c>
      <c r="Q6" s="10">
        <f t="shared" si="0"/>
        <v>4459901.0377020258</v>
      </c>
      <c r="R6" s="768">
        <f t="shared" si="1"/>
        <v>0.44599010377020259</v>
      </c>
    </row>
    <row r="7" spans="1:18">
      <c r="A7" s="13"/>
      <c r="B7" s="13"/>
      <c r="C7" s="1044" t="s">
        <v>1386</v>
      </c>
      <c r="D7" s="10">
        <v>817808.56600000011</v>
      </c>
      <c r="E7" s="10">
        <v>3001272.1875000005</v>
      </c>
      <c r="F7" s="768">
        <v>3.6698957583430349</v>
      </c>
      <c r="G7" s="38"/>
      <c r="H7" s="10">
        <v>31551.929927268771</v>
      </c>
      <c r="K7" s="13" t="s">
        <v>1401</v>
      </c>
      <c r="L7" s="13" t="s">
        <v>1393</v>
      </c>
      <c r="M7" s="216">
        <f>F30</f>
        <v>7.11</v>
      </c>
      <c r="N7" s="216">
        <v>6.2</v>
      </c>
      <c r="O7" s="216" t="s">
        <v>290</v>
      </c>
      <c r="P7" s="10">
        <f>(BP!P191*0.12)/0.4</f>
        <v>1086014.8630767914</v>
      </c>
      <c r="Q7" s="10">
        <f t="shared" si="0"/>
        <v>988273.52539988037</v>
      </c>
      <c r="R7" s="768">
        <f t="shared" si="1"/>
        <v>9.8827352539988034E-2</v>
      </c>
    </row>
    <row r="8" spans="1:18">
      <c r="A8" s="13"/>
      <c r="B8" s="13"/>
      <c r="C8" s="1044"/>
      <c r="D8" s="10">
        <v>818236.08492726099</v>
      </c>
      <c r="E8" s="10">
        <v>3002841.1373977666</v>
      </c>
      <c r="F8" s="768">
        <v>3.6698957583430349</v>
      </c>
      <c r="G8" s="1045">
        <v>95.094168434357186</v>
      </c>
      <c r="H8" s="1046">
        <v>31573.146759929354</v>
      </c>
      <c r="K8" s="13" t="s">
        <v>1397</v>
      </c>
      <c r="L8" s="13" t="s">
        <v>1404</v>
      </c>
      <c r="M8" s="216">
        <f>F43</f>
        <v>0.37583797054009821</v>
      </c>
      <c r="N8" s="216">
        <v>0.35</v>
      </c>
      <c r="O8" s="216" t="s">
        <v>1250</v>
      </c>
      <c r="P8" s="10">
        <f>1000000*12</f>
        <v>12000000</v>
      </c>
      <c r="Q8" s="10">
        <f t="shared" si="0"/>
        <v>310055.64648117876</v>
      </c>
      <c r="R8" s="768">
        <f t="shared" si="1"/>
        <v>3.1005564648117875E-2</v>
      </c>
    </row>
    <row r="9" spans="1:18">
      <c r="A9" s="13"/>
      <c r="B9" s="13"/>
      <c r="C9" s="13"/>
      <c r="D9" s="13"/>
      <c r="E9" s="13"/>
      <c r="F9" s="12"/>
      <c r="G9" s="1045"/>
      <c r="H9" s="1047"/>
      <c r="K9" s="45" t="s">
        <v>1042</v>
      </c>
      <c r="L9" s="45" t="s">
        <v>1393</v>
      </c>
      <c r="M9" s="13">
        <v>2.99</v>
      </c>
      <c r="N9" s="220">
        <v>1.96</v>
      </c>
      <c r="O9" s="220" t="s">
        <v>290</v>
      </c>
      <c r="P9" s="10">
        <f>102224*12</f>
        <v>1226688</v>
      </c>
      <c r="Q9" s="10">
        <f t="shared" si="0"/>
        <v>1263488.6400000004</v>
      </c>
      <c r="R9" s="768">
        <f t="shared" si="1"/>
        <v>0.12634886400000003</v>
      </c>
    </row>
    <row r="10" spans="1:18">
      <c r="A10" s="1412" t="s">
        <v>1387</v>
      </c>
      <c r="B10" s="1531" t="s">
        <v>23</v>
      </c>
      <c r="C10" s="767">
        <v>45689</v>
      </c>
      <c r="D10" s="10">
        <v>834979.93400000012</v>
      </c>
      <c r="E10" s="10">
        <v>1638007.4166666665</v>
      </c>
      <c r="F10" s="12">
        <v>1.9617326716101255</v>
      </c>
      <c r="G10" s="134">
        <v>65</v>
      </c>
      <c r="H10" s="43">
        <v>25200.114102564101</v>
      </c>
      <c r="K10" s="45" t="s">
        <v>168</v>
      </c>
      <c r="L10" s="45" t="s">
        <v>1405</v>
      </c>
      <c r="M10" s="13">
        <v>2.34</v>
      </c>
      <c r="N10" s="220">
        <v>2.09</v>
      </c>
      <c r="O10" s="220" t="s">
        <v>1406</v>
      </c>
      <c r="P10" s="10">
        <f>215463*12</f>
        <v>2585556</v>
      </c>
      <c r="Q10" s="10">
        <f t="shared" si="0"/>
        <v>646389</v>
      </c>
      <c r="R10" s="768">
        <f t="shared" si="1"/>
        <v>6.4638899999999999E-2</v>
      </c>
    </row>
    <row r="11" spans="1:18">
      <c r="A11" s="1412"/>
      <c r="B11" s="1532"/>
      <c r="C11" s="767">
        <v>45717</v>
      </c>
      <c r="D11" s="10">
        <v>940431.03000000026</v>
      </c>
      <c r="E11" s="10">
        <v>1949243.3333333333</v>
      </c>
      <c r="F11" s="12">
        <v>2.072712693596821</v>
      </c>
      <c r="G11" s="134">
        <v>69</v>
      </c>
      <c r="H11" s="43">
        <v>28249.903381642511</v>
      </c>
    </row>
    <row r="12" spans="1:18">
      <c r="A12" s="1412"/>
      <c r="B12" s="1532"/>
      <c r="C12" s="767">
        <v>45748</v>
      </c>
      <c r="D12" s="10">
        <v>883343.05099999986</v>
      </c>
      <c r="E12" s="10">
        <v>1804421.8333333326</v>
      </c>
      <c r="F12" s="12">
        <v>2.04271922588921</v>
      </c>
      <c r="G12" s="1048">
        <v>66</v>
      </c>
      <c r="H12" s="43">
        <v>27339.724747474735</v>
      </c>
      <c r="M12" s="13"/>
      <c r="N12" s="13"/>
      <c r="O12" s="13"/>
      <c r="P12" s="43">
        <f>Q12+P7</f>
        <v>2855816.862164896</v>
      </c>
      <c r="Q12" s="43">
        <f>P6/1.8</f>
        <v>1769801.9990881048</v>
      </c>
      <c r="R12" s="13"/>
    </row>
    <row r="13" spans="1:18">
      <c r="A13" s="1412"/>
      <c r="B13" s="1533"/>
      <c r="C13" s="767">
        <v>45778</v>
      </c>
      <c r="D13" s="10">
        <v>900591.93700000003</v>
      </c>
      <c r="E13" s="10">
        <v>1986424.7499999995</v>
      </c>
      <c r="F13" s="12">
        <v>2.2056879130153697</v>
      </c>
      <c r="G13" s="134">
        <v>71</v>
      </c>
      <c r="H13" s="43">
        <v>27977.813380281685</v>
      </c>
      <c r="M13" s="13">
        <v>2.99</v>
      </c>
      <c r="N13" s="220">
        <v>1.96</v>
      </c>
      <c r="O13" s="220" t="s">
        <v>290</v>
      </c>
      <c r="P13" s="43">
        <f>P12*40%</f>
        <v>1142326.7448659583</v>
      </c>
      <c r="Q13" s="10">
        <f>P13*(M13-N13)</f>
        <v>1176596.5472119374</v>
      </c>
      <c r="R13" s="768">
        <f t="shared" ref="R13:R14" si="2">Q13/10^7</f>
        <v>0.11765965472119373</v>
      </c>
    </row>
    <row r="14" spans="1:18">
      <c r="A14" s="13"/>
      <c r="B14" s="13"/>
      <c r="C14" s="1044" t="s">
        <v>1386</v>
      </c>
      <c r="D14" s="10">
        <v>889836.48800000001</v>
      </c>
      <c r="E14" s="10">
        <v>1844524.333333333</v>
      </c>
      <c r="F14" s="768">
        <v>2.0728800832601202</v>
      </c>
      <c r="G14" s="38"/>
      <c r="H14" s="10">
        <v>27191.888902990759</v>
      </c>
      <c r="M14" s="13">
        <v>2.34</v>
      </c>
      <c r="N14" s="220">
        <v>2.09</v>
      </c>
      <c r="O14" s="220" t="s">
        <v>1406</v>
      </c>
      <c r="P14" s="43">
        <f>P13*3</f>
        <v>3426980.2345978748</v>
      </c>
      <c r="Q14" s="10">
        <f>P14*(M14-N14)</f>
        <v>856745.0586494687</v>
      </c>
      <c r="R14" s="768">
        <f t="shared" si="2"/>
        <v>8.5674505864946876E-2</v>
      </c>
    </row>
    <row r="15" spans="1:18">
      <c r="A15" s="13"/>
      <c r="B15" s="1047"/>
      <c r="C15" s="13"/>
      <c r="D15" s="13"/>
      <c r="E15" s="13"/>
      <c r="F15" s="768"/>
      <c r="G15" s="38"/>
      <c r="H15" s="10"/>
    </row>
    <row r="16" spans="1:18">
      <c r="A16" s="1412" t="s">
        <v>1390</v>
      </c>
      <c r="B16" s="1527" t="s">
        <v>147</v>
      </c>
      <c r="C16" s="1053">
        <v>45689</v>
      </c>
      <c r="D16" s="1054">
        <v>182415.35500000001</v>
      </c>
      <c r="E16" s="1054">
        <v>467399</v>
      </c>
      <c r="F16" s="1055">
        <v>2.562278816934024</v>
      </c>
      <c r="G16" s="1056">
        <v>29</v>
      </c>
      <c r="H16" s="1057">
        <v>16117.206896551725</v>
      </c>
    </row>
    <row r="17" spans="1:8">
      <c r="A17" s="1412"/>
      <c r="B17" s="1528"/>
      <c r="C17" s="1053">
        <v>45717</v>
      </c>
      <c r="D17" s="1054">
        <v>205195.245</v>
      </c>
      <c r="E17" s="1054">
        <v>517287</v>
      </c>
      <c r="F17" s="1055">
        <v>2.5209502296215489</v>
      </c>
      <c r="G17" s="1056">
        <v>27</v>
      </c>
      <c r="H17" s="1057">
        <v>19158.777777777777</v>
      </c>
    </row>
    <row r="18" spans="1:8">
      <c r="A18" s="1412"/>
      <c r="B18" s="1528"/>
      <c r="C18" s="1053">
        <v>45748</v>
      </c>
      <c r="D18" s="1054">
        <v>261118.85</v>
      </c>
      <c r="E18" s="1054">
        <v>527594</v>
      </c>
      <c r="F18" s="1055">
        <v>2.0205128813948132</v>
      </c>
      <c r="G18" s="1056">
        <v>26</v>
      </c>
      <c r="H18" s="1057">
        <v>20292.076923076922</v>
      </c>
    </row>
    <row r="19" spans="1:8">
      <c r="A19" s="1412"/>
      <c r="B19" s="1529"/>
      <c r="C19" s="1053">
        <v>45778</v>
      </c>
      <c r="D19" s="1054">
        <v>346034.51500000001</v>
      </c>
      <c r="E19" s="1054">
        <v>496676</v>
      </c>
      <c r="F19" s="1055">
        <v>1.4353365877389428</v>
      </c>
      <c r="G19" s="1056">
        <v>28</v>
      </c>
      <c r="H19" s="1057">
        <v>17738.428571428572</v>
      </c>
    </row>
    <row r="20" spans="1:8">
      <c r="A20" s="1412"/>
      <c r="B20" s="13"/>
      <c r="C20" s="1044" t="s">
        <v>1386</v>
      </c>
      <c r="D20" s="10">
        <v>248690.99124999999</v>
      </c>
      <c r="E20" s="10">
        <v>502239</v>
      </c>
      <c r="F20" s="768">
        <v>2.0195303314992921</v>
      </c>
      <c r="G20" s="38"/>
      <c r="H20" s="10">
        <v>18326.622542208752</v>
      </c>
    </row>
    <row r="21" spans="1:8">
      <c r="A21" s="13"/>
      <c r="B21" s="1047"/>
      <c r="C21" s="13"/>
      <c r="D21" s="13"/>
      <c r="E21" s="13"/>
      <c r="F21" s="768"/>
      <c r="G21" s="38"/>
      <c r="H21" s="10">
        <v>27489.933813313128</v>
      </c>
    </row>
    <row r="22" spans="1:8">
      <c r="A22" s="13"/>
      <c r="B22" s="1047"/>
      <c r="C22" s="13"/>
      <c r="D22" s="13"/>
      <c r="E22" s="13"/>
      <c r="F22" s="768"/>
      <c r="G22" s="38"/>
      <c r="H22" s="10"/>
    </row>
    <row r="23" spans="1:8">
      <c r="A23" s="1412" t="s">
        <v>1390</v>
      </c>
      <c r="B23" s="1535" t="s">
        <v>1388</v>
      </c>
      <c r="C23" s="1049">
        <v>45689</v>
      </c>
      <c r="D23" s="1050">
        <v>262488.90000000002</v>
      </c>
      <c r="E23" s="1050">
        <v>3289859</v>
      </c>
      <c r="F23" s="854">
        <v>12.533326171125712</v>
      </c>
      <c r="G23" s="1051">
        <v>125</v>
      </c>
      <c r="H23" s="1052">
        <v>26318.871999999999</v>
      </c>
    </row>
    <row r="24" spans="1:8">
      <c r="A24" s="1412"/>
      <c r="B24" s="1535"/>
      <c r="C24" s="1049">
        <v>45717</v>
      </c>
      <c r="D24" s="1050">
        <v>314037.74</v>
      </c>
      <c r="E24" s="1050">
        <v>3670433</v>
      </c>
      <c r="F24" s="854">
        <v>11.687872292037257</v>
      </c>
      <c r="G24" s="1051">
        <v>128</v>
      </c>
      <c r="H24" s="1052">
        <v>28675.2578125</v>
      </c>
    </row>
    <row r="25" spans="1:8">
      <c r="A25" s="1412"/>
      <c r="B25" s="1535"/>
      <c r="C25" s="1049">
        <v>45748</v>
      </c>
      <c r="D25" s="1050">
        <v>281637.65000000002</v>
      </c>
      <c r="E25" s="1050">
        <v>3688891</v>
      </c>
      <c r="F25" s="854">
        <v>13.098003764766535</v>
      </c>
      <c r="G25" s="1051">
        <v>126</v>
      </c>
      <c r="H25" s="1052">
        <v>29276.9126984127</v>
      </c>
    </row>
    <row r="26" spans="1:8">
      <c r="A26" s="1412"/>
      <c r="B26" s="1535"/>
      <c r="C26" s="1049">
        <v>45778</v>
      </c>
      <c r="D26" s="1050">
        <v>319744.05</v>
      </c>
      <c r="E26" s="1050">
        <v>3827768</v>
      </c>
      <c r="F26" s="854">
        <v>11.971350209644246</v>
      </c>
      <c r="G26" s="1051">
        <v>135</v>
      </c>
      <c r="H26" s="1052">
        <v>28353.837037037036</v>
      </c>
    </row>
    <row r="27" spans="1:8">
      <c r="A27" s="1412"/>
      <c r="B27" s="861"/>
      <c r="C27" s="1044" t="s">
        <v>1386</v>
      </c>
      <c r="D27" s="10">
        <v>294477.08500000002</v>
      </c>
      <c r="E27" s="10">
        <v>3619237.75</v>
      </c>
      <c r="F27" s="768">
        <v>12.290388401528764</v>
      </c>
      <c r="G27" s="38"/>
      <c r="H27" s="10">
        <v>28156.219886987434</v>
      </c>
    </row>
    <row r="28" spans="1:8">
      <c r="A28" s="1017"/>
      <c r="B28" s="861"/>
      <c r="C28" s="1044"/>
      <c r="D28" s="10"/>
      <c r="E28" s="10"/>
      <c r="F28" s="768"/>
      <c r="G28" s="38"/>
      <c r="H28" s="10"/>
    </row>
    <row r="29" spans="1:8">
      <c r="A29" s="1017"/>
      <c r="B29" s="861"/>
      <c r="C29" s="1044"/>
      <c r="D29" s="10"/>
      <c r="E29" s="1058" t="s">
        <v>1391</v>
      </c>
      <c r="F29" s="1059">
        <v>11.5</v>
      </c>
      <c r="G29" s="1060" t="s">
        <v>1392</v>
      </c>
      <c r="H29" s="1058"/>
    </row>
    <row r="30" spans="1:8">
      <c r="A30" s="13"/>
      <c r="B30" s="861"/>
      <c r="C30" s="767"/>
      <c r="D30" s="10"/>
      <c r="E30" s="1058"/>
      <c r="F30" s="1059">
        <v>7.11</v>
      </c>
      <c r="G30" s="1060" t="s">
        <v>1393</v>
      </c>
      <c r="H30" s="1058"/>
    </row>
    <row r="31" spans="1:8">
      <c r="A31" s="13"/>
      <c r="B31" s="861"/>
      <c r="C31" s="767"/>
      <c r="D31" s="10"/>
      <c r="E31" s="1058"/>
      <c r="F31" s="1059"/>
      <c r="G31" s="1060"/>
      <c r="H31" s="1058"/>
    </row>
    <row r="32" spans="1:8">
      <c r="A32" s="1412" t="s">
        <v>1390</v>
      </c>
      <c r="B32" s="1536" t="s">
        <v>1389</v>
      </c>
      <c r="C32" s="767">
        <v>45689</v>
      </c>
      <c r="D32" s="10">
        <v>2449035</v>
      </c>
      <c r="E32" s="10">
        <v>140737</v>
      </c>
      <c r="F32" s="12">
        <v>5.7466308158111254E-2</v>
      </c>
      <c r="G32" s="38">
        <v>10</v>
      </c>
      <c r="H32" s="43">
        <v>14073.7</v>
      </c>
    </row>
    <row r="33" spans="1:8">
      <c r="A33" s="1412"/>
      <c r="B33" s="1536"/>
      <c r="C33" s="767">
        <v>45717</v>
      </c>
      <c r="D33" s="10">
        <v>2665877</v>
      </c>
      <c r="E33" s="10">
        <v>155557</v>
      </c>
      <c r="F33" s="12">
        <v>5.8351154235548E-2</v>
      </c>
      <c r="G33" s="38">
        <v>6</v>
      </c>
      <c r="H33" s="43">
        <v>25926.166666666668</v>
      </c>
    </row>
    <row r="34" spans="1:8">
      <c r="A34" s="1412"/>
      <c r="B34" s="1536"/>
      <c r="C34" s="767">
        <v>45748</v>
      </c>
      <c r="D34" s="10">
        <v>2595696</v>
      </c>
      <c r="E34" s="10">
        <v>157361</v>
      </c>
      <c r="F34" s="12">
        <v>6.062381727290099E-2</v>
      </c>
      <c r="G34" s="38">
        <v>5.7666666666666666</v>
      </c>
      <c r="H34" s="43">
        <v>27288.034682080925</v>
      </c>
    </row>
    <row r="35" spans="1:8">
      <c r="A35" s="1412"/>
      <c r="B35" s="1536"/>
      <c r="C35" s="767">
        <v>45778</v>
      </c>
      <c r="D35" s="10">
        <v>4319525</v>
      </c>
      <c r="E35" s="10">
        <v>254098</v>
      </c>
      <c r="F35" s="12">
        <v>5.8825449557532369E-2</v>
      </c>
      <c r="G35" s="38">
        <v>9</v>
      </c>
      <c r="H35" s="43">
        <v>28233.111111111109</v>
      </c>
    </row>
    <row r="36" spans="1:8">
      <c r="A36" s="1412"/>
      <c r="B36" s="13"/>
      <c r="C36" s="1044" t="s">
        <v>1386</v>
      </c>
      <c r="D36" s="10">
        <v>3007533.25</v>
      </c>
      <c r="E36" s="10">
        <v>176938.25</v>
      </c>
      <c r="F36" s="1061">
        <v>5.8831685401981838E-2</v>
      </c>
      <c r="G36" s="38"/>
      <c r="H36" s="10">
        <v>23880.253114964675</v>
      </c>
    </row>
    <row r="37" spans="1:8">
      <c r="A37" s="22"/>
      <c r="B37" s="22"/>
      <c r="C37" s="22"/>
      <c r="D37" s="22"/>
      <c r="E37" s="22"/>
      <c r="F37" s="22"/>
      <c r="G37" s="22"/>
      <c r="H37" s="22"/>
    </row>
    <row r="38" spans="1:8">
      <c r="A38" s="22"/>
      <c r="B38" s="1536" t="s">
        <v>1394</v>
      </c>
      <c r="C38" s="767">
        <v>45689</v>
      </c>
      <c r="D38" s="10">
        <v>997200</v>
      </c>
      <c r="E38" s="10">
        <v>344364</v>
      </c>
      <c r="F38" s="12">
        <v>0.34533092659446452</v>
      </c>
      <c r="G38" s="38">
        <v>15</v>
      </c>
      <c r="H38" s="43">
        <v>22957.599999999999</v>
      </c>
    </row>
    <row r="39" spans="1:8">
      <c r="A39" s="22"/>
      <c r="B39" s="1536"/>
      <c r="C39" s="767">
        <v>45717</v>
      </c>
      <c r="D39" s="10">
        <v>1068200</v>
      </c>
      <c r="E39" s="10">
        <v>446309</v>
      </c>
      <c r="F39" s="12">
        <v>0.41781407976034451</v>
      </c>
      <c r="G39" s="38">
        <v>18.600000000000001</v>
      </c>
      <c r="H39" s="43">
        <v>23995.107526881719</v>
      </c>
    </row>
    <row r="40" spans="1:8">
      <c r="A40" s="22"/>
      <c r="B40" s="1536"/>
      <c r="C40" s="767">
        <v>45748</v>
      </c>
      <c r="D40" s="10">
        <v>1107900</v>
      </c>
      <c r="E40" s="10">
        <v>399883</v>
      </c>
      <c r="F40" s="12">
        <v>0.36093781027168514</v>
      </c>
      <c r="G40" s="38">
        <v>18</v>
      </c>
      <c r="H40" s="43">
        <v>22215.722222222223</v>
      </c>
    </row>
    <row r="41" spans="1:8">
      <c r="A41" s="22"/>
      <c r="B41" s="1536"/>
      <c r="C41" s="767">
        <v>45778</v>
      </c>
      <c r="D41" s="10">
        <v>1103700</v>
      </c>
      <c r="E41" s="10">
        <v>416903</v>
      </c>
      <c r="F41" s="12">
        <v>0.37773217359789796</v>
      </c>
      <c r="G41" s="38">
        <v>17</v>
      </c>
      <c r="H41" s="43">
        <v>24523.705882352941</v>
      </c>
    </row>
    <row r="42" spans="1:8">
      <c r="A42" s="22"/>
      <c r="B42" s="22"/>
      <c r="C42" s="22"/>
      <c r="D42" s="10">
        <v>1069250</v>
      </c>
      <c r="E42" s="10">
        <v>401864.75</v>
      </c>
      <c r="F42" s="768">
        <v>0.37583797054009821</v>
      </c>
      <c r="G42" s="38"/>
      <c r="H42" s="10">
        <v>23423.033907864217</v>
      </c>
    </row>
    <row r="43" spans="1:8">
      <c r="A43" s="22"/>
      <c r="B43" s="22"/>
      <c r="C43" s="22"/>
      <c r="D43" s="10">
        <v>1072072.9246593537</v>
      </c>
      <c r="E43" s="10">
        <v>402925.71227495908</v>
      </c>
      <c r="F43" s="768">
        <v>0.37583797054009821</v>
      </c>
      <c r="G43" s="1045">
        <v>17.192335749357024</v>
      </c>
      <c r="H43" s="1046">
        <v>23428.689598449379</v>
      </c>
    </row>
    <row r="44" spans="1:8">
      <c r="A44" s="22"/>
      <c r="B44" s="22"/>
      <c r="C44" s="22"/>
      <c r="D44" s="22"/>
      <c r="E44" s="22"/>
      <c r="F44" s="22"/>
      <c r="G44" s="22"/>
      <c r="H44" s="22"/>
    </row>
    <row r="45" spans="1:8">
      <c r="A45" s="22"/>
      <c r="B45" s="1535" t="s">
        <v>1388</v>
      </c>
      <c r="C45" s="1049">
        <v>45689</v>
      </c>
      <c r="D45" s="1050">
        <v>262488.90000000002</v>
      </c>
      <c r="E45" s="22"/>
      <c r="F45" s="22"/>
      <c r="G45" s="22"/>
      <c r="H45" s="22"/>
    </row>
    <row r="46" spans="1:8">
      <c r="A46" s="22"/>
      <c r="B46" s="1535"/>
      <c r="C46" s="1049">
        <v>45717</v>
      </c>
      <c r="D46" s="1050">
        <v>314037.74</v>
      </c>
      <c r="E46" s="22"/>
      <c r="F46" s="22"/>
      <c r="G46" s="22"/>
      <c r="H46" s="22"/>
    </row>
    <row r="47" spans="1:8">
      <c r="A47" s="22"/>
      <c r="B47" s="1535"/>
      <c r="C47" s="1049">
        <v>45748</v>
      </c>
      <c r="D47" s="1050">
        <v>281637.65000000002</v>
      </c>
      <c r="E47" s="22"/>
      <c r="F47" s="22"/>
      <c r="G47" s="22"/>
      <c r="H47" s="22"/>
    </row>
    <row r="48" spans="1:8">
      <c r="A48" s="22"/>
      <c r="B48" s="1535"/>
      <c r="C48" s="1049">
        <v>45778</v>
      </c>
      <c r="D48" s="1050">
        <v>319744.05</v>
      </c>
      <c r="E48" s="22"/>
      <c r="F48" s="22"/>
      <c r="G48" s="22"/>
      <c r="H48" s="22"/>
    </row>
    <row r="49" spans="1:8">
      <c r="A49" s="22"/>
      <c r="B49" s="22"/>
      <c r="C49" s="22"/>
      <c r="D49" s="22"/>
      <c r="E49" s="22"/>
      <c r="F49" s="22"/>
      <c r="G49" s="22"/>
      <c r="H49" s="22"/>
    </row>
    <row r="50" spans="1:8">
      <c r="A50" s="22"/>
      <c r="B50" s="1534" t="s">
        <v>1395</v>
      </c>
      <c r="C50" s="767">
        <v>45689</v>
      </c>
      <c r="D50" s="10">
        <v>262488.90000000002</v>
      </c>
      <c r="E50" s="10">
        <v>6370980.5</v>
      </c>
      <c r="F50" s="768">
        <v>24.271428239441743</v>
      </c>
      <c r="G50" s="397">
        <v>250</v>
      </c>
      <c r="H50" s="10">
        <v>25483.921999999999</v>
      </c>
    </row>
    <row r="51" spans="1:8">
      <c r="A51" s="22"/>
      <c r="B51" s="1534"/>
      <c r="C51" s="767">
        <v>45717</v>
      </c>
      <c r="D51" s="10">
        <v>314037.74</v>
      </c>
      <c r="E51" s="10">
        <v>7311479.833333333</v>
      </c>
      <c r="F51" s="768">
        <v>23.282169312940965</v>
      </c>
      <c r="G51" s="397">
        <v>263</v>
      </c>
      <c r="H51" s="10">
        <v>27800.303548795942</v>
      </c>
    </row>
    <row r="52" spans="1:8">
      <c r="A52" s="22"/>
      <c r="B52" s="1534"/>
      <c r="C52" s="767">
        <v>45748</v>
      </c>
      <c r="D52" s="10">
        <v>281637.65000000002</v>
      </c>
      <c r="E52" s="10">
        <v>7029162.75</v>
      </c>
      <c r="F52" s="768">
        <v>24.958178531883075</v>
      </c>
      <c r="G52" s="397">
        <v>275</v>
      </c>
      <c r="H52" s="10">
        <v>25560.59181818182</v>
      </c>
    </row>
    <row r="53" spans="1:8">
      <c r="A53" s="22"/>
      <c r="B53" s="1534"/>
      <c r="C53" s="767">
        <v>45778</v>
      </c>
      <c r="D53" s="10">
        <v>319744.05</v>
      </c>
      <c r="E53" s="10">
        <v>7548414.166666667</v>
      </c>
      <c r="F53" s="768">
        <v>23.607676723512657</v>
      </c>
      <c r="G53" s="397">
        <v>286</v>
      </c>
      <c r="H53" s="10">
        <v>26393.056526806529</v>
      </c>
    </row>
    <row r="54" spans="1:8">
      <c r="A54" s="22"/>
      <c r="B54" s="13"/>
      <c r="C54" s="13"/>
      <c r="D54" s="10">
        <v>294477.08500000002</v>
      </c>
      <c r="E54" s="10">
        <v>7065009.3125</v>
      </c>
      <c r="F54" s="768">
        <v>23.991711655594525</v>
      </c>
      <c r="G54" s="10"/>
      <c r="H54" s="10">
        <v>26309.468473446072</v>
      </c>
    </row>
    <row r="55" spans="1:8">
      <c r="A55" s="22"/>
      <c r="B55" s="22"/>
      <c r="C55" s="22"/>
      <c r="D55" s="22"/>
      <c r="E55" s="22"/>
      <c r="F55" s="21">
        <v>23.991711655594525</v>
      </c>
      <c r="G55" s="22"/>
      <c r="H55" s="22"/>
    </row>
  </sheetData>
  <mergeCells count="13">
    <mergeCell ref="B50:B53"/>
    <mergeCell ref="A23:A27"/>
    <mergeCell ref="B23:B26"/>
    <mergeCell ref="A32:A36"/>
    <mergeCell ref="B32:B35"/>
    <mergeCell ref="B38:B41"/>
    <mergeCell ref="B45:B48"/>
    <mergeCell ref="A16:A20"/>
    <mergeCell ref="B16:B19"/>
    <mergeCell ref="A3:A6"/>
    <mergeCell ref="B3:B6"/>
    <mergeCell ref="A10:A13"/>
    <mergeCell ref="B10:B13"/>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383"/>
  <sheetViews>
    <sheetView showGridLines="0" topLeftCell="A247" workbookViewId="0">
      <selection activeCell="E250" sqref="E250"/>
    </sheetView>
  </sheetViews>
  <sheetFormatPr defaultColWidth="9.1796875" defaultRowHeight="14"/>
  <cols>
    <col min="1" max="7" width="9.1796875" style="1072"/>
    <col min="8" max="8" width="9.81640625" style="1072" bestFit="1" customWidth="1"/>
    <col min="9" max="9" width="9.1796875" style="1072"/>
    <col min="10" max="10" width="7.26953125" style="1072" customWidth="1"/>
    <col min="11" max="11" width="12.54296875" style="1072" bestFit="1" customWidth="1"/>
    <col min="12" max="13" width="12.54296875" style="1072" customWidth="1"/>
    <col min="14" max="14" width="9.1796875" style="1072"/>
    <col min="15" max="15" width="13.54296875" style="1072" bestFit="1" customWidth="1"/>
    <col min="16" max="16" width="12.7265625" style="1072" bestFit="1" customWidth="1"/>
    <col min="17" max="17" width="5.81640625" style="1072" bestFit="1" customWidth="1"/>
    <col min="18" max="16384" width="9.1796875" style="1072"/>
  </cols>
  <sheetData>
    <row r="2" spans="1:14">
      <c r="A2" s="1072" t="s">
        <v>1408</v>
      </c>
      <c r="F2" s="1072">
        <v>365</v>
      </c>
    </row>
    <row r="3" spans="1:14">
      <c r="A3" s="1072" t="s">
        <v>1409</v>
      </c>
      <c r="F3" s="1072">
        <f>1*12</f>
        <v>12</v>
      </c>
    </row>
    <row r="4" spans="1:14">
      <c r="A4" s="1072" t="s">
        <v>489</v>
      </c>
      <c r="F4" s="1072">
        <v>0</v>
      </c>
    </row>
    <row r="5" spans="1:14">
      <c r="A5" s="1072" t="s">
        <v>1410</v>
      </c>
      <c r="F5" s="1072">
        <f>1*12</f>
        <v>12</v>
      </c>
    </row>
    <row r="6" spans="1:14">
      <c r="A6" s="1073" t="s">
        <v>1411</v>
      </c>
      <c r="F6" s="1073">
        <f>F2-F3-F5-F4</f>
        <v>341</v>
      </c>
      <c r="G6" s="1074">
        <f>F6/F2</f>
        <v>0.9342465753424658</v>
      </c>
    </row>
    <row r="9" spans="1:14">
      <c r="A9" s="1075" t="s">
        <v>1412</v>
      </c>
      <c r="B9" s="1076" t="s">
        <v>1209</v>
      </c>
      <c r="C9" s="1076" t="s">
        <v>1413</v>
      </c>
      <c r="D9" s="1076" t="s">
        <v>1414</v>
      </c>
      <c r="E9" s="1076" t="s">
        <v>1415</v>
      </c>
      <c r="F9" s="1076" t="s">
        <v>971</v>
      </c>
      <c r="G9" s="1076" t="s">
        <v>1416</v>
      </c>
      <c r="H9" s="1076" t="s">
        <v>1417</v>
      </c>
      <c r="I9" s="1076" t="s">
        <v>1418</v>
      </c>
      <c r="J9" s="1077" t="s">
        <v>35</v>
      </c>
      <c r="K9" s="1076" t="s">
        <v>1419</v>
      </c>
      <c r="L9" s="1078"/>
      <c r="M9" s="1078"/>
      <c r="N9" s="1079" t="s">
        <v>983</v>
      </c>
    </row>
    <row r="10" spans="1:14" ht="14.5">
      <c r="A10" s="1080" t="s">
        <v>18</v>
      </c>
      <c r="B10" s="1081">
        <v>900</v>
      </c>
      <c r="C10" s="1081">
        <v>60</v>
      </c>
      <c r="D10" s="1081">
        <v>1</v>
      </c>
      <c r="E10" s="1081"/>
      <c r="F10" s="1082">
        <v>67.557971061102805</v>
      </c>
      <c r="G10" s="1083">
        <f t="shared" ref="G10:G29" si="0">F10/$F$31</f>
        <v>1.3877253901972642E-2</v>
      </c>
      <c r="H10" s="1084">
        <f>G6</f>
        <v>0.9342465753424658</v>
      </c>
      <c r="I10" s="1084">
        <f>[68]Assumption!$J$51</f>
        <v>0.94</v>
      </c>
      <c r="J10" s="1085">
        <v>2600</v>
      </c>
      <c r="K10" s="1081">
        <f>27+21</f>
        <v>48</v>
      </c>
      <c r="L10" s="1086"/>
      <c r="M10" s="1086"/>
      <c r="N10" s="1087">
        <f>(B10*J10*H10*I10*K10*1440)/(9000*1000000)</f>
        <v>15.782160131506849</v>
      </c>
    </row>
    <row r="11" spans="1:14" ht="14.5">
      <c r="A11" s="1080" t="s">
        <v>18</v>
      </c>
      <c r="B11" s="1081">
        <v>1125</v>
      </c>
      <c r="C11" s="1081">
        <v>126</v>
      </c>
      <c r="D11" s="1081">
        <v>1</v>
      </c>
      <c r="E11" s="1081"/>
      <c r="F11" s="1082">
        <v>30.00830873124816</v>
      </c>
      <c r="G11" s="1083">
        <f t="shared" si="0"/>
        <v>6.1640826817559473E-3</v>
      </c>
      <c r="H11" s="1088">
        <f>H10</f>
        <v>0.9342465753424658</v>
      </c>
      <c r="I11" s="1088">
        <f>[68]Assumption!$J$51</f>
        <v>0.94</v>
      </c>
      <c r="J11" s="1085">
        <f>J12</f>
        <v>2700</v>
      </c>
      <c r="K11" s="1081">
        <f t="shared" ref="K11:K30" si="1">27+21</f>
        <v>48</v>
      </c>
      <c r="L11" s="1086"/>
      <c r="M11" s="1086"/>
      <c r="N11" s="1087">
        <f t="shared" ref="N11:N30" si="2">(B11*J11*H11*I11*K11*1440)/(9000*1000000)</f>
        <v>20.486457863013701</v>
      </c>
    </row>
    <row r="12" spans="1:14" ht="14.5">
      <c r="A12" s="1080" t="s">
        <v>18</v>
      </c>
      <c r="B12" s="1081">
        <v>1125</v>
      </c>
      <c r="C12" s="1081">
        <v>69</v>
      </c>
      <c r="D12" s="1081">
        <v>1</v>
      </c>
      <c r="E12" s="1081"/>
      <c r="F12" s="1082">
        <v>621.51226830120265</v>
      </c>
      <c r="G12" s="1083">
        <f t="shared" si="0"/>
        <v>0.12766640878847527</v>
      </c>
      <c r="H12" s="1088">
        <f t="shared" ref="H12:H29" si="3">H11</f>
        <v>0.9342465753424658</v>
      </c>
      <c r="I12" s="1088">
        <f>[68]Assumption!$J$51</f>
        <v>0.94</v>
      </c>
      <c r="J12" s="1085">
        <v>2700</v>
      </c>
      <c r="K12" s="1081">
        <f t="shared" si="1"/>
        <v>48</v>
      </c>
      <c r="L12" s="1086"/>
      <c r="M12" s="1086"/>
      <c r="N12" s="1087">
        <f t="shared" si="2"/>
        <v>20.486457863013701</v>
      </c>
    </row>
    <row r="13" spans="1:14" ht="14.5">
      <c r="A13" s="1080" t="s">
        <v>18</v>
      </c>
      <c r="B13" s="1081">
        <v>1200</v>
      </c>
      <c r="C13" s="1081">
        <v>69</v>
      </c>
      <c r="D13" s="1081">
        <v>1</v>
      </c>
      <c r="E13" s="1081"/>
      <c r="F13" s="1082">
        <v>1031.4696680886505</v>
      </c>
      <c r="G13" s="1083">
        <f t="shared" si="0"/>
        <v>0.21187679634877407</v>
      </c>
      <c r="H13" s="1088">
        <f t="shared" si="3"/>
        <v>0.9342465753424658</v>
      </c>
      <c r="I13" s="1088">
        <f>[68]Assumption!$J$51</f>
        <v>0.94</v>
      </c>
      <c r="J13" s="1085">
        <v>2700</v>
      </c>
      <c r="K13" s="1081">
        <f t="shared" si="1"/>
        <v>48</v>
      </c>
      <c r="L13" s="1086"/>
      <c r="M13" s="1086"/>
      <c r="N13" s="1087">
        <f t="shared" si="2"/>
        <v>21.852221720547941</v>
      </c>
    </row>
    <row r="14" spans="1:14" ht="14.5">
      <c r="A14" s="1080" t="s">
        <v>18</v>
      </c>
      <c r="B14" s="1081">
        <v>1200</v>
      </c>
      <c r="C14" s="1081">
        <v>60</v>
      </c>
      <c r="D14" s="1081">
        <v>1</v>
      </c>
      <c r="E14" s="1081"/>
      <c r="F14" s="1082">
        <v>101.63994019337756</v>
      </c>
      <c r="G14" s="1083">
        <f t="shared" si="0"/>
        <v>2.0878117481786172E-2</v>
      </c>
      <c r="H14" s="1088">
        <f t="shared" si="3"/>
        <v>0.9342465753424658</v>
      </c>
      <c r="I14" s="1088">
        <f>[68]Assumption!$J$51</f>
        <v>0.94</v>
      </c>
      <c r="J14" s="1085">
        <f>J13</f>
        <v>2700</v>
      </c>
      <c r="K14" s="1081">
        <f t="shared" si="1"/>
        <v>48</v>
      </c>
      <c r="L14" s="1086"/>
      <c r="M14" s="1086"/>
      <c r="N14" s="1087">
        <f t="shared" si="2"/>
        <v>21.852221720547941</v>
      </c>
    </row>
    <row r="15" spans="1:14" ht="14.5">
      <c r="A15" s="1080" t="s">
        <v>18</v>
      </c>
      <c r="B15" s="1081">
        <v>1200</v>
      </c>
      <c r="C15" s="1081">
        <v>120</v>
      </c>
      <c r="D15" s="1081">
        <v>1</v>
      </c>
      <c r="E15" s="1081"/>
      <c r="F15" s="1082">
        <v>24.926313701098149</v>
      </c>
      <c r="G15" s="1083">
        <f t="shared" si="0"/>
        <v>5.1201772142846214E-3</v>
      </c>
      <c r="H15" s="1088">
        <f t="shared" si="3"/>
        <v>0.9342465753424658</v>
      </c>
      <c r="I15" s="1088">
        <f>[68]Assumption!$J$51</f>
        <v>0.94</v>
      </c>
      <c r="J15" s="1085">
        <f>J14</f>
        <v>2700</v>
      </c>
      <c r="K15" s="1081">
        <f t="shared" si="1"/>
        <v>48</v>
      </c>
      <c r="L15" s="1086"/>
      <c r="M15" s="1086"/>
      <c r="N15" s="1087">
        <f t="shared" si="2"/>
        <v>21.852221720547941</v>
      </c>
    </row>
    <row r="16" spans="1:14" ht="14.5">
      <c r="A16" s="1080" t="s">
        <v>18</v>
      </c>
      <c r="B16" s="1081">
        <v>1200</v>
      </c>
      <c r="C16" s="1081">
        <v>360</v>
      </c>
      <c r="D16" s="1081">
        <v>1</v>
      </c>
      <c r="E16" s="1081"/>
      <c r="F16" s="1082">
        <v>1928.8491961597122</v>
      </c>
      <c r="G16" s="1083">
        <f t="shared" si="0"/>
        <v>0.39620979750138779</v>
      </c>
      <c r="H16" s="1088">
        <f t="shared" si="3"/>
        <v>0.9342465753424658</v>
      </c>
      <c r="I16" s="1088">
        <f>[68]Assumption!$J$51</f>
        <v>0.94</v>
      </c>
      <c r="J16" s="1085">
        <v>2500</v>
      </c>
      <c r="K16" s="1081">
        <f t="shared" si="1"/>
        <v>48</v>
      </c>
      <c r="L16" s="1086"/>
      <c r="M16" s="1086"/>
      <c r="N16" s="1087">
        <f t="shared" si="2"/>
        <v>20.233538630136987</v>
      </c>
    </row>
    <row r="17" spans="1:15" ht="14.5">
      <c r="A17" s="1080" t="s">
        <v>18</v>
      </c>
      <c r="B17" s="1081">
        <v>1200</v>
      </c>
      <c r="C17" s="1081">
        <v>240</v>
      </c>
      <c r="D17" s="1081">
        <v>1</v>
      </c>
      <c r="E17" s="1081"/>
      <c r="F17" s="1082">
        <v>305.11912727652026</v>
      </c>
      <c r="G17" s="1083">
        <f t="shared" si="0"/>
        <v>6.2675292538536154E-2</v>
      </c>
      <c r="H17" s="1088">
        <f t="shared" si="3"/>
        <v>0.9342465753424658</v>
      </c>
      <c r="I17" s="1088">
        <f>[68]Assumption!$J$51</f>
        <v>0.94</v>
      </c>
      <c r="J17" s="1085">
        <v>2500</v>
      </c>
      <c r="K17" s="1081">
        <f t="shared" si="1"/>
        <v>48</v>
      </c>
      <c r="L17" s="1086"/>
      <c r="M17" s="1086"/>
      <c r="N17" s="1087">
        <f t="shared" si="2"/>
        <v>20.233538630136987</v>
      </c>
    </row>
    <row r="18" spans="1:15" ht="14.5">
      <c r="A18" s="1080" t="s">
        <v>18</v>
      </c>
      <c r="B18" s="1081">
        <v>1400</v>
      </c>
      <c r="C18" s="1081">
        <v>120</v>
      </c>
      <c r="D18" s="1081">
        <v>1</v>
      </c>
      <c r="E18" s="1081"/>
      <c r="F18" s="1082">
        <v>199.43785201110407</v>
      </c>
      <c r="G18" s="1083">
        <f t="shared" si="0"/>
        <v>4.0967034186372112E-2</v>
      </c>
      <c r="H18" s="1088">
        <f t="shared" si="3"/>
        <v>0.9342465753424658</v>
      </c>
      <c r="I18" s="1088">
        <f>[68]Assumption!$J$51</f>
        <v>0.94</v>
      </c>
      <c r="J18" s="1085">
        <v>2700</v>
      </c>
      <c r="K18" s="1081">
        <f t="shared" si="1"/>
        <v>48</v>
      </c>
      <c r="L18" s="1086"/>
      <c r="M18" s="1086"/>
      <c r="N18" s="1087">
        <f t="shared" si="2"/>
        <v>25.494258673972602</v>
      </c>
    </row>
    <row r="19" spans="1:15" ht="14.5">
      <c r="A19" s="1080" t="s">
        <v>18</v>
      </c>
      <c r="B19" s="1081">
        <v>1500</v>
      </c>
      <c r="C19" s="1081">
        <v>69</v>
      </c>
      <c r="D19" s="1081">
        <v>1</v>
      </c>
      <c r="E19" s="1081"/>
      <c r="F19" s="1082">
        <v>0</v>
      </c>
      <c r="G19" s="1083">
        <f t="shared" si="0"/>
        <v>0</v>
      </c>
      <c r="H19" s="1088">
        <f t="shared" si="3"/>
        <v>0.9342465753424658</v>
      </c>
      <c r="I19" s="1088">
        <f>[68]Assumption!$J$51</f>
        <v>0.94</v>
      </c>
      <c r="J19" s="1085">
        <f>J22</f>
        <v>2500</v>
      </c>
      <c r="K19" s="1081">
        <f t="shared" si="1"/>
        <v>48</v>
      </c>
      <c r="L19" s="1086"/>
      <c r="M19" s="1086"/>
      <c r="N19" s="1087">
        <f t="shared" si="2"/>
        <v>25.291923287671231</v>
      </c>
    </row>
    <row r="20" spans="1:15" ht="14.5">
      <c r="A20" s="1080" t="s">
        <v>18</v>
      </c>
      <c r="B20" s="1081">
        <v>1500</v>
      </c>
      <c r="C20" s="1081">
        <v>120</v>
      </c>
      <c r="D20" s="1081">
        <v>1</v>
      </c>
      <c r="E20" s="1081"/>
      <c r="F20" s="1082">
        <v>64.562467119815665</v>
      </c>
      <c r="G20" s="1083">
        <f t="shared" si="0"/>
        <v>1.3261939852354366E-2</v>
      </c>
      <c r="H20" s="1088">
        <f t="shared" si="3"/>
        <v>0.9342465753424658</v>
      </c>
      <c r="I20" s="1088">
        <f>[68]Assumption!$J$51</f>
        <v>0.94</v>
      </c>
      <c r="J20" s="1085">
        <f>J22</f>
        <v>2500</v>
      </c>
      <c r="K20" s="1081">
        <f t="shared" si="1"/>
        <v>48</v>
      </c>
      <c r="L20" s="1086"/>
      <c r="M20" s="1086"/>
      <c r="N20" s="1087">
        <f t="shared" si="2"/>
        <v>25.291923287671231</v>
      </c>
    </row>
    <row r="21" spans="1:15" ht="14.5">
      <c r="A21" s="1080" t="s">
        <v>18</v>
      </c>
      <c r="B21" s="1081">
        <v>1500</v>
      </c>
      <c r="C21" s="1081">
        <v>240</v>
      </c>
      <c r="D21" s="1081">
        <v>1</v>
      </c>
      <c r="E21" s="1081"/>
      <c r="F21" s="1082">
        <v>0</v>
      </c>
      <c r="G21" s="1083">
        <f t="shared" si="0"/>
        <v>0</v>
      </c>
      <c r="H21" s="1088">
        <f t="shared" si="3"/>
        <v>0.9342465753424658</v>
      </c>
      <c r="I21" s="1088">
        <f>[68]Assumption!$J$51</f>
        <v>0.94</v>
      </c>
      <c r="J21" s="1085">
        <f>J22</f>
        <v>2500</v>
      </c>
      <c r="K21" s="1081">
        <f t="shared" si="1"/>
        <v>48</v>
      </c>
      <c r="L21" s="1086"/>
      <c r="M21" s="1086"/>
      <c r="N21" s="1087">
        <f t="shared" si="2"/>
        <v>25.291923287671231</v>
      </c>
    </row>
    <row r="22" spans="1:15" ht="14.5">
      <c r="A22" s="1080" t="s">
        <v>18</v>
      </c>
      <c r="B22" s="1081">
        <v>1500</v>
      </c>
      <c r="C22" s="1081">
        <v>360</v>
      </c>
      <c r="D22" s="1081">
        <v>1</v>
      </c>
      <c r="E22" s="1081"/>
      <c r="F22" s="1082">
        <v>46.593570124828418</v>
      </c>
      <c r="G22" s="1083">
        <f t="shared" si="0"/>
        <v>9.5709032208324031E-3</v>
      </c>
      <c r="H22" s="1088">
        <f t="shared" si="3"/>
        <v>0.9342465753424658</v>
      </c>
      <c r="I22" s="1088">
        <f>[68]Assumption!$J$51</f>
        <v>0.94</v>
      </c>
      <c r="J22" s="1085">
        <v>2500</v>
      </c>
      <c r="K22" s="1081">
        <f t="shared" si="1"/>
        <v>48</v>
      </c>
      <c r="L22" s="1086"/>
      <c r="M22" s="1086"/>
      <c r="N22" s="1087">
        <f t="shared" si="2"/>
        <v>25.291923287671231</v>
      </c>
    </row>
    <row r="23" spans="1:15" ht="14.5">
      <c r="A23" s="1080" t="s">
        <v>18</v>
      </c>
      <c r="B23" s="1081">
        <v>1800</v>
      </c>
      <c r="C23" s="1081">
        <v>69</v>
      </c>
      <c r="D23" s="1081">
        <v>1</v>
      </c>
      <c r="E23" s="1081"/>
      <c r="F23" s="1082">
        <v>10.586813592338711</v>
      </c>
      <c r="G23" s="1083">
        <f t="shared" si="0"/>
        <v>2.174664187307539E-3</v>
      </c>
      <c r="H23" s="1088">
        <f t="shared" si="3"/>
        <v>0.9342465753424658</v>
      </c>
      <c r="I23" s="1088">
        <f>[68]Assumption!$J$51</f>
        <v>0.94</v>
      </c>
      <c r="J23" s="1085">
        <f>J22</f>
        <v>2500</v>
      </c>
      <c r="K23" s="1081">
        <f t="shared" si="1"/>
        <v>48</v>
      </c>
      <c r="L23" s="1086"/>
      <c r="M23" s="1086"/>
      <c r="N23" s="1087">
        <f t="shared" si="2"/>
        <v>30.350307945205479</v>
      </c>
    </row>
    <row r="24" spans="1:15" ht="14.5">
      <c r="A24" s="1080" t="s">
        <v>18</v>
      </c>
      <c r="B24" s="1081">
        <v>1800</v>
      </c>
      <c r="C24" s="1081">
        <v>360</v>
      </c>
      <c r="D24" s="1081">
        <v>1</v>
      </c>
      <c r="E24" s="1081"/>
      <c r="F24" s="1082">
        <v>22.186282843599862</v>
      </c>
      <c r="G24" s="1083">
        <f t="shared" si="0"/>
        <v>4.5573405377012967E-3</v>
      </c>
      <c r="H24" s="1088">
        <f t="shared" si="3"/>
        <v>0.9342465753424658</v>
      </c>
      <c r="I24" s="1088">
        <f>[68]Assumption!$J$51</f>
        <v>0.94</v>
      </c>
      <c r="J24" s="1085">
        <f>J23</f>
        <v>2500</v>
      </c>
      <c r="K24" s="1081">
        <f t="shared" si="1"/>
        <v>48</v>
      </c>
      <c r="L24" s="1086"/>
      <c r="M24" s="1086"/>
      <c r="N24" s="1087">
        <f t="shared" si="2"/>
        <v>30.350307945205479</v>
      </c>
    </row>
    <row r="25" spans="1:15" ht="14.5">
      <c r="A25" s="1080" t="s">
        <v>18</v>
      </c>
      <c r="B25" s="1081">
        <v>1400</v>
      </c>
      <c r="C25" s="1081">
        <v>360</v>
      </c>
      <c r="D25" s="1081">
        <v>1</v>
      </c>
      <c r="E25" s="1081"/>
      <c r="F25" s="1082">
        <v>47.38329165236788</v>
      </c>
      <c r="G25" s="1083">
        <f t="shared" si="0"/>
        <v>9.7331219194905783E-3</v>
      </c>
      <c r="H25" s="1088">
        <f t="shared" si="3"/>
        <v>0.9342465753424658</v>
      </c>
      <c r="I25" s="1088">
        <f>[68]Assumption!$J$51</f>
        <v>0.94</v>
      </c>
      <c r="J25" s="1085">
        <v>2500</v>
      </c>
      <c r="K25" s="1081">
        <f t="shared" si="1"/>
        <v>48</v>
      </c>
      <c r="L25" s="1086"/>
      <c r="M25" s="1086"/>
      <c r="N25" s="1087">
        <f t="shared" si="2"/>
        <v>23.605795068493151</v>
      </c>
    </row>
    <row r="26" spans="1:15" ht="14.5">
      <c r="A26" s="1080" t="s">
        <v>18</v>
      </c>
      <c r="B26" s="1081">
        <v>1400</v>
      </c>
      <c r="C26" s="1081">
        <v>240</v>
      </c>
      <c r="D26" s="1081">
        <v>1</v>
      </c>
      <c r="E26" s="1081"/>
      <c r="F26" s="1082">
        <v>120.64468949161683</v>
      </c>
      <c r="G26" s="1083">
        <f t="shared" si="0"/>
        <v>2.478193115784327E-2</v>
      </c>
      <c r="H26" s="1088">
        <f t="shared" si="3"/>
        <v>0.9342465753424658</v>
      </c>
      <c r="I26" s="1088">
        <f>[68]Assumption!$J$51</f>
        <v>0.94</v>
      </c>
      <c r="J26" s="1085">
        <v>2600</v>
      </c>
      <c r="K26" s="1081">
        <f t="shared" si="1"/>
        <v>48</v>
      </c>
      <c r="L26" s="1086"/>
      <c r="M26" s="1086"/>
      <c r="N26" s="1087">
        <f t="shared" si="2"/>
        <v>24.550026871232877</v>
      </c>
    </row>
    <row r="27" spans="1:15" ht="14.5">
      <c r="A27" s="1080" t="s">
        <v>18</v>
      </c>
      <c r="B27" s="1081">
        <v>1550</v>
      </c>
      <c r="C27" s="1081">
        <v>144</v>
      </c>
      <c r="D27" s="1081">
        <v>1</v>
      </c>
      <c r="E27" s="1081"/>
      <c r="F27" s="1082">
        <v>2.5902866103294442</v>
      </c>
      <c r="G27" s="1083">
        <f t="shared" si="0"/>
        <v>5.3207733159881833E-4</v>
      </c>
      <c r="H27" s="1088">
        <f t="shared" si="3"/>
        <v>0.9342465753424658</v>
      </c>
      <c r="I27" s="1088">
        <f>[68]Assumption!$J$51</f>
        <v>0.94</v>
      </c>
      <c r="J27" s="1085">
        <f>J22</f>
        <v>2500</v>
      </c>
      <c r="K27" s="1081">
        <f t="shared" si="1"/>
        <v>48</v>
      </c>
      <c r="L27" s="1086"/>
      <c r="M27" s="1086"/>
      <c r="N27" s="1087">
        <f t="shared" si="2"/>
        <v>26.134987397260275</v>
      </c>
    </row>
    <row r="28" spans="1:15" ht="14.5">
      <c r="A28" s="1080" t="s">
        <v>18</v>
      </c>
      <c r="B28" s="1081">
        <v>1800</v>
      </c>
      <c r="C28" s="1081">
        <v>120</v>
      </c>
      <c r="D28" s="1081">
        <v>1</v>
      </c>
      <c r="E28" s="1081"/>
      <c r="F28" s="1082">
        <v>35.447725135429934</v>
      </c>
      <c r="G28" s="1083">
        <f t="shared" si="0"/>
        <v>7.2814069787084691E-3</v>
      </c>
      <c r="H28" s="1088">
        <f t="shared" si="3"/>
        <v>0.9342465753424658</v>
      </c>
      <c r="I28" s="1088">
        <f>[68]Assumption!$J$51</f>
        <v>0.94</v>
      </c>
      <c r="J28" s="1085">
        <f>J23</f>
        <v>2500</v>
      </c>
      <c r="K28" s="1081">
        <f t="shared" si="1"/>
        <v>48</v>
      </c>
      <c r="L28" s="1086"/>
      <c r="M28" s="1086"/>
      <c r="N28" s="1087">
        <f t="shared" si="2"/>
        <v>30.350307945205479</v>
      </c>
    </row>
    <row r="29" spans="1:15" ht="14.5">
      <c r="A29" s="1080" t="s">
        <v>18</v>
      </c>
      <c r="B29" s="1081">
        <v>1550</v>
      </c>
      <c r="C29" s="1081">
        <v>120</v>
      </c>
      <c r="D29" s="1081">
        <v>1</v>
      </c>
      <c r="E29" s="1081"/>
      <c r="F29" s="1082">
        <v>61.658636436254461</v>
      </c>
      <c r="G29" s="1083">
        <f t="shared" si="0"/>
        <v>1.2665456638735195E-2</v>
      </c>
      <c r="H29" s="1088">
        <f t="shared" si="3"/>
        <v>0.9342465753424658</v>
      </c>
      <c r="I29" s="1088">
        <f>[68]Assumption!$J$51</f>
        <v>0.94</v>
      </c>
      <c r="J29" s="1085">
        <v>2700</v>
      </c>
      <c r="K29" s="1081">
        <f t="shared" si="1"/>
        <v>48</v>
      </c>
      <c r="L29" s="1086"/>
      <c r="M29" s="1086"/>
      <c r="N29" s="1087">
        <f t="shared" si="2"/>
        <v>28.225786389041094</v>
      </c>
    </row>
    <row r="30" spans="1:15" ht="14.5">
      <c r="A30" s="1080" t="s">
        <v>18</v>
      </c>
      <c r="B30" s="1081">
        <v>2100</v>
      </c>
      <c r="C30" s="1081">
        <v>120</v>
      </c>
      <c r="D30" s="1081">
        <v>1</v>
      </c>
      <c r="E30" s="1081"/>
      <c r="F30" s="1082">
        <v>146.07773546883499</v>
      </c>
      <c r="G30" s="1083">
        <f>F30/$F$31</f>
        <v>3.0006197532083296E-2</v>
      </c>
      <c r="H30" s="1088">
        <f>H24</f>
        <v>0.9342465753424658</v>
      </c>
      <c r="I30" s="1088">
        <f>[68]Assumption!$J$51</f>
        <v>0.94</v>
      </c>
      <c r="J30" s="1085">
        <v>2100</v>
      </c>
      <c r="K30" s="1081">
        <f t="shared" si="1"/>
        <v>48</v>
      </c>
      <c r="L30" s="1086"/>
      <c r="M30" s="1086"/>
      <c r="N30" s="1087">
        <f t="shared" si="2"/>
        <v>29.74330178630137</v>
      </c>
      <c r="O30" s="1072">
        <f>(B30*J30*H30*I30*K30*1440)/(9000*1000000)</f>
        <v>29.74330178630137</v>
      </c>
    </row>
    <row r="31" spans="1:15">
      <c r="A31" s="1089" t="s">
        <v>91</v>
      </c>
      <c r="B31" s="1090">
        <f>SUMPRODUCT(B10:B30,G10:G30)</f>
        <v>1247.7785690345604</v>
      </c>
      <c r="C31" s="1091"/>
      <c r="D31" s="1091"/>
      <c r="E31" s="1091"/>
      <c r="F31" s="1092">
        <f>SUM(F10:F30)</f>
        <v>4868.2521439994325</v>
      </c>
      <c r="G31" s="1093">
        <f>SUM(G10:G30)</f>
        <v>0.99999999999999989</v>
      </c>
      <c r="H31" s="1094">
        <f>H30</f>
        <v>0.9342465753424658</v>
      </c>
      <c r="I31" s="1094">
        <f>I30</f>
        <v>0.94</v>
      </c>
      <c r="J31" s="1090">
        <f>SUMPRODUCT(J10:J30,G10:G30)</f>
        <v>2576.9310541611849</v>
      </c>
      <c r="K31" s="1095">
        <f>K30</f>
        <v>48</v>
      </c>
      <c r="L31" s="1096"/>
      <c r="M31" s="1096"/>
      <c r="N31" s="1307">
        <f>SUMPRODUCT(N10:N30,G10:G30)</f>
        <v>21.592953091522752</v>
      </c>
      <c r="O31" s="1072">
        <f>(B31*J31*H31*I31*K31*1440)/(9000*1000000)</f>
        <v>21.68657205491775</v>
      </c>
    </row>
    <row r="32" spans="1:15">
      <c r="A32" s="1089" t="s">
        <v>1420</v>
      </c>
      <c r="B32" s="1091"/>
      <c r="C32" s="1091"/>
      <c r="D32" s="1091"/>
      <c r="E32" s="1091"/>
      <c r="F32" s="1098">
        <f>F31/$F$6</f>
        <v>14.276399249265198</v>
      </c>
      <c r="G32" s="1093"/>
      <c r="H32" s="1094"/>
      <c r="I32" s="1094"/>
      <c r="J32" s="1095"/>
      <c r="K32" s="1095"/>
      <c r="L32" s="1096"/>
      <c r="M32" s="1096"/>
      <c r="N32" s="1099">
        <f>F32/N31</f>
        <v>0.66116011037276867</v>
      </c>
    </row>
    <row r="33" spans="1:14">
      <c r="F33" s="1100">
        <v>4868.2521439994325</v>
      </c>
      <c r="N33" s="1101">
        <f>F32-N31</f>
        <v>-7.3165538422575533</v>
      </c>
    </row>
    <row r="34" spans="1:14">
      <c r="F34" s="1097">
        <f>F31-F33</f>
        <v>0</v>
      </c>
    </row>
    <row r="35" spans="1:14">
      <c r="F35" s="1097"/>
    </row>
    <row r="36" spans="1:14">
      <c r="A36" s="1072" t="s">
        <v>1408</v>
      </c>
      <c r="F36" s="1072">
        <v>365</v>
      </c>
    </row>
    <row r="37" spans="1:14">
      <c r="A37" s="1072" t="s">
        <v>1409</v>
      </c>
      <c r="F37" s="1072">
        <f>1*12</f>
        <v>12</v>
      </c>
    </row>
    <row r="38" spans="1:14">
      <c r="A38" s="1072" t="s">
        <v>489</v>
      </c>
      <c r="F38" s="1072">
        <v>0</v>
      </c>
    </row>
    <row r="39" spans="1:14">
      <c r="A39" s="1072" t="s">
        <v>1410</v>
      </c>
      <c r="F39" s="1072">
        <f>1*12</f>
        <v>12</v>
      </c>
    </row>
    <row r="40" spans="1:14">
      <c r="A40" s="1073" t="s">
        <v>1411</v>
      </c>
      <c r="F40" s="1073">
        <f>F36-F37-F39-F38</f>
        <v>341</v>
      </c>
      <c r="G40" s="1074">
        <f>F40/F36</f>
        <v>0.9342465753424658</v>
      </c>
    </row>
    <row r="41" spans="1:14">
      <c r="F41" s="1097"/>
    </row>
    <row r="42" spans="1:14">
      <c r="A42" s="1075" t="s">
        <v>1412</v>
      </c>
      <c r="B42" s="1076" t="s">
        <v>1209</v>
      </c>
      <c r="C42" s="1076" t="s">
        <v>1413</v>
      </c>
      <c r="D42" s="1076" t="s">
        <v>1414</v>
      </c>
      <c r="E42" s="1076" t="s">
        <v>1415</v>
      </c>
      <c r="F42" s="1076" t="s">
        <v>971</v>
      </c>
      <c r="G42" s="1076" t="s">
        <v>1416</v>
      </c>
      <c r="H42" s="1076" t="s">
        <v>1417</v>
      </c>
      <c r="I42" s="1076" t="s">
        <v>1418</v>
      </c>
      <c r="J42" s="1076" t="s">
        <v>35</v>
      </c>
      <c r="K42" s="1076" t="s">
        <v>1419</v>
      </c>
      <c r="L42" s="1078"/>
      <c r="M42" s="1078"/>
      <c r="N42" s="1079" t="s">
        <v>983</v>
      </c>
    </row>
    <row r="43" spans="1:14" ht="14.5">
      <c r="A43" s="1080" t="s">
        <v>16</v>
      </c>
      <c r="B43" s="1081">
        <v>250</v>
      </c>
      <c r="C43" s="1081">
        <v>144</v>
      </c>
      <c r="D43" s="1081">
        <v>1</v>
      </c>
      <c r="E43" s="1081"/>
      <c r="F43" s="1082">
        <v>7716.6733322975324</v>
      </c>
      <c r="G43" s="1102">
        <f>F43/$F$51</f>
        <v>0.67407670259582253</v>
      </c>
      <c r="H43" s="1103">
        <f>G40</f>
        <v>0.9342465753424658</v>
      </c>
      <c r="I43" s="1084">
        <f>[68]Assumption!$J$63</f>
        <v>0.97</v>
      </c>
      <c r="J43" s="1081">
        <v>3050</v>
      </c>
      <c r="K43" s="1081">
        <f t="shared" ref="K43:K48" si="4">144+132-12</f>
        <v>264</v>
      </c>
      <c r="L43" s="1086"/>
      <c r="M43" s="1086"/>
      <c r="N43" s="1087">
        <f t="shared" ref="N43:N50" si="5">(B43*J43*H43*I43*K43*1440)/(9000*1000000)</f>
        <v>29.187507287671231</v>
      </c>
    </row>
    <row r="44" spans="1:14" ht="14.5">
      <c r="A44" s="1080" t="s">
        <v>16</v>
      </c>
      <c r="B44" s="1081">
        <v>350</v>
      </c>
      <c r="C44" s="1081">
        <v>96</v>
      </c>
      <c r="D44" s="1081">
        <v>1</v>
      </c>
      <c r="E44" s="1081"/>
      <c r="F44" s="1082">
        <v>205.75532598098616</v>
      </c>
      <c r="G44" s="1102">
        <f>F44/$F$51</f>
        <v>1.7973401970807185E-2</v>
      </c>
      <c r="H44" s="1103">
        <f t="shared" ref="H44:I49" si="6">H43</f>
        <v>0.9342465753424658</v>
      </c>
      <c r="I44" s="1088">
        <f t="shared" si="6"/>
        <v>0.97</v>
      </c>
      <c r="J44" s="1081">
        <v>3100</v>
      </c>
      <c r="K44" s="1081">
        <f t="shared" si="4"/>
        <v>264</v>
      </c>
      <c r="L44" s="1086"/>
      <c r="M44" s="1086"/>
      <c r="N44" s="1087">
        <f t="shared" si="5"/>
        <v>41.532387419178086</v>
      </c>
    </row>
    <row r="45" spans="1:14" ht="14.5">
      <c r="A45" s="1080" t="s">
        <v>16</v>
      </c>
      <c r="B45" s="1081">
        <v>160</v>
      </c>
      <c r="C45" s="1081">
        <v>144</v>
      </c>
      <c r="D45" s="1081">
        <v>1</v>
      </c>
      <c r="E45" s="1081"/>
      <c r="F45" s="1082">
        <v>1605.3490809163945</v>
      </c>
      <c r="G45" s="1102">
        <f>F45/$F$51</f>
        <v>0.14023250283903993</v>
      </c>
      <c r="H45" s="1103">
        <f t="shared" si="6"/>
        <v>0.9342465753424658</v>
      </c>
      <c r="I45" s="1088">
        <f t="shared" si="6"/>
        <v>0.97</v>
      </c>
      <c r="J45" s="1081">
        <v>2850</v>
      </c>
      <c r="K45" s="1081">
        <f t="shared" si="4"/>
        <v>264</v>
      </c>
      <c r="L45" s="1086"/>
      <c r="M45" s="1086"/>
      <c r="N45" s="1087">
        <f t="shared" si="5"/>
        <v>17.455086325479453</v>
      </c>
    </row>
    <row r="46" spans="1:14" ht="14.5">
      <c r="A46" s="1080" t="s">
        <v>16</v>
      </c>
      <c r="B46" s="1081">
        <v>150</v>
      </c>
      <c r="C46" s="1081">
        <v>144</v>
      </c>
      <c r="D46" s="1081">
        <v>1</v>
      </c>
      <c r="E46" s="1081"/>
      <c r="F46" s="1082">
        <v>38.883882265537785</v>
      </c>
      <c r="G46" s="1102">
        <f>F46/$F$51</f>
        <v>3.3966345357623181E-3</v>
      </c>
      <c r="H46" s="1103">
        <f t="shared" si="6"/>
        <v>0.9342465753424658</v>
      </c>
      <c r="I46" s="1088">
        <f t="shared" si="6"/>
        <v>0.97</v>
      </c>
      <c r="J46" s="1081">
        <v>2650</v>
      </c>
      <c r="K46" s="1081">
        <f t="shared" si="4"/>
        <v>264</v>
      </c>
      <c r="L46" s="1086"/>
      <c r="M46" s="1086"/>
      <c r="N46" s="1087">
        <f t="shared" si="5"/>
        <v>15.215782487671232</v>
      </c>
    </row>
    <row r="47" spans="1:14" ht="14.5">
      <c r="A47" s="1080" t="s">
        <v>16</v>
      </c>
      <c r="B47" s="1081">
        <v>280</v>
      </c>
      <c r="C47" s="1081">
        <v>288</v>
      </c>
      <c r="D47" s="1081">
        <v>1</v>
      </c>
      <c r="E47" s="1081"/>
      <c r="F47" s="1082">
        <v>346.07081235330429</v>
      </c>
      <c r="G47" s="1102">
        <f>F47/$F$51</f>
        <v>3.0230419509843062E-2</v>
      </c>
      <c r="H47" s="1103">
        <f t="shared" si="6"/>
        <v>0.9342465753424658</v>
      </c>
      <c r="I47" s="1088">
        <f t="shared" si="6"/>
        <v>0.97</v>
      </c>
      <c r="J47" s="1081">
        <v>2500</v>
      </c>
      <c r="K47" s="1081">
        <f t="shared" si="4"/>
        <v>264</v>
      </c>
      <c r="L47" s="1086"/>
      <c r="M47" s="1086"/>
      <c r="N47" s="1087">
        <f t="shared" si="5"/>
        <v>26.795088657534247</v>
      </c>
    </row>
    <row r="48" spans="1:14" ht="14.5">
      <c r="A48" s="1080" t="s">
        <v>16</v>
      </c>
      <c r="B48" s="1081">
        <v>320</v>
      </c>
      <c r="C48" s="1081">
        <v>288</v>
      </c>
      <c r="D48" s="1081">
        <v>1</v>
      </c>
      <c r="E48" s="1081"/>
      <c r="F48" s="1082">
        <v>22.753484971160585</v>
      </c>
      <c r="G48" s="1102">
        <f t="shared" ref="G48:G49" si="7">F48/$F$51</f>
        <v>1.9875914738711606E-3</v>
      </c>
      <c r="H48" s="1103">
        <f t="shared" si="6"/>
        <v>0.9342465753424658</v>
      </c>
      <c r="I48" s="1088">
        <f t="shared" si="6"/>
        <v>0.97</v>
      </c>
      <c r="J48" s="1081">
        <v>2500</v>
      </c>
      <c r="K48" s="1081">
        <f t="shared" si="4"/>
        <v>264</v>
      </c>
      <c r="L48" s="1086"/>
      <c r="M48" s="1086"/>
      <c r="N48" s="1087">
        <f t="shared" si="5"/>
        <v>30.622958465753424</v>
      </c>
    </row>
    <row r="49" spans="1:15" ht="14.5">
      <c r="A49" s="1080" t="s">
        <v>16</v>
      </c>
      <c r="B49" s="1081">
        <v>500</v>
      </c>
      <c r="C49" s="1081">
        <v>96</v>
      </c>
      <c r="D49" s="1081">
        <v>1</v>
      </c>
      <c r="E49" s="1081"/>
      <c r="F49" s="1082">
        <v>115.21287632743888</v>
      </c>
      <c r="G49" s="1102">
        <f t="shared" si="7"/>
        <v>1.006422229205048E-2</v>
      </c>
      <c r="H49" s="1103">
        <f t="shared" si="6"/>
        <v>0.9342465753424658</v>
      </c>
      <c r="I49" s="1088">
        <f t="shared" si="6"/>
        <v>0.97</v>
      </c>
      <c r="J49" s="1081">
        <v>2500</v>
      </c>
      <c r="K49" s="1081">
        <f>144</f>
        <v>144</v>
      </c>
      <c r="L49" s="1086"/>
      <c r="M49" s="1086"/>
      <c r="N49" s="1087">
        <f t="shared" si="5"/>
        <v>26.099112328767124</v>
      </c>
    </row>
    <row r="50" spans="1:15" ht="14.5">
      <c r="A50" s="1080" t="s">
        <v>16</v>
      </c>
      <c r="B50" s="1081">
        <v>480</v>
      </c>
      <c r="C50" s="1081">
        <v>288</v>
      </c>
      <c r="D50" s="1081">
        <v>1</v>
      </c>
      <c r="E50" s="1081"/>
      <c r="F50" s="1082">
        <v>1397.0686512051923</v>
      </c>
      <c r="G50" s="1102">
        <f>F50/$F$51</f>
        <v>0.12203852478280325</v>
      </c>
      <c r="H50" s="1103">
        <f>H47</f>
        <v>0.9342465753424658</v>
      </c>
      <c r="I50" s="1088">
        <f>I47</f>
        <v>0.97</v>
      </c>
      <c r="J50" s="1081">
        <v>2800</v>
      </c>
      <c r="K50" s="1081">
        <f>144</f>
        <v>144</v>
      </c>
      <c r="L50" s="1086"/>
      <c r="M50" s="1086"/>
      <c r="N50" s="1087">
        <f t="shared" si="5"/>
        <v>28.061765575890412</v>
      </c>
    </row>
    <row r="51" spans="1:15" ht="14.5">
      <c r="A51" s="1080"/>
      <c r="B51" s="1104">
        <f>SUMPRODUCT(B43:B50,G43:G50)</f>
        <v>270.46771174951448</v>
      </c>
      <c r="C51" s="1081"/>
      <c r="D51" s="1081"/>
      <c r="E51" s="1081"/>
      <c r="F51" s="1104">
        <f>SUM(F43:F50)</f>
        <v>11447.767446317548</v>
      </c>
      <c r="G51" s="1104"/>
      <c r="H51" s="1081"/>
      <c r="I51" s="1081"/>
      <c r="J51" s="1105">
        <f>SUMPRODUCT(J43:J50,G43:G50)</f>
        <v>2967.7286562190557</v>
      </c>
      <c r="K51" s="1081"/>
      <c r="L51" s="1086"/>
      <c r="M51" s="1086"/>
      <c r="N51" s="1106">
        <f>SUMPRODUCT(N43:N50,G43:G50)</f>
        <v>27.478726302193262</v>
      </c>
      <c r="O51" s="1107"/>
    </row>
    <row r="52" spans="1:15">
      <c r="A52" s="1108" t="s">
        <v>1420</v>
      </c>
      <c r="B52" s="1109"/>
      <c r="C52" s="1109"/>
      <c r="D52" s="1109"/>
      <c r="E52" s="1109"/>
      <c r="F52" s="1110">
        <f>F51/$F$40</f>
        <v>33.571165531723018</v>
      </c>
      <c r="G52" s="1111"/>
      <c r="H52" s="1109"/>
      <c r="I52" s="1109"/>
      <c r="J52" s="1109"/>
      <c r="K52" s="1109"/>
      <c r="L52" s="1112"/>
      <c r="M52" s="1112"/>
      <c r="N52" s="1113">
        <f>F52/N51</f>
        <v>1.2217147608127483</v>
      </c>
    </row>
    <row r="53" spans="1:15">
      <c r="A53" s="1114" t="s">
        <v>1421</v>
      </c>
      <c r="F53" s="1100">
        <v>11447.76744631755</v>
      </c>
    </row>
    <row r="54" spans="1:15">
      <c r="F54" s="1097">
        <f>F51-F53</f>
        <v>0</v>
      </c>
    </row>
    <row r="55" spans="1:15">
      <c r="F55" s="1115"/>
    </row>
    <row r="56" spans="1:15">
      <c r="A56" s="1072" t="s">
        <v>1408</v>
      </c>
      <c r="F56" s="1072">
        <v>357</v>
      </c>
    </row>
    <row r="57" spans="1:15">
      <c r="A57" s="1072" t="s">
        <v>1409</v>
      </c>
      <c r="F57" s="1072">
        <v>6</v>
      </c>
    </row>
    <row r="58" spans="1:15">
      <c r="A58" s="1072" t="s">
        <v>489</v>
      </c>
      <c r="F58" s="1072">
        <v>0</v>
      </c>
    </row>
    <row r="59" spans="1:15">
      <c r="A59" s="1072" t="s">
        <v>1410</v>
      </c>
      <c r="F59" s="1072">
        <f>1*12</f>
        <v>12</v>
      </c>
    </row>
    <row r="60" spans="1:15">
      <c r="A60" s="1073" t="s">
        <v>1411</v>
      </c>
      <c r="F60" s="1073">
        <f>F56-F57-F59-F58</f>
        <v>339</v>
      </c>
      <c r="G60" s="1074">
        <f>F60/F56</f>
        <v>0.94957983193277307</v>
      </c>
    </row>
    <row r="63" spans="1:15" ht="28">
      <c r="A63" s="1116" t="s">
        <v>1412</v>
      </c>
      <c r="B63" s="1117" t="s">
        <v>1209</v>
      </c>
      <c r="C63" s="1117" t="s">
        <v>1413</v>
      </c>
      <c r="D63" s="1117" t="s">
        <v>1414</v>
      </c>
      <c r="E63" s="1117" t="s">
        <v>1415</v>
      </c>
      <c r="F63" s="1117" t="s">
        <v>971</v>
      </c>
      <c r="G63" s="1117" t="s">
        <v>1416</v>
      </c>
      <c r="H63" s="1117" t="s">
        <v>1417</v>
      </c>
      <c r="I63" s="1117" t="s">
        <v>1418</v>
      </c>
      <c r="J63" s="1117" t="s">
        <v>35</v>
      </c>
      <c r="K63" s="1117" t="s">
        <v>1419</v>
      </c>
      <c r="L63" s="1118" t="s">
        <v>1422</v>
      </c>
      <c r="M63" s="1118" t="s">
        <v>1423</v>
      </c>
      <c r="N63" s="1119" t="s">
        <v>983</v>
      </c>
    </row>
    <row r="64" spans="1:15" ht="14.5">
      <c r="A64" s="1080" t="s">
        <v>141</v>
      </c>
      <c r="B64" s="1081">
        <v>150</v>
      </c>
      <c r="C64" s="1081">
        <v>144</v>
      </c>
      <c r="D64" s="1081">
        <v>2</v>
      </c>
      <c r="E64" s="1081">
        <f>B64*D64</f>
        <v>300</v>
      </c>
      <c r="F64" s="1082">
        <v>7004.4432440096389</v>
      </c>
      <c r="G64" s="1102">
        <f t="shared" ref="G64:G73" si="8">F64/$F$74</f>
        <v>0.63143557322370159</v>
      </c>
      <c r="H64" s="1088">
        <f>G60</f>
        <v>0.94957983193277307</v>
      </c>
      <c r="I64" s="1084">
        <f>[68]Assumption!$J$75</f>
        <v>0.96</v>
      </c>
      <c r="J64" s="1081">
        <v>570</v>
      </c>
      <c r="K64" s="1081">
        <f>720+168+168+168+168+224</f>
        <v>1616</v>
      </c>
      <c r="L64" s="1086">
        <f>112*8+168*2</f>
        <v>1232</v>
      </c>
      <c r="M64" s="1120">
        <f>K64*3%</f>
        <v>48.48</v>
      </c>
      <c r="N64" s="1087">
        <f>(E64*J64*H64*I64*(L64-M64)*1440)/(9000*1000000)</f>
        <v>29.518508479462184</v>
      </c>
      <c r="O64" s="1072">
        <f>K64+32+32+168+168</f>
        <v>2016</v>
      </c>
    </row>
    <row r="65" spans="1:14" ht="14.5">
      <c r="A65" s="1080" t="s">
        <v>141</v>
      </c>
      <c r="B65" s="1081">
        <v>150</v>
      </c>
      <c r="C65" s="1081">
        <v>144</v>
      </c>
      <c r="D65" s="1081">
        <v>8</v>
      </c>
      <c r="E65" s="1081">
        <v>300</v>
      </c>
      <c r="F65" s="1082">
        <v>404.06630010672791</v>
      </c>
      <c r="G65" s="1102">
        <f t="shared" si="8"/>
        <v>3.6425712499915698E-2</v>
      </c>
      <c r="H65" s="1088">
        <f t="shared" ref="H65:I71" si="9">H64</f>
        <v>0.94957983193277307</v>
      </c>
      <c r="I65" s="1088">
        <f t="shared" si="9"/>
        <v>0.96</v>
      </c>
      <c r="J65" s="1081">
        <v>500</v>
      </c>
      <c r="K65" s="1081">
        <f t="shared" ref="K65:K73" si="10">720+168+168+168+168+224</f>
        <v>1616</v>
      </c>
      <c r="L65" s="1086">
        <f t="shared" ref="L65:L73" si="11">112*8+168*2</f>
        <v>1232</v>
      </c>
      <c r="M65" s="1120">
        <f t="shared" ref="M65:M73" si="12">K65*3%</f>
        <v>48.48</v>
      </c>
      <c r="N65" s="1087">
        <f t="shared" ref="N65:N73" si="13">(E65*J65*H65*I65*(L65-M65)*1440)/(9000*1000000)</f>
        <v>25.8934284907563</v>
      </c>
    </row>
    <row r="66" spans="1:14" ht="14.5">
      <c r="A66" s="1080" t="s">
        <v>141</v>
      </c>
      <c r="B66" s="1081">
        <v>150</v>
      </c>
      <c r="C66" s="1081">
        <v>144</v>
      </c>
      <c r="D66" s="1081">
        <v>4</v>
      </c>
      <c r="E66" s="1081">
        <v>300</v>
      </c>
      <c r="F66" s="1082">
        <v>68.946914879942312</v>
      </c>
      <c r="G66" s="1102">
        <f t="shared" si="8"/>
        <v>6.2154168722053284E-3</v>
      </c>
      <c r="H66" s="1088">
        <f t="shared" si="9"/>
        <v>0.94957983193277307</v>
      </c>
      <c r="I66" s="1088">
        <f t="shared" si="9"/>
        <v>0.96</v>
      </c>
      <c r="J66" s="1081">
        <v>500</v>
      </c>
      <c r="K66" s="1081">
        <f t="shared" si="10"/>
        <v>1616</v>
      </c>
      <c r="L66" s="1086">
        <f t="shared" si="11"/>
        <v>1232</v>
      </c>
      <c r="M66" s="1120">
        <f t="shared" si="12"/>
        <v>48.48</v>
      </c>
      <c r="N66" s="1087">
        <f t="shared" si="13"/>
        <v>25.8934284907563</v>
      </c>
    </row>
    <row r="67" spans="1:14" ht="14.5">
      <c r="A67" s="1080" t="s">
        <v>141</v>
      </c>
      <c r="B67" s="1081">
        <v>200</v>
      </c>
      <c r="C67" s="1081">
        <v>288</v>
      </c>
      <c r="D67" s="1081">
        <v>2</v>
      </c>
      <c r="E67" s="1081">
        <v>300</v>
      </c>
      <c r="F67" s="1082">
        <v>22.048126937054608</v>
      </c>
      <c r="G67" s="1102">
        <f t="shared" si="8"/>
        <v>1.9875914738711606E-3</v>
      </c>
      <c r="H67" s="1088">
        <f t="shared" si="9"/>
        <v>0.94957983193277307</v>
      </c>
      <c r="I67" s="1088">
        <f t="shared" si="9"/>
        <v>0.96</v>
      </c>
      <c r="J67" s="1081">
        <v>500</v>
      </c>
      <c r="K67" s="1081">
        <f t="shared" si="10"/>
        <v>1616</v>
      </c>
      <c r="L67" s="1086">
        <f t="shared" si="11"/>
        <v>1232</v>
      </c>
      <c r="M67" s="1120">
        <f t="shared" si="12"/>
        <v>48.48</v>
      </c>
      <c r="N67" s="1087">
        <f t="shared" si="13"/>
        <v>25.8934284907563</v>
      </c>
    </row>
    <row r="68" spans="1:14" ht="14.5">
      <c r="A68" s="1080" t="s">
        <v>141</v>
      </c>
      <c r="B68" s="1081">
        <v>225</v>
      </c>
      <c r="C68" s="1081">
        <v>96</v>
      </c>
      <c r="D68" s="1081">
        <v>2</v>
      </c>
      <c r="E68" s="1081">
        <v>450</v>
      </c>
      <c r="F68" s="1082">
        <v>199.37691087557559</v>
      </c>
      <c r="G68" s="1102">
        <f t="shared" si="8"/>
        <v>1.7973401970807188E-2</v>
      </c>
      <c r="H68" s="1088">
        <f>H65</f>
        <v>0.94957983193277307</v>
      </c>
      <c r="I68" s="1088">
        <f>I65</f>
        <v>0.96</v>
      </c>
      <c r="J68" s="1081">
        <f>(J64)+20</f>
        <v>590</v>
      </c>
      <c r="K68" s="1081">
        <f t="shared" si="10"/>
        <v>1616</v>
      </c>
      <c r="L68" s="1086">
        <f t="shared" si="11"/>
        <v>1232</v>
      </c>
      <c r="M68" s="1120">
        <f t="shared" si="12"/>
        <v>48.48</v>
      </c>
      <c r="N68" s="1087">
        <f t="shared" si="13"/>
        <v>45.831368428638655</v>
      </c>
    </row>
    <row r="69" spans="1:14" ht="14.5">
      <c r="A69" s="1080" t="s">
        <v>141</v>
      </c>
      <c r="B69" s="1081">
        <v>100</v>
      </c>
      <c r="C69" s="1081">
        <v>144</v>
      </c>
      <c r="D69" s="1081">
        <v>2</v>
      </c>
      <c r="E69" s="1081">
        <v>200</v>
      </c>
      <c r="F69" s="1082">
        <v>1555.5832594079861</v>
      </c>
      <c r="G69" s="1102">
        <f t="shared" si="8"/>
        <v>0.14023250283903993</v>
      </c>
      <c r="H69" s="1088">
        <f t="shared" si="9"/>
        <v>0.94957983193277307</v>
      </c>
      <c r="I69" s="1088">
        <f t="shared" si="9"/>
        <v>0.96</v>
      </c>
      <c r="J69" s="1081">
        <v>420</v>
      </c>
      <c r="K69" s="1081">
        <f t="shared" si="10"/>
        <v>1616</v>
      </c>
      <c r="L69" s="1086">
        <f t="shared" si="11"/>
        <v>1232</v>
      </c>
      <c r="M69" s="1120">
        <f t="shared" si="12"/>
        <v>48.48</v>
      </c>
      <c r="N69" s="1087">
        <f t="shared" si="13"/>
        <v>14.500319954823526</v>
      </c>
    </row>
    <row r="70" spans="1:14" ht="14.5">
      <c r="A70" s="1080" t="s">
        <v>141</v>
      </c>
      <c r="B70" s="1081">
        <v>90</v>
      </c>
      <c r="C70" s="1081">
        <v>144</v>
      </c>
      <c r="D70" s="1081">
        <v>2</v>
      </c>
      <c r="E70" s="1081">
        <v>180</v>
      </c>
      <c r="F70" s="1082">
        <v>37.678481915306115</v>
      </c>
      <c r="G70" s="1102">
        <f t="shared" si="8"/>
        <v>3.3966345357623186E-3</v>
      </c>
      <c r="H70" s="1088">
        <f t="shared" si="9"/>
        <v>0.94957983193277307</v>
      </c>
      <c r="I70" s="1088">
        <f t="shared" si="9"/>
        <v>0.96</v>
      </c>
      <c r="J70" s="1081">
        <v>570</v>
      </c>
      <c r="K70" s="1081">
        <f t="shared" si="10"/>
        <v>1616</v>
      </c>
      <c r="L70" s="1086">
        <f t="shared" si="11"/>
        <v>1232</v>
      </c>
      <c r="M70" s="1120">
        <f t="shared" si="12"/>
        <v>48.48</v>
      </c>
      <c r="N70" s="1087">
        <f t="shared" si="13"/>
        <v>17.711105087677311</v>
      </c>
    </row>
    <row r="71" spans="1:14" ht="14.5">
      <c r="A71" s="1080" t="s">
        <v>141</v>
      </c>
      <c r="B71" s="1081">
        <v>180</v>
      </c>
      <c r="C71" s="1081">
        <v>288</v>
      </c>
      <c r="D71" s="1081">
        <v>1</v>
      </c>
      <c r="E71" s="1081">
        <f>B71</f>
        <v>180</v>
      </c>
      <c r="F71" s="1082">
        <v>335.3426171703519</v>
      </c>
      <c r="G71" s="1102">
        <f t="shared" si="8"/>
        <v>3.0230419509843068E-2</v>
      </c>
      <c r="H71" s="1088">
        <f t="shared" si="9"/>
        <v>0.94957983193277307</v>
      </c>
      <c r="I71" s="1088">
        <f t="shared" si="9"/>
        <v>0.96</v>
      </c>
      <c r="J71" s="1081">
        <v>570</v>
      </c>
      <c r="K71" s="1081">
        <f t="shared" si="10"/>
        <v>1616</v>
      </c>
      <c r="L71" s="1086">
        <f>112*4+336*2</f>
        <v>1120</v>
      </c>
      <c r="M71" s="1120">
        <f t="shared" si="12"/>
        <v>48.48</v>
      </c>
      <c r="N71" s="1087">
        <f t="shared" si="13"/>
        <v>16.035050800618485</v>
      </c>
    </row>
    <row r="72" spans="1:14" ht="14.5">
      <c r="A72" s="1080" t="s">
        <v>141</v>
      </c>
      <c r="B72" s="1081">
        <v>300</v>
      </c>
      <c r="C72" s="1081">
        <v>96</v>
      </c>
      <c r="D72" s="1081">
        <v>4</v>
      </c>
      <c r="E72" s="1081">
        <v>300</v>
      </c>
      <c r="F72" s="1082">
        <v>111.64127716128827</v>
      </c>
      <c r="G72" s="1102">
        <f t="shared" si="8"/>
        <v>1.0064222292050482E-2</v>
      </c>
      <c r="H72" s="1088">
        <f>H70</f>
        <v>0.94957983193277307</v>
      </c>
      <c r="I72" s="1088">
        <f>I70</f>
        <v>0.96</v>
      </c>
      <c r="J72" s="1081">
        <v>570</v>
      </c>
      <c r="K72" s="1081">
        <f t="shared" si="10"/>
        <v>1616</v>
      </c>
      <c r="L72" s="1086">
        <f t="shared" si="11"/>
        <v>1232</v>
      </c>
      <c r="M72" s="1120">
        <f t="shared" si="12"/>
        <v>48.48</v>
      </c>
      <c r="N72" s="1087">
        <f t="shared" si="13"/>
        <v>29.518508479462184</v>
      </c>
    </row>
    <row r="73" spans="1:14" ht="14.5">
      <c r="A73" s="1080" t="s">
        <v>141</v>
      </c>
      <c r="B73" s="1081">
        <v>300</v>
      </c>
      <c r="C73" s="1081">
        <v>288</v>
      </c>
      <c r="D73" s="1081">
        <v>4</v>
      </c>
      <c r="E73" s="1081">
        <v>300</v>
      </c>
      <c r="F73" s="1082">
        <v>1353.7595230178313</v>
      </c>
      <c r="G73" s="1102">
        <f t="shared" si="8"/>
        <v>0.12203852478280325</v>
      </c>
      <c r="H73" s="1088">
        <f>H71</f>
        <v>0.94957983193277307</v>
      </c>
      <c r="I73" s="1088">
        <f>I71</f>
        <v>0.96</v>
      </c>
      <c r="J73" s="1081">
        <v>570</v>
      </c>
      <c r="K73" s="1081">
        <f t="shared" si="10"/>
        <v>1616</v>
      </c>
      <c r="L73" s="1086">
        <f t="shared" si="11"/>
        <v>1232</v>
      </c>
      <c r="M73" s="1120">
        <f t="shared" si="12"/>
        <v>48.48</v>
      </c>
      <c r="N73" s="1087">
        <f t="shared" si="13"/>
        <v>29.518508479462184</v>
      </c>
    </row>
    <row r="74" spans="1:14">
      <c r="A74" s="1080"/>
      <c r="B74" s="1082"/>
      <c r="C74" s="1081"/>
      <c r="D74" s="1082"/>
      <c r="E74" s="1104">
        <f>SUMPRODUCT(E64:E73,$G$64:$G$73)</f>
        <v>284.63751352624445</v>
      </c>
      <c r="F74" s="1104">
        <f>SUM(F64:F73)</f>
        <v>11092.886655481703</v>
      </c>
      <c r="G74" s="1104"/>
      <c r="H74" s="1081"/>
      <c r="I74" s="1081"/>
      <c r="J74" s="1105">
        <f>SUMPRODUCT(J64:J73,G64:G73)</f>
        <v>546.20058215434074</v>
      </c>
      <c r="K74" s="1081"/>
      <c r="L74" s="1086"/>
      <c r="M74" s="1086"/>
      <c r="N74" s="1106">
        <f>SUMPRODUCT(N64:N73,G64:G73)</f>
        <v>27.096169204630364</v>
      </c>
    </row>
    <row r="75" spans="1:14">
      <c r="A75" s="1108" t="s">
        <v>1420</v>
      </c>
      <c r="B75" s="1109"/>
      <c r="C75" s="1109"/>
      <c r="D75" s="1109"/>
      <c r="E75" s="1109"/>
      <c r="F75" s="1110">
        <f>F74/$F$60</f>
        <v>32.722379514695291</v>
      </c>
      <c r="G75" s="1109"/>
      <c r="H75" s="1109"/>
      <c r="I75" s="1109"/>
      <c r="J75" s="1109"/>
      <c r="K75" s="1109"/>
      <c r="L75" s="1112"/>
      <c r="M75" s="1112"/>
      <c r="N75" s="1121">
        <f>F75/N74</f>
        <v>1.2076385878599949</v>
      </c>
    </row>
    <row r="76" spans="1:14">
      <c r="F76" s="1100">
        <v>11092.886655481703</v>
      </c>
    </row>
    <row r="77" spans="1:14">
      <c r="F77" s="1122">
        <f>F74-F76</f>
        <v>0</v>
      </c>
    </row>
    <row r="78" spans="1:14">
      <c r="F78" s="1123"/>
    </row>
    <row r="79" spans="1:14">
      <c r="A79" s="1072" t="s">
        <v>1408</v>
      </c>
      <c r="F79" s="1072">
        <v>357</v>
      </c>
    </row>
    <row r="80" spans="1:14">
      <c r="A80" s="1072" t="s">
        <v>1409</v>
      </c>
      <c r="F80" s="1072">
        <v>6</v>
      </c>
    </row>
    <row r="81" spans="1:14">
      <c r="A81" s="1072" t="s">
        <v>489</v>
      </c>
      <c r="F81" s="1072">
        <v>0</v>
      </c>
    </row>
    <row r="82" spans="1:14">
      <c r="A82" s="1072" t="s">
        <v>1410</v>
      </c>
      <c r="F82" s="1072">
        <f>1*12</f>
        <v>12</v>
      </c>
    </row>
    <row r="83" spans="1:14">
      <c r="A83" s="1073" t="s">
        <v>1411</v>
      </c>
      <c r="F83" s="1073">
        <f>F79-F80-F82-F81</f>
        <v>339</v>
      </c>
      <c r="G83" s="1074">
        <f>F83/F79</f>
        <v>0.94957983193277307</v>
      </c>
    </row>
    <row r="85" spans="1:14">
      <c r="A85" s="1075" t="s">
        <v>1412</v>
      </c>
      <c r="B85" s="1076" t="s">
        <v>1209</v>
      </c>
      <c r="C85" s="1076" t="s">
        <v>1413</v>
      </c>
      <c r="D85" s="1076" t="s">
        <v>1414</v>
      </c>
      <c r="E85" s="1076" t="s">
        <v>1415</v>
      </c>
      <c r="F85" s="1076" t="s">
        <v>971</v>
      </c>
      <c r="G85" s="1076" t="s">
        <v>1416</v>
      </c>
      <c r="H85" s="1076" t="s">
        <v>1417</v>
      </c>
      <c r="I85" s="1076" t="s">
        <v>1418</v>
      </c>
      <c r="J85" s="1076" t="s">
        <v>35</v>
      </c>
      <c r="K85" s="1076" t="s">
        <v>1419</v>
      </c>
      <c r="L85" s="1078"/>
      <c r="M85" s="1078"/>
      <c r="N85" s="1079" t="s">
        <v>983</v>
      </c>
    </row>
    <row r="86" spans="1:14" ht="14.5">
      <c r="A86" s="1080" t="s">
        <v>147</v>
      </c>
      <c r="B86" s="1081">
        <v>300</v>
      </c>
      <c r="C86" s="1081">
        <v>1152</v>
      </c>
      <c r="D86" s="1081">
        <v>4</v>
      </c>
      <c r="E86" s="1081">
        <f t="shared" ref="E86:E93" si="14">D86*B86</f>
        <v>1200</v>
      </c>
      <c r="F86" s="1082">
        <v>618.22544963213159</v>
      </c>
      <c r="G86" s="1102">
        <f t="shared" ref="G86:G93" si="15">F86/$F$94</f>
        <v>0.13156280099815709</v>
      </c>
      <c r="H86" s="1088">
        <f>G83</f>
        <v>0.94957983193277307</v>
      </c>
      <c r="I86" s="1084">
        <f>[68]Assumption!J86</f>
        <v>0.7</v>
      </c>
      <c r="J86" s="1081">
        <v>530</v>
      </c>
      <c r="K86" s="1081">
        <v>176</v>
      </c>
      <c r="L86" s="1086"/>
      <c r="M86" s="1086"/>
      <c r="N86" s="1087">
        <f t="shared" ref="N86:N93" si="16">(E86*J86*H86*I86*K86*1440)/(9000*1000000)</f>
        <v>11.904722823529411</v>
      </c>
    </row>
    <row r="87" spans="1:14" ht="14.5">
      <c r="A87" s="1080" t="s">
        <v>147</v>
      </c>
      <c r="B87" s="1081">
        <v>450</v>
      </c>
      <c r="C87" s="1081">
        <v>192</v>
      </c>
      <c r="D87" s="1081">
        <v>6</v>
      </c>
      <c r="E87" s="1081">
        <f t="shared" si="14"/>
        <v>2700</v>
      </c>
      <c r="F87" s="1082">
        <v>142.01512356723882</v>
      </c>
      <c r="G87" s="1102">
        <f t="shared" si="15"/>
        <v>3.0221834852840475E-2</v>
      </c>
      <c r="H87" s="1088">
        <f t="shared" ref="H87:I92" si="17">H86</f>
        <v>0.94957983193277307</v>
      </c>
      <c r="I87" s="1088">
        <f t="shared" si="17"/>
        <v>0.7</v>
      </c>
      <c r="J87" s="1081">
        <v>220</v>
      </c>
      <c r="K87" s="1081">
        <v>176</v>
      </c>
      <c r="L87" s="1086"/>
      <c r="M87" s="1086"/>
      <c r="N87" s="1087">
        <f t="shared" si="16"/>
        <v>11.118561882352941</v>
      </c>
    </row>
    <row r="88" spans="1:14" ht="14.5">
      <c r="A88" s="1080" t="s">
        <v>147</v>
      </c>
      <c r="B88" s="1081">
        <v>200</v>
      </c>
      <c r="C88" s="1081">
        <v>288</v>
      </c>
      <c r="D88" s="1081">
        <v>6</v>
      </c>
      <c r="E88" s="1081">
        <f t="shared" si="14"/>
        <v>1200</v>
      </c>
      <c r="F88" s="1082">
        <v>444.3514834177422</v>
      </c>
      <c r="G88" s="1102">
        <f t="shared" si="15"/>
        <v>9.4561176381383824E-2</v>
      </c>
      <c r="H88" s="1088">
        <f t="shared" si="17"/>
        <v>0.94957983193277307</v>
      </c>
      <c r="I88" s="1088">
        <f t="shared" si="17"/>
        <v>0.7</v>
      </c>
      <c r="J88" s="1081">
        <v>530</v>
      </c>
      <c r="K88" s="1081">
        <v>176</v>
      </c>
      <c r="L88" s="1086"/>
      <c r="M88" s="1086"/>
      <c r="N88" s="1087">
        <f t="shared" si="16"/>
        <v>11.904722823529411</v>
      </c>
    </row>
    <row r="89" spans="1:14" ht="14.5">
      <c r="A89" s="1080" t="s">
        <v>147</v>
      </c>
      <c r="B89" s="1081">
        <v>450</v>
      </c>
      <c r="C89" s="1081">
        <v>192</v>
      </c>
      <c r="D89" s="1081">
        <v>2</v>
      </c>
      <c r="E89" s="1081">
        <f t="shared" si="14"/>
        <v>900</v>
      </c>
      <c r="F89" s="1082">
        <v>55.96614893220773</v>
      </c>
      <c r="G89" s="1102">
        <f t="shared" si="15"/>
        <v>1.1909997103779178E-2</v>
      </c>
      <c r="H89" s="1088">
        <f t="shared" si="17"/>
        <v>0.94957983193277307</v>
      </c>
      <c r="I89" s="1088">
        <f t="shared" si="17"/>
        <v>0.7</v>
      </c>
      <c r="J89" s="1081">
        <v>530</v>
      </c>
      <c r="K89" s="1081">
        <v>176</v>
      </c>
      <c r="L89" s="1086"/>
      <c r="M89" s="1086"/>
      <c r="N89" s="1087">
        <f t="shared" si="16"/>
        <v>8.9285421176470567</v>
      </c>
    </row>
    <row r="90" spans="1:14" ht="14.5">
      <c r="A90" s="1080" t="s">
        <v>147</v>
      </c>
      <c r="B90" s="1081">
        <v>300</v>
      </c>
      <c r="C90" s="1081">
        <v>288</v>
      </c>
      <c r="D90" s="1081">
        <v>2</v>
      </c>
      <c r="E90" s="1081">
        <f t="shared" si="14"/>
        <v>600</v>
      </c>
      <c r="F90" s="1082">
        <v>61.277137205451986</v>
      </c>
      <c r="G90" s="1102">
        <f t="shared" si="15"/>
        <v>1.3040213424883641E-2</v>
      </c>
      <c r="H90" s="1088">
        <f t="shared" si="17"/>
        <v>0.94957983193277307</v>
      </c>
      <c r="I90" s="1088">
        <f t="shared" si="17"/>
        <v>0.7</v>
      </c>
      <c r="J90" s="1081">
        <v>530</v>
      </c>
      <c r="K90" s="1081">
        <v>176</v>
      </c>
      <c r="L90" s="1086"/>
      <c r="M90" s="1086"/>
      <c r="N90" s="1087">
        <f t="shared" si="16"/>
        <v>5.9523614117647057</v>
      </c>
    </row>
    <row r="91" spans="1:14" ht="14.5">
      <c r="A91" s="1080" t="s">
        <v>147</v>
      </c>
      <c r="B91" s="1081">
        <v>300</v>
      </c>
      <c r="C91" s="1081">
        <v>288</v>
      </c>
      <c r="D91" s="1081">
        <v>6</v>
      </c>
      <c r="E91" s="1081">
        <f t="shared" si="14"/>
        <v>1800</v>
      </c>
      <c r="F91" s="1082">
        <v>1666.5938155708873</v>
      </c>
      <c r="G91" s="1102">
        <f t="shared" si="15"/>
        <v>0.35466309359018022</v>
      </c>
      <c r="H91" s="1088">
        <f t="shared" si="17"/>
        <v>0.94957983193277307</v>
      </c>
      <c r="I91" s="1088">
        <f t="shared" si="17"/>
        <v>0.7</v>
      </c>
      <c r="J91" s="1081">
        <v>530</v>
      </c>
      <c r="K91" s="1081">
        <v>176</v>
      </c>
      <c r="L91" s="1086"/>
      <c r="M91" s="1086"/>
      <c r="N91" s="1087">
        <f t="shared" si="16"/>
        <v>17.857084235294113</v>
      </c>
    </row>
    <row r="92" spans="1:14" ht="14.5">
      <c r="A92" s="1080" t="s">
        <v>147</v>
      </c>
      <c r="B92" s="1081">
        <v>300</v>
      </c>
      <c r="C92" s="1081">
        <v>288</v>
      </c>
      <c r="D92" s="1081">
        <v>4</v>
      </c>
      <c r="E92" s="1081">
        <f t="shared" si="14"/>
        <v>1200</v>
      </c>
      <c r="F92" s="1082">
        <v>1629.8479182751437</v>
      </c>
      <c r="G92" s="1102">
        <f t="shared" si="15"/>
        <v>0.34684330361502591</v>
      </c>
      <c r="H92" s="1088">
        <f t="shared" si="17"/>
        <v>0.94957983193277307</v>
      </c>
      <c r="I92" s="1088">
        <f t="shared" si="17"/>
        <v>0.7</v>
      </c>
      <c r="J92" s="1081">
        <v>530</v>
      </c>
      <c r="K92" s="1081">
        <v>176</v>
      </c>
      <c r="L92" s="1086"/>
      <c r="M92" s="1086"/>
      <c r="N92" s="1087">
        <f t="shared" si="16"/>
        <v>11.904722823529411</v>
      </c>
    </row>
    <row r="93" spans="1:14" ht="14.5">
      <c r="A93" s="1080" t="s">
        <v>147</v>
      </c>
      <c r="B93" s="1081">
        <v>200</v>
      </c>
      <c r="C93" s="1081">
        <v>1728</v>
      </c>
      <c r="D93" s="1081">
        <v>6</v>
      </c>
      <c r="E93" s="1081">
        <f t="shared" si="14"/>
        <v>1200</v>
      </c>
      <c r="F93" s="1082">
        <v>80.812977287541443</v>
      </c>
      <c r="G93" s="1102">
        <f t="shared" si="15"/>
        <v>1.719758003374958E-2</v>
      </c>
      <c r="H93" s="1088">
        <f>H90</f>
        <v>0.94957983193277307</v>
      </c>
      <c r="I93" s="1088">
        <f>I90</f>
        <v>0.7</v>
      </c>
      <c r="J93" s="1081">
        <v>530</v>
      </c>
      <c r="K93" s="1081">
        <v>176</v>
      </c>
      <c r="L93" s="1086"/>
      <c r="M93" s="1086"/>
      <c r="N93" s="1087">
        <f t="shared" si="16"/>
        <v>11.904722823529411</v>
      </c>
    </row>
    <row r="94" spans="1:14" ht="14.5">
      <c r="A94" s="1080"/>
      <c r="B94" s="1081"/>
      <c r="C94" s="1081"/>
      <c r="D94" s="1081"/>
      <c r="E94" s="1105">
        <f>SUMPRODUCT(E86:E93,G86:G93)</f>
        <v>1446.7334812473048</v>
      </c>
      <c r="F94" s="1104">
        <f>SUM(F86:F93)</f>
        <v>4699.0900538883452</v>
      </c>
      <c r="G94" s="1104"/>
      <c r="H94" s="1102">
        <f>SUMPRODUCT(H86:H93,G86:G93)</f>
        <v>0.94957983193277284</v>
      </c>
      <c r="I94" s="1102">
        <f>SUMPRODUCT(I86:I93,G86:G93)</f>
        <v>0.69999999999999984</v>
      </c>
      <c r="J94" s="1124">
        <f>SUMPRODUCT(J86:J93,G86:G93)</f>
        <v>520.63123119561942</v>
      </c>
      <c r="K94" s="1081"/>
      <c r="L94" s="1086"/>
      <c r="M94" s="1086"/>
      <c r="N94" s="1106">
        <f>SUMPRODUCT(N86:N93,G86:G93)</f>
        <v>13.878980143081868</v>
      </c>
    </row>
    <row r="95" spans="1:14">
      <c r="A95" s="1108" t="s">
        <v>1420</v>
      </c>
      <c r="B95" s="1109"/>
      <c r="C95" s="1109"/>
      <c r="D95" s="1109"/>
      <c r="E95" s="1109"/>
      <c r="F95" s="1110">
        <f>F94/$F$83</f>
        <v>13.861622577841727</v>
      </c>
      <c r="G95" s="1109"/>
      <c r="H95" s="1109"/>
      <c r="I95" s="1109"/>
      <c r="J95" s="1109"/>
      <c r="K95" s="1109"/>
      <c r="L95" s="1112"/>
      <c r="M95" s="1112"/>
      <c r="N95" s="1125">
        <f>F95/N94</f>
        <v>0.99874936306117612</v>
      </c>
    </row>
    <row r="96" spans="1:14">
      <c r="F96" s="1100">
        <v>4699.0900538883434</v>
      </c>
    </row>
    <row r="97" spans="1:16">
      <c r="F97" s="1122">
        <f>F94-F96</f>
        <v>0</v>
      </c>
    </row>
    <row r="98" spans="1:16">
      <c r="A98" s="1072" t="s">
        <v>1408</v>
      </c>
      <c r="F98" s="1072">
        <v>357</v>
      </c>
    </row>
    <row r="99" spans="1:16">
      <c r="A99" s="1072" t="s">
        <v>1409</v>
      </c>
      <c r="F99" s="1072">
        <f>1*12</f>
        <v>12</v>
      </c>
    </row>
    <row r="100" spans="1:16">
      <c r="A100" s="1072" t="s">
        <v>489</v>
      </c>
      <c r="F100" s="1072">
        <v>0</v>
      </c>
    </row>
    <row r="101" spans="1:16">
      <c r="A101" s="1072" t="s">
        <v>1410</v>
      </c>
      <c r="F101" s="1072">
        <f>1.5*12</f>
        <v>18</v>
      </c>
    </row>
    <row r="102" spans="1:16">
      <c r="A102" s="1073" t="s">
        <v>1411</v>
      </c>
      <c r="F102" s="1073">
        <f>F98-F99-F101-F100</f>
        <v>327</v>
      </c>
      <c r="G102" s="1074">
        <f>F102/F98</f>
        <v>0.91596638655462181</v>
      </c>
    </row>
    <row r="104" spans="1:16">
      <c r="A104" s="1072" t="s">
        <v>1424</v>
      </c>
      <c r="E104" s="1072">
        <v>16</v>
      </c>
      <c r="F104" s="1072">
        <v>3</v>
      </c>
      <c r="H104" s="1072">
        <f>SUM(E104:G104)</f>
        <v>19</v>
      </c>
    </row>
    <row r="105" spans="1:16">
      <c r="A105" s="1072" t="s">
        <v>1425</v>
      </c>
      <c r="E105" s="1072">
        <v>176</v>
      </c>
      <c r="F105" s="1072">
        <v>144</v>
      </c>
      <c r="H105" s="1126">
        <f>SUMPRODUCT(E104:G104,E105:G105)/H104</f>
        <v>170.94736842105263</v>
      </c>
    </row>
    <row r="106" spans="1:16">
      <c r="A106" s="1073" t="s">
        <v>1426</v>
      </c>
      <c r="B106" s="1073"/>
      <c r="C106" s="1073"/>
      <c r="D106" s="1073"/>
      <c r="E106" s="1073">
        <f>E104*E105</f>
        <v>2816</v>
      </c>
      <c r="F106" s="1073">
        <f>F104*F105</f>
        <v>432</v>
      </c>
      <c r="G106" s="1073"/>
      <c r="H106" s="1127">
        <f>E106+F106+G106</f>
        <v>3248</v>
      </c>
    </row>
    <row r="107" spans="1:16">
      <c r="A107" s="1075" t="s">
        <v>1412</v>
      </c>
      <c r="B107" s="1076" t="s">
        <v>1209</v>
      </c>
      <c r="C107" s="1076" t="s">
        <v>1413</v>
      </c>
      <c r="D107" s="1076" t="s">
        <v>1414</v>
      </c>
      <c r="E107" s="1076" t="s">
        <v>327</v>
      </c>
      <c r="F107" s="1076" t="s">
        <v>971</v>
      </c>
      <c r="G107" s="1076" t="s">
        <v>1416</v>
      </c>
      <c r="H107" s="1076" t="s">
        <v>1417</v>
      </c>
      <c r="I107" s="1076" t="s">
        <v>1418</v>
      </c>
      <c r="J107" s="1076" t="s">
        <v>35</v>
      </c>
      <c r="K107" s="1076" t="s">
        <v>1419</v>
      </c>
      <c r="L107" s="1078" t="s">
        <v>35</v>
      </c>
      <c r="M107" s="1078"/>
      <c r="N107" s="1079" t="s">
        <v>983</v>
      </c>
      <c r="P107" s="1128" t="s">
        <v>60</v>
      </c>
    </row>
    <row r="108" spans="1:16" ht="14.5">
      <c r="A108" s="1080" t="s">
        <v>23</v>
      </c>
      <c r="B108" s="1081">
        <v>1200</v>
      </c>
      <c r="C108" s="1081">
        <v>69</v>
      </c>
      <c r="D108" s="1081">
        <v>2</v>
      </c>
      <c r="E108" s="1081">
        <v>120</v>
      </c>
      <c r="F108" s="1082">
        <v>959.05900843033942</v>
      </c>
      <c r="G108" s="1129">
        <f>F108/$F$162</f>
        <v>8.6710784077767403E-2</v>
      </c>
      <c r="H108" s="1088">
        <f>G102</f>
        <v>0.91596638655462181</v>
      </c>
      <c r="I108" s="1130">
        <f>[68]Assumption!$J$96</f>
        <v>0.9</v>
      </c>
      <c r="J108" s="1131">
        <v>37.5</v>
      </c>
      <c r="K108" s="1132">
        <f>H106</f>
        <v>3248</v>
      </c>
      <c r="L108" s="1133"/>
      <c r="M108" s="1133"/>
      <c r="N108" s="1087">
        <f>(B108*D108*J108*H108*I108*K108*1440)/(9000*1000000)</f>
        <v>38.556762352941185</v>
      </c>
      <c r="O108" s="1072">
        <f>B108*D108</f>
        <v>2400</v>
      </c>
      <c r="P108" s="1072">
        <v>4500</v>
      </c>
    </row>
    <row r="109" spans="1:16" ht="14.5">
      <c r="A109" s="1080" t="s">
        <v>23</v>
      </c>
      <c r="B109" s="1081">
        <v>1200</v>
      </c>
      <c r="C109" s="1081">
        <v>60</v>
      </c>
      <c r="D109" s="1081">
        <v>2</v>
      </c>
      <c r="E109" s="1081">
        <v>120</v>
      </c>
      <c r="F109" s="1082">
        <v>100.82682067183053</v>
      </c>
      <c r="G109" s="1129">
        <f>F109/$F$162</f>
        <v>9.1159903610434599E-3</v>
      </c>
      <c r="H109" s="1088">
        <f>H108</f>
        <v>0.91596638655462181</v>
      </c>
      <c r="I109" s="1134">
        <f>I108</f>
        <v>0.9</v>
      </c>
      <c r="J109" s="1131">
        <v>37.5</v>
      </c>
      <c r="K109" s="1082">
        <f>K108</f>
        <v>3248</v>
      </c>
      <c r="L109" s="1133"/>
      <c r="M109" s="1133"/>
      <c r="N109" s="1087">
        <f t="shared" ref="N109:N161" si="18">(B109*D109*J109*H109*I109*K109*1440)/(9000*1000000)</f>
        <v>38.556762352941185</v>
      </c>
      <c r="O109" s="1072">
        <f t="shared" ref="O109:O161" si="19">B109*D109</f>
        <v>2400</v>
      </c>
      <c r="P109" s="1072">
        <v>4500</v>
      </c>
    </row>
    <row r="110" spans="1:16" ht="14.5">
      <c r="A110" s="1080" t="s">
        <v>23</v>
      </c>
      <c r="B110" s="1081">
        <v>1200</v>
      </c>
      <c r="C110" s="1081">
        <v>120</v>
      </c>
      <c r="D110" s="1081">
        <v>2</v>
      </c>
      <c r="E110" s="1081">
        <v>130</v>
      </c>
      <c r="F110" s="1082">
        <v>0</v>
      </c>
      <c r="G110" s="1129">
        <f t="shared" ref="G110:G161" si="20">F110/$F$162</f>
        <v>0</v>
      </c>
      <c r="H110" s="1088">
        <f t="shared" ref="H110:H162" si="21">H109</f>
        <v>0.91596638655462181</v>
      </c>
      <c r="I110" s="1134">
        <f>I109</f>
        <v>0.9</v>
      </c>
      <c r="J110" s="1131">
        <v>34.615384615384613</v>
      </c>
      <c r="K110" s="1082">
        <f t="shared" ref="K110:K161" si="22">K109</f>
        <v>3248</v>
      </c>
      <c r="L110" s="1133"/>
      <c r="M110" s="1133"/>
      <c r="N110" s="1087">
        <f t="shared" si="18"/>
        <v>35.590857556561083</v>
      </c>
      <c r="O110" s="1072">
        <f t="shared" si="19"/>
        <v>2400</v>
      </c>
      <c r="P110" s="1072">
        <v>5000</v>
      </c>
    </row>
    <row r="111" spans="1:16" ht="14.5">
      <c r="A111" s="1080" t="s">
        <v>23</v>
      </c>
      <c r="B111" s="1081">
        <v>1500</v>
      </c>
      <c r="C111" s="1081">
        <v>69</v>
      </c>
      <c r="D111" s="1081">
        <v>3</v>
      </c>
      <c r="E111" s="1081">
        <v>70</v>
      </c>
      <c r="F111" s="1082">
        <v>0</v>
      </c>
      <c r="G111" s="1129">
        <f t="shared" si="20"/>
        <v>0</v>
      </c>
      <c r="H111" s="1088">
        <f t="shared" si="21"/>
        <v>0.91596638655462181</v>
      </c>
      <c r="I111" s="1134">
        <v>0.65</v>
      </c>
      <c r="J111" s="1135">
        <f>4500/E111</f>
        <v>64.285714285714292</v>
      </c>
      <c r="K111" s="1082">
        <f t="shared" si="22"/>
        <v>3248</v>
      </c>
      <c r="L111" s="1133"/>
      <c r="M111" s="1133"/>
      <c r="N111" s="1087">
        <f>(B111*D111*J111*H111*I111*K111*1440)/(9000*1000000)</f>
        <v>89.50676974789917</v>
      </c>
      <c r="O111" s="1072">
        <f t="shared" si="19"/>
        <v>4500</v>
      </c>
      <c r="P111" s="1072">
        <v>3500</v>
      </c>
    </row>
    <row r="112" spans="1:16" ht="14.5">
      <c r="A112" s="1080" t="s">
        <v>23</v>
      </c>
      <c r="B112" s="1081">
        <v>1125</v>
      </c>
      <c r="C112" s="1081">
        <v>126</v>
      </c>
      <c r="D112" s="1081">
        <v>2</v>
      </c>
      <c r="E112" s="1081">
        <v>180</v>
      </c>
      <c r="F112" s="1082">
        <v>29.768242261398175</v>
      </c>
      <c r="G112" s="1129">
        <f t="shared" si="20"/>
        <v>2.6914169038747453E-3</v>
      </c>
      <c r="H112" s="1088">
        <f>H111</f>
        <v>0.91596638655462181</v>
      </c>
      <c r="I112" s="1134">
        <f t="shared" ref="I112:I127" si="23">$I$110</f>
        <v>0.9</v>
      </c>
      <c r="J112" s="1131">
        <v>33.333333333333336</v>
      </c>
      <c r="K112" s="1082">
        <f>K111</f>
        <v>3248</v>
      </c>
      <c r="L112" s="1133"/>
      <c r="M112" s="1133"/>
      <c r="N112" s="1087">
        <f t="shared" si="18"/>
        <v>32.130635294117646</v>
      </c>
      <c r="O112" s="1072">
        <f t="shared" si="19"/>
        <v>2250</v>
      </c>
      <c r="P112" s="1072">
        <v>5500</v>
      </c>
    </row>
    <row r="113" spans="1:16" ht="14.5">
      <c r="A113" s="1080" t="s">
        <v>23</v>
      </c>
      <c r="B113" s="1081">
        <v>1500</v>
      </c>
      <c r="C113" s="1081">
        <v>69</v>
      </c>
      <c r="D113" s="1081">
        <v>2</v>
      </c>
      <c r="E113" s="1081">
        <v>210</v>
      </c>
      <c r="F113" s="1082">
        <v>0</v>
      </c>
      <c r="G113" s="1129">
        <f t="shared" si="20"/>
        <v>0</v>
      </c>
      <c r="H113" s="1088">
        <f t="shared" si="21"/>
        <v>0.91596638655462181</v>
      </c>
      <c r="I113" s="1134">
        <f t="shared" si="23"/>
        <v>0.9</v>
      </c>
      <c r="J113" s="1131">
        <v>21.428571428571427</v>
      </c>
      <c r="K113" s="1082">
        <f t="shared" si="22"/>
        <v>3248</v>
      </c>
      <c r="L113" s="1133"/>
      <c r="M113" s="1133"/>
      <c r="N113" s="1087">
        <f t="shared" si="18"/>
        <v>27.540544537815123</v>
      </c>
      <c r="O113" s="1072">
        <f t="shared" si="19"/>
        <v>3000</v>
      </c>
      <c r="P113" s="1072">
        <v>5500</v>
      </c>
    </row>
    <row r="114" spans="1:16" ht="14.5">
      <c r="A114" s="1080" t="s">
        <v>23</v>
      </c>
      <c r="B114" s="1081">
        <v>1125</v>
      </c>
      <c r="C114" s="1081">
        <v>69</v>
      </c>
      <c r="D114" s="1081">
        <v>2</v>
      </c>
      <c r="E114" s="1081">
        <v>100</v>
      </c>
      <c r="F114" s="1082">
        <v>0</v>
      </c>
      <c r="G114" s="1129">
        <f t="shared" si="20"/>
        <v>0</v>
      </c>
      <c r="H114" s="1088">
        <f t="shared" si="21"/>
        <v>0.91596638655462181</v>
      </c>
      <c r="I114" s="1134">
        <f t="shared" si="23"/>
        <v>0.9</v>
      </c>
      <c r="J114" s="1131">
        <v>60</v>
      </c>
      <c r="K114" s="1082">
        <f t="shared" si="22"/>
        <v>3248</v>
      </c>
      <c r="L114" s="1133"/>
      <c r="M114" s="1133"/>
      <c r="N114" s="1087">
        <f t="shared" si="18"/>
        <v>57.835143529411766</v>
      </c>
      <c r="O114" s="1072">
        <f t="shared" si="19"/>
        <v>2250</v>
      </c>
      <c r="P114" s="1072">
        <v>4500</v>
      </c>
    </row>
    <row r="115" spans="1:16" ht="14.5">
      <c r="A115" s="1080" t="s">
        <v>23</v>
      </c>
      <c r="B115" s="1081">
        <v>1200</v>
      </c>
      <c r="C115" s="1081">
        <v>69</v>
      </c>
      <c r="D115" s="1081">
        <v>2</v>
      </c>
      <c r="E115" s="1081">
        <v>240</v>
      </c>
      <c r="F115" s="1082">
        <v>64.158902313601814</v>
      </c>
      <c r="G115" s="1129">
        <f t="shared" si="20"/>
        <v>5.8007574886205582E-3</v>
      </c>
      <c r="H115" s="1088">
        <f t="shared" si="21"/>
        <v>0.91596638655462181</v>
      </c>
      <c r="I115" s="1134">
        <f t="shared" si="23"/>
        <v>0.9</v>
      </c>
      <c r="J115" s="1131">
        <v>18.75</v>
      </c>
      <c r="K115" s="1082">
        <f t="shared" si="22"/>
        <v>3248</v>
      </c>
      <c r="L115" s="1133"/>
      <c r="M115" s="1133"/>
      <c r="N115" s="1087">
        <f t="shared" si="18"/>
        <v>19.278381176470592</v>
      </c>
      <c r="O115" s="1072">
        <f t="shared" si="19"/>
        <v>2400</v>
      </c>
      <c r="P115" s="1072">
        <v>5500</v>
      </c>
    </row>
    <row r="116" spans="1:16" ht="14.5">
      <c r="A116" s="1080" t="s">
        <v>23</v>
      </c>
      <c r="B116" s="1081">
        <v>1200</v>
      </c>
      <c r="C116" s="1081">
        <v>360</v>
      </c>
      <c r="D116" s="1081">
        <v>2</v>
      </c>
      <c r="E116" s="1081">
        <v>180</v>
      </c>
      <c r="F116" s="1082">
        <v>989.39307779813475</v>
      </c>
      <c r="G116" s="1129">
        <f t="shared" si="20"/>
        <v>8.9453358743173894E-2</v>
      </c>
      <c r="H116" s="1088">
        <f t="shared" si="21"/>
        <v>0.91596638655462181</v>
      </c>
      <c r="I116" s="1134">
        <f t="shared" si="23"/>
        <v>0.9</v>
      </c>
      <c r="J116" s="1131">
        <v>25</v>
      </c>
      <c r="K116" s="1082">
        <f t="shared" si="22"/>
        <v>3248</v>
      </c>
      <c r="L116" s="1133"/>
      <c r="M116" s="1133"/>
      <c r="N116" s="1087">
        <f t="shared" si="18"/>
        <v>25.704508235294117</v>
      </c>
      <c r="O116" s="1072">
        <f t="shared" si="19"/>
        <v>2400</v>
      </c>
      <c r="P116" s="1072">
        <v>5500</v>
      </c>
    </row>
    <row r="117" spans="1:16" ht="14.5">
      <c r="A117" s="1080" t="s">
        <v>23</v>
      </c>
      <c r="B117" s="1081">
        <v>1200</v>
      </c>
      <c r="C117" s="1081">
        <v>240</v>
      </c>
      <c r="D117" s="1081">
        <v>2</v>
      </c>
      <c r="E117" s="1081">
        <v>180</v>
      </c>
      <c r="F117" s="1082">
        <v>17.906371550151974</v>
      </c>
      <c r="G117" s="1129">
        <f t="shared" si="20"/>
        <v>1.6189572314666209E-3</v>
      </c>
      <c r="H117" s="1088">
        <f t="shared" si="21"/>
        <v>0.91596638655462181</v>
      </c>
      <c r="I117" s="1134">
        <f t="shared" si="23"/>
        <v>0.9</v>
      </c>
      <c r="J117" s="1131">
        <v>25</v>
      </c>
      <c r="K117" s="1082">
        <f t="shared" si="22"/>
        <v>3248</v>
      </c>
      <c r="L117" s="1133"/>
      <c r="M117" s="1133"/>
      <c r="N117" s="1087">
        <f t="shared" si="18"/>
        <v>25.704508235294117</v>
      </c>
      <c r="O117" s="1072">
        <f t="shared" si="19"/>
        <v>2400</v>
      </c>
      <c r="P117" s="1072">
        <v>5500</v>
      </c>
    </row>
    <row r="118" spans="1:16" ht="14.5">
      <c r="A118" s="1080" t="s">
        <v>23</v>
      </c>
      <c r="B118" s="1081">
        <v>1200</v>
      </c>
      <c r="C118" s="1081">
        <v>360</v>
      </c>
      <c r="D118" s="1081">
        <v>2</v>
      </c>
      <c r="E118" s="1081">
        <v>210</v>
      </c>
      <c r="F118" s="1082">
        <v>107.02387930431951</v>
      </c>
      <c r="G118" s="1129">
        <f t="shared" si="20"/>
        <v>9.6762810295795715E-3</v>
      </c>
      <c r="H118" s="1088">
        <f t="shared" si="21"/>
        <v>0.91596638655462181</v>
      </c>
      <c r="I118" s="1134">
        <f t="shared" si="23"/>
        <v>0.9</v>
      </c>
      <c r="J118" s="1131">
        <v>21.428571428571427</v>
      </c>
      <c r="K118" s="1082">
        <f t="shared" si="22"/>
        <v>3248</v>
      </c>
      <c r="L118" s="1133"/>
      <c r="M118" s="1133"/>
      <c r="N118" s="1087">
        <f t="shared" si="18"/>
        <v>22.032435630252099</v>
      </c>
      <c r="O118" s="1072">
        <f t="shared" si="19"/>
        <v>2400</v>
      </c>
      <c r="P118" s="1072">
        <v>5500</v>
      </c>
    </row>
    <row r="119" spans="1:16" ht="14.5">
      <c r="A119" s="1080" t="s">
        <v>23</v>
      </c>
      <c r="B119" s="1081">
        <v>1200</v>
      </c>
      <c r="C119" s="1081">
        <v>69</v>
      </c>
      <c r="D119" s="1081">
        <v>2</v>
      </c>
      <c r="E119" s="1081">
        <v>150</v>
      </c>
      <c r="F119" s="1082">
        <v>0</v>
      </c>
      <c r="G119" s="1129">
        <f t="shared" si="20"/>
        <v>0</v>
      </c>
      <c r="H119" s="1088">
        <f t="shared" si="21"/>
        <v>0.91596638655462181</v>
      </c>
      <c r="I119" s="1134">
        <f t="shared" si="23"/>
        <v>0.9</v>
      </c>
      <c r="J119" s="1131">
        <v>30</v>
      </c>
      <c r="K119" s="1082">
        <f t="shared" si="22"/>
        <v>3248</v>
      </c>
      <c r="L119" s="1133"/>
      <c r="M119" s="1133"/>
      <c r="N119" s="1087">
        <f t="shared" si="18"/>
        <v>30.845409882352939</v>
      </c>
      <c r="O119" s="1072">
        <f t="shared" si="19"/>
        <v>2400</v>
      </c>
      <c r="P119" s="1072">
        <v>5500</v>
      </c>
    </row>
    <row r="120" spans="1:16" ht="14.5">
      <c r="A120" s="1080" t="s">
        <v>23</v>
      </c>
      <c r="B120" s="1081">
        <v>1200</v>
      </c>
      <c r="C120" s="1081">
        <v>69</v>
      </c>
      <c r="D120" s="1081">
        <v>2</v>
      </c>
      <c r="E120" s="1081">
        <v>210</v>
      </c>
      <c r="F120" s="1082">
        <v>0</v>
      </c>
      <c r="G120" s="1129">
        <f t="shared" si="20"/>
        <v>0</v>
      </c>
      <c r="H120" s="1088">
        <f t="shared" si="21"/>
        <v>0.91596638655462181</v>
      </c>
      <c r="I120" s="1134">
        <f t="shared" si="23"/>
        <v>0.9</v>
      </c>
      <c r="J120" s="1131">
        <v>21.428571428571427</v>
      </c>
      <c r="K120" s="1082">
        <f t="shared" si="22"/>
        <v>3248</v>
      </c>
      <c r="L120" s="1133"/>
      <c r="M120" s="1133"/>
      <c r="N120" s="1087">
        <f t="shared" si="18"/>
        <v>22.032435630252099</v>
      </c>
      <c r="O120" s="1072">
        <f t="shared" si="19"/>
        <v>2400</v>
      </c>
      <c r="P120" s="1072">
        <v>5500</v>
      </c>
    </row>
    <row r="121" spans="1:16" ht="14.5">
      <c r="A121" s="1080" t="s">
        <v>23</v>
      </c>
      <c r="B121" s="1081">
        <v>1125</v>
      </c>
      <c r="C121" s="1081">
        <v>69</v>
      </c>
      <c r="D121" s="1081">
        <v>2</v>
      </c>
      <c r="E121" s="1081">
        <v>210</v>
      </c>
      <c r="F121" s="1082">
        <v>423.80826564046225</v>
      </c>
      <c r="G121" s="1129">
        <f t="shared" si="20"/>
        <v>3.8317503604359746E-2</v>
      </c>
      <c r="H121" s="1088">
        <f t="shared" si="21"/>
        <v>0.91596638655462181</v>
      </c>
      <c r="I121" s="1134">
        <f t="shared" si="23"/>
        <v>0.9</v>
      </c>
      <c r="J121" s="1131">
        <v>28.571428571428573</v>
      </c>
      <c r="K121" s="1082">
        <f t="shared" si="22"/>
        <v>3248</v>
      </c>
      <c r="L121" s="1133"/>
      <c r="M121" s="1133"/>
      <c r="N121" s="1087">
        <f t="shared" si="18"/>
        <v>27.540544537815123</v>
      </c>
      <c r="O121" s="1072">
        <f t="shared" si="19"/>
        <v>2250</v>
      </c>
      <c r="P121" s="1072">
        <v>5500</v>
      </c>
    </row>
    <row r="122" spans="1:16" ht="14.5">
      <c r="A122" s="1080" t="s">
        <v>23</v>
      </c>
      <c r="B122" s="1081">
        <v>1800</v>
      </c>
      <c r="C122" s="1081">
        <v>360</v>
      </c>
      <c r="D122" s="1081">
        <v>2</v>
      </c>
      <c r="E122" s="1081">
        <v>180</v>
      </c>
      <c r="F122" s="1082">
        <v>112.15029449574466</v>
      </c>
      <c r="G122" s="1129">
        <f t="shared" si="20"/>
        <v>1.0139772302639169E-2</v>
      </c>
      <c r="H122" s="1088">
        <f t="shared" si="21"/>
        <v>0.91596638655462181</v>
      </c>
      <c r="I122" s="1134">
        <f t="shared" si="23"/>
        <v>0.9</v>
      </c>
      <c r="J122" s="1131">
        <v>13.888888888888889</v>
      </c>
      <c r="K122" s="1082">
        <f t="shared" si="22"/>
        <v>3248</v>
      </c>
      <c r="L122" s="1133"/>
      <c r="M122" s="1133"/>
      <c r="N122" s="1087">
        <f t="shared" si="18"/>
        <v>21.420423529411767</v>
      </c>
      <c r="O122" s="1072">
        <f t="shared" si="19"/>
        <v>3600</v>
      </c>
      <c r="P122" s="1072">
        <v>4000</v>
      </c>
    </row>
    <row r="123" spans="1:16" ht="14.5">
      <c r="A123" s="1080" t="s">
        <v>23</v>
      </c>
      <c r="B123" s="1081">
        <v>1400</v>
      </c>
      <c r="C123" s="1081">
        <v>120</v>
      </c>
      <c r="D123" s="1081">
        <v>2</v>
      </c>
      <c r="E123" s="1081">
        <v>150</v>
      </c>
      <c r="F123" s="1082">
        <v>197.84234919501523</v>
      </c>
      <c r="G123" s="1129">
        <f t="shared" si="20"/>
        <v>1.7887392821182464E-2</v>
      </c>
      <c r="H123" s="1088">
        <f t="shared" si="21"/>
        <v>0.91596638655462181</v>
      </c>
      <c r="I123" s="1134">
        <f t="shared" si="23"/>
        <v>0.9</v>
      </c>
      <c r="J123" s="1131">
        <v>36.666666666666664</v>
      </c>
      <c r="K123" s="1082">
        <f t="shared" si="22"/>
        <v>3248</v>
      </c>
      <c r="L123" s="1133"/>
      <c r="M123" s="1133"/>
      <c r="N123" s="1087">
        <f t="shared" si="18"/>
        <v>43.983269647058819</v>
      </c>
      <c r="O123" s="1072">
        <f t="shared" si="19"/>
        <v>2800</v>
      </c>
      <c r="P123" s="1072">
        <v>4500</v>
      </c>
    </row>
    <row r="124" spans="1:16" ht="14.5">
      <c r="A124" s="1080" t="s">
        <v>23</v>
      </c>
      <c r="B124" s="1081">
        <v>1500</v>
      </c>
      <c r="C124" s="1081">
        <v>120</v>
      </c>
      <c r="D124" s="1081">
        <v>2</v>
      </c>
      <c r="E124" s="1081">
        <v>130</v>
      </c>
      <c r="F124" s="1082">
        <v>64.045967382857143</v>
      </c>
      <c r="G124" s="1129">
        <f t="shared" si="20"/>
        <v>5.7905467755063923E-3</v>
      </c>
      <c r="H124" s="1088">
        <f t="shared" si="21"/>
        <v>0.91596638655462181</v>
      </c>
      <c r="I124" s="1134">
        <f t="shared" si="23"/>
        <v>0.9</v>
      </c>
      <c r="J124" s="1131">
        <v>34.615384615384613</v>
      </c>
      <c r="K124" s="1082">
        <f t="shared" si="22"/>
        <v>3248</v>
      </c>
      <c r="L124" s="1133"/>
      <c r="M124" s="1133"/>
      <c r="N124" s="1087">
        <f t="shared" si="18"/>
        <v>44.488571945701359</v>
      </c>
      <c r="O124" s="1072">
        <f t="shared" si="19"/>
        <v>3000</v>
      </c>
      <c r="P124" s="1072">
        <v>4500</v>
      </c>
    </row>
    <row r="125" spans="1:16" ht="14.5">
      <c r="A125" s="1080" t="s">
        <v>23</v>
      </c>
      <c r="B125" s="1081">
        <v>900</v>
      </c>
      <c r="C125" s="1081">
        <v>60</v>
      </c>
      <c r="D125" s="1081">
        <v>2</v>
      </c>
      <c r="E125" s="1081">
        <v>150</v>
      </c>
      <c r="F125" s="1082">
        <v>67.017507292613985</v>
      </c>
      <c r="G125" s="1129">
        <f t="shared" si="20"/>
        <v>6.0592106984021328E-3</v>
      </c>
      <c r="H125" s="1088">
        <f t="shared" si="21"/>
        <v>0.91596638655462181</v>
      </c>
      <c r="I125" s="1134">
        <f t="shared" si="23"/>
        <v>0.9</v>
      </c>
      <c r="J125" s="1131">
        <v>40</v>
      </c>
      <c r="K125" s="1082">
        <f t="shared" si="22"/>
        <v>3248</v>
      </c>
      <c r="L125" s="1133"/>
      <c r="M125" s="1133"/>
      <c r="N125" s="1087">
        <f t="shared" si="18"/>
        <v>30.845409882352939</v>
      </c>
      <c r="O125" s="1072">
        <f t="shared" si="19"/>
        <v>1800</v>
      </c>
      <c r="P125" s="1072">
        <v>5500</v>
      </c>
    </row>
    <row r="126" spans="1:16" ht="14.5">
      <c r="A126" s="1080" t="s">
        <v>23</v>
      </c>
      <c r="B126" s="1081">
        <v>1200</v>
      </c>
      <c r="C126" s="1081">
        <v>120</v>
      </c>
      <c r="D126" s="1081">
        <v>2</v>
      </c>
      <c r="E126" s="1081">
        <v>180</v>
      </c>
      <c r="F126" s="1082">
        <v>24.726903191489363</v>
      </c>
      <c r="G126" s="1129">
        <f t="shared" si="20"/>
        <v>2.2356175633637524E-3</v>
      </c>
      <c r="H126" s="1088">
        <f t="shared" si="21"/>
        <v>0.91596638655462181</v>
      </c>
      <c r="I126" s="1134">
        <f t="shared" si="23"/>
        <v>0.9</v>
      </c>
      <c r="J126" s="1131">
        <v>25</v>
      </c>
      <c r="K126" s="1082">
        <f t="shared" si="22"/>
        <v>3248</v>
      </c>
      <c r="L126" s="1133"/>
      <c r="M126" s="1133"/>
      <c r="N126" s="1087">
        <f t="shared" si="18"/>
        <v>25.704508235294117</v>
      </c>
      <c r="O126" s="1072">
        <f t="shared" si="19"/>
        <v>2400</v>
      </c>
      <c r="P126" s="1072">
        <v>5500</v>
      </c>
    </row>
    <row r="127" spans="1:16" ht="14.5">
      <c r="A127" s="1080" t="s">
        <v>23</v>
      </c>
      <c r="B127" s="1081">
        <v>1500</v>
      </c>
      <c r="C127" s="1081">
        <v>240</v>
      </c>
      <c r="D127" s="1081">
        <v>2</v>
      </c>
      <c r="E127" s="1081">
        <v>130</v>
      </c>
      <c r="F127" s="1082">
        <v>0</v>
      </c>
      <c r="G127" s="1129">
        <f t="shared" si="20"/>
        <v>0</v>
      </c>
      <c r="H127" s="1088">
        <f t="shared" si="21"/>
        <v>0.91596638655462181</v>
      </c>
      <c r="I127" s="1134">
        <f t="shared" si="23"/>
        <v>0.9</v>
      </c>
      <c r="J127" s="1131">
        <v>34.615384615384613</v>
      </c>
      <c r="K127" s="1082">
        <f t="shared" si="22"/>
        <v>3248</v>
      </c>
      <c r="L127" s="1133"/>
      <c r="M127" s="1133"/>
      <c r="N127" s="1087">
        <f t="shared" si="18"/>
        <v>44.488571945701359</v>
      </c>
      <c r="O127" s="1072">
        <f t="shared" si="19"/>
        <v>3000</v>
      </c>
      <c r="P127" s="1072">
        <v>4500</v>
      </c>
    </row>
    <row r="128" spans="1:16" ht="14.5">
      <c r="A128" s="1080" t="s">
        <v>23</v>
      </c>
      <c r="B128" s="1081">
        <v>1500</v>
      </c>
      <c r="C128" s="1081">
        <v>360</v>
      </c>
      <c r="D128" s="1081">
        <v>1</v>
      </c>
      <c r="E128" s="1081">
        <v>70</v>
      </c>
      <c r="F128" s="1082">
        <v>46.220821563829787</v>
      </c>
      <c r="G128" s="1129">
        <f t="shared" si="20"/>
        <v>4.1789333537232158E-3</v>
      </c>
      <c r="H128" s="1088">
        <f t="shared" si="21"/>
        <v>0.91596638655462181</v>
      </c>
      <c r="I128" s="1134">
        <v>0.65</v>
      </c>
      <c r="J128" s="1135">
        <f>4500/E128</f>
        <v>64.285714285714292</v>
      </c>
      <c r="K128" s="1082">
        <f t="shared" si="22"/>
        <v>3248</v>
      </c>
      <c r="L128" s="1133"/>
      <c r="M128" s="1133"/>
      <c r="N128" s="1087">
        <f t="shared" si="18"/>
        <v>29.835589915966388</v>
      </c>
      <c r="O128" s="1072">
        <f t="shared" si="19"/>
        <v>1500</v>
      </c>
      <c r="P128" s="1072">
        <v>3500</v>
      </c>
    </row>
    <row r="129" spans="1:16" ht="14.5">
      <c r="A129" s="1080" t="s">
        <v>23</v>
      </c>
      <c r="B129" s="1081">
        <v>1200</v>
      </c>
      <c r="C129" s="1081">
        <v>360</v>
      </c>
      <c r="D129" s="1081">
        <v>2</v>
      </c>
      <c r="E129" s="1081">
        <v>70</v>
      </c>
      <c r="F129" s="1082">
        <v>94.02996541970235</v>
      </c>
      <c r="G129" s="1129">
        <f t="shared" si="20"/>
        <v>8.501470667266E-3</v>
      </c>
      <c r="H129" s="1088">
        <f t="shared" si="21"/>
        <v>0.91596638655462181</v>
      </c>
      <c r="I129" s="1134">
        <v>0.65</v>
      </c>
      <c r="J129" s="1131">
        <v>64.285714285714292</v>
      </c>
      <c r="K129" s="1082">
        <f t="shared" si="22"/>
        <v>3248</v>
      </c>
      <c r="L129" s="1133"/>
      <c r="M129" s="1133"/>
      <c r="N129" s="1087">
        <f t="shared" si="18"/>
        <v>47.736943865546216</v>
      </c>
      <c r="O129" s="1072">
        <f t="shared" si="19"/>
        <v>2400</v>
      </c>
      <c r="P129" s="1072">
        <v>3500</v>
      </c>
    </row>
    <row r="130" spans="1:16" ht="14.5">
      <c r="A130" s="1080" t="s">
        <v>23</v>
      </c>
      <c r="B130" s="1081">
        <v>1200</v>
      </c>
      <c r="C130" s="1081">
        <v>360</v>
      </c>
      <c r="D130" s="1081">
        <v>2</v>
      </c>
      <c r="E130" s="1081">
        <v>130</v>
      </c>
      <c r="F130" s="1082">
        <v>409.07239711016518</v>
      </c>
      <c r="G130" s="1129">
        <f t="shared" si="20"/>
        <v>3.6985199019243312E-2</v>
      </c>
      <c r="H130" s="1088">
        <f t="shared" si="21"/>
        <v>0.91596638655462181</v>
      </c>
      <c r="I130" s="1134">
        <f>$I$110</f>
        <v>0.9</v>
      </c>
      <c r="J130" s="1131">
        <v>34.615384615384613</v>
      </c>
      <c r="K130" s="1082">
        <f t="shared" si="22"/>
        <v>3248</v>
      </c>
      <c r="L130" s="1133"/>
      <c r="M130" s="1133"/>
      <c r="N130" s="1087">
        <f t="shared" si="18"/>
        <v>35.590857556561083</v>
      </c>
      <c r="O130" s="1072">
        <f t="shared" si="19"/>
        <v>2400</v>
      </c>
      <c r="P130" s="1072">
        <v>5500</v>
      </c>
    </row>
    <row r="131" spans="1:16" ht="14.5">
      <c r="A131" s="1136" t="s">
        <v>23</v>
      </c>
      <c r="B131" s="1137">
        <v>1200</v>
      </c>
      <c r="C131" s="1137">
        <v>1152</v>
      </c>
      <c r="D131" s="1137">
        <v>2</v>
      </c>
      <c r="E131" s="1137">
        <v>130</v>
      </c>
      <c r="F131" s="1132">
        <v>1551.7078127430075</v>
      </c>
      <c r="G131" s="1138">
        <f t="shared" si="20"/>
        <v>0.14029355849830025</v>
      </c>
      <c r="H131" s="1084">
        <f t="shared" si="21"/>
        <v>0.91596638655462181</v>
      </c>
      <c r="I131" s="1130">
        <f>$I$110</f>
        <v>0.9</v>
      </c>
      <c r="J131" s="1139">
        <v>34.615384615384613</v>
      </c>
      <c r="K131" s="1132">
        <f t="shared" si="22"/>
        <v>3248</v>
      </c>
      <c r="L131" s="1140"/>
      <c r="M131" s="1140"/>
      <c r="N131" s="1141">
        <f t="shared" si="18"/>
        <v>35.590857556561083</v>
      </c>
      <c r="O131" s="1072">
        <f t="shared" si="19"/>
        <v>2400</v>
      </c>
      <c r="P131" s="1072">
        <v>5500</v>
      </c>
    </row>
    <row r="132" spans="1:16" ht="14.5">
      <c r="A132" s="1136" t="s">
        <v>23</v>
      </c>
      <c r="B132" s="1137">
        <v>1200</v>
      </c>
      <c r="C132" s="1137">
        <v>1152</v>
      </c>
      <c r="D132" s="1137">
        <v>2</v>
      </c>
      <c r="E132" s="1137">
        <v>70</v>
      </c>
      <c r="F132" s="1132">
        <v>2312.2503431819482</v>
      </c>
      <c r="G132" s="1138">
        <f t="shared" si="20"/>
        <v>0.20905600018245013</v>
      </c>
      <c r="H132" s="1084">
        <f t="shared" si="21"/>
        <v>0.91596638655462181</v>
      </c>
      <c r="I132" s="1130">
        <v>0.65</v>
      </c>
      <c r="J132" s="1139">
        <v>64.285714285714292</v>
      </c>
      <c r="K132" s="1132">
        <f t="shared" si="22"/>
        <v>3248</v>
      </c>
      <c r="L132" s="1140"/>
      <c r="M132" s="1140"/>
      <c r="N132" s="1141">
        <f t="shared" si="18"/>
        <v>47.736943865546216</v>
      </c>
      <c r="O132" s="1072">
        <f t="shared" si="19"/>
        <v>2400</v>
      </c>
      <c r="P132" s="1072">
        <v>3500</v>
      </c>
    </row>
    <row r="133" spans="1:16" ht="14.5">
      <c r="A133" s="1080" t="s">
        <v>23</v>
      </c>
      <c r="B133" s="1081">
        <v>2700</v>
      </c>
      <c r="C133" s="1081">
        <v>1152</v>
      </c>
      <c r="D133" s="1081">
        <v>2</v>
      </c>
      <c r="E133" s="1081">
        <v>70</v>
      </c>
      <c r="F133" s="1082">
        <v>140.87900257870092</v>
      </c>
      <c r="G133" s="1129">
        <f t="shared" si="20"/>
        <v>1.2737202472750928E-2</v>
      </c>
      <c r="H133" s="1088">
        <f t="shared" si="21"/>
        <v>0.91596638655462181</v>
      </c>
      <c r="I133" s="1134">
        <v>0.65</v>
      </c>
      <c r="J133" s="1131">
        <v>50</v>
      </c>
      <c r="K133" s="1082">
        <f t="shared" si="22"/>
        <v>3248</v>
      </c>
      <c r="L133" s="1133"/>
      <c r="M133" s="1133"/>
      <c r="N133" s="1087">
        <f t="shared" si="18"/>
        <v>83.539651764705894</v>
      </c>
      <c r="O133" s="1072">
        <f t="shared" si="19"/>
        <v>5400</v>
      </c>
      <c r="P133" s="1072">
        <v>3500</v>
      </c>
    </row>
    <row r="134" spans="1:16" ht="14.5">
      <c r="A134" s="1080" t="s">
        <v>23</v>
      </c>
      <c r="B134" s="1081">
        <v>600</v>
      </c>
      <c r="C134" s="1081">
        <v>576</v>
      </c>
      <c r="D134" s="1081">
        <v>2</v>
      </c>
      <c r="E134" s="1081">
        <v>130</v>
      </c>
      <c r="F134" s="1082">
        <v>55.337059733637425</v>
      </c>
      <c r="G134" s="1129">
        <f t="shared" si="20"/>
        <v>5.0031539205446863E-3</v>
      </c>
      <c r="H134" s="1088">
        <f t="shared" si="21"/>
        <v>0.91596638655462181</v>
      </c>
      <c r="I134" s="1134">
        <f>$I$110</f>
        <v>0.9</v>
      </c>
      <c r="J134" s="1131">
        <v>46.153846153846153</v>
      </c>
      <c r="K134" s="1082">
        <f t="shared" si="22"/>
        <v>3248</v>
      </c>
      <c r="L134" s="1133"/>
      <c r="M134" s="1133"/>
      <c r="N134" s="1087">
        <f t="shared" si="18"/>
        <v>23.72723837104072</v>
      </c>
      <c r="O134" s="1072">
        <f t="shared" si="19"/>
        <v>1200</v>
      </c>
      <c r="P134" s="1072">
        <v>4500</v>
      </c>
    </row>
    <row r="135" spans="1:16" ht="14.5">
      <c r="A135" s="1080" t="s">
        <v>23</v>
      </c>
      <c r="B135" s="1081">
        <v>600</v>
      </c>
      <c r="C135" s="1081">
        <v>576</v>
      </c>
      <c r="D135" s="1081">
        <v>3</v>
      </c>
      <c r="E135" s="1081">
        <v>130</v>
      </c>
      <c r="F135" s="1082">
        <v>5.4498603741709477</v>
      </c>
      <c r="G135" s="1129">
        <f t="shared" si="20"/>
        <v>4.9273471392771121E-4</v>
      </c>
      <c r="H135" s="1088">
        <f t="shared" si="21"/>
        <v>0.91596638655462181</v>
      </c>
      <c r="I135" s="1134">
        <f>$I$110</f>
        <v>0.9</v>
      </c>
      <c r="J135" s="1131">
        <v>46.153846153846153</v>
      </c>
      <c r="K135" s="1082">
        <f t="shared" si="22"/>
        <v>3248</v>
      </c>
      <c r="L135" s="1133"/>
      <c r="M135" s="1133"/>
      <c r="N135" s="1087">
        <f t="shared" si="18"/>
        <v>35.590857556561083</v>
      </c>
      <c r="O135" s="1072">
        <f t="shared" si="19"/>
        <v>1800</v>
      </c>
      <c r="P135" s="1072">
        <v>4500</v>
      </c>
    </row>
    <row r="136" spans="1:16" ht="14.5">
      <c r="A136" s="1080" t="s">
        <v>23</v>
      </c>
      <c r="B136" s="1081">
        <v>1200</v>
      </c>
      <c r="C136" s="1081">
        <v>360</v>
      </c>
      <c r="D136" s="1081">
        <v>2</v>
      </c>
      <c r="E136" s="1081">
        <v>150</v>
      </c>
      <c r="F136" s="1082">
        <v>210.13783009132914</v>
      </c>
      <c r="G136" s="1129">
        <f t="shared" si="20"/>
        <v>1.899905621181942E-2</v>
      </c>
      <c r="H136" s="1088">
        <f t="shared" si="21"/>
        <v>0.91596638655462181</v>
      </c>
      <c r="I136" s="1134">
        <f>$I$110</f>
        <v>0.9</v>
      </c>
      <c r="J136" s="1131">
        <v>30</v>
      </c>
      <c r="K136" s="1082">
        <f t="shared" si="22"/>
        <v>3248</v>
      </c>
      <c r="L136" s="1133"/>
      <c r="M136" s="1133"/>
      <c r="N136" s="1087">
        <f t="shared" si="18"/>
        <v>30.845409882352939</v>
      </c>
      <c r="O136" s="1072">
        <f t="shared" si="19"/>
        <v>2400</v>
      </c>
      <c r="P136" s="1072">
        <v>5500</v>
      </c>
    </row>
    <row r="137" spans="1:16" ht="14.5">
      <c r="A137" s="1080" t="s">
        <v>23</v>
      </c>
      <c r="B137" s="1081">
        <v>1125</v>
      </c>
      <c r="C137" s="1081">
        <v>69</v>
      </c>
      <c r="D137" s="1081">
        <v>2</v>
      </c>
      <c r="E137" s="1081">
        <v>130</v>
      </c>
      <c r="F137" s="1082">
        <v>27.420089390419122</v>
      </c>
      <c r="G137" s="1129">
        <f t="shared" si="20"/>
        <v>2.4791148715834306E-3</v>
      </c>
      <c r="H137" s="1088">
        <f t="shared" si="21"/>
        <v>0.91596638655462181</v>
      </c>
      <c r="I137" s="1134">
        <f>$I$110</f>
        <v>0.9</v>
      </c>
      <c r="J137" s="1131">
        <v>46.153846153846153</v>
      </c>
      <c r="K137" s="1082">
        <f t="shared" si="22"/>
        <v>3248</v>
      </c>
      <c r="L137" s="1133"/>
      <c r="M137" s="1133"/>
      <c r="N137" s="1087">
        <f t="shared" si="18"/>
        <v>44.488571945701359</v>
      </c>
      <c r="O137" s="1072">
        <f t="shared" si="19"/>
        <v>2250</v>
      </c>
      <c r="P137" s="1072">
        <v>5500</v>
      </c>
    </row>
    <row r="138" spans="1:16" ht="14.5">
      <c r="A138" s="1080" t="s">
        <v>23</v>
      </c>
      <c r="B138" s="1081">
        <v>1200</v>
      </c>
      <c r="C138" s="1081">
        <v>1152</v>
      </c>
      <c r="D138" s="1081">
        <v>1</v>
      </c>
      <c r="E138" s="1081">
        <v>80</v>
      </c>
      <c r="F138" s="1082">
        <v>16.612377471523761</v>
      </c>
      <c r="G138" s="1129">
        <f t="shared" si="20"/>
        <v>1.5019641787310234E-3</v>
      </c>
      <c r="H138" s="1088">
        <f t="shared" si="21"/>
        <v>0.91596638655462181</v>
      </c>
      <c r="I138" s="1134">
        <v>0.65</v>
      </c>
      <c r="J138" s="1131">
        <v>75</v>
      </c>
      <c r="K138" s="1082">
        <f t="shared" si="22"/>
        <v>3248</v>
      </c>
      <c r="L138" s="1133"/>
      <c r="M138" s="1133"/>
      <c r="N138" s="1087">
        <f t="shared" si="18"/>
        <v>27.846550588235296</v>
      </c>
      <c r="O138" s="1072">
        <f t="shared" si="19"/>
        <v>1200</v>
      </c>
      <c r="P138" s="1072">
        <v>4000</v>
      </c>
    </row>
    <row r="139" spans="1:16" ht="14.5">
      <c r="A139" s="1080" t="s">
        <v>23</v>
      </c>
      <c r="B139" s="1081">
        <v>1200</v>
      </c>
      <c r="C139" s="1081">
        <v>180</v>
      </c>
      <c r="D139" s="1081">
        <v>2</v>
      </c>
      <c r="E139" s="1081">
        <v>130</v>
      </c>
      <c r="F139" s="1082">
        <v>0</v>
      </c>
      <c r="G139" s="1129">
        <f t="shared" si="20"/>
        <v>0</v>
      </c>
      <c r="H139" s="1088">
        <f t="shared" si="21"/>
        <v>0.91596638655462181</v>
      </c>
      <c r="I139" s="1134">
        <f t="shared" ref="I139:I161" si="24">$I$110</f>
        <v>0.9</v>
      </c>
      <c r="J139" s="1131">
        <v>34.615384615384613</v>
      </c>
      <c r="K139" s="1082">
        <f t="shared" si="22"/>
        <v>3248</v>
      </c>
      <c r="L139" s="1133"/>
      <c r="M139" s="1133"/>
      <c r="N139" s="1087">
        <f t="shared" si="18"/>
        <v>35.590857556561083</v>
      </c>
      <c r="O139" s="1072">
        <f t="shared" si="19"/>
        <v>2400</v>
      </c>
      <c r="P139" s="1072">
        <v>5500</v>
      </c>
    </row>
    <row r="140" spans="1:16" ht="14.5">
      <c r="A140" s="1080" t="s">
        <v>23</v>
      </c>
      <c r="B140" s="1081">
        <v>2700</v>
      </c>
      <c r="C140" s="1081">
        <v>1152</v>
      </c>
      <c r="D140" s="1081">
        <v>2</v>
      </c>
      <c r="E140" s="1081">
        <v>130</v>
      </c>
      <c r="F140" s="1082">
        <v>0</v>
      </c>
      <c r="G140" s="1129">
        <f t="shared" si="20"/>
        <v>0</v>
      </c>
      <c r="H140" s="1088">
        <f t="shared" si="21"/>
        <v>0.91596638655462181</v>
      </c>
      <c r="I140" s="1134">
        <f t="shared" si="24"/>
        <v>0.9</v>
      </c>
      <c r="J140" s="1131">
        <v>26.923076923076923</v>
      </c>
      <c r="K140" s="1082">
        <f t="shared" si="22"/>
        <v>3248</v>
      </c>
      <c r="L140" s="1133"/>
      <c r="M140" s="1133"/>
      <c r="N140" s="1087">
        <f t="shared" si="18"/>
        <v>62.28400072398189</v>
      </c>
      <c r="O140" s="1072">
        <f t="shared" si="19"/>
        <v>5400</v>
      </c>
      <c r="P140" s="1072">
        <v>3500</v>
      </c>
    </row>
    <row r="141" spans="1:16" ht="14.5">
      <c r="A141" s="1080" t="s">
        <v>23</v>
      </c>
      <c r="B141" s="1081">
        <v>1200</v>
      </c>
      <c r="C141" s="1081">
        <v>360</v>
      </c>
      <c r="D141" s="1081">
        <v>2</v>
      </c>
      <c r="E141" s="1081">
        <v>120</v>
      </c>
      <c r="F141" s="1082">
        <v>13.619750951890106</v>
      </c>
      <c r="G141" s="1129">
        <f t="shared" si="20"/>
        <v>1.2313937657654457E-3</v>
      </c>
      <c r="H141" s="1088">
        <f t="shared" si="21"/>
        <v>0.91596638655462181</v>
      </c>
      <c r="I141" s="1134">
        <f t="shared" si="24"/>
        <v>0.9</v>
      </c>
      <c r="J141" s="1131">
        <v>37.5</v>
      </c>
      <c r="K141" s="1082">
        <f t="shared" si="22"/>
        <v>3248</v>
      </c>
      <c r="L141" s="1133"/>
      <c r="M141" s="1133"/>
      <c r="N141" s="1087">
        <f t="shared" si="18"/>
        <v>38.556762352941185</v>
      </c>
      <c r="O141" s="1072">
        <f t="shared" si="19"/>
        <v>2400</v>
      </c>
      <c r="P141" s="1072">
        <v>5000</v>
      </c>
    </row>
    <row r="142" spans="1:16" ht="14.5">
      <c r="A142" s="1080" t="s">
        <v>23</v>
      </c>
      <c r="B142" s="1081">
        <v>1800</v>
      </c>
      <c r="C142" s="1081">
        <v>576</v>
      </c>
      <c r="D142" s="1081">
        <v>2</v>
      </c>
      <c r="E142" s="1081">
        <v>80</v>
      </c>
      <c r="F142" s="1082">
        <v>1.5159563092130067E-2</v>
      </c>
      <c r="G142" s="1129">
        <f t="shared" si="20"/>
        <v>1.3706118084917188E-6</v>
      </c>
      <c r="H142" s="1088">
        <f t="shared" si="21"/>
        <v>0.91596638655462181</v>
      </c>
      <c r="I142" s="1134">
        <f t="shared" si="24"/>
        <v>0.9</v>
      </c>
      <c r="J142" s="1131">
        <v>31.25</v>
      </c>
      <c r="K142" s="1082">
        <f t="shared" si="22"/>
        <v>3248</v>
      </c>
      <c r="L142" s="1133"/>
      <c r="M142" s="1133"/>
      <c r="N142" s="1087">
        <f t="shared" si="18"/>
        <v>48.195952941176472</v>
      </c>
      <c r="O142" s="1072">
        <f t="shared" si="19"/>
        <v>3600</v>
      </c>
      <c r="P142" s="1072">
        <v>3500</v>
      </c>
    </row>
    <row r="143" spans="1:16" ht="14.5">
      <c r="A143" s="1080" t="s">
        <v>23</v>
      </c>
      <c r="B143" s="1142">
        <v>1400</v>
      </c>
      <c r="C143" s="1142">
        <v>360</v>
      </c>
      <c r="D143" s="1142">
        <v>2</v>
      </c>
      <c r="E143" s="1142">
        <v>180</v>
      </c>
      <c r="F143" s="1082">
        <v>47.004225319148937</v>
      </c>
      <c r="G143" s="1129">
        <f t="shared" si="20"/>
        <v>4.2497627325998807E-3</v>
      </c>
      <c r="H143" s="1088">
        <f t="shared" si="21"/>
        <v>0.91596638655462181</v>
      </c>
      <c r="I143" s="1134">
        <f t="shared" si="24"/>
        <v>0.9</v>
      </c>
      <c r="J143" s="1131">
        <v>30.555555555555557</v>
      </c>
      <c r="K143" s="1082">
        <f t="shared" si="22"/>
        <v>3248</v>
      </c>
      <c r="L143" s="1133"/>
      <c r="M143" s="1133"/>
      <c r="N143" s="1087">
        <f t="shared" si="18"/>
        <v>36.652724705882349</v>
      </c>
      <c r="O143" s="1072">
        <f t="shared" si="19"/>
        <v>2800</v>
      </c>
      <c r="P143" s="1072">
        <v>5000</v>
      </c>
    </row>
    <row r="144" spans="1:16" ht="14.5">
      <c r="A144" s="1080" t="s">
        <v>23</v>
      </c>
      <c r="B144" s="1142">
        <v>1400</v>
      </c>
      <c r="C144" s="1142">
        <v>240</v>
      </c>
      <c r="D144" s="1142">
        <v>2</v>
      </c>
      <c r="E144" s="1142">
        <v>180</v>
      </c>
      <c r="F144" s="1082">
        <v>110.72634620060791</v>
      </c>
      <c r="G144" s="1129">
        <f t="shared" si="20"/>
        <v>1.0011029783073465E-2</v>
      </c>
      <c r="H144" s="1088">
        <f t="shared" si="21"/>
        <v>0.91596638655462181</v>
      </c>
      <c r="I144" s="1134">
        <f t="shared" si="24"/>
        <v>0.9</v>
      </c>
      <c r="J144" s="1131">
        <v>30.555555555555557</v>
      </c>
      <c r="K144" s="1082">
        <f t="shared" si="22"/>
        <v>3248</v>
      </c>
      <c r="L144" s="1133"/>
      <c r="M144" s="1133"/>
      <c r="N144" s="1087">
        <f t="shared" si="18"/>
        <v>36.652724705882349</v>
      </c>
      <c r="O144" s="1072">
        <f t="shared" si="19"/>
        <v>2800</v>
      </c>
      <c r="P144" s="1072">
        <v>5000</v>
      </c>
    </row>
    <row r="145" spans="1:16" ht="14.5">
      <c r="A145" s="1080" t="s">
        <v>23</v>
      </c>
      <c r="B145" s="1142">
        <v>1200</v>
      </c>
      <c r="C145" s="1142">
        <v>384</v>
      </c>
      <c r="D145" s="1142">
        <v>2</v>
      </c>
      <c r="E145" s="1142">
        <v>180</v>
      </c>
      <c r="F145" s="1082">
        <v>110.74814694399797</v>
      </c>
      <c r="G145" s="1129">
        <f t="shared" si="20"/>
        <v>1.0013000839636422E-2</v>
      </c>
      <c r="H145" s="1088">
        <f t="shared" si="21"/>
        <v>0.91596638655462181</v>
      </c>
      <c r="I145" s="1134">
        <f t="shared" si="24"/>
        <v>0.9</v>
      </c>
      <c r="J145" s="1131">
        <v>25</v>
      </c>
      <c r="K145" s="1082">
        <f t="shared" si="22"/>
        <v>3248</v>
      </c>
      <c r="L145" s="1133"/>
      <c r="M145" s="1133"/>
      <c r="N145" s="1087">
        <f t="shared" si="18"/>
        <v>25.704508235294117</v>
      </c>
      <c r="O145" s="1072">
        <f t="shared" si="19"/>
        <v>2400</v>
      </c>
      <c r="P145" s="1072">
        <v>5500</v>
      </c>
    </row>
    <row r="146" spans="1:16" ht="14.5">
      <c r="A146" s="1080" t="s">
        <v>23</v>
      </c>
      <c r="B146" s="1142">
        <v>1400</v>
      </c>
      <c r="C146" s="1142">
        <v>240</v>
      </c>
      <c r="D146" s="1142">
        <v>2</v>
      </c>
      <c r="E146" s="1142">
        <v>150</v>
      </c>
      <c r="F146" s="1082">
        <v>8.9531857750759869</v>
      </c>
      <c r="G146" s="1129">
        <f t="shared" si="20"/>
        <v>8.0947861573331045E-4</v>
      </c>
      <c r="H146" s="1088">
        <f t="shared" si="21"/>
        <v>0.91596638655462181</v>
      </c>
      <c r="I146" s="1134">
        <f t="shared" si="24"/>
        <v>0.9</v>
      </c>
      <c r="J146" s="1131">
        <v>36.666666666666664</v>
      </c>
      <c r="K146" s="1082">
        <f t="shared" si="22"/>
        <v>3248</v>
      </c>
      <c r="L146" s="1133"/>
      <c r="M146" s="1133"/>
      <c r="N146" s="1087">
        <f t="shared" si="18"/>
        <v>43.983269647058819</v>
      </c>
      <c r="O146" s="1072">
        <f t="shared" si="19"/>
        <v>2800</v>
      </c>
      <c r="P146" s="1072">
        <v>5000</v>
      </c>
    </row>
    <row r="147" spans="1:16" ht="14.5">
      <c r="A147" s="1080" t="s">
        <v>23</v>
      </c>
      <c r="B147" s="1142">
        <v>1550</v>
      </c>
      <c r="C147" s="1142">
        <v>144</v>
      </c>
      <c r="D147" s="1142">
        <v>2</v>
      </c>
      <c r="E147" s="1142">
        <v>120</v>
      </c>
      <c r="F147" s="1082">
        <v>2.5695643174468086</v>
      </c>
      <c r="G147" s="1129">
        <f t="shared" si="20"/>
        <v>2.3232036271546012E-4</v>
      </c>
      <c r="H147" s="1088">
        <f t="shared" si="21"/>
        <v>0.91596638655462181</v>
      </c>
      <c r="I147" s="1134">
        <f t="shared" si="24"/>
        <v>0.9</v>
      </c>
      <c r="J147" s="1131">
        <v>45.833333333333336</v>
      </c>
      <c r="K147" s="1082">
        <f t="shared" si="22"/>
        <v>3248</v>
      </c>
      <c r="L147" s="1133"/>
      <c r="M147" s="1133"/>
      <c r="N147" s="1087">
        <f t="shared" si="18"/>
        <v>60.869703529411765</v>
      </c>
      <c r="O147" s="1072">
        <f t="shared" si="19"/>
        <v>3100</v>
      </c>
      <c r="P147" s="1072">
        <v>4500</v>
      </c>
    </row>
    <row r="148" spans="1:16" ht="14.5">
      <c r="A148" s="1080" t="s">
        <v>23</v>
      </c>
      <c r="B148" s="1142">
        <v>1800</v>
      </c>
      <c r="C148" s="1142">
        <v>120</v>
      </c>
      <c r="D148" s="1142">
        <v>2</v>
      </c>
      <c r="E148" s="1142">
        <v>180</v>
      </c>
      <c r="F148" s="1082">
        <v>13.205949018237078</v>
      </c>
      <c r="G148" s="1129">
        <f t="shared" si="20"/>
        <v>1.1939809582066326E-3</v>
      </c>
      <c r="H148" s="1088">
        <f t="shared" si="21"/>
        <v>0.91596638655462181</v>
      </c>
      <c r="I148" s="1134">
        <f t="shared" si="24"/>
        <v>0.9</v>
      </c>
      <c r="J148" s="1131">
        <v>13.888888888888889</v>
      </c>
      <c r="K148" s="1082">
        <f t="shared" si="22"/>
        <v>3248</v>
      </c>
      <c r="L148" s="1133"/>
      <c r="M148" s="1133"/>
      <c r="N148" s="1087">
        <f t="shared" si="18"/>
        <v>21.420423529411767</v>
      </c>
      <c r="O148" s="1072">
        <f t="shared" si="19"/>
        <v>3600</v>
      </c>
      <c r="P148" s="1072">
        <v>5000</v>
      </c>
    </row>
    <row r="149" spans="1:16" ht="14.5">
      <c r="A149" s="1080" t="s">
        <v>23</v>
      </c>
      <c r="B149" s="1142">
        <v>1550</v>
      </c>
      <c r="C149" s="1142">
        <v>120</v>
      </c>
      <c r="D149" s="1142">
        <v>2</v>
      </c>
      <c r="E149" s="1142">
        <v>150</v>
      </c>
      <c r="F149" s="1082">
        <v>61.165367344764427</v>
      </c>
      <c r="G149" s="1129">
        <f t="shared" si="20"/>
        <v>5.53010494062256E-3</v>
      </c>
      <c r="H149" s="1088">
        <f t="shared" si="21"/>
        <v>0.91596638655462181</v>
      </c>
      <c r="I149" s="1134">
        <f t="shared" si="24"/>
        <v>0.9</v>
      </c>
      <c r="J149" s="1131">
        <v>36.666666666666664</v>
      </c>
      <c r="K149" s="1082">
        <f t="shared" si="22"/>
        <v>3248</v>
      </c>
      <c r="L149" s="1133"/>
      <c r="M149" s="1133"/>
      <c r="N149" s="1087">
        <f t="shared" si="18"/>
        <v>48.695762823529407</v>
      </c>
      <c r="O149" s="1072">
        <f t="shared" si="19"/>
        <v>3100</v>
      </c>
      <c r="P149" s="1072">
        <v>5000</v>
      </c>
    </row>
    <row r="150" spans="1:16" ht="14.5">
      <c r="A150" s="1080" t="s">
        <v>23</v>
      </c>
      <c r="B150" s="1142">
        <v>1200</v>
      </c>
      <c r="C150" s="1142">
        <v>240</v>
      </c>
      <c r="D150" s="1142">
        <v>2</v>
      </c>
      <c r="E150" s="1142">
        <v>210</v>
      </c>
      <c r="F150" s="1082">
        <v>24.034827213191491</v>
      </c>
      <c r="G150" s="1129">
        <f t="shared" si="20"/>
        <v>2.1730453439360725E-3</v>
      </c>
      <c r="H150" s="1088">
        <f t="shared" si="21"/>
        <v>0.91596638655462181</v>
      </c>
      <c r="I150" s="1134">
        <f t="shared" si="24"/>
        <v>0.9</v>
      </c>
      <c r="J150" s="1131">
        <v>21.428571428571427</v>
      </c>
      <c r="K150" s="1082">
        <f t="shared" si="22"/>
        <v>3248</v>
      </c>
      <c r="L150" s="1133"/>
      <c r="M150" s="1133"/>
      <c r="N150" s="1087">
        <f t="shared" si="18"/>
        <v>22.032435630252099</v>
      </c>
      <c r="O150" s="1072">
        <f t="shared" si="19"/>
        <v>2400</v>
      </c>
      <c r="P150" s="1072">
        <v>5500</v>
      </c>
    </row>
    <row r="151" spans="1:16" ht="14.5">
      <c r="A151" s="1080" t="s">
        <v>23</v>
      </c>
      <c r="B151" s="1142">
        <v>1800</v>
      </c>
      <c r="C151" s="1142">
        <v>120</v>
      </c>
      <c r="D151" s="1142">
        <v>2</v>
      </c>
      <c r="E151" s="1142">
        <v>100</v>
      </c>
      <c r="F151" s="1082">
        <v>12.379958206686931</v>
      </c>
      <c r="G151" s="1129">
        <f t="shared" si="20"/>
        <v>1.1193011832595556E-3</v>
      </c>
      <c r="H151" s="1088">
        <f t="shared" si="21"/>
        <v>0.91596638655462181</v>
      </c>
      <c r="I151" s="1134">
        <f t="shared" si="24"/>
        <v>0.9</v>
      </c>
      <c r="J151" s="1131">
        <v>25</v>
      </c>
      <c r="K151" s="1082">
        <f t="shared" si="22"/>
        <v>3248</v>
      </c>
      <c r="L151" s="1133"/>
      <c r="M151" s="1133"/>
      <c r="N151" s="1087">
        <f t="shared" si="18"/>
        <v>38.556762352941185</v>
      </c>
      <c r="O151" s="1072">
        <f t="shared" si="19"/>
        <v>3600</v>
      </c>
      <c r="P151" s="1072">
        <v>4000</v>
      </c>
    </row>
    <row r="152" spans="1:16" ht="14.5">
      <c r="A152" s="1080" t="s">
        <v>23</v>
      </c>
      <c r="B152" s="1142">
        <v>1200</v>
      </c>
      <c r="C152" s="1142">
        <v>240</v>
      </c>
      <c r="D152" s="1142">
        <v>3</v>
      </c>
      <c r="E152" s="1142">
        <v>150</v>
      </c>
      <c r="F152" s="1082">
        <v>104.58168487946313</v>
      </c>
      <c r="G152" s="1129">
        <f t="shared" si="20"/>
        <v>9.4554764788812393E-3</v>
      </c>
      <c r="H152" s="1088">
        <f t="shared" si="21"/>
        <v>0.91596638655462181</v>
      </c>
      <c r="I152" s="1134">
        <f t="shared" si="24"/>
        <v>0.9</v>
      </c>
      <c r="J152" s="1131">
        <v>16.666666666666668</v>
      </c>
      <c r="K152" s="1082">
        <f t="shared" si="22"/>
        <v>3248</v>
      </c>
      <c r="L152" s="1133"/>
      <c r="M152" s="1133"/>
      <c r="N152" s="1087">
        <f t="shared" si="18"/>
        <v>25.704508235294117</v>
      </c>
      <c r="O152" s="1072">
        <f t="shared" si="19"/>
        <v>3600</v>
      </c>
      <c r="P152" s="1072">
        <v>5000</v>
      </c>
    </row>
    <row r="153" spans="1:16" ht="14.5">
      <c r="A153" s="1080" t="s">
        <v>23</v>
      </c>
      <c r="B153" s="1142">
        <v>1800</v>
      </c>
      <c r="C153" s="1142">
        <v>120</v>
      </c>
      <c r="D153" s="1142">
        <v>2</v>
      </c>
      <c r="E153" s="1142">
        <v>150</v>
      </c>
      <c r="F153" s="1082">
        <v>9.5782361094224875</v>
      </c>
      <c r="G153" s="1129">
        <f t="shared" si="20"/>
        <v>8.6599088880810369E-4</v>
      </c>
      <c r="H153" s="1088">
        <f t="shared" si="21"/>
        <v>0.91596638655462181</v>
      </c>
      <c r="I153" s="1134">
        <f t="shared" si="24"/>
        <v>0.9</v>
      </c>
      <c r="J153" s="1131">
        <v>16.666666666666668</v>
      </c>
      <c r="K153" s="1082">
        <f t="shared" si="22"/>
        <v>3248</v>
      </c>
      <c r="L153" s="1133"/>
      <c r="M153" s="1133"/>
      <c r="N153" s="1087">
        <f t="shared" si="18"/>
        <v>25.704508235294117</v>
      </c>
      <c r="O153" s="1072">
        <f t="shared" si="19"/>
        <v>3600</v>
      </c>
      <c r="P153" s="1072">
        <v>5000</v>
      </c>
    </row>
    <row r="154" spans="1:16" ht="14.5">
      <c r="A154" s="1080" t="s">
        <v>23</v>
      </c>
      <c r="B154" s="1142">
        <v>1200</v>
      </c>
      <c r="C154" s="1142">
        <v>240</v>
      </c>
      <c r="D154" s="1142">
        <v>2</v>
      </c>
      <c r="E154" s="1142">
        <v>150</v>
      </c>
      <c r="F154" s="1082">
        <v>156.15529061550151</v>
      </c>
      <c r="G154" s="1129">
        <f t="shared" si="20"/>
        <v>1.4118367658443473E-2</v>
      </c>
      <c r="H154" s="1088">
        <f t="shared" si="21"/>
        <v>0.91596638655462181</v>
      </c>
      <c r="I154" s="1134">
        <f t="shared" si="24"/>
        <v>0.9</v>
      </c>
      <c r="J154" s="1131">
        <v>30</v>
      </c>
      <c r="K154" s="1082">
        <f t="shared" si="22"/>
        <v>3248</v>
      </c>
      <c r="L154" s="1133"/>
      <c r="M154" s="1133"/>
      <c r="N154" s="1087">
        <f t="shared" si="18"/>
        <v>30.845409882352939</v>
      </c>
      <c r="O154" s="1072">
        <f t="shared" si="19"/>
        <v>2400</v>
      </c>
      <c r="P154" s="1072">
        <v>5000</v>
      </c>
    </row>
    <row r="155" spans="1:16" ht="14.5">
      <c r="A155" s="1080" t="s">
        <v>23</v>
      </c>
      <c r="B155" s="1142">
        <v>1800</v>
      </c>
      <c r="C155" s="1142">
        <v>69</v>
      </c>
      <c r="D155" s="1142">
        <v>1</v>
      </c>
      <c r="E155" s="1142">
        <v>70</v>
      </c>
      <c r="F155" s="1082">
        <v>3.1163422500000002</v>
      </c>
      <c r="G155" s="1129">
        <f t="shared" si="20"/>
        <v>2.8175584356841078E-4</v>
      </c>
      <c r="H155" s="1088">
        <f t="shared" si="21"/>
        <v>0.91596638655462181</v>
      </c>
      <c r="I155" s="1134">
        <f t="shared" si="24"/>
        <v>0.9</v>
      </c>
      <c r="J155" s="1131">
        <v>85.714285714285708</v>
      </c>
      <c r="K155" s="1082">
        <f t="shared" si="22"/>
        <v>3248</v>
      </c>
      <c r="L155" s="1133"/>
      <c r="M155" s="1133"/>
      <c r="N155" s="1087">
        <f t="shared" si="18"/>
        <v>66.0973068907563</v>
      </c>
      <c r="O155" s="1072">
        <f t="shared" si="19"/>
        <v>1800</v>
      </c>
      <c r="P155" s="1072">
        <v>3500</v>
      </c>
    </row>
    <row r="156" spans="1:16" ht="14.5">
      <c r="A156" s="1080" t="s">
        <v>23</v>
      </c>
      <c r="B156" s="1142">
        <v>1200</v>
      </c>
      <c r="C156" s="1142">
        <v>1152</v>
      </c>
      <c r="D156" s="1142">
        <v>2</v>
      </c>
      <c r="E156" s="1142">
        <v>90</v>
      </c>
      <c r="F156" s="1082">
        <v>112.12378401903375</v>
      </c>
      <c r="G156" s="1129">
        <f t="shared" si="20"/>
        <v>1.0137375427992592E-2</v>
      </c>
      <c r="H156" s="1088">
        <f t="shared" si="21"/>
        <v>0.91596638655462181</v>
      </c>
      <c r="I156" s="1134">
        <f t="shared" si="24"/>
        <v>0.9</v>
      </c>
      <c r="J156" s="1131">
        <v>50</v>
      </c>
      <c r="K156" s="1082">
        <f t="shared" si="22"/>
        <v>3248</v>
      </c>
      <c r="L156" s="1133"/>
      <c r="M156" s="1133"/>
      <c r="N156" s="1087">
        <f t="shared" si="18"/>
        <v>51.409016470588234</v>
      </c>
      <c r="O156" s="1072">
        <f t="shared" si="19"/>
        <v>2400</v>
      </c>
      <c r="P156" s="1072">
        <v>3500</v>
      </c>
    </row>
    <row r="157" spans="1:16" ht="14.5">
      <c r="A157" s="1080" t="s">
        <v>23</v>
      </c>
      <c r="B157" s="1142">
        <v>400</v>
      </c>
      <c r="C157" s="1142">
        <v>576</v>
      </c>
      <c r="D157" s="1142">
        <v>8</v>
      </c>
      <c r="E157" s="1142">
        <v>130</v>
      </c>
      <c r="F157" s="1082">
        <v>19.732474895541948</v>
      </c>
      <c r="G157" s="1129">
        <f t="shared" si="20"/>
        <v>1.784059536427974E-3</v>
      </c>
      <c r="H157" s="1088">
        <f t="shared" si="21"/>
        <v>0.91596638655462181</v>
      </c>
      <c r="I157" s="1134">
        <f t="shared" si="24"/>
        <v>0.9</v>
      </c>
      <c r="J157" s="1143">
        <f>J156</f>
        <v>50</v>
      </c>
      <c r="K157" s="1082">
        <f t="shared" si="22"/>
        <v>3248</v>
      </c>
      <c r="L157" s="1133"/>
      <c r="M157" s="1133"/>
      <c r="N157" s="1087">
        <f t="shared" si="18"/>
        <v>68.545355294117655</v>
      </c>
      <c r="O157" s="1072">
        <f t="shared" si="19"/>
        <v>3200</v>
      </c>
      <c r="P157" s="1072">
        <v>5000</v>
      </c>
    </row>
    <row r="158" spans="1:16" ht="14.5">
      <c r="A158" s="1080" t="s">
        <v>23</v>
      </c>
      <c r="B158" s="1142">
        <v>1200</v>
      </c>
      <c r="C158" s="1142">
        <v>0</v>
      </c>
      <c r="D158" s="1142">
        <v>2</v>
      </c>
      <c r="E158" s="1142">
        <v>70</v>
      </c>
      <c r="F158" s="1082">
        <v>0.9926824246037721</v>
      </c>
      <c r="G158" s="1129">
        <f t="shared" si="20"/>
        <v>8.9750756336140906E-5</v>
      </c>
      <c r="H158" s="1088">
        <f t="shared" si="21"/>
        <v>0.91596638655462181</v>
      </c>
      <c r="I158" s="1134">
        <f t="shared" si="24"/>
        <v>0.9</v>
      </c>
      <c r="J158" s="1131">
        <v>64.285714285714292</v>
      </c>
      <c r="K158" s="1082">
        <f t="shared" si="22"/>
        <v>3248</v>
      </c>
      <c r="L158" s="1133"/>
      <c r="M158" s="1133"/>
      <c r="N158" s="1087">
        <f t="shared" si="18"/>
        <v>66.0973068907563</v>
      </c>
      <c r="O158" s="1072">
        <f t="shared" si="19"/>
        <v>2400</v>
      </c>
      <c r="P158" s="1072">
        <v>3500</v>
      </c>
    </row>
    <row r="159" spans="1:16" ht="14.5">
      <c r="A159" s="1080" t="s">
        <v>23</v>
      </c>
      <c r="B159" s="1142">
        <v>600</v>
      </c>
      <c r="C159" s="1142">
        <v>0</v>
      </c>
      <c r="D159" s="1142">
        <v>2</v>
      </c>
      <c r="E159" s="1142">
        <v>130</v>
      </c>
      <c r="F159" s="1082">
        <v>68.395339560902769</v>
      </c>
      <c r="G159" s="1129">
        <f t="shared" si="20"/>
        <v>6.1837837593512251E-3</v>
      </c>
      <c r="H159" s="1088">
        <f t="shared" si="21"/>
        <v>0.91596638655462181</v>
      </c>
      <c r="I159" s="1134">
        <f t="shared" si="24"/>
        <v>0.9</v>
      </c>
      <c r="J159" s="1131">
        <v>46.153846153846153</v>
      </c>
      <c r="K159" s="1082">
        <f t="shared" si="22"/>
        <v>3248</v>
      </c>
      <c r="L159" s="1133"/>
      <c r="M159" s="1133"/>
      <c r="N159" s="1087">
        <f t="shared" si="18"/>
        <v>23.72723837104072</v>
      </c>
      <c r="O159" s="1072">
        <f t="shared" si="19"/>
        <v>1200</v>
      </c>
      <c r="P159" s="1072">
        <v>5000</v>
      </c>
    </row>
    <row r="160" spans="1:16" ht="14.5">
      <c r="A160" s="1080" t="s">
        <v>23</v>
      </c>
      <c r="B160" s="1142">
        <v>1800</v>
      </c>
      <c r="C160" s="1142">
        <v>1728</v>
      </c>
      <c r="D160" s="1142">
        <v>2</v>
      </c>
      <c r="E160" s="1142">
        <v>150</v>
      </c>
      <c r="F160" s="1082">
        <v>1653.2610650463203</v>
      </c>
      <c r="G160" s="1129">
        <f t="shared" si="20"/>
        <v>0.14947522725430276</v>
      </c>
      <c r="H160" s="1088">
        <f t="shared" si="21"/>
        <v>0.91596638655462181</v>
      </c>
      <c r="I160" s="1134">
        <f t="shared" si="24"/>
        <v>0.9</v>
      </c>
      <c r="J160" s="1131">
        <v>16.666666666666668</v>
      </c>
      <c r="K160" s="1082">
        <f t="shared" si="22"/>
        <v>3248</v>
      </c>
      <c r="L160" s="1133"/>
      <c r="M160" s="1133"/>
      <c r="N160" s="1087">
        <f t="shared" si="18"/>
        <v>25.704508235294117</v>
      </c>
      <c r="O160" s="1072">
        <f t="shared" si="19"/>
        <v>3600</v>
      </c>
      <c r="P160" s="1072">
        <v>5000</v>
      </c>
    </row>
    <row r="161" spans="1:16" ht="14.5">
      <c r="A161" s="1080" t="s">
        <v>23</v>
      </c>
      <c r="B161" s="1081">
        <v>1200</v>
      </c>
      <c r="C161" s="1081">
        <v>1728</v>
      </c>
      <c r="D161" s="1081">
        <v>2</v>
      </c>
      <c r="E161" s="1081">
        <v>130</v>
      </c>
      <c r="F161" s="1082">
        <v>501.23067012409939</v>
      </c>
      <c r="G161" s="1129">
        <f t="shared" si="20"/>
        <v>4.5317445567211186E-2</v>
      </c>
      <c r="H161" s="1088">
        <f t="shared" si="21"/>
        <v>0.91596638655462181</v>
      </c>
      <c r="I161" s="1134">
        <f t="shared" si="24"/>
        <v>0.9</v>
      </c>
      <c r="J161" s="1131">
        <v>34.615384615384613</v>
      </c>
      <c r="K161" s="1082">
        <f t="shared" si="22"/>
        <v>3248</v>
      </c>
      <c r="L161" s="1133"/>
      <c r="M161" s="1133"/>
      <c r="N161" s="1087">
        <f t="shared" si="18"/>
        <v>35.590857556561083</v>
      </c>
      <c r="O161" s="1072">
        <f t="shared" si="19"/>
        <v>2400</v>
      </c>
      <c r="P161" s="1072">
        <v>5000</v>
      </c>
    </row>
    <row r="162" spans="1:16">
      <c r="A162" s="1080"/>
      <c r="B162" s="1081"/>
      <c r="C162" s="1081"/>
      <c r="D162" s="1081"/>
      <c r="E162" s="1144">
        <f>SUMPRODUCT(E108:E161,G108:G161)</f>
        <v>130.11792821186089</v>
      </c>
      <c r="F162" s="1104">
        <f>SUM(F108:F161)</f>
        <v>11060.435199965417</v>
      </c>
      <c r="G162" s="1082"/>
      <c r="H162" s="1088">
        <f t="shared" si="21"/>
        <v>0.91596638655462181</v>
      </c>
      <c r="I162" s="1145">
        <f>SUMPRODUCT(F108:F161,I108:I161)/F162</f>
        <v>0.84100610728627012</v>
      </c>
      <c r="J162" s="1146">
        <f>SUMPRODUCT(J108:J161,G108:G161)</f>
        <v>37.378367812747555</v>
      </c>
      <c r="K162" s="1081"/>
      <c r="L162" s="1147"/>
      <c r="M162" s="1147"/>
      <c r="N162" s="1106">
        <f>SUMPRODUCT(N108:N161,G108:G161)</f>
        <v>36.000474754024623</v>
      </c>
      <c r="O162" s="1126">
        <f>SUMPRODUCT(O108:O161,G108:G161)</f>
        <v>2637.4201417103441</v>
      </c>
      <c r="P162" s="1072">
        <v>5000</v>
      </c>
    </row>
    <row r="163" spans="1:16">
      <c r="A163" s="1108" t="s">
        <v>1427</v>
      </c>
      <c r="B163" s="1109">
        <f>SUMPRODUCT(B108:B161,G108:G161)</f>
        <v>1315.0370518916941</v>
      </c>
      <c r="C163" s="1109">
        <f>B163*D163</f>
        <v>2649.3918863440213</v>
      </c>
      <c r="D163" s="1109">
        <f>SUMPRODUCT(D108:D161,G108:G161)</f>
        <v>2.0146899150353552</v>
      </c>
      <c r="E163" s="1109"/>
      <c r="F163" s="1110">
        <f>F162/$F$102</f>
        <v>33.823960856163353</v>
      </c>
      <c r="G163" s="1109"/>
      <c r="H163" s="1109"/>
      <c r="I163" s="1109">
        <f>SUMPRODUCT(I108:I161,G108:G161)</f>
        <v>0.84100610728627012</v>
      </c>
      <c r="J163" s="1109"/>
      <c r="K163" s="1109"/>
      <c r="L163" s="1112"/>
      <c r="M163" s="1112"/>
      <c r="N163" s="1125">
        <f>F163/N162</f>
        <v>0.93954207791057121</v>
      </c>
      <c r="O163" s="1109">
        <f>SUMPRODUCT(O108:O161,G108:G161)</f>
        <v>2637.4201417103441</v>
      </c>
    </row>
    <row r="164" spans="1:16">
      <c r="F164" s="1100">
        <v>11060.435199965428</v>
      </c>
      <c r="N164" s="1097">
        <f>F163-N162</f>
        <v>-2.1765138978612697</v>
      </c>
    </row>
    <row r="165" spans="1:16">
      <c r="F165" s="1122">
        <f>F162-F164</f>
        <v>0</v>
      </c>
    </row>
    <row r="167" spans="1:16">
      <c r="A167" s="1072" t="s">
        <v>1408</v>
      </c>
      <c r="F167" s="1072">
        <v>357</v>
      </c>
    </row>
    <row r="168" spans="1:16">
      <c r="A168" s="1072" t="s">
        <v>1409</v>
      </c>
      <c r="F168" s="1072">
        <f>1*12</f>
        <v>12</v>
      </c>
    </row>
    <row r="169" spans="1:16">
      <c r="A169" s="1072" t="s">
        <v>489</v>
      </c>
      <c r="F169" s="1072">
        <v>0</v>
      </c>
    </row>
    <row r="170" spans="1:16">
      <c r="A170" s="1072" t="s">
        <v>1410</v>
      </c>
      <c r="F170" s="1072">
        <f>1*12</f>
        <v>12</v>
      </c>
    </row>
    <row r="171" spans="1:16">
      <c r="A171" s="1073" t="s">
        <v>1411</v>
      </c>
      <c r="F171" s="1073">
        <f>F167-F168-F170-F169</f>
        <v>333</v>
      </c>
      <c r="G171" s="1074">
        <f>F171/F167</f>
        <v>0.9327731092436975</v>
      </c>
    </row>
    <row r="173" spans="1:16">
      <c r="A173" s="1072" t="s">
        <v>1424</v>
      </c>
      <c r="E173" s="1072">
        <v>4</v>
      </c>
    </row>
    <row r="174" spans="1:16">
      <c r="A174" s="1072" t="s">
        <v>1425</v>
      </c>
      <c r="E174" s="1072">
        <v>126</v>
      </c>
    </row>
    <row r="175" spans="1:16">
      <c r="A175" s="1073" t="s">
        <v>1426</v>
      </c>
      <c r="B175" s="1073"/>
      <c r="C175" s="1073"/>
      <c r="D175" s="1073"/>
      <c r="E175" s="1073">
        <f>E173*E174</f>
        <v>504</v>
      </c>
    </row>
    <row r="176" spans="1:16">
      <c r="A176" s="1075" t="s">
        <v>1412</v>
      </c>
      <c r="B176" s="1076" t="s">
        <v>1209</v>
      </c>
      <c r="C176" s="1076" t="s">
        <v>1413</v>
      </c>
      <c r="D176" s="1076" t="s">
        <v>1414</v>
      </c>
      <c r="E176" s="1076" t="s">
        <v>327</v>
      </c>
      <c r="F176" s="1076" t="s">
        <v>971</v>
      </c>
      <c r="G176" s="1076" t="s">
        <v>1416</v>
      </c>
      <c r="H176" s="1076" t="s">
        <v>1417</v>
      </c>
      <c r="I176" s="1076" t="s">
        <v>1418</v>
      </c>
      <c r="J176" s="1076" t="s">
        <v>35</v>
      </c>
      <c r="K176" s="1076" t="s">
        <v>1419</v>
      </c>
      <c r="L176" s="1078"/>
      <c r="M176" s="1078"/>
      <c r="N176" s="1079" t="s">
        <v>983</v>
      </c>
    </row>
    <row r="177" spans="1:14" ht="14.5">
      <c r="A177" s="1080" t="s">
        <v>340</v>
      </c>
      <c r="B177" s="1081">
        <v>300</v>
      </c>
      <c r="C177" s="1081">
        <v>288</v>
      </c>
      <c r="D177" s="1081">
        <v>2</v>
      </c>
      <c r="E177" s="1081"/>
      <c r="F177" s="1082">
        <v>1877.1141946503387</v>
      </c>
      <c r="G177" s="1102">
        <f t="shared" ref="G177:G184" si="25">F177/$F$185</f>
        <v>0.52922615765740799</v>
      </c>
      <c r="H177" s="1088">
        <f>G171</f>
        <v>0.9327731092436975</v>
      </c>
      <c r="I177" s="1102">
        <v>0.8</v>
      </c>
      <c r="J177" s="1148">
        <v>500</v>
      </c>
      <c r="K177" s="1081">
        <f>126*4</f>
        <v>504</v>
      </c>
      <c r="L177" s="1086"/>
      <c r="M177" s="1086"/>
      <c r="N177" s="1087">
        <f>(B177*J177*H177*I177*K177*1440)/(9000*1000000)</f>
        <v>9.0262588235294121</v>
      </c>
    </row>
    <row r="178" spans="1:14" ht="14.5">
      <c r="A178" s="1080" t="s">
        <v>340</v>
      </c>
      <c r="B178" s="1081">
        <v>300</v>
      </c>
      <c r="C178" s="1081">
        <v>288</v>
      </c>
      <c r="D178" s="1081">
        <v>2</v>
      </c>
      <c r="E178" s="1081"/>
      <c r="F178" s="1082">
        <v>38.124102293687741</v>
      </c>
      <c r="G178" s="1102">
        <f t="shared" si="25"/>
        <v>1.0748558733681461E-2</v>
      </c>
      <c r="H178" s="1088">
        <f>H177</f>
        <v>0.9327731092436975</v>
      </c>
      <c r="I178" s="1102">
        <f>I177</f>
        <v>0.8</v>
      </c>
      <c r="J178" s="1148">
        <v>500</v>
      </c>
      <c r="K178" s="1081">
        <f t="shared" ref="K178:K184" si="26">126*4</f>
        <v>504</v>
      </c>
      <c r="L178" s="1086"/>
      <c r="M178" s="1086"/>
      <c r="N178" s="1087">
        <f t="shared" ref="N178:N184" si="27">(B178*J178*H178*I178*K178*1440)/(9000*1000000)</f>
        <v>9.0262588235294121</v>
      </c>
    </row>
    <row r="179" spans="1:14" ht="14.5">
      <c r="A179" s="1080" t="s">
        <v>340</v>
      </c>
      <c r="B179" s="1081">
        <v>200</v>
      </c>
      <c r="C179" s="1081">
        <v>288</v>
      </c>
      <c r="D179" s="1081">
        <v>2</v>
      </c>
      <c r="E179" s="1081"/>
      <c r="F179" s="1082">
        <v>19.621966990801738</v>
      </c>
      <c r="G179" s="1102">
        <f t="shared" si="25"/>
        <v>5.5321398270907389E-3</v>
      </c>
      <c r="H179" s="1088">
        <f>H177</f>
        <v>0.9327731092436975</v>
      </c>
      <c r="I179" s="1088">
        <f>I177</f>
        <v>0.8</v>
      </c>
      <c r="J179" s="1148">
        <v>500</v>
      </c>
      <c r="K179" s="1081">
        <f t="shared" si="26"/>
        <v>504</v>
      </c>
      <c r="L179" s="1086"/>
      <c r="M179" s="1086"/>
      <c r="N179" s="1087">
        <f t="shared" si="27"/>
        <v>6.0175058823529426</v>
      </c>
    </row>
    <row r="180" spans="1:14" ht="14.5">
      <c r="A180" s="1080" t="s">
        <v>340</v>
      </c>
      <c r="B180" s="1081">
        <v>300</v>
      </c>
      <c r="C180" s="1081">
        <v>288</v>
      </c>
      <c r="D180" s="1081">
        <v>2</v>
      </c>
      <c r="E180" s="1081"/>
      <c r="F180" s="1082">
        <v>1004.2554831668494</v>
      </c>
      <c r="G180" s="1102">
        <f t="shared" si="25"/>
        <v>0.28313582209194105</v>
      </c>
      <c r="H180" s="1088">
        <f t="shared" ref="H180:I180" si="28">H179</f>
        <v>0.9327731092436975</v>
      </c>
      <c r="I180" s="1088">
        <f t="shared" si="28"/>
        <v>0.8</v>
      </c>
      <c r="J180" s="1148">
        <v>500</v>
      </c>
      <c r="K180" s="1081">
        <f t="shared" si="26"/>
        <v>504</v>
      </c>
      <c r="L180" s="1086"/>
      <c r="M180" s="1086"/>
      <c r="N180" s="1087">
        <f t="shared" si="27"/>
        <v>9.0262588235294121</v>
      </c>
    </row>
    <row r="181" spans="1:14" ht="14.5">
      <c r="A181" s="1080" t="s">
        <v>340</v>
      </c>
      <c r="B181" s="1081">
        <v>450</v>
      </c>
      <c r="C181" s="1081">
        <v>192</v>
      </c>
      <c r="D181" s="1081">
        <v>2</v>
      </c>
      <c r="E181" s="1081"/>
      <c r="F181" s="1082">
        <v>0</v>
      </c>
      <c r="G181" s="1102">
        <f t="shared" si="25"/>
        <v>0</v>
      </c>
      <c r="H181" s="1088">
        <f t="shared" ref="H181:I181" si="29">H180</f>
        <v>0.9327731092436975</v>
      </c>
      <c r="I181" s="1088">
        <f t="shared" si="29"/>
        <v>0.8</v>
      </c>
      <c r="J181" s="1148">
        <v>500</v>
      </c>
      <c r="K181" s="1081">
        <f t="shared" si="26"/>
        <v>504</v>
      </c>
      <c r="L181" s="1086"/>
      <c r="M181" s="1086"/>
      <c r="N181" s="1087">
        <f t="shared" si="27"/>
        <v>13.539388235294119</v>
      </c>
    </row>
    <row r="182" spans="1:14" ht="14.5">
      <c r="A182" s="1080" t="s">
        <v>340</v>
      </c>
      <c r="B182" s="1081">
        <v>180</v>
      </c>
      <c r="C182" s="1081">
        <v>288</v>
      </c>
      <c r="D182" s="1081">
        <v>2</v>
      </c>
      <c r="E182" s="1081"/>
      <c r="F182" s="1082">
        <v>247.18208424812602</v>
      </c>
      <c r="G182" s="1102">
        <f t="shared" si="25"/>
        <v>6.9689539965762812E-2</v>
      </c>
      <c r="H182" s="1088">
        <f t="shared" ref="H182:I182" si="30">H181</f>
        <v>0.9327731092436975</v>
      </c>
      <c r="I182" s="1088">
        <f t="shared" si="30"/>
        <v>0.8</v>
      </c>
      <c r="J182" s="1148">
        <v>500</v>
      </c>
      <c r="K182" s="1081">
        <f t="shared" si="26"/>
        <v>504</v>
      </c>
      <c r="L182" s="1086"/>
      <c r="M182" s="1086"/>
      <c r="N182" s="1087">
        <f t="shared" si="27"/>
        <v>5.4157552941176474</v>
      </c>
    </row>
    <row r="183" spans="1:14" ht="14.5">
      <c r="A183" s="1080" t="s">
        <v>340</v>
      </c>
      <c r="B183" s="1081">
        <v>180</v>
      </c>
      <c r="C183" s="1081">
        <v>288</v>
      </c>
      <c r="D183" s="1081">
        <v>2</v>
      </c>
      <c r="E183" s="1081"/>
      <c r="F183" s="1082">
        <v>118.20677359829307</v>
      </c>
      <c r="G183" s="1102">
        <f t="shared" si="25"/>
        <v>3.3326750593432521E-2</v>
      </c>
      <c r="H183" s="1088">
        <f t="shared" ref="H183:I183" si="31">H182</f>
        <v>0.9327731092436975</v>
      </c>
      <c r="I183" s="1088">
        <f t="shared" si="31"/>
        <v>0.8</v>
      </c>
      <c r="J183" s="1148">
        <v>500</v>
      </c>
      <c r="K183" s="1081">
        <f t="shared" si="26"/>
        <v>504</v>
      </c>
      <c r="L183" s="1086"/>
      <c r="M183" s="1086"/>
      <c r="N183" s="1087">
        <f t="shared" si="27"/>
        <v>5.4157552941176474</v>
      </c>
    </row>
    <row r="184" spans="1:14" ht="14.5">
      <c r="A184" s="1080" t="s">
        <v>340</v>
      </c>
      <c r="B184" s="1081">
        <v>200</v>
      </c>
      <c r="C184" s="1081">
        <v>288</v>
      </c>
      <c r="D184" s="1081">
        <v>2</v>
      </c>
      <c r="E184" s="1081"/>
      <c r="F184" s="1082">
        <v>242.3990533277653</v>
      </c>
      <c r="G184" s="1102">
        <f t="shared" si="25"/>
        <v>6.8341031130683336E-2</v>
      </c>
      <c r="H184" s="1088">
        <f t="shared" ref="H184:I184" si="32">H183</f>
        <v>0.9327731092436975</v>
      </c>
      <c r="I184" s="1088">
        <f t="shared" si="32"/>
        <v>0.8</v>
      </c>
      <c r="J184" s="1148">
        <v>500</v>
      </c>
      <c r="K184" s="1081">
        <f t="shared" si="26"/>
        <v>504</v>
      </c>
      <c r="L184" s="1086"/>
      <c r="M184" s="1086"/>
      <c r="N184" s="1087">
        <f t="shared" si="27"/>
        <v>6.0175058823529426</v>
      </c>
    </row>
    <row r="185" spans="1:14">
      <c r="A185" s="1080"/>
      <c r="B185" s="1104">
        <f>SUMPRODUCT(B177:B184,G177:G184)</f>
        <v>280.25072803711907</v>
      </c>
      <c r="C185" s="1124"/>
      <c r="D185" s="1124">
        <f>SUMPRODUCT(D177:D184,G177:G184)</f>
        <v>1.9999999999999998</v>
      </c>
      <c r="E185" s="1105"/>
      <c r="F185" s="1104">
        <f>SUM(F177:F184)</f>
        <v>3546.9036582758622</v>
      </c>
      <c r="G185" s="1104"/>
      <c r="H185" s="1315">
        <f>SUMPRODUCT(H177:H184,G177:G184)</f>
        <v>0.9327731092436975</v>
      </c>
      <c r="I185" s="1315">
        <f>SUMPRODUCT(I177:I184,G177:G184)</f>
        <v>0.79999999999999982</v>
      </c>
      <c r="J185" s="1149">
        <f>SUMPRODUCT(J177:J184,G177:G184)</f>
        <v>499.99999999999994</v>
      </c>
      <c r="K185" s="1149">
        <f>SUMPRODUCT(K177:K184,G177:G184)</f>
        <v>503.99999999999989</v>
      </c>
      <c r="L185" s="1086"/>
      <c r="M185" s="1086"/>
      <c r="N185" s="1106">
        <f>SUMPRODUCT(N177:N184,G177:G184)</f>
        <v>8.4320520224852942</v>
      </c>
    </row>
    <row r="186" spans="1:14" ht="14.5">
      <c r="A186" s="1108" t="s">
        <v>1427</v>
      </c>
      <c r="B186" s="1109"/>
      <c r="C186" s="1109"/>
      <c r="D186" s="1150">
        <f>B185*D185</f>
        <v>560.50145607423804</v>
      </c>
      <c r="E186" s="1109"/>
      <c r="F186" s="1110">
        <f>F185/$F$171</f>
        <v>10.651362337164752</v>
      </c>
      <c r="G186" s="1109"/>
      <c r="H186" s="1109"/>
      <c r="I186" s="1109"/>
      <c r="J186" s="1109"/>
      <c r="K186" s="1109"/>
      <c r="L186" s="1112"/>
      <c r="M186" s="1112"/>
      <c r="N186" s="1125">
        <f>F186/N185</f>
        <v>1.2631993148004002</v>
      </c>
    </row>
    <row r="187" spans="1:14">
      <c r="A187" s="1151"/>
      <c r="B187" s="1152"/>
      <c r="C187" s="1152"/>
      <c r="D187" s="1152"/>
      <c r="E187" s="1152"/>
      <c r="F187" s="1100">
        <v>3546.9036582758617</v>
      </c>
      <c r="G187" s="1152"/>
      <c r="H187" s="1152"/>
      <c r="I187" s="1152"/>
      <c r="J187" s="1152"/>
      <c r="K187" s="1152"/>
      <c r="L187" s="1152"/>
      <c r="M187" s="1152"/>
      <c r="N187" s="1153"/>
    </row>
    <row r="188" spans="1:14">
      <c r="A188" s="1151"/>
      <c r="B188" s="1152"/>
      <c r="C188" s="1152"/>
      <c r="D188" s="1152"/>
      <c r="E188" s="1152"/>
      <c r="F188" s="1122">
        <f>F185-F187</f>
        <v>0</v>
      </c>
      <c r="G188" s="1152"/>
      <c r="H188" s="1152"/>
      <c r="I188" s="1152"/>
      <c r="J188" s="1152"/>
      <c r="K188" s="1152"/>
      <c r="L188" s="1152"/>
      <c r="M188" s="1152"/>
      <c r="N188" s="1153"/>
    </row>
    <row r="195" spans="1:14">
      <c r="A195" s="1072" t="s">
        <v>1408</v>
      </c>
      <c r="F195" s="1072">
        <v>357</v>
      </c>
    </row>
    <row r="196" spans="1:14">
      <c r="A196" s="1072" t="s">
        <v>1409</v>
      </c>
      <c r="F196" s="1072">
        <f>1*12</f>
        <v>12</v>
      </c>
    </row>
    <row r="197" spans="1:14">
      <c r="A197" s="1072" t="s">
        <v>489</v>
      </c>
      <c r="F197" s="1072">
        <v>0</v>
      </c>
    </row>
    <row r="198" spans="1:14">
      <c r="A198" s="1072" t="s">
        <v>1410</v>
      </c>
      <c r="F198" s="1072">
        <f>1*12</f>
        <v>12</v>
      </c>
    </row>
    <row r="199" spans="1:14">
      <c r="A199" s="1073" t="s">
        <v>1411</v>
      </c>
      <c r="F199" s="1073">
        <f>F195-F196-F198-F197</f>
        <v>333</v>
      </c>
      <c r="G199" s="1074">
        <f>F199/F195</f>
        <v>0.9327731092436975</v>
      </c>
    </row>
    <row r="201" spans="1:14">
      <c r="A201" s="1072" t="s">
        <v>1424</v>
      </c>
      <c r="E201" s="1072">
        <v>15</v>
      </c>
    </row>
    <row r="202" spans="1:14">
      <c r="A202" s="1072" t="s">
        <v>1425</v>
      </c>
      <c r="E202" s="1072">
        <v>144</v>
      </c>
    </row>
    <row r="203" spans="1:14">
      <c r="A203" s="1073" t="s">
        <v>1426</v>
      </c>
      <c r="B203" s="1073"/>
      <c r="C203" s="1073"/>
      <c r="D203" s="1073"/>
      <c r="E203" s="1073">
        <f>E201*E202</f>
        <v>2160</v>
      </c>
    </row>
    <row r="204" spans="1:14">
      <c r="A204" s="1075" t="s">
        <v>1412</v>
      </c>
      <c r="B204" s="1076" t="s">
        <v>1209</v>
      </c>
      <c r="C204" s="1076" t="s">
        <v>1413</v>
      </c>
      <c r="D204" s="1076" t="s">
        <v>1414</v>
      </c>
      <c r="E204" s="1076" t="s">
        <v>327</v>
      </c>
      <c r="F204" s="1076" t="s">
        <v>971</v>
      </c>
      <c r="G204" s="1076" t="s">
        <v>1416</v>
      </c>
      <c r="H204" s="1076" t="s">
        <v>1417</v>
      </c>
      <c r="I204" s="1076" t="s">
        <v>1418</v>
      </c>
      <c r="J204" s="1076" t="s">
        <v>35</v>
      </c>
      <c r="K204" s="1076" t="s">
        <v>1419</v>
      </c>
      <c r="L204" s="1078"/>
      <c r="M204" s="1078"/>
      <c r="N204" s="1079" t="s">
        <v>983</v>
      </c>
    </row>
    <row r="205" spans="1:14" ht="14.5">
      <c r="A205" s="1080" t="s">
        <v>1428</v>
      </c>
      <c r="B205" s="1081">
        <v>300</v>
      </c>
      <c r="C205" s="1081">
        <v>288</v>
      </c>
      <c r="D205" s="1081">
        <v>2</v>
      </c>
      <c r="E205" s="1081">
        <v>400</v>
      </c>
      <c r="F205" s="1082">
        <v>1877.1141946503387</v>
      </c>
      <c r="G205" s="1102">
        <f>F205/$F$213</f>
        <v>0.52922615765740799</v>
      </c>
      <c r="H205" s="1088">
        <f>G199</f>
        <v>0.9327731092436975</v>
      </c>
      <c r="I205" s="1102">
        <f>[68]Assumption!J127</f>
        <v>0.8</v>
      </c>
      <c r="J205" s="1148">
        <f t="shared" ref="J205:J212" si="33">7000/E205*2</f>
        <v>35</v>
      </c>
      <c r="K205" s="1081">
        <f>144*15</f>
        <v>2160</v>
      </c>
      <c r="L205" s="1086"/>
      <c r="M205" s="1086"/>
      <c r="N205" s="1087">
        <f t="shared" ref="N205:N212" si="34">(B205*D205*J205*H205*I205*K205*1440)/(9000*1000000)</f>
        <v>5.4157552941176474</v>
      </c>
    </row>
    <row r="206" spans="1:14" ht="14.5">
      <c r="A206" s="1080" t="s">
        <v>1428</v>
      </c>
      <c r="B206" s="1081">
        <v>300</v>
      </c>
      <c r="C206" s="1081">
        <v>288</v>
      </c>
      <c r="D206" s="1081">
        <v>2</v>
      </c>
      <c r="E206" s="1081">
        <v>300</v>
      </c>
      <c r="F206" s="1082">
        <v>38.124102293687741</v>
      </c>
      <c r="G206" s="1102">
        <f>F206/$F$213</f>
        <v>1.0748558733681461E-2</v>
      </c>
      <c r="H206" s="1088">
        <f>H205</f>
        <v>0.9327731092436975</v>
      </c>
      <c r="I206" s="1102">
        <f>I205</f>
        <v>0.8</v>
      </c>
      <c r="J206" s="1148">
        <f t="shared" si="33"/>
        <v>46.666666666666664</v>
      </c>
      <c r="K206" s="1081">
        <f>144*15</f>
        <v>2160</v>
      </c>
      <c r="L206" s="1086"/>
      <c r="M206" s="1086"/>
      <c r="N206" s="1087">
        <f t="shared" si="34"/>
        <v>7.2210070588235293</v>
      </c>
    </row>
    <row r="207" spans="1:14" ht="14.5">
      <c r="A207" s="1080" t="s">
        <v>1428</v>
      </c>
      <c r="B207" s="1081">
        <v>200</v>
      </c>
      <c r="C207" s="1081">
        <v>288</v>
      </c>
      <c r="D207" s="1081">
        <v>2</v>
      </c>
      <c r="E207" s="1081">
        <v>400</v>
      </c>
      <c r="F207" s="1082">
        <v>19.621966990801738</v>
      </c>
      <c r="G207" s="1102">
        <f t="shared" ref="G207:G212" si="35">F207/$F$213</f>
        <v>5.5321398270907389E-3</v>
      </c>
      <c r="H207" s="1088">
        <f>H205</f>
        <v>0.9327731092436975</v>
      </c>
      <c r="I207" s="1088">
        <f>I205</f>
        <v>0.8</v>
      </c>
      <c r="J207" s="1148">
        <f t="shared" si="33"/>
        <v>35</v>
      </c>
      <c r="K207" s="1081">
        <f t="shared" ref="K207:K212" si="36">144*15</f>
        <v>2160</v>
      </c>
      <c r="L207" s="1086"/>
      <c r="M207" s="1086"/>
      <c r="N207" s="1087">
        <f t="shared" si="34"/>
        <v>3.6105035294117647</v>
      </c>
    </row>
    <row r="208" spans="1:14" ht="14.5">
      <c r="A208" s="1080" t="s">
        <v>1428</v>
      </c>
      <c r="B208" s="1081">
        <v>300</v>
      </c>
      <c r="C208" s="1081">
        <v>288</v>
      </c>
      <c r="D208" s="1081">
        <v>2</v>
      </c>
      <c r="E208" s="1081">
        <v>250</v>
      </c>
      <c r="F208" s="1082">
        <v>1004.2554831668494</v>
      </c>
      <c r="G208" s="1102">
        <f t="shared" si="35"/>
        <v>0.28313582209194105</v>
      </c>
      <c r="H208" s="1088">
        <f t="shared" ref="H208:I212" si="37">H207</f>
        <v>0.9327731092436975</v>
      </c>
      <c r="I208" s="1088">
        <f t="shared" si="37"/>
        <v>0.8</v>
      </c>
      <c r="J208" s="1148">
        <f t="shared" si="33"/>
        <v>56</v>
      </c>
      <c r="K208" s="1081">
        <f t="shared" si="36"/>
        <v>2160</v>
      </c>
      <c r="L208" s="1086"/>
      <c r="M208" s="1086"/>
      <c r="N208" s="1087">
        <f t="shared" si="34"/>
        <v>8.6652084705882348</v>
      </c>
    </row>
    <row r="209" spans="1:14" ht="14.5">
      <c r="A209" s="1080" t="s">
        <v>1428</v>
      </c>
      <c r="B209" s="1081">
        <v>450</v>
      </c>
      <c r="C209" s="1081">
        <v>192</v>
      </c>
      <c r="D209" s="1081">
        <v>2</v>
      </c>
      <c r="E209" s="1081">
        <v>250</v>
      </c>
      <c r="F209" s="1082">
        <v>0</v>
      </c>
      <c r="G209" s="1102">
        <f t="shared" si="35"/>
        <v>0</v>
      </c>
      <c r="H209" s="1088">
        <f t="shared" si="37"/>
        <v>0.9327731092436975</v>
      </c>
      <c r="I209" s="1088">
        <f t="shared" si="37"/>
        <v>0.8</v>
      </c>
      <c r="J209" s="1148">
        <f t="shared" si="33"/>
        <v>56</v>
      </c>
      <c r="K209" s="1081">
        <f t="shared" si="36"/>
        <v>2160</v>
      </c>
      <c r="L209" s="1086"/>
      <c r="M209" s="1086"/>
      <c r="N209" s="1087">
        <f t="shared" si="34"/>
        <v>12.997812705882357</v>
      </c>
    </row>
    <row r="210" spans="1:14" ht="14.5">
      <c r="A210" s="1080" t="s">
        <v>1428</v>
      </c>
      <c r="B210" s="1081">
        <v>180</v>
      </c>
      <c r="C210" s="1081">
        <v>288</v>
      </c>
      <c r="D210" s="1081">
        <v>2</v>
      </c>
      <c r="E210" s="1081">
        <v>250</v>
      </c>
      <c r="F210" s="1082">
        <v>247.18208424812602</v>
      </c>
      <c r="G210" s="1102">
        <f t="shared" si="35"/>
        <v>6.9689539965762812E-2</v>
      </c>
      <c r="H210" s="1088">
        <f t="shared" si="37"/>
        <v>0.9327731092436975</v>
      </c>
      <c r="I210" s="1088">
        <f t="shared" si="37"/>
        <v>0.8</v>
      </c>
      <c r="J210" s="1148">
        <f t="shared" si="33"/>
        <v>56</v>
      </c>
      <c r="K210" s="1081">
        <f t="shared" si="36"/>
        <v>2160</v>
      </c>
      <c r="L210" s="1086"/>
      <c r="M210" s="1086"/>
      <c r="N210" s="1087">
        <f t="shared" si="34"/>
        <v>5.1991250823529409</v>
      </c>
    </row>
    <row r="211" spans="1:14" ht="14.5">
      <c r="A211" s="1080" t="s">
        <v>1428</v>
      </c>
      <c r="B211" s="1081">
        <v>180</v>
      </c>
      <c r="C211" s="1081">
        <v>288</v>
      </c>
      <c r="D211" s="1081">
        <v>2</v>
      </c>
      <c r="E211" s="1081">
        <v>400</v>
      </c>
      <c r="F211" s="1082">
        <v>118.20677359829307</v>
      </c>
      <c r="G211" s="1102">
        <f t="shared" si="35"/>
        <v>3.3326750593432521E-2</v>
      </c>
      <c r="H211" s="1088">
        <f t="shared" si="37"/>
        <v>0.9327731092436975</v>
      </c>
      <c r="I211" s="1088">
        <f t="shared" si="37"/>
        <v>0.8</v>
      </c>
      <c r="J211" s="1148">
        <f t="shared" si="33"/>
        <v>35</v>
      </c>
      <c r="K211" s="1081">
        <f t="shared" si="36"/>
        <v>2160</v>
      </c>
      <c r="L211" s="1086"/>
      <c r="M211" s="1086"/>
      <c r="N211" s="1087">
        <f t="shared" si="34"/>
        <v>3.2494531764705892</v>
      </c>
    </row>
    <row r="212" spans="1:14" ht="14.5">
      <c r="A212" s="1080" t="s">
        <v>1428</v>
      </c>
      <c r="B212" s="1081">
        <v>200</v>
      </c>
      <c r="C212" s="1081">
        <v>288</v>
      </c>
      <c r="D212" s="1081">
        <v>2</v>
      </c>
      <c r="E212" s="1081">
        <v>250</v>
      </c>
      <c r="F212" s="1082">
        <v>242.3990533277653</v>
      </c>
      <c r="G212" s="1102">
        <f t="shared" si="35"/>
        <v>6.8341031130683336E-2</v>
      </c>
      <c r="H212" s="1088">
        <f t="shared" si="37"/>
        <v>0.9327731092436975</v>
      </c>
      <c r="I212" s="1088">
        <f t="shared" si="37"/>
        <v>0.8</v>
      </c>
      <c r="J212" s="1148">
        <f t="shared" si="33"/>
        <v>56</v>
      </c>
      <c r="K212" s="1081">
        <f t="shared" si="36"/>
        <v>2160</v>
      </c>
      <c r="L212" s="1086"/>
      <c r="M212" s="1086"/>
      <c r="N212" s="1087">
        <f t="shared" si="34"/>
        <v>5.7768056470588247</v>
      </c>
    </row>
    <row r="213" spans="1:14">
      <c r="A213" s="1080"/>
      <c r="B213" s="1104">
        <f>SUMPRODUCT(B205:B212,G205:G212)</f>
        <v>280.25072803711907</v>
      </c>
      <c r="C213" s="1124">
        <f>B213*D213</f>
        <v>560.50145607423804</v>
      </c>
      <c r="D213" s="1124">
        <f>SUMPRODUCT(D205:D212,G205:G212)</f>
        <v>1.9999999999999998</v>
      </c>
      <c r="E213" s="1105">
        <f>SUMPRODUCT(E205:E212,G205:G212)</f>
        <v>335.75018514837382</v>
      </c>
      <c r="F213" s="1104">
        <f>SUM(F205:F212)</f>
        <v>3546.9036582758622</v>
      </c>
      <c r="G213" s="1104"/>
      <c r="H213" s="1316">
        <f>SUMPRODUCT(H205:H212,G205:G212)</f>
        <v>0.9327731092436975</v>
      </c>
      <c r="I213" s="1316">
        <f>SUMPRODUCT(I205:I212,G205:G212)</f>
        <v>0.79999999999999982</v>
      </c>
      <c r="J213" s="1149">
        <f>SUMPRODUCT(J205:J212,G205:G212)</f>
        <v>43.96989410884909</v>
      </c>
      <c r="K213" s="1149">
        <f>SUMPRODUCT(K205:K212,G205:G212)</f>
        <v>2160</v>
      </c>
      <c r="L213" s="1086"/>
      <c r="M213" s="1086"/>
      <c r="N213" s="1106">
        <f>SUMPRODUCT(N205:N212,G205:G212)</f>
        <v>6.2825907232481653</v>
      </c>
    </row>
    <row r="214" spans="1:14" ht="14.5">
      <c r="A214" s="1108" t="s">
        <v>1427</v>
      </c>
      <c r="B214" s="1109"/>
      <c r="C214" s="1109"/>
      <c r="D214" s="1150">
        <f>B213*D213</f>
        <v>560.50145607423804</v>
      </c>
      <c r="E214" s="1109"/>
      <c r="F214" s="1110">
        <f>F213/$F$199</f>
        <v>10.651362337164752</v>
      </c>
      <c r="G214" s="1109"/>
      <c r="H214" s="1109"/>
      <c r="I214" s="1109"/>
      <c r="J214" s="1109"/>
      <c r="K214" s="1109"/>
      <c r="L214" s="1112"/>
      <c r="M214" s="1112"/>
      <c r="N214" s="1125">
        <f>F214/N213</f>
        <v>1.6953774018336636</v>
      </c>
    </row>
    <row r="215" spans="1:14">
      <c r="A215" s="1151"/>
      <c r="B215" s="1152"/>
      <c r="C215" s="1152"/>
      <c r="D215" s="1152"/>
      <c r="E215" s="1152"/>
      <c r="F215" s="1100">
        <v>3546.9036582758617</v>
      </c>
      <c r="G215" s="1152"/>
      <c r="H215" s="1152"/>
      <c r="I215" s="1152"/>
      <c r="J215" s="1152"/>
      <c r="K215" s="1152"/>
      <c r="L215" s="1152"/>
      <c r="M215" s="1152"/>
      <c r="N215" s="1153"/>
    </row>
    <row r="216" spans="1:14">
      <c r="A216" s="1151"/>
      <c r="B216" s="1152"/>
      <c r="C216" s="1152"/>
      <c r="D216" s="1152"/>
      <c r="E216" s="1152"/>
      <c r="F216" s="1122">
        <f>F213-F215</f>
        <v>0</v>
      </c>
      <c r="G216" s="1152"/>
      <c r="H216" s="1152"/>
      <c r="I216" s="1152"/>
      <c r="J216" s="1152"/>
      <c r="K216" s="1152"/>
      <c r="L216" s="1152"/>
      <c r="M216" s="1152"/>
      <c r="N216" s="1153"/>
    </row>
    <row r="217" spans="1:14">
      <c r="A217" s="1151"/>
      <c r="B217" s="1152"/>
      <c r="C217" s="1152"/>
      <c r="D217" s="1152"/>
      <c r="E217" s="1152"/>
      <c r="F217" s="1123"/>
      <c r="G217" s="1152"/>
      <c r="H217" s="1152"/>
      <c r="I217" s="1152"/>
      <c r="J217" s="1152"/>
      <c r="K217" s="1152"/>
      <c r="L217" s="1152"/>
      <c r="M217" s="1152"/>
      <c r="N217" s="1153"/>
    </row>
    <row r="218" spans="1:14">
      <c r="A218" s="1072" t="s">
        <v>1408</v>
      </c>
      <c r="F218" s="1072">
        <v>357</v>
      </c>
    </row>
    <row r="219" spans="1:14">
      <c r="A219" s="1072" t="s">
        <v>1409</v>
      </c>
      <c r="F219" s="1072">
        <v>6</v>
      </c>
    </row>
    <row r="220" spans="1:14">
      <c r="A220" s="1072" t="s">
        <v>489</v>
      </c>
      <c r="F220" s="1072">
        <v>0</v>
      </c>
    </row>
    <row r="221" spans="1:14">
      <c r="A221" s="1072" t="s">
        <v>1410</v>
      </c>
      <c r="F221" s="1072">
        <f>1*12</f>
        <v>12</v>
      </c>
    </row>
    <row r="222" spans="1:14">
      <c r="A222" s="1073" t="s">
        <v>1411</v>
      </c>
      <c r="F222" s="1073">
        <f>F218-F219-F221-F220</f>
        <v>339</v>
      </c>
      <c r="G222" s="1074">
        <f>F222/F218</f>
        <v>0.94957983193277307</v>
      </c>
    </row>
    <row r="223" spans="1:14">
      <c r="A223" s="1072" t="s">
        <v>1424</v>
      </c>
      <c r="E223" s="1072">
        <v>4</v>
      </c>
    </row>
    <row r="224" spans="1:14">
      <c r="A224" s="1072" t="s">
        <v>1425</v>
      </c>
      <c r="E224" s="1072">
        <v>44</v>
      </c>
    </row>
    <row r="225" spans="1:14" ht="14.5">
      <c r="A225" s="1073" t="s">
        <v>1426</v>
      </c>
      <c r="B225" s="1073"/>
      <c r="C225" s="1073"/>
      <c r="D225" s="1073"/>
      <c r="E225" s="1073">
        <f>E223*E224</f>
        <v>176</v>
      </c>
      <c r="F225" s="1072">
        <v>18</v>
      </c>
      <c r="G225" s="1154">
        <f>F225/E225</f>
        <v>0.10227272727272728</v>
      </c>
      <c r="J225" s="1072">
        <v>2600</v>
      </c>
    </row>
    <row r="226" spans="1:14">
      <c r="A226" s="1075" t="s">
        <v>1412</v>
      </c>
      <c r="B226" s="1076" t="s">
        <v>1209</v>
      </c>
      <c r="C226" s="1076" t="s">
        <v>1413</v>
      </c>
      <c r="D226" s="1076" t="s">
        <v>1414</v>
      </c>
      <c r="E226" s="1076" t="s">
        <v>327</v>
      </c>
      <c r="F226" s="1076" t="s">
        <v>971</v>
      </c>
      <c r="G226" s="1076" t="s">
        <v>1416</v>
      </c>
      <c r="H226" s="1076" t="s">
        <v>1417</v>
      </c>
      <c r="I226" s="1076" t="s">
        <v>1418</v>
      </c>
      <c r="J226" s="1076" t="s">
        <v>35</v>
      </c>
      <c r="K226" s="1076" t="s">
        <v>1419</v>
      </c>
      <c r="L226" s="1078" t="s">
        <v>1516</v>
      </c>
      <c r="M226" s="1078"/>
      <c r="N226" s="1079" t="s">
        <v>983</v>
      </c>
    </row>
    <row r="227" spans="1:14" ht="14.5">
      <c r="A227" s="1080" t="s">
        <v>255</v>
      </c>
      <c r="B227" s="1081">
        <v>600</v>
      </c>
      <c r="C227" s="1081">
        <v>576</v>
      </c>
      <c r="D227" s="1081">
        <v>4</v>
      </c>
      <c r="E227" s="1081">
        <v>80</v>
      </c>
      <c r="F227" s="1082">
        <v>2919.4937801108758</v>
      </c>
      <c r="G227" s="1102">
        <f t="shared" ref="G227:G237" si="38">F227/$F$265</f>
        <v>0.67093253457851176</v>
      </c>
      <c r="H227" s="1088">
        <f>$G$249</f>
        <v>0.94957983193277307</v>
      </c>
      <c r="I227" s="1088">
        <f>[68]Assumption!J141</f>
        <v>0.9</v>
      </c>
      <c r="J227" s="1081">
        <v>350</v>
      </c>
      <c r="K227" s="1081">
        <f>$E$225</f>
        <v>176</v>
      </c>
      <c r="L227" s="1086">
        <f>B227*D227</f>
        <v>2400</v>
      </c>
      <c r="M227" s="1086"/>
      <c r="N227" s="1087">
        <f>(B227*D227*J227*H227*I227*K227*1440)/(9000*1000000)</f>
        <v>20.215567058823531</v>
      </c>
    </row>
    <row r="228" spans="1:14" ht="14.5">
      <c r="A228" s="1080" t="s">
        <v>255</v>
      </c>
      <c r="B228" s="1081">
        <v>400</v>
      </c>
      <c r="C228" s="1081">
        <v>576</v>
      </c>
      <c r="D228" s="1081">
        <v>8</v>
      </c>
      <c r="E228" s="1081">
        <v>40</v>
      </c>
      <c r="F228" s="1082">
        <v>19.621966990801738</v>
      </c>
      <c r="G228" s="1102">
        <f t="shared" si="38"/>
        <v>4.5093488933737429E-3</v>
      </c>
      <c r="H228" s="1088">
        <f>H227</f>
        <v>0.94957983193277307</v>
      </c>
      <c r="I228" s="1088">
        <f>I227</f>
        <v>0.9</v>
      </c>
      <c r="J228" s="1081">
        <v>350</v>
      </c>
      <c r="K228" s="1081">
        <f t="shared" ref="K228:K237" si="39">$E$225</f>
        <v>176</v>
      </c>
      <c r="L228" s="1086">
        <f t="shared" ref="L228:L237" si="40">B228*D228</f>
        <v>3200</v>
      </c>
      <c r="M228" s="1086"/>
      <c r="N228" s="1087">
        <f t="shared" ref="N228:N234" si="41">(B228*D228*J228*H228*I228*K228*1440)/(9000*1000000)</f>
        <v>26.954089411764702</v>
      </c>
    </row>
    <row r="229" spans="1:14" ht="14.5">
      <c r="A229" s="1080" t="s">
        <v>255</v>
      </c>
      <c r="B229" s="1081">
        <v>400</v>
      </c>
      <c r="C229" s="1081">
        <v>576</v>
      </c>
      <c r="D229" s="1081">
        <v>8</v>
      </c>
      <c r="E229" s="1081">
        <v>80</v>
      </c>
      <c r="F229" s="1082">
        <v>21.597008691814761</v>
      </c>
      <c r="G229" s="1102">
        <f t="shared" si="38"/>
        <v>4.9632357087478103E-3</v>
      </c>
      <c r="H229" s="1088">
        <f>H228</f>
        <v>0.94957983193277307</v>
      </c>
      <c r="I229" s="1088">
        <f>I228</f>
        <v>0.9</v>
      </c>
      <c r="J229" s="1081">
        <v>350</v>
      </c>
      <c r="K229" s="1081">
        <f t="shared" si="39"/>
        <v>176</v>
      </c>
      <c r="L229" s="1086">
        <f t="shared" si="40"/>
        <v>3200</v>
      </c>
      <c r="M229" s="1086"/>
      <c r="N229" s="1087">
        <f t="shared" si="41"/>
        <v>26.954089411764702</v>
      </c>
    </row>
    <row r="230" spans="1:14" ht="14.5">
      <c r="A230" s="1080" t="s">
        <v>255</v>
      </c>
      <c r="B230" s="1081">
        <v>200</v>
      </c>
      <c r="C230" s="1081">
        <v>288</v>
      </c>
      <c r="D230" s="1081">
        <v>14</v>
      </c>
      <c r="E230" s="1081">
        <v>80</v>
      </c>
      <c r="F230" s="1082">
        <v>763.31042350559937</v>
      </c>
      <c r="G230" s="1102">
        <f t="shared" si="38"/>
        <v>0.17541732768937754</v>
      </c>
      <c r="H230" s="1088">
        <f>H228</f>
        <v>0.94957983193277307</v>
      </c>
      <c r="I230" s="1088">
        <f>I228</f>
        <v>0.9</v>
      </c>
      <c r="J230" s="1081">
        <v>350</v>
      </c>
      <c r="K230" s="1081">
        <f t="shared" si="39"/>
        <v>176</v>
      </c>
      <c r="L230" s="1086">
        <f t="shared" si="40"/>
        <v>2800</v>
      </c>
      <c r="M230" s="1086"/>
      <c r="N230" s="1087">
        <f t="shared" si="41"/>
        <v>23.584828235294118</v>
      </c>
    </row>
    <row r="231" spans="1:14" ht="14.5">
      <c r="A231" s="1080" t="s">
        <v>255</v>
      </c>
      <c r="B231" s="1081">
        <v>900</v>
      </c>
      <c r="C231" s="1081">
        <v>384</v>
      </c>
      <c r="D231" s="1081">
        <v>3</v>
      </c>
      <c r="E231" s="1081">
        <v>80</v>
      </c>
      <c r="F231" s="1082">
        <v>0</v>
      </c>
      <c r="G231" s="1102">
        <f t="shared" si="38"/>
        <v>0</v>
      </c>
      <c r="H231" s="1088">
        <f t="shared" ref="H231:I231" si="42">H230</f>
        <v>0.94957983193277307</v>
      </c>
      <c r="I231" s="1088">
        <f t="shared" si="42"/>
        <v>0.9</v>
      </c>
      <c r="J231" s="1081">
        <v>350</v>
      </c>
      <c r="K231" s="1081">
        <f t="shared" si="39"/>
        <v>176</v>
      </c>
      <c r="L231" s="1086">
        <f t="shared" si="40"/>
        <v>2700</v>
      </c>
      <c r="M231" s="1086"/>
      <c r="N231" s="1087">
        <f t="shared" si="41"/>
        <v>22.742512941176471</v>
      </c>
    </row>
    <row r="232" spans="1:14" ht="14.5">
      <c r="A232" s="1080" t="s">
        <v>255</v>
      </c>
      <c r="B232" s="1081">
        <v>360</v>
      </c>
      <c r="C232" s="1081">
        <v>576</v>
      </c>
      <c r="D232" s="1081">
        <v>6</v>
      </c>
      <c r="E232" s="1081">
        <v>80</v>
      </c>
      <c r="F232" s="1082">
        <v>155.11433058680333</v>
      </c>
      <c r="G232" s="1102">
        <f t="shared" si="38"/>
        <v>3.5647019246638281E-2</v>
      </c>
      <c r="H232" s="1088">
        <f t="shared" ref="H232:I232" si="43">H231</f>
        <v>0.94957983193277307</v>
      </c>
      <c r="I232" s="1088">
        <f t="shared" si="43"/>
        <v>0.9</v>
      </c>
      <c r="J232" s="1081">
        <v>350</v>
      </c>
      <c r="K232" s="1081">
        <f t="shared" si="39"/>
        <v>176</v>
      </c>
      <c r="L232" s="1086">
        <f t="shared" si="40"/>
        <v>2160</v>
      </c>
      <c r="M232" s="1086"/>
      <c r="N232" s="1087">
        <f t="shared" si="41"/>
        <v>18.194010352941177</v>
      </c>
    </row>
    <row r="233" spans="1:14" ht="14.5">
      <c r="A233" s="1080" t="s">
        <v>255</v>
      </c>
      <c r="B233" s="1081">
        <v>360</v>
      </c>
      <c r="C233" s="1081">
        <v>576</v>
      </c>
      <c r="D233" s="1081">
        <v>12</v>
      </c>
      <c r="E233" s="1081">
        <v>80</v>
      </c>
      <c r="F233" s="1082">
        <v>210.27452725961575</v>
      </c>
      <c r="G233" s="1102">
        <f t="shared" si="38"/>
        <v>4.8323453364656412E-2</v>
      </c>
      <c r="H233" s="1088">
        <f t="shared" ref="H233:I233" si="44">H232</f>
        <v>0.94957983193277307</v>
      </c>
      <c r="I233" s="1088">
        <f t="shared" si="44"/>
        <v>0.9</v>
      </c>
      <c r="J233" s="1081">
        <v>350</v>
      </c>
      <c r="K233" s="1081">
        <f t="shared" si="39"/>
        <v>176</v>
      </c>
      <c r="L233" s="1086">
        <f t="shared" si="40"/>
        <v>4320</v>
      </c>
      <c r="M233" s="1086"/>
      <c r="N233" s="1087">
        <f t="shared" si="41"/>
        <v>36.388020705882354</v>
      </c>
    </row>
    <row r="234" spans="1:14" ht="14.5">
      <c r="A234" s="1080" t="s">
        <v>255</v>
      </c>
      <c r="B234" s="1081">
        <v>300</v>
      </c>
      <c r="C234" s="1081">
        <v>288</v>
      </c>
      <c r="D234" s="1081">
        <v>4</v>
      </c>
      <c r="E234" s="1081">
        <v>80</v>
      </c>
      <c r="F234" s="1082">
        <v>19.58585280498982</v>
      </c>
      <c r="G234" s="1102">
        <f t="shared" si="38"/>
        <v>4.5010494469470723E-3</v>
      </c>
      <c r="H234" s="1088">
        <f t="shared" ref="H234:I234" si="45">H233</f>
        <v>0.94957983193277307</v>
      </c>
      <c r="I234" s="1088">
        <f t="shared" si="45"/>
        <v>0.9</v>
      </c>
      <c r="J234" s="1081">
        <v>350</v>
      </c>
      <c r="K234" s="1081">
        <f t="shared" si="39"/>
        <v>176</v>
      </c>
      <c r="L234" s="1086">
        <f t="shared" si="40"/>
        <v>1200</v>
      </c>
      <c r="M234" s="1086"/>
      <c r="N234" s="1087">
        <f t="shared" si="41"/>
        <v>10.107783529411765</v>
      </c>
    </row>
    <row r="235" spans="1:14" ht="14.5">
      <c r="A235" s="1080" t="s">
        <v>255</v>
      </c>
      <c r="B235" s="1081">
        <v>1500</v>
      </c>
      <c r="C235" s="1081">
        <v>240</v>
      </c>
      <c r="D235" s="1081">
        <v>2</v>
      </c>
      <c r="E235" s="1081">
        <v>80</v>
      </c>
      <c r="F235" s="1082">
        <v>0</v>
      </c>
      <c r="G235" s="1102">
        <f t="shared" si="38"/>
        <v>0</v>
      </c>
      <c r="H235" s="1088">
        <f>H233</f>
        <v>0.94957983193277307</v>
      </c>
      <c r="I235" s="1088">
        <f>I233</f>
        <v>0.9</v>
      </c>
      <c r="J235" s="1081">
        <v>350</v>
      </c>
      <c r="K235" s="1081">
        <f t="shared" si="39"/>
        <v>176</v>
      </c>
      <c r="L235" s="1086">
        <f t="shared" si="40"/>
        <v>3000</v>
      </c>
      <c r="M235" s="1086"/>
      <c r="N235" s="1087">
        <f>(B235*D235*J235*H235*I235*K235*1440)/(9000*1000000)</f>
        <v>25.269458823529408</v>
      </c>
    </row>
    <row r="236" spans="1:14" ht="14.5">
      <c r="A236" s="1080" t="s">
        <v>255</v>
      </c>
      <c r="B236" s="1081">
        <v>1200</v>
      </c>
      <c r="C236" s="1081">
        <v>360</v>
      </c>
      <c r="D236" s="1081">
        <v>2</v>
      </c>
      <c r="E236" s="1081">
        <v>70</v>
      </c>
      <c r="F236" s="1082">
        <v>0</v>
      </c>
      <c r="G236" s="1102">
        <f t="shared" si="38"/>
        <v>0</v>
      </c>
      <c r="H236" s="1088">
        <f t="shared" ref="H236:I236" si="46">H235</f>
        <v>0.94957983193277307</v>
      </c>
      <c r="I236" s="1088">
        <f t="shared" si="46"/>
        <v>0.9</v>
      </c>
      <c r="J236" s="1081">
        <v>350</v>
      </c>
      <c r="K236" s="1081">
        <f t="shared" si="39"/>
        <v>176</v>
      </c>
      <c r="L236" s="1086">
        <f t="shared" si="40"/>
        <v>2400</v>
      </c>
      <c r="M236" s="1086"/>
      <c r="N236" s="1087">
        <f>(B236*D236*J236*H236*I236*K236*1440)/(9000*1000000)</f>
        <v>20.215567058823531</v>
      </c>
    </row>
    <row r="237" spans="1:14" ht="14.5">
      <c r="A237" s="1080" t="s">
        <v>255</v>
      </c>
      <c r="B237" s="1081">
        <v>400</v>
      </c>
      <c r="C237" s="1081">
        <v>576</v>
      </c>
      <c r="D237" s="1081">
        <v>6</v>
      </c>
      <c r="E237" s="1081">
        <v>80</v>
      </c>
      <c r="F237" s="1082">
        <v>242.3990533277653</v>
      </c>
      <c r="G237" s="1102">
        <f t="shared" si="38"/>
        <v>5.5706031071747299E-2</v>
      </c>
      <c r="H237" s="1088">
        <f t="shared" ref="H237" si="47">H236</f>
        <v>0.94957983193277307</v>
      </c>
      <c r="I237" s="1088">
        <f>I233</f>
        <v>0.9</v>
      </c>
      <c r="J237" s="1081">
        <v>350</v>
      </c>
      <c r="K237" s="1081">
        <f t="shared" si="39"/>
        <v>176</v>
      </c>
      <c r="L237" s="1086">
        <f t="shared" si="40"/>
        <v>2400</v>
      </c>
      <c r="M237" s="1086"/>
      <c r="N237" s="1087">
        <f t="shared" ref="N237" si="48">(B237*D237*J237*H237*I237*K237*1440)/(9000*1000000)</f>
        <v>20.215567058823531</v>
      </c>
    </row>
    <row r="238" spans="1:14">
      <c r="A238" s="1080"/>
      <c r="B238" s="1105">
        <f>SUMPRODUCT(B227:B237,$G$227:$G$237)</f>
        <v>495.29411752868037</v>
      </c>
      <c r="C238" s="1124"/>
      <c r="D238" s="1105"/>
      <c r="E238" s="1081"/>
      <c r="F238" s="1104">
        <f>SUM(F227:F237)</f>
        <v>4351.396943278266</v>
      </c>
      <c r="G238" s="1104"/>
      <c r="H238" s="1316">
        <f>SUMPRODUCT(H227:H237,G227:G237)</f>
        <v>0.94957983193277296</v>
      </c>
      <c r="I238" s="1316">
        <f>SUMPRODUCT(I227:I237,G227:G237)</f>
        <v>0.9</v>
      </c>
      <c r="J238" s="1105">
        <f>SUMPRODUCT(J227:J237,G227:G237)</f>
        <v>350</v>
      </c>
      <c r="K238" s="1105">
        <f>SUMPRODUCT(K227:K237,G227:G237)</f>
        <v>176</v>
      </c>
      <c r="L238" s="1317">
        <f>SUMPRODUCT(L227:L237,G227:G237)</f>
        <v>2556.5694852620586</v>
      </c>
      <c r="M238" s="1086"/>
      <c r="N238" s="1106">
        <f>SUMPRODUCT(N227:N237,G227:G237)</f>
        <v>21.534375779107126</v>
      </c>
    </row>
    <row r="239" spans="1:14">
      <c r="A239" s="1108" t="s">
        <v>1420</v>
      </c>
      <c r="B239" s="1109">
        <f>SUMPRODUCT(B227:B237,G227:G237)</f>
        <v>495.29411752868037</v>
      </c>
      <c r="C239" s="1109"/>
      <c r="D239" s="1156"/>
      <c r="E239" s="1109"/>
      <c r="F239" s="1110">
        <f>F238/$F$249</f>
        <v>12.835979183711698</v>
      </c>
      <c r="G239" s="1109"/>
      <c r="H239" s="1109"/>
      <c r="I239" s="1109"/>
      <c r="J239" s="1109"/>
      <c r="K239" s="1109"/>
      <c r="L239" s="1112"/>
      <c r="M239" s="1112"/>
      <c r="N239" s="1125">
        <f>F239/N238</f>
        <v>0.5960692483208776</v>
      </c>
    </row>
    <row r="240" spans="1:14">
      <c r="F240" s="1100">
        <v>4351.396943278266</v>
      </c>
    </row>
    <row r="241" spans="1:14">
      <c r="F241" s="1122">
        <f>F238-F240</f>
        <v>0</v>
      </c>
    </row>
    <row r="242" spans="1:14">
      <c r="A242" s="1151"/>
      <c r="B242" s="1152"/>
      <c r="C242" s="1152"/>
      <c r="D242" s="1152"/>
      <c r="E242" s="1152"/>
      <c r="F242" s="1123"/>
      <c r="G242" s="1152"/>
      <c r="H242" s="1152"/>
      <c r="I242" s="1152"/>
      <c r="J242" s="1152"/>
      <c r="K242" s="1152"/>
      <c r="L242" s="1152"/>
      <c r="M242" s="1152"/>
      <c r="N242" s="1153"/>
    </row>
    <row r="243" spans="1:14">
      <c r="A243" s="1151"/>
      <c r="B243" s="1152"/>
      <c r="C243" s="1152"/>
      <c r="D243" s="1152"/>
      <c r="E243" s="1152"/>
      <c r="F243" s="1123"/>
      <c r="G243" s="1152"/>
      <c r="H243" s="1152"/>
      <c r="I243" s="1152"/>
      <c r="J243" s="1152"/>
      <c r="K243" s="1152"/>
      <c r="L243" s="1152"/>
      <c r="M243" s="1152"/>
      <c r="N243" s="1153"/>
    </row>
    <row r="244" spans="1:14">
      <c r="A244" s="1151"/>
      <c r="B244" s="1152"/>
      <c r="C244" s="1152"/>
      <c r="D244" s="1152"/>
      <c r="E244" s="1152"/>
      <c r="F244" s="1123"/>
      <c r="G244" s="1152"/>
      <c r="H244" s="1152"/>
      <c r="I244" s="1152"/>
      <c r="J244" s="1152"/>
      <c r="K244" s="1152"/>
      <c r="L244" s="1152"/>
      <c r="M244" s="1152"/>
      <c r="N244" s="1153"/>
    </row>
    <row r="245" spans="1:14">
      <c r="A245" s="1072" t="s">
        <v>1408</v>
      </c>
      <c r="F245" s="1072">
        <v>357</v>
      </c>
    </row>
    <row r="246" spans="1:14">
      <c r="A246" s="1072" t="s">
        <v>1409</v>
      </c>
      <c r="F246" s="1072">
        <v>6</v>
      </c>
    </row>
    <row r="247" spans="1:14">
      <c r="A247" s="1072" t="s">
        <v>489</v>
      </c>
      <c r="F247" s="1072">
        <v>0</v>
      </c>
    </row>
    <row r="248" spans="1:14">
      <c r="A248" s="1072" t="s">
        <v>1410</v>
      </c>
      <c r="F248" s="1072">
        <f>1*12</f>
        <v>12</v>
      </c>
    </row>
    <row r="249" spans="1:14">
      <c r="A249" s="1073" t="s">
        <v>1411</v>
      </c>
      <c r="F249" s="1073">
        <f>F245-F246-F248-F247</f>
        <v>339</v>
      </c>
      <c r="G249" s="1074">
        <f>F249/F245</f>
        <v>0.94957983193277307</v>
      </c>
    </row>
    <row r="250" spans="1:14">
      <c r="A250" s="1072" t="s">
        <v>1424</v>
      </c>
      <c r="E250" s="1072">
        <v>5</v>
      </c>
    </row>
    <row r="251" spans="1:14">
      <c r="A251" s="1072" t="s">
        <v>1425</v>
      </c>
      <c r="E251" s="1072">
        <v>104</v>
      </c>
    </row>
    <row r="252" spans="1:14" ht="14.5">
      <c r="A252" s="1073" t="s">
        <v>1426</v>
      </c>
      <c r="B252" s="1073"/>
      <c r="C252" s="1073"/>
      <c r="D252" s="1073"/>
      <c r="E252" s="1073">
        <f>E250*E251</f>
        <v>520</v>
      </c>
      <c r="F252" s="1072">
        <v>18</v>
      </c>
      <c r="G252" s="1154">
        <f>F252/E252</f>
        <v>3.4615384615384617E-2</v>
      </c>
      <c r="J252" s="1072">
        <v>2600</v>
      </c>
    </row>
    <row r="253" spans="1:14">
      <c r="A253" s="1075" t="s">
        <v>1412</v>
      </c>
      <c r="B253" s="1076" t="s">
        <v>1209</v>
      </c>
      <c r="C253" s="1076" t="s">
        <v>1413</v>
      </c>
      <c r="D253" s="1076" t="s">
        <v>1414</v>
      </c>
      <c r="E253" s="1076" t="s">
        <v>327</v>
      </c>
      <c r="F253" s="1076" t="s">
        <v>971</v>
      </c>
      <c r="G253" s="1076" t="s">
        <v>1416</v>
      </c>
      <c r="H253" s="1076" t="s">
        <v>1417</v>
      </c>
      <c r="I253" s="1076" t="s">
        <v>1418</v>
      </c>
      <c r="J253" s="1076" t="s">
        <v>35</v>
      </c>
      <c r="K253" s="1076" t="s">
        <v>1419</v>
      </c>
      <c r="L253" s="1078" t="s">
        <v>1516</v>
      </c>
      <c r="M253" s="1078"/>
      <c r="N253" s="1079" t="s">
        <v>983</v>
      </c>
    </row>
    <row r="254" spans="1:14" ht="14.5">
      <c r="A254" s="1080" t="s">
        <v>1429</v>
      </c>
      <c r="B254" s="1081">
        <v>600</v>
      </c>
      <c r="C254" s="1081">
        <v>576</v>
      </c>
      <c r="D254" s="1081">
        <v>4</v>
      </c>
      <c r="E254" s="1081">
        <v>80</v>
      </c>
      <c r="F254" s="1082">
        <v>2919.4937801108758</v>
      </c>
      <c r="G254" s="1102">
        <f t="shared" ref="G254:G264" si="49">F254/$F$265</f>
        <v>0.67093253457851176</v>
      </c>
      <c r="H254" s="1088">
        <f>$G$249</f>
        <v>0.94957983193277307</v>
      </c>
      <c r="I254" s="1088">
        <f>[68]Assumption!J141</f>
        <v>0.9</v>
      </c>
      <c r="J254" s="1081">
        <f>$J$252/E254*2</f>
        <v>65</v>
      </c>
      <c r="K254" s="1081">
        <f t="shared" ref="K254:K264" si="50">$E$252</f>
        <v>520</v>
      </c>
      <c r="L254" s="1086">
        <f>B254*D254</f>
        <v>2400</v>
      </c>
      <c r="M254" s="1086"/>
      <c r="N254" s="1087">
        <f>(B254*D254*J254*H254*I254*K254*1440)/(9000*1000000)</f>
        <v>11.092307899159662</v>
      </c>
    </row>
    <row r="255" spans="1:14" ht="14.5">
      <c r="A255" s="1080" t="s">
        <v>1429</v>
      </c>
      <c r="B255" s="1081">
        <v>400</v>
      </c>
      <c r="C255" s="1081">
        <v>576</v>
      </c>
      <c r="D255" s="1081">
        <v>8</v>
      </c>
      <c r="E255" s="1081">
        <v>40</v>
      </c>
      <c r="F255" s="1082">
        <v>19.621966990801738</v>
      </c>
      <c r="G255" s="1102">
        <f t="shared" si="49"/>
        <v>4.5093488933737429E-3</v>
      </c>
      <c r="H255" s="1088">
        <f>H254</f>
        <v>0.94957983193277307</v>
      </c>
      <c r="I255" s="1088">
        <f>I254</f>
        <v>0.9</v>
      </c>
      <c r="J255" s="1081">
        <f>$J$252/E255*2</f>
        <v>130</v>
      </c>
      <c r="K255" s="1081">
        <f t="shared" si="50"/>
        <v>520</v>
      </c>
      <c r="L255" s="1086">
        <f t="shared" ref="L255:L264" si="51">B255*D255</f>
        <v>3200</v>
      </c>
      <c r="M255" s="1086"/>
      <c r="N255" s="1087">
        <f t="shared" ref="N255:N264" si="52">(B255*D255*J255*H255*I255*K255*1440)/(9000*1000000)</f>
        <v>29.579487731092438</v>
      </c>
    </row>
    <row r="256" spans="1:14" ht="14.5">
      <c r="A256" s="1080" t="s">
        <v>1429</v>
      </c>
      <c r="B256" s="1081">
        <v>400</v>
      </c>
      <c r="C256" s="1081">
        <v>576</v>
      </c>
      <c r="D256" s="1081">
        <v>8</v>
      </c>
      <c r="E256" s="1081">
        <v>80</v>
      </c>
      <c r="F256" s="1082">
        <v>21.597008691814761</v>
      </c>
      <c r="G256" s="1102">
        <f t="shared" si="49"/>
        <v>4.9632357087478103E-3</v>
      </c>
      <c r="H256" s="1088">
        <f>H255</f>
        <v>0.94957983193277307</v>
      </c>
      <c r="I256" s="1088">
        <f>I255</f>
        <v>0.9</v>
      </c>
      <c r="J256" s="1081">
        <f t="shared" ref="J256:J264" si="53">$J$252/E256*2</f>
        <v>65</v>
      </c>
      <c r="K256" s="1081">
        <f t="shared" si="50"/>
        <v>520</v>
      </c>
      <c r="L256" s="1086">
        <f t="shared" si="51"/>
        <v>3200</v>
      </c>
      <c r="M256" s="1086"/>
      <c r="N256" s="1087">
        <f t="shared" si="52"/>
        <v>14.789743865546219</v>
      </c>
    </row>
    <row r="257" spans="1:15" ht="14.5">
      <c r="A257" s="1080" t="s">
        <v>1429</v>
      </c>
      <c r="B257" s="1081">
        <v>200</v>
      </c>
      <c r="C257" s="1081">
        <v>288</v>
      </c>
      <c r="D257" s="1081">
        <v>14</v>
      </c>
      <c r="E257" s="1081">
        <v>80</v>
      </c>
      <c r="F257" s="1082">
        <v>763.31042350559937</v>
      </c>
      <c r="G257" s="1102">
        <f t="shared" si="49"/>
        <v>0.17541732768937754</v>
      </c>
      <c r="H257" s="1088">
        <f>H255</f>
        <v>0.94957983193277307</v>
      </c>
      <c r="I257" s="1088">
        <f>I255</f>
        <v>0.9</v>
      </c>
      <c r="J257" s="1081">
        <f t="shared" si="53"/>
        <v>65</v>
      </c>
      <c r="K257" s="1081">
        <f t="shared" si="50"/>
        <v>520</v>
      </c>
      <c r="L257" s="1086">
        <f t="shared" si="51"/>
        <v>2800</v>
      </c>
      <c r="M257" s="1086"/>
      <c r="N257" s="1087">
        <f t="shared" si="52"/>
        <v>12.941025882352941</v>
      </c>
      <c r="O257" s="1072">
        <f>B257*D257</f>
        <v>2800</v>
      </c>
    </row>
    <row r="258" spans="1:15" ht="14.5">
      <c r="A258" s="1080" t="s">
        <v>1429</v>
      </c>
      <c r="B258" s="1081">
        <v>900</v>
      </c>
      <c r="C258" s="1081">
        <v>384</v>
      </c>
      <c r="D258" s="1081">
        <v>3</v>
      </c>
      <c r="E258" s="1081">
        <v>80</v>
      </c>
      <c r="F258" s="1082">
        <v>0</v>
      </c>
      <c r="G258" s="1102">
        <f t="shared" si="49"/>
        <v>0</v>
      </c>
      <c r="H258" s="1088">
        <f t="shared" ref="H258:I264" si="54">H257</f>
        <v>0.94957983193277307</v>
      </c>
      <c r="I258" s="1088">
        <f t="shared" si="54"/>
        <v>0.9</v>
      </c>
      <c r="J258" s="1081">
        <f t="shared" si="53"/>
        <v>65</v>
      </c>
      <c r="K258" s="1081">
        <f t="shared" si="50"/>
        <v>520</v>
      </c>
      <c r="L258" s="1086">
        <f t="shared" si="51"/>
        <v>2700</v>
      </c>
      <c r="M258" s="1086"/>
      <c r="N258" s="1087">
        <f t="shared" si="52"/>
        <v>12.47884638655462</v>
      </c>
    </row>
    <row r="259" spans="1:15" ht="14.5">
      <c r="A259" s="1080" t="s">
        <v>1429</v>
      </c>
      <c r="B259" s="1081">
        <v>360</v>
      </c>
      <c r="C259" s="1081">
        <v>576</v>
      </c>
      <c r="D259" s="1081">
        <v>6</v>
      </c>
      <c r="E259" s="1081">
        <v>80</v>
      </c>
      <c r="F259" s="1082">
        <v>155.11433058680333</v>
      </c>
      <c r="G259" s="1102">
        <f t="shared" si="49"/>
        <v>3.5647019246638281E-2</v>
      </c>
      <c r="H259" s="1088">
        <f t="shared" si="54"/>
        <v>0.94957983193277307</v>
      </c>
      <c r="I259" s="1088">
        <f t="shared" si="54"/>
        <v>0.9</v>
      </c>
      <c r="J259" s="1081">
        <f t="shared" si="53"/>
        <v>65</v>
      </c>
      <c r="K259" s="1081">
        <f t="shared" si="50"/>
        <v>520</v>
      </c>
      <c r="L259" s="1086">
        <f t="shared" si="51"/>
        <v>2160</v>
      </c>
      <c r="M259" s="1086"/>
      <c r="N259" s="1087">
        <f t="shared" si="52"/>
        <v>9.9830771092436965</v>
      </c>
    </row>
    <row r="260" spans="1:15" ht="14.5">
      <c r="A260" s="1080" t="s">
        <v>1429</v>
      </c>
      <c r="B260" s="1081">
        <v>360</v>
      </c>
      <c r="C260" s="1081">
        <v>576</v>
      </c>
      <c r="D260" s="1081">
        <v>12</v>
      </c>
      <c r="E260" s="1081">
        <v>80</v>
      </c>
      <c r="F260" s="1082">
        <v>210.27452725961575</v>
      </c>
      <c r="G260" s="1102">
        <f t="shared" si="49"/>
        <v>4.8323453364656412E-2</v>
      </c>
      <c r="H260" s="1088">
        <f t="shared" si="54"/>
        <v>0.94957983193277307</v>
      </c>
      <c r="I260" s="1088">
        <f t="shared" si="54"/>
        <v>0.9</v>
      </c>
      <c r="J260" s="1081">
        <f t="shared" si="53"/>
        <v>65</v>
      </c>
      <c r="K260" s="1081">
        <f t="shared" si="50"/>
        <v>520</v>
      </c>
      <c r="L260" s="1086">
        <f t="shared" si="51"/>
        <v>4320</v>
      </c>
      <c r="M260" s="1086"/>
      <c r="N260" s="1087">
        <f t="shared" si="52"/>
        <v>19.966154218487393</v>
      </c>
      <c r="O260" s="1072">
        <f>B260*D260</f>
        <v>4320</v>
      </c>
    </row>
    <row r="261" spans="1:15" ht="14.5">
      <c r="A261" s="1080" t="s">
        <v>1429</v>
      </c>
      <c r="B261" s="1081">
        <v>300</v>
      </c>
      <c r="C261" s="1081">
        <v>288</v>
      </c>
      <c r="D261" s="1081">
        <v>4</v>
      </c>
      <c r="E261" s="1081">
        <v>80</v>
      </c>
      <c r="F261" s="1082">
        <v>19.58585280498982</v>
      </c>
      <c r="G261" s="1102">
        <f t="shared" si="49"/>
        <v>4.5010494469470723E-3</v>
      </c>
      <c r="H261" s="1088">
        <f t="shared" si="54"/>
        <v>0.94957983193277307</v>
      </c>
      <c r="I261" s="1088">
        <f t="shared" si="54"/>
        <v>0.9</v>
      </c>
      <c r="J261" s="1081">
        <f>$J$252/E261*2</f>
        <v>65</v>
      </c>
      <c r="K261" s="1081">
        <f t="shared" si="50"/>
        <v>520</v>
      </c>
      <c r="L261" s="1086">
        <f t="shared" si="51"/>
        <v>1200</v>
      </c>
      <c r="M261" s="1086"/>
      <c r="N261" s="1087">
        <f t="shared" si="52"/>
        <v>5.5461539495798311</v>
      </c>
    </row>
    <row r="262" spans="1:15" ht="14.5">
      <c r="A262" s="1080" t="s">
        <v>1429</v>
      </c>
      <c r="B262" s="1081">
        <v>1500</v>
      </c>
      <c r="C262" s="1081">
        <v>240</v>
      </c>
      <c r="D262" s="1081">
        <v>2</v>
      </c>
      <c r="E262" s="1081">
        <v>80</v>
      </c>
      <c r="F262" s="1082">
        <v>0</v>
      </c>
      <c r="G262" s="1102">
        <f t="shared" si="49"/>
        <v>0</v>
      </c>
      <c r="H262" s="1088">
        <f>H260</f>
        <v>0.94957983193277307</v>
      </c>
      <c r="I262" s="1088">
        <f>I260</f>
        <v>0.9</v>
      </c>
      <c r="J262" s="1081">
        <f t="shared" si="53"/>
        <v>65</v>
      </c>
      <c r="K262" s="1081">
        <f t="shared" si="50"/>
        <v>520</v>
      </c>
      <c r="L262" s="1086">
        <f t="shared" si="51"/>
        <v>3000</v>
      </c>
      <c r="M262" s="1086"/>
      <c r="N262" s="1087">
        <f>(B262*D262*J262*H262*I262*K262*1440)/(9000*1000000)</f>
        <v>13.865384873949578</v>
      </c>
    </row>
    <row r="263" spans="1:15" ht="14.5">
      <c r="A263" s="1080" t="s">
        <v>1429</v>
      </c>
      <c r="B263" s="1081">
        <v>1200</v>
      </c>
      <c r="C263" s="1081">
        <v>360</v>
      </c>
      <c r="D263" s="1081">
        <v>2</v>
      </c>
      <c r="E263" s="1081">
        <v>70</v>
      </c>
      <c r="F263" s="1082">
        <v>0</v>
      </c>
      <c r="G263" s="1102">
        <f t="shared" si="49"/>
        <v>0</v>
      </c>
      <c r="H263" s="1088">
        <f t="shared" si="54"/>
        <v>0.94957983193277307</v>
      </c>
      <c r="I263" s="1088">
        <f t="shared" si="54"/>
        <v>0.9</v>
      </c>
      <c r="J263" s="1155">
        <f t="shared" si="53"/>
        <v>74.285714285714292</v>
      </c>
      <c r="K263" s="1081">
        <f t="shared" si="50"/>
        <v>520</v>
      </c>
      <c r="L263" s="1086">
        <f t="shared" si="51"/>
        <v>2400</v>
      </c>
      <c r="M263" s="1086"/>
      <c r="N263" s="1087">
        <f>(B263*D263*J263*H263*I263*K263*1440)/(9000*1000000)</f>
        <v>12.676923313325331</v>
      </c>
    </row>
    <row r="264" spans="1:15" ht="14.5">
      <c r="A264" s="1080" t="s">
        <v>1429</v>
      </c>
      <c r="B264" s="1081">
        <v>400</v>
      </c>
      <c r="C264" s="1081">
        <v>576</v>
      </c>
      <c r="D264" s="1081">
        <v>6</v>
      </c>
      <c r="E264" s="1081">
        <v>80</v>
      </c>
      <c r="F264" s="1082">
        <v>242.3990533277653</v>
      </c>
      <c r="G264" s="1102">
        <f t="shared" si="49"/>
        <v>5.5706031071747299E-2</v>
      </c>
      <c r="H264" s="1088">
        <f t="shared" si="54"/>
        <v>0.94957983193277307</v>
      </c>
      <c r="I264" s="1088">
        <f>I260</f>
        <v>0.9</v>
      </c>
      <c r="J264" s="1081">
        <f t="shared" si="53"/>
        <v>65</v>
      </c>
      <c r="K264" s="1081">
        <f t="shared" si="50"/>
        <v>520</v>
      </c>
      <c r="L264" s="1086">
        <f t="shared" si="51"/>
        <v>2400</v>
      </c>
      <c r="M264" s="1086"/>
      <c r="N264" s="1087">
        <f t="shared" si="52"/>
        <v>11.092307899159662</v>
      </c>
    </row>
    <row r="265" spans="1:15">
      <c r="A265" s="1080"/>
      <c r="B265" s="1105">
        <f>SUMPRODUCT(B254:B264,$G$254:$G$264)</f>
        <v>495.29411752868037</v>
      </c>
      <c r="C265" s="1124"/>
      <c r="D265" s="1105">
        <f>SUMPRODUCT(D254:D264,$G$254:$G$264)-2</f>
        <v>4.3613573428562846</v>
      </c>
      <c r="E265" s="1081"/>
      <c r="F265" s="1104">
        <f>SUM(F254:F264)</f>
        <v>4351.396943278266</v>
      </c>
      <c r="G265" s="1104"/>
      <c r="H265" s="1319">
        <f>SUMPRODUCT(H254:H264,$G$254:$G$264)</f>
        <v>0.94957983193277296</v>
      </c>
      <c r="I265" s="1319">
        <f>SUMPRODUCT(I254:I264,$G$254:$G$264)</f>
        <v>0.9</v>
      </c>
      <c r="J265" s="1105">
        <f>SUMPRODUCT(J254:J264,G254:G264)</f>
        <v>65.293107678069291</v>
      </c>
      <c r="K265" s="1105">
        <f>SUMPRODUCT(K254:K264,$G$254:$G$264)</f>
        <v>519.99999999999989</v>
      </c>
      <c r="L265" s="1105">
        <f>SUMPRODUCT(L254:L264,$G$254:$G$264)</f>
        <v>2556.5694852620586</v>
      </c>
      <c r="M265" s="1086"/>
      <c r="N265" s="1106">
        <f>SUMPRODUCT(N254:N264,G254:G264)</f>
        <v>11.882632071851249</v>
      </c>
    </row>
    <row r="266" spans="1:15">
      <c r="A266" s="1108" t="s">
        <v>1420</v>
      </c>
      <c r="B266" s="1109"/>
      <c r="C266" s="1109"/>
      <c r="D266" s="1156">
        <f>B265*D265</f>
        <v>2160.1546363572338</v>
      </c>
      <c r="E266" s="1109"/>
      <c r="F266" s="1110">
        <f>F265/$F$249</f>
        <v>12.835979183711698</v>
      </c>
      <c r="G266" s="1109"/>
      <c r="H266" s="1109"/>
      <c r="I266" s="1109"/>
      <c r="J266" s="1109"/>
      <c r="K266" s="1109"/>
      <c r="L266" s="1112"/>
      <c r="M266" s="1112"/>
      <c r="N266" s="1125">
        <f>F266/N265</f>
        <v>1.0802302979757179</v>
      </c>
    </row>
    <row r="267" spans="1:15">
      <c r="F267" s="1100">
        <v>4351.396943278266</v>
      </c>
    </row>
    <row r="268" spans="1:15">
      <c r="F268" s="1122">
        <f>F265-F267</f>
        <v>0</v>
      </c>
    </row>
    <row r="269" spans="1:15">
      <c r="F269" s="1123"/>
    </row>
    <row r="270" spans="1:15">
      <c r="A270" s="1072" t="s">
        <v>1408</v>
      </c>
      <c r="F270" s="1072">
        <v>365</v>
      </c>
    </row>
    <row r="271" spans="1:15">
      <c r="A271" s="1072" t="s">
        <v>1409</v>
      </c>
      <c r="F271" s="1072">
        <f>1*12</f>
        <v>12</v>
      </c>
    </row>
    <row r="272" spans="1:15">
      <c r="A272" s="1072" t="s">
        <v>489</v>
      </c>
      <c r="F272" s="1072">
        <v>0</v>
      </c>
    </row>
    <row r="273" spans="1:15" ht="14.5">
      <c r="A273" s="1072" t="s">
        <v>1410</v>
      </c>
      <c r="F273" s="1072">
        <v>24</v>
      </c>
      <c r="H273" s="1154"/>
    </row>
    <row r="274" spans="1:15">
      <c r="A274" s="1073" t="s">
        <v>1411</v>
      </c>
      <c r="F274" s="1073">
        <f>F270-F271-F273-F272</f>
        <v>329</v>
      </c>
      <c r="G274" s="1074">
        <f>F274/F270</f>
        <v>0.90136986301369859</v>
      </c>
    </row>
    <row r="275" spans="1:15">
      <c r="A275" s="1072" t="s">
        <v>1424</v>
      </c>
      <c r="E275" s="1072">
        <v>5</v>
      </c>
    </row>
    <row r="276" spans="1:15">
      <c r="A276" s="1072" t="s">
        <v>1425</v>
      </c>
      <c r="E276" s="1072">
        <v>72</v>
      </c>
    </row>
    <row r="277" spans="1:15">
      <c r="A277" s="1073" t="s">
        <v>1426</v>
      </c>
      <c r="B277" s="1073"/>
      <c r="C277" s="1073"/>
      <c r="D277" s="1073"/>
      <c r="E277" s="1073">
        <f>E275*E276</f>
        <v>360</v>
      </c>
    </row>
    <row r="278" spans="1:15">
      <c r="A278" s="1075" t="s">
        <v>1412</v>
      </c>
      <c r="B278" s="1076" t="s">
        <v>1209</v>
      </c>
      <c r="C278" s="1076" t="s">
        <v>1413</v>
      </c>
      <c r="D278" s="1076" t="s">
        <v>1414</v>
      </c>
      <c r="E278" s="1157" t="s">
        <v>327</v>
      </c>
      <c r="F278" s="1076" t="s">
        <v>1415</v>
      </c>
      <c r="G278" s="1076" t="s">
        <v>971</v>
      </c>
      <c r="H278" s="1076" t="s">
        <v>1416</v>
      </c>
      <c r="I278" s="1076" t="s">
        <v>1417</v>
      </c>
      <c r="J278" s="1076" t="s">
        <v>1418</v>
      </c>
      <c r="K278" s="1077" t="s">
        <v>35</v>
      </c>
      <c r="L278" s="1076" t="s">
        <v>1419</v>
      </c>
      <c r="M278" s="1078" t="s">
        <v>1430</v>
      </c>
      <c r="N278" s="1078" t="s">
        <v>490</v>
      </c>
      <c r="O278" s="1079" t="s">
        <v>983</v>
      </c>
    </row>
    <row r="279" spans="1:15" ht="14.5">
      <c r="A279" s="1080" t="s">
        <v>25</v>
      </c>
      <c r="B279" s="1081">
        <v>1125</v>
      </c>
      <c r="C279" s="1081">
        <v>69</v>
      </c>
      <c r="D279" s="1081">
        <v>2</v>
      </c>
      <c r="E279" s="1152">
        <v>130</v>
      </c>
      <c r="F279" s="1081">
        <f t="shared" ref="F279:F332" si="55">B279*D279</f>
        <v>2250</v>
      </c>
      <c r="G279" s="1155">
        <v>27.063628228343674</v>
      </c>
      <c r="H279" s="1102">
        <f t="shared" ref="H279:H332" si="56">G279/$G$333</f>
        <v>2.1138756729162248E-3</v>
      </c>
      <c r="I279" s="1102">
        <f>I312</f>
        <v>0.90136986301369859</v>
      </c>
      <c r="J279" s="1088">
        <f>J312</f>
        <v>0.9</v>
      </c>
      <c r="K279" s="1081">
        <v>350</v>
      </c>
      <c r="L279" s="1081">
        <f>$E$277</f>
        <v>360</v>
      </c>
      <c r="M279" s="1158">
        <v>0</v>
      </c>
      <c r="N279" s="1086"/>
      <c r="O279" s="1087">
        <f>(F279*K279*I279*J279*(L279+M279)*1440)/(9000*1000000)</f>
        <v>36.797523287671233</v>
      </c>
    </row>
    <row r="280" spans="1:15" ht="14.5">
      <c r="A280" s="1080" t="s">
        <v>25</v>
      </c>
      <c r="B280" s="1081">
        <v>1125</v>
      </c>
      <c r="C280" s="1081">
        <v>69</v>
      </c>
      <c r="D280" s="1081">
        <v>2</v>
      </c>
      <c r="E280" s="1152">
        <v>210</v>
      </c>
      <c r="F280" s="1081">
        <f t="shared" si="55"/>
        <v>2250</v>
      </c>
      <c r="G280" s="1155">
        <v>418.29875818713629</v>
      </c>
      <c r="H280" s="1102">
        <f t="shared" si="56"/>
        <v>3.2672321740541799E-2</v>
      </c>
      <c r="I280" s="1102">
        <f t="shared" ref="I280:J295" si="57">I279</f>
        <v>0.90136986301369859</v>
      </c>
      <c r="J280" s="1088">
        <f t="shared" si="57"/>
        <v>0.9</v>
      </c>
      <c r="K280" s="1081">
        <v>350</v>
      </c>
      <c r="L280" s="1081">
        <f t="shared" ref="L280:L332" si="58">$E$277</f>
        <v>360</v>
      </c>
      <c r="M280" s="1158">
        <v>0</v>
      </c>
      <c r="N280" s="1086"/>
      <c r="O280" s="1087">
        <f t="shared" ref="O280:O332" si="59">(F280*K280*I280*J280*(L280+M280)*1440)/(9000*1000000)</f>
        <v>36.797523287671233</v>
      </c>
    </row>
    <row r="281" spans="1:15" ht="14.5">
      <c r="A281" s="1080" t="s">
        <v>25</v>
      </c>
      <c r="B281" s="1081">
        <v>1125</v>
      </c>
      <c r="C281" s="1081">
        <v>126</v>
      </c>
      <c r="D281" s="1081">
        <v>2</v>
      </c>
      <c r="E281" s="1152">
        <v>180</v>
      </c>
      <c r="F281" s="1081">
        <f t="shared" si="55"/>
        <v>2250</v>
      </c>
      <c r="G281" s="1155">
        <v>29.381255111999998</v>
      </c>
      <c r="H281" s="1102">
        <f t="shared" si="56"/>
        <v>2.2948999999917365E-3</v>
      </c>
      <c r="I281" s="1102">
        <f t="shared" si="57"/>
        <v>0.90136986301369859</v>
      </c>
      <c r="J281" s="1088">
        <f t="shared" si="57"/>
        <v>0.9</v>
      </c>
      <c r="K281" s="1081">
        <v>350</v>
      </c>
      <c r="L281" s="1081">
        <f t="shared" si="58"/>
        <v>360</v>
      </c>
      <c r="M281" s="1158">
        <v>0</v>
      </c>
      <c r="N281" s="1086"/>
      <c r="O281" s="1087">
        <f t="shared" si="59"/>
        <v>36.797523287671233</v>
      </c>
    </row>
    <row r="282" spans="1:15" ht="14.5">
      <c r="A282" s="1080" t="s">
        <v>25</v>
      </c>
      <c r="B282" s="1081">
        <v>1200</v>
      </c>
      <c r="C282" s="1081">
        <v>69</v>
      </c>
      <c r="D282" s="1081">
        <v>2</v>
      </c>
      <c r="E282" s="1152">
        <v>150</v>
      </c>
      <c r="F282" s="1081">
        <f t="shared" si="55"/>
        <v>2400</v>
      </c>
      <c r="G282" s="1155">
        <v>0</v>
      </c>
      <c r="H282" s="1102">
        <f t="shared" si="56"/>
        <v>0</v>
      </c>
      <c r="I282" s="1102">
        <f t="shared" si="57"/>
        <v>0.90136986301369859</v>
      </c>
      <c r="J282" s="1088">
        <f t="shared" si="57"/>
        <v>0.9</v>
      </c>
      <c r="K282" s="1081">
        <v>350</v>
      </c>
      <c r="L282" s="1081">
        <f t="shared" si="58"/>
        <v>360</v>
      </c>
      <c r="M282" s="1158">
        <v>0</v>
      </c>
      <c r="N282" s="1086"/>
      <c r="O282" s="1087">
        <f t="shared" si="59"/>
        <v>39.250691506849314</v>
      </c>
    </row>
    <row r="283" spans="1:15" ht="14.5">
      <c r="A283" s="1080" t="s">
        <v>25</v>
      </c>
      <c r="B283" s="1081">
        <v>1200</v>
      </c>
      <c r="C283" s="1081">
        <v>69</v>
      </c>
      <c r="D283" s="1081">
        <v>2</v>
      </c>
      <c r="E283" s="1152">
        <v>210</v>
      </c>
      <c r="F283" s="1081">
        <f t="shared" si="55"/>
        <v>2400</v>
      </c>
      <c r="G283" s="1155">
        <v>0</v>
      </c>
      <c r="H283" s="1102">
        <f t="shared" si="56"/>
        <v>0</v>
      </c>
      <c r="I283" s="1102">
        <f t="shared" si="57"/>
        <v>0.90136986301369859</v>
      </c>
      <c r="J283" s="1088">
        <f t="shared" si="57"/>
        <v>0.9</v>
      </c>
      <c r="K283" s="1081">
        <v>350</v>
      </c>
      <c r="L283" s="1081">
        <f t="shared" si="58"/>
        <v>360</v>
      </c>
      <c r="M283" s="1158">
        <v>0</v>
      </c>
      <c r="N283" s="1086"/>
      <c r="O283" s="1087">
        <f t="shared" si="59"/>
        <v>39.250691506849314</v>
      </c>
    </row>
    <row r="284" spans="1:15" ht="14.5">
      <c r="A284" s="1080" t="s">
        <v>25</v>
      </c>
      <c r="B284" s="1081">
        <v>1200</v>
      </c>
      <c r="C284" s="1081">
        <v>69</v>
      </c>
      <c r="D284" s="1081">
        <v>2</v>
      </c>
      <c r="E284" s="1152">
        <v>240</v>
      </c>
      <c r="F284" s="1081">
        <f t="shared" si="55"/>
        <v>2400</v>
      </c>
      <c r="G284" s="1155">
        <v>63.324836583524991</v>
      </c>
      <c r="H284" s="1102">
        <f t="shared" si="56"/>
        <v>4.9461524676546039E-3</v>
      </c>
      <c r="I284" s="1102">
        <f t="shared" si="57"/>
        <v>0.90136986301369859</v>
      </c>
      <c r="J284" s="1088">
        <f t="shared" si="57"/>
        <v>0.9</v>
      </c>
      <c r="K284" s="1081">
        <v>350</v>
      </c>
      <c r="L284" s="1081">
        <f t="shared" si="58"/>
        <v>360</v>
      </c>
      <c r="M284" s="1158">
        <v>0</v>
      </c>
      <c r="N284" s="1086"/>
      <c r="O284" s="1087">
        <f t="shared" si="59"/>
        <v>39.250691506849314</v>
      </c>
    </row>
    <row r="285" spans="1:15" ht="14.5">
      <c r="A285" s="1080" t="s">
        <v>25</v>
      </c>
      <c r="B285" s="1081">
        <v>1200</v>
      </c>
      <c r="C285" s="1081">
        <v>120</v>
      </c>
      <c r="D285" s="1081">
        <v>2</v>
      </c>
      <c r="E285" s="1152">
        <v>130</v>
      </c>
      <c r="F285" s="1081">
        <f t="shared" si="55"/>
        <v>2400</v>
      </c>
      <c r="G285" s="1155">
        <v>0</v>
      </c>
      <c r="H285" s="1102">
        <f t="shared" si="56"/>
        <v>0</v>
      </c>
      <c r="I285" s="1102">
        <f t="shared" si="57"/>
        <v>0.90136986301369859</v>
      </c>
      <c r="J285" s="1088">
        <f t="shared" si="57"/>
        <v>0.9</v>
      </c>
      <c r="K285" s="1081">
        <v>350</v>
      </c>
      <c r="L285" s="1081">
        <f t="shared" si="58"/>
        <v>360</v>
      </c>
      <c r="M285" s="1158">
        <v>0</v>
      </c>
      <c r="N285" s="1086"/>
      <c r="O285" s="1087">
        <f t="shared" si="59"/>
        <v>39.250691506849314</v>
      </c>
    </row>
    <row r="286" spans="1:15" ht="14.5">
      <c r="A286" s="1080" t="s">
        <v>25</v>
      </c>
      <c r="B286" s="1081">
        <v>1200</v>
      </c>
      <c r="C286" s="1081">
        <v>120</v>
      </c>
      <c r="D286" s="1081">
        <v>2</v>
      </c>
      <c r="E286" s="1152">
        <v>180</v>
      </c>
      <c r="F286" s="1081">
        <f t="shared" si="55"/>
        <v>2400</v>
      </c>
      <c r="G286" s="1155">
        <v>24.40545345</v>
      </c>
      <c r="H286" s="1102">
        <f t="shared" si="56"/>
        <v>1.906251959240785E-3</v>
      </c>
      <c r="I286" s="1102">
        <f t="shared" si="57"/>
        <v>0.90136986301369859</v>
      </c>
      <c r="J286" s="1088">
        <f t="shared" si="57"/>
        <v>0.9</v>
      </c>
      <c r="K286" s="1081">
        <v>350</v>
      </c>
      <c r="L286" s="1081">
        <f t="shared" si="58"/>
        <v>360</v>
      </c>
      <c r="M286" s="1158">
        <v>0</v>
      </c>
      <c r="N286" s="1086"/>
      <c r="O286" s="1087">
        <f t="shared" si="59"/>
        <v>39.250691506849314</v>
      </c>
    </row>
    <row r="287" spans="1:15" ht="14.5">
      <c r="A287" s="1080" t="s">
        <v>25</v>
      </c>
      <c r="B287" s="1081">
        <v>1200</v>
      </c>
      <c r="C287" s="1081">
        <v>240</v>
      </c>
      <c r="D287" s="1081">
        <v>2</v>
      </c>
      <c r="E287" s="1152">
        <v>180</v>
      </c>
      <c r="F287" s="1081">
        <f t="shared" si="55"/>
        <v>2400</v>
      </c>
      <c r="G287" s="1155">
        <v>0</v>
      </c>
      <c r="H287" s="1102">
        <f t="shared" si="56"/>
        <v>0</v>
      </c>
      <c r="I287" s="1102">
        <f t="shared" si="57"/>
        <v>0.90136986301369859</v>
      </c>
      <c r="J287" s="1088">
        <f t="shared" si="57"/>
        <v>0.9</v>
      </c>
      <c r="K287" s="1081">
        <v>350</v>
      </c>
      <c r="L287" s="1081">
        <f t="shared" si="58"/>
        <v>360</v>
      </c>
      <c r="M287" s="1158">
        <v>0</v>
      </c>
      <c r="N287" s="1086"/>
      <c r="O287" s="1087">
        <f t="shared" si="59"/>
        <v>39.250691506849314</v>
      </c>
    </row>
    <row r="288" spans="1:15" ht="14.5">
      <c r="A288" s="1080" t="s">
        <v>25</v>
      </c>
      <c r="B288" s="1081">
        <v>1200</v>
      </c>
      <c r="C288" s="1081">
        <v>360</v>
      </c>
      <c r="D288" s="1081">
        <v>2</v>
      </c>
      <c r="E288" s="1152">
        <v>70</v>
      </c>
      <c r="F288" s="1081">
        <f t="shared" si="55"/>
        <v>2400</v>
      </c>
      <c r="G288" s="1155">
        <v>0</v>
      </c>
      <c r="H288" s="1102">
        <f t="shared" si="56"/>
        <v>0</v>
      </c>
      <c r="I288" s="1102">
        <f t="shared" si="57"/>
        <v>0.90136986301369859</v>
      </c>
      <c r="J288" s="1088">
        <f t="shared" si="57"/>
        <v>0.9</v>
      </c>
      <c r="K288" s="1081">
        <v>350</v>
      </c>
      <c r="L288" s="1081">
        <f t="shared" si="58"/>
        <v>360</v>
      </c>
      <c r="M288" s="1158">
        <v>0</v>
      </c>
      <c r="N288" s="1086"/>
      <c r="O288" s="1087">
        <f t="shared" si="59"/>
        <v>39.250691506849314</v>
      </c>
    </row>
    <row r="289" spans="1:16" ht="14.5">
      <c r="A289" s="1080" t="s">
        <v>25</v>
      </c>
      <c r="B289" s="1081">
        <v>1200</v>
      </c>
      <c r="C289" s="1081">
        <v>360</v>
      </c>
      <c r="D289" s="1081">
        <v>2</v>
      </c>
      <c r="E289" s="1152">
        <v>130</v>
      </c>
      <c r="F289" s="1081">
        <f t="shared" si="55"/>
        <v>2400</v>
      </c>
      <c r="G289" s="1155">
        <v>339.91427546008305</v>
      </c>
      <c r="H289" s="1102">
        <f t="shared" si="56"/>
        <v>2.6549896108146075E-2</v>
      </c>
      <c r="I289" s="1102">
        <f t="shared" si="57"/>
        <v>0.90136986301369859</v>
      </c>
      <c r="J289" s="1088">
        <f t="shared" si="57"/>
        <v>0.9</v>
      </c>
      <c r="K289" s="1081">
        <v>350</v>
      </c>
      <c r="L289" s="1081">
        <f t="shared" si="58"/>
        <v>360</v>
      </c>
      <c r="M289" s="1158">
        <v>0</v>
      </c>
      <c r="N289" s="1086"/>
      <c r="O289" s="1087">
        <f t="shared" si="59"/>
        <v>39.250691506849314</v>
      </c>
    </row>
    <row r="290" spans="1:16" ht="14.5">
      <c r="A290" s="1080" t="s">
        <v>25</v>
      </c>
      <c r="B290" s="1081">
        <v>1200</v>
      </c>
      <c r="C290" s="1081">
        <v>360</v>
      </c>
      <c r="D290" s="1081">
        <v>2</v>
      </c>
      <c r="E290" s="1152">
        <v>150</v>
      </c>
      <c r="F290" s="1081">
        <f t="shared" si="55"/>
        <v>2400</v>
      </c>
      <c r="G290" s="1155">
        <v>207.40603830014189</v>
      </c>
      <c r="H290" s="1102">
        <f t="shared" si="56"/>
        <v>1.6199992664672855E-2</v>
      </c>
      <c r="I290" s="1102">
        <f t="shared" si="57"/>
        <v>0.90136986301369859</v>
      </c>
      <c r="J290" s="1088">
        <f t="shared" si="57"/>
        <v>0.9</v>
      </c>
      <c r="K290" s="1081">
        <v>350</v>
      </c>
      <c r="L290" s="1081">
        <f t="shared" si="58"/>
        <v>360</v>
      </c>
      <c r="M290" s="1158">
        <v>0</v>
      </c>
      <c r="N290" s="1086"/>
      <c r="O290" s="1087">
        <f t="shared" si="59"/>
        <v>39.250691506849314</v>
      </c>
    </row>
    <row r="291" spans="1:16" ht="14.5">
      <c r="A291" s="1080" t="s">
        <v>25</v>
      </c>
      <c r="B291" s="1081">
        <v>1200</v>
      </c>
      <c r="C291" s="1081">
        <v>360</v>
      </c>
      <c r="D291" s="1081">
        <v>2</v>
      </c>
      <c r="E291" s="1152">
        <v>180</v>
      </c>
      <c r="F291" s="1081">
        <f t="shared" si="55"/>
        <v>2400</v>
      </c>
      <c r="G291" s="1155">
        <v>200.37431211300003</v>
      </c>
      <c r="H291" s="1102">
        <f t="shared" si="56"/>
        <v>1.5650761246025154E-2</v>
      </c>
      <c r="I291" s="1102">
        <f t="shared" si="57"/>
        <v>0.90136986301369859</v>
      </c>
      <c r="J291" s="1088">
        <f t="shared" si="57"/>
        <v>0.9</v>
      </c>
      <c r="K291" s="1081">
        <v>350</v>
      </c>
      <c r="L291" s="1081">
        <f t="shared" si="58"/>
        <v>360</v>
      </c>
      <c r="M291" s="1158">
        <v>0</v>
      </c>
      <c r="N291" s="1086"/>
      <c r="O291" s="1087">
        <f t="shared" si="59"/>
        <v>39.250691506849314</v>
      </c>
    </row>
    <row r="292" spans="1:16" ht="14.5">
      <c r="A292" s="1080" t="s">
        <v>25</v>
      </c>
      <c r="B292" s="1081">
        <v>1200</v>
      </c>
      <c r="C292" s="1081">
        <v>360</v>
      </c>
      <c r="D292" s="1081">
        <v>2</v>
      </c>
      <c r="E292" s="1152">
        <v>210</v>
      </c>
      <c r="F292" s="1081">
        <f t="shared" si="55"/>
        <v>2400</v>
      </c>
      <c r="G292" s="1155">
        <v>60.664331573913351</v>
      </c>
      <c r="H292" s="1102">
        <f t="shared" si="56"/>
        <v>4.7383467451535899E-3</v>
      </c>
      <c r="I292" s="1102">
        <f t="shared" si="57"/>
        <v>0.90136986301369859</v>
      </c>
      <c r="J292" s="1088">
        <f t="shared" si="57"/>
        <v>0.9</v>
      </c>
      <c r="K292" s="1081">
        <v>350</v>
      </c>
      <c r="L292" s="1081">
        <f t="shared" si="58"/>
        <v>360</v>
      </c>
      <c r="M292" s="1158">
        <v>0</v>
      </c>
      <c r="N292" s="1086"/>
      <c r="O292" s="1087">
        <f t="shared" si="59"/>
        <v>39.250691506849314</v>
      </c>
    </row>
    <row r="293" spans="1:16" ht="14.5">
      <c r="A293" s="1080" t="s">
        <v>25</v>
      </c>
      <c r="B293" s="1081">
        <v>1200</v>
      </c>
      <c r="C293" s="1081">
        <v>1152</v>
      </c>
      <c r="D293" s="1081">
        <v>1</v>
      </c>
      <c r="E293" s="1152">
        <v>80</v>
      </c>
      <c r="F293" s="1081">
        <f t="shared" si="55"/>
        <v>1200</v>
      </c>
      <c r="G293" s="1155">
        <v>15.747835894928397</v>
      </c>
      <c r="H293" s="1102">
        <f t="shared" si="56"/>
        <v>1.2300260304530263E-3</v>
      </c>
      <c r="I293" s="1102">
        <f t="shared" si="57"/>
        <v>0.90136986301369859</v>
      </c>
      <c r="J293" s="1088">
        <f t="shared" si="57"/>
        <v>0.9</v>
      </c>
      <c r="K293" s="1081">
        <v>350</v>
      </c>
      <c r="L293" s="1081">
        <f t="shared" si="58"/>
        <v>360</v>
      </c>
      <c r="M293" s="1158">
        <f>244-L293</f>
        <v>-116</v>
      </c>
      <c r="N293" s="1086"/>
      <c r="O293" s="1087">
        <f t="shared" si="59"/>
        <v>13.301623232876715</v>
      </c>
    </row>
    <row r="294" spans="1:16" ht="14.5">
      <c r="A294" s="1080" t="s">
        <v>25</v>
      </c>
      <c r="B294" s="1081">
        <v>1200</v>
      </c>
      <c r="C294" s="1081">
        <v>1152</v>
      </c>
      <c r="D294" s="1081">
        <v>2</v>
      </c>
      <c r="E294" s="1152">
        <v>40</v>
      </c>
      <c r="F294" s="1081">
        <f t="shared" si="55"/>
        <v>2400</v>
      </c>
      <c r="G294" s="1155">
        <v>0</v>
      </c>
      <c r="H294" s="1102">
        <f t="shared" si="56"/>
        <v>0</v>
      </c>
      <c r="I294" s="1102">
        <f t="shared" si="57"/>
        <v>0.90136986301369859</v>
      </c>
      <c r="J294" s="1088">
        <f t="shared" si="57"/>
        <v>0.9</v>
      </c>
      <c r="K294" s="1081">
        <v>350</v>
      </c>
      <c r="L294" s="1081">
        <f t="shared" si="58"/>
        <v>360</v>
      </c>
      <c r="M294" s="1158">
        <f>248-L294</f>
        <v>-112</v>
      </c>
      <c r="N294" s="1086"/>
      <c r="O294" s="1087">
        <f t="shared" si="59"/>
        <v>27.039365260273975</v>
      </c>
    </row>
    <row r="295" spans="1:16" ht="14.5">
      <c r="A295" s="1136" t="s">
        <v>25</v>
      </c>
      <c r="B295" s="1137">
        <v>1200</v>
      </c>
      <c r="C295" s="1137">
        <v>1152</v>
      </c>
      <c r="D295" s="1137">
        <v>2</v>
      </c>
      <c r="E295" s="1159">
        <v>70</v>
      </c>
      <c r="F295" s="1137">
        <f t="shared" si="55"/>
        <v>2400</v>
      </c>
      <c r="G295" s="1160">
        <v>2224.2865608192433</v>
      </c>
      <c r="H295" s="1161">
        <f t="shared" si="56"/>
        <v>0.17373373632091355</v>
      </c>
      <c r="I295" s="1161">
        <f t="shared" si="57"/>
        <v>0.90136986301369859</v>
      </c>
      <c r="J295" s="1084">
        <f t="shared" si="57"/>
        <v>0.9</v>
      </c>
      <c r="K295" s="1137">
        <v>350</v>
      </c>
      <c r="L295" s="1137">
        <f t="shared" si="58"/>
        <v>360</v>
      </c>
      <c r="M295" s="1162">
        <f>244-L295</f>
        <v>-116</v>
      </c>
      <c r="N295" s="1163"/>
      <c r="O295" s="1141">
        <f t="shared" si="59"/>
        <v>26.603246465753429</v>
      </c>
    </row>
    <row r="296" spans="1:16" ht="14.5">
      <c r="A296" s="1136" t="s">
        <v>25</v>
      </c>
      <c r="B296" s="1137">
        <v>1200</v>
      </c>
      <c r="C296" s="1137">
        <v>1152</v>
      </c>
      <c r="D296" s="1137">
        <v>2</v>
      </c>
      <c r="E296" s="1159">
        <v>130</v>
      </c>
      <c r="F296" s="1137">
        <f t="shared" si="55"/>
        <v>2400</v>
      </c>
      <c r="G296" s="1160">
        <v>927.10373838436669</v>
      </c>
      <c r="H296" s="1161">
        <f t="shared" si="56"/>
        <v>7.2413869356508731E-2</v>
      </c>
      <c r="I296" s="1161">
        <f t="shared" ref="I296:J304" si="60">I295</f>
        <v>0.90136986301369859</v>
      </c>
      <c r="J296" s="1084">
        <f t="shared" si="60"/>
        <v>0.9</v>
      </c>
      <c r="K296" s="1137">
        <v>350</v>
      </c>
      <c r="L296" s="1137">
        <f t="shared" si="58"/>
        <v>360</v>
      </c>
      <c r="M296" s="1162">
        <v>0</v>
      </c>
      <c r="N296" s="1163"/>
      <c r="O296" s="1141">
        <f t="shared" si="59"/>
        <v>39.250691506849314</v>
      </c>
      <c r="P296" s="1097">
        <f>O295-O296</f>
        <v>-12.647445041095885</v>
      </c>
    </row>
    <row r="297" spans="1:16" ht="14.5">
      <c r="A297" s="1080" t="s">
        <v>25</v>
      </c>
      <c r="B297" s="1081">
        <v>1200</v>
      </c>
      <c r="C297" s="1081">
        <v>1728</v>
      </c>
      <c r="D297" s="1081">
        <v>2</v>
      </c>
      <c r="E297" s="1152">
        <v>130</v>
      </c>
      <c r="F297" s="1081">
        <f t="shared" si="55"/>
        <v>2400</v>
      </c>
      <c r="G297" s="1155">
        <v>504.92550054380683</v>
      </c>
      <c r="H297" s="1102">
        <f t="shared" si="56"/>
        <v>3.943853068143939E-2</v>
      </c>
      <c r="I297" s="1102">
        <f t="shared" si="60"/>
        <v>0.90136986301369859</v>
      </c>
      <c r="J297" s="1088">
        <f t="shared" si="60"/>
        <v>0.9</v>
      </c>
      <c r="K297" s="1081">
        <v>350</v>
      </c>
      <c r="L297" s="1081">
        <f t="shared" si="58"/>
        <v>360</v>
      </c>
      <c r="M297" s="1158">
        <v>0</v>
      </c>
      <c r="N297" s="1086"/>
      <c r="O297" s="1087">
        <f t="shared" si="59"/>
        <v>39.250691506849314</v>
      </c>
    </row>
    <row r="298" spans="1:16" ht="14.5">
      <c r="A298" s="1080" t="s">
        <v>25</v>
      </c>
      <c r="B298" s="1081">
        <v>1400</v>
      </c>
      <c r="C298" s="1081">
        <v>120</v>
      </c>
      <c r="D298" s="1081">
        <v>2</v>
      </c>
      <c r="E298" s="1152">
        <v>150</v>
      </c>
      <c r="F298" s="1081">
        <f t="shared" si="55"/>
        <v>2800</v>
      </c>
      <c r="G298" s="1155">
        <v>53.849215631250011</v>
      </c>
      <c r="H298" s="1102">
        <f t="shared" si="56"/>
        <v>4.2060342378375205E-3</v>
      </c>
      <c r="I298" s="1102">
        <f t="shared" si="60"/>
        <v>0.90136986301369859</v>
      </c>
      <c r="J298" s="1088">
        <f t="shared" si="60"/>
        <v>0.9</v>
      </c>
      <c r="K298" s="1081">
        <v>350</v>
      </c>
      <c r="L298" s="1081">
        <f t="shared" si="58"/>
        <v>360</v>
      </c>
      <c r="M298" s="1158">
        <f t="shared" ref="M298:M304" si="61">244-L298</f>
        <v>-116</v>
      </c>
      <c r="N298" s="1086"/>
      <c r="O298" s="1087">
        <f t="shared" si="59"/>
        <v>31.037120876712322</v>
      </c>
    </row>
    <row r="299" spans="1:16" ht="14.5">
      <c r="A299" s="1080" t="s">
        <v>25</v>
      </c>
      <c r="B299" s="1081">
        <v>1500</v>
      </c>
      <c r="C299" s="1081">
        <v>69</v>
      </c>
      <c r="D299" s="1081">
        <v>2</v>
      </c>
      <c r="E299" s="1152">
        <v>210</v>
      </c>
      <c r="F299" s="1081">
        <f t="shared" si="55"/>
        <v>3000</v>
      </c>
      <c r="G299" s="1155">
        <v>0</v>
      </c>
      <c r="H299" s="1102">
        <f t="shared" si="56"/>
        <v>0</v>
      </c>
      <c r="I299" s="1102">
        <f t="shared" si="60"/>
        <v>0.90136986301369859</v>
      </c>
      <c r="J299" s="1088">
        <f t="shared" si="60"/>
        <v>0.9</v>
      </c>
      <c r="K299" s="1081">
        <v>350</v>
      </c>
      <c r="L299" s="1081">
        <f t="shared" si="58"/>
        <v>360</v>
      </c>
      <c r="M299" s="1158">
        <f t="shared" si="61"/>
        <v>-116</v>
      </c>
      <c r="N299" s="1086"/>
      <c r="O299" s="1087">
        <f t="shared" si="59"/>
        <v>33.254058082191776</v>
      </c>
    </row>
    <row r="300" spans="1:16" ht="14.5">
      <c r="A300" s="1080" t="s">
        <v>25</v>
      </c>
      <c r="B300" s="1081">
        <v>1500</v>
      </c>
      <c r="C300" s="1081">
        <v>69</v>
      </c>
      <c r="D300" s="1081">
        <v>3</v>
      </c>
      <c r="E300" s="1152">
        <v>70</v>
      </c>
      <c r="F300" s="1081">
        <f t="shared" si="55"/>
        <v>4500</v>
      </c>
      <c r="G300" s="1155">
        <v>0</v>
      </c>
      <c r="H300" s="1102">
        <f t="shared" si="56"/>
        <v>0</v>
      </c>
      <c r="I300" s="1102">
        <f t="shared" si="60"/>
        <v>0.90136986301369859</v>
      </c>
      <c r="J300" s="1088">
        <f t="shared" si="60"/>
        <v>0.9</v>
      </c>
      <c r="K300" s="1081">
        <v>350</v>
      </c>
      <c r="L300" s="1081">
        <f t="shared" si="58"/>
        <v>360</v>
      </c>
      <c r="M300" s="1158">
        <f t="shared" si="61"/>
        <v>-116</v>
      </c>
      <c r="N300" s="1086"/>
      <c r="O300" s="1087">
        <f t="shared" si="59"/>
        <v>49.881087123287664</v>
      </c>
    </row>
    <row r="301" spans="1:16" ht="14.5">
      <c r="A301" s="1080" t="s">
        <v>25</v>
      </c>
      <c r="B301" s="1081">
        <v>1500</v>
      </c>
      <c r="C301" s="1081">
        <v>120</v>
      </c>
      <c r="D301" s="1081">
        <v>2</v>
      </c>
      <c r="E301" s="1152">
        <v>130</v>
      </c>
      <c r="F301" s="1081">
        <f t="shared" si="55"/>
        <v>3000</v>
      </c>
      <c r="G301" s="1155">
        <v>0</v>
      </c>
      <c r="H301" s="1102">
        <f t="shared" si="56"/>
        <v>0</v>
      </c>
      <c r="I301" s="1102">
        <f t="shared" si="60"/>
        <v>0.90136986301369859</v>
      </c>
      <c r="J301" s="1088">
        <f t="shared" si="60"/>
        <v>0.9</v>
      </c>
      <c r="K301" s="1081">
        <v>350</v>
      </c>
      <c r="L301" s="1081">
        <f t="shared" si="58"/>
        <v>360</v>
      </c>
      <c r="M301" s="1158">
        <f t="shared" si="61"/>
        <v>-116</v>
      </c>
      <c r="N301" s="1086"/>
      <c r="O301" s="1087">
        <f t="shared" si="59"/>
        <v>33.254058082191776</v>
      </c>
    </row>
    <row r="302" spans="1:16" ht="14.5">
      <c r="A302" s="1080" t="s">
        <v>25</v>
      </c>
      <c r="B302" s="1081">
        <v>1500</v>
      </c>
      <c r="C302" s="1081">
        <v>240</v>
      </c>
      <c r="D302" s="1081">
        <v>2</v>
      </c>
      <c r="E302" s="1152">
        <v>130</v>
      </c>
      <c r="F302" s="1081">
        <f t="shared" si="55"/>
        <v>3000</v>
      </c>
      <c r="G302" s="1155">
        <v>0</v>
      </c>
      <c r="H302" s="1102">
        <f t="shared" si="56"/>
        <v>0</v>
      </c>
      <c r="I302" s="1102">
        <f t="shared" si="60"/>
        <v>0.90136986301369859</v>
      </c>
      <c r="J302" s="1088">
        <f t="shared" si="60"/>
        <v>0.9</v>
      </c>
      <c r="K302" s="1081">
        <v>350</v>
      </c>
      <c r="L302" s="1081">
        <f t="shared" si="58"/>
        <v>360</v>
      </c>
      <c r="M302" s="1158">
        <f t="shared" si="61"/>
        <v>-116</v>
      </c>
      <c r="N302" s="1086"/>
      <c r="O302" s="1087">
        <f t="shared" si="59"/>
        <v>33.254058082191776</v>
      </c>
    </row>
    <row r="303" spans="1:16" ht="14.5">
      <c r="A303" s="1080" t="s">
        <v>25</v>
      </c>
      <c r="B303" s="1081">
        <v>1500</v>
      </c>
      <c r="C303" s="1081">
        <v>360</v>
      </c>
      <c r="D303" s="1081">
        <v>1</v>
      </c>
      <c r="E303" s="1152">
        <v>70</v>
      </c>
      <c r="F303" s="1081">
        <f t="shared" si="55"/>
        <v>1500</v>
      </c>
      <c r="G303" s="1155">
        <v>0</v>
      </c>
      <c r="H303" s="1102">
        <f t="shared" si="56"/>
        <v>0</v>
      </c>
      <c r="I303" s="1102">
        <f t="shared" si="60"/>
        <v>0.90136986301369859</v>
      </c>
      <c r="J303" s="1088">
        <f t="shared" si="60"/>
        <v>0.9</v>
      </c>
      <c r="K303" s="1081">
        <v>350</v>
      </c>
      <c r="L303" s="1081">
        <f t="shared" si="58"/>
        <v>360</v>
      </c>
      <c r="M303" s="1158">
        <f t="shared" si="61"/>
        <v>-116</v>
      </c>
      <c r="N303" s="1086"/>
      <c r="O303" s="1087">
        <f t="shared" si="59"/>
        <v>16.627029041095888</v>
      </c>
    </row>
    <row r="304" spans="1:16" ht="14.5">
      <c r="A304" s="1080" t="s">
        <v>25</v>
      </c>
      <c r="B304" s="1081">
        <v>1800</v>
      </c>
      <c r="C304" s="1081">
        <v>360</v>
      </c>
      <c r="D304" s="1081">
        <v>2</v>
      </c>
      <c r="E304" s="1152">
        <v>180</v>
      </c>
      <c r="F304" s="1081">
        <f t="shared" si="55"/>
        <v>3600</v>
      </c>
      <c r="G304" s="1155">
        <v>88.969662389999982</v>
      </c>
      <c r="H304" s="1102">
        <f t="shared" si="56"/>
        <v>6.9492088557743499E-3</v>
      </c>
      <c r="I304" s="1102">
        <f t="shared" si="60"/>
        <v>0.90136986301369859</v>
      </c>
      <c r="J304" s="1088">
        <f t="shared" si="60"/>
        <v>0.9</v>
      </c>
      <c r="K304" s="1081">
        <v>350</v>
      </c>
      <c r="L304" s="1081">
        <f t="shared" si="58"/>
        <v>360</v>
      </c>
      <c r="M304" s="1158">
        <f t="shared" si="61"/>
        <v>-116</v>
      </c>
      <c r="N304" s="1086"/>
      <c r="O304" s="1087">
        <f t="shared" si="59"/>
        <v>39.904869698630144</v>
      </c>
    </row>
    <row r="305" spans="1:15" ht="14.5">
      <c r="A305" s="1080" t="s">
        <v>25</v>
      </c>
      <c r="B305" s="1081">
        <v>360</v>
      </c>
      <c r="C305" s="1081">
        <v>576</v>
      </c>
      <c r="D305" s="1081">
        <v>6</v>
      </c>
      <c r="E305" s="1152">
        <v>80</v>
      </c>
      <c r="F305" s="1081">
        <f t="shared" si="55"/>
        <v>2160</v>
      </c>
      <c r="G305" s="1155">
        <v>153.06062861792211</v>
      </c>
      <c r="H305" s="1102">
        <f t="shared" si="56"/>
        <v>1.195520188892619E-2</v>
      </c>
      <c r="I305" s="1102">
        <f>G274</f>
        <v>0.90136986301369859</v>
      </c>
      <c r="J305" s="1088">
        <f>[68]Assumption!$J$116</f>
        <v>0.9</v>
      </c>
      <c r="K305" s="1081">
        <v>350</v>
      </c>
      <c r="L305" s="1081">
        <f t="shared" si="58"/>
        <v>360</v>
      </c>
      <c r="M305" s="1158">
        <v>0</v>
      </c>
      <c r="N305" s="1086"/>
      <c r="O305" s="1087">
        <f t="shared" si="59"/>
        <v>35.325622356164381</v>
      </c>
    </row>
    <row r="306" spans="1:15" ht="14.5">
      <c r="A306" s="1080" t="s">
        <v>25</v>
      </c>
      <c r="B306" s="1081">
        <v>360</v>
      </c>
      <c r="C306" s="1081">
        <v>576</v>
      </c>
      <c r="D306" s="1081">
        <v>12</v>
      </c>
      <c r="E306" s="1152">
        <v>80</v>
      </c>
      <c r="F306" s="1081">
        <f t="shared" si="55"/>
        <v>4320</v>
      </c>
      <c r="G306" s="1155">
        <v>207.49050847163548</v>
      </c>
      <c r="H306" s="1102">
        <f t="shared" si="56"/>
        <v>1.6206590428989625E-2</v>
      </c>
      <c r="I306" s="1102">
        <f t="shared" ref="I306:J312" si="62">I305</f>
        <v>0.90136986301369859</v>
      </c>
      <c r="J306" s="1088">
        <f t="shared" si="62"/>
        <v>0.9</v>
      </c>
      <c r="K306" s="1081">
        <v>350</v>
      </c>
      <c r="L306" s="1081">
        <f t="shared" si="58"/>
        <v>360</v>
      </c>
      <c r="M306" s="1158">
        <v>0</v>
      </c>
      <c r="N306" s="1086"/>
      <c r="O306" s="1087">
        <f t="shared" si="59"/>
        <v>70.651244712328761</v>
      </c>
    </row>
    <row r="307" spans="1:15" ht="14.5">
      <c r="A307" s="1080" t="s">
        <v>25</v>
      </c>
      <c r="B307" s="1081">
        <v>400</v>
      </c>
      <c r="C307" s="1081">
        <v>576</v>
      </c>
      <c r="D307" s="1081">
        <v>6</v>
      </c>
      <c r="E307" s="1152">
        <v>80</v>
      </c>
      <c r="F307" s="1081">
        <f t="shared" si="55"/>
        <v>2400</v>
      </c>
      <c r="G307" s="1155">
        <v>239.18970825184013</v>
      </c>
      <c r="H307" s="1102">
        <f t="shared" si="56"/>
        <v>1.8682539577452598E-2</v>
      </c>
      <c r="I307" s="1102">
        <f t="shared" si="62"/>
        <v>0.90136986301369859</v>
      </c>
      <c r="J307" s="1088">
        <f t="shared" si="62"/>
        <v>0.9</v>
      </c>
      <c r="K307" s="1081">
        <v>350</v>
      </c>
      <c r="L307" s="1081">
        <f t="shared" si="58"/>
        <v>360</v>
      </c>
      <c r="M307" s="1158">
        <v>0</v>
      </c>
      <c r="N307" s="1086"/>
      <c r="O307" s="1087">
        <f t="shared" si="59"/>
        <v>39.250691506849314</v>
      </c>
    </row>
    <row r="308" spans="1:15" ht="14.5">
      <c r="A308" s="1080" t="s">
        <v>25</v>
      </c>
      <c r="B308" s="1081">
        <v>600</v>
      </c>
      <c r="C308" s="1081">
        <v>576</v>
      </c>
      <c r="D308" s="1081">
        <v>2</v>
      </c>
      <c r="E308" s="1152">
        <v>130</v>
      </c>
      <c r="F308" s="1081">
        <f t="shared" si="55"/>
        <v>1200</v>
      </c>
      <c r="G308" s="1155">
        <v>68.8995169711025</v>
      </c>
      <c r="H308" s="1102">
        <f t="shared" si="56"/>
        <v>5.3815775021753536E-3</v>
      </c>
      <c r="I308" s="1102">
        <f t="shared" si="62"/>
        <v>0.90136986301369859</v>
      </c>
      <c r="J308" s="1088">
        <f t="shared" si="62"/>
        <v>0.9</v>
      </c>
      <c r="K308" s="1081">
        <v>350</v>
      </c>
      <c r="L308" s="1081">
        <f t="shared" si="58"/>
        <v>360</v>
      </c>
      <c r="M308" s="1158">
        <v>0</v>
      </c>
      <c r="N308" s="1086"/>
      <c r="O308" s="1087">
        <f t="shared" si="59"/>
        <v>19.625345753424657</v>
      </c>
    </row>
    <row r="309" spans="1:15" ht="14.5">
      <c r="A309" s="1080" t="s">
        <v>25</v>
      </c>
      <c r="B309" s="1081">
        <v>600</v>
      </c>
      <c r="C309" s="1081">
        <v>576</v>
      </c>
      <c r="D309" s="1081">
        <v>4</v>
      </c>
      <c r="E309" s="1152">
        <v>80</v>
      </c>
      <c r="F309" s="1081">
        <f t="shared" si="55"/>
        <v>2400</v>
      </c>
      <c r="G309" s="1155">
        <v>2843.2057909323698</v>
      </c>
      <c r="H309" s="1102">
        <f t="shared" si="56"/>
        <v>0.22207604626537172</v>
      </c>
      <c r="I309" s="1102">
        <f t="shared" si="62"/>
        <v>0.90136986301369859</v>
      </c>
      <c r="J309" s="1088">
        <f t="shared" si="62"/>
        <v>0.9</v>
      </c>
      <c r="K309" s="1081">
        <v>350</v>
      </c>
      <c r="L309" s="1081">
        <f t="shared" si="58"/>
        <v>360</v>
      </c>
      <c r="M309" s="1158">
        <v>0</v>
      </c>
      <c r="N309" s="1086"/>
      <c r="O309" s="1087">
        <f t="shared" si="59"/>
        <v>39.250691506849314</v>
      </c>
    </row>
    <row r="310" spans="1:15" ht="14.5">
      <c r="A310" s="1080" t="s">
        <v>25</v>
      </c>
      <c r="B310" s="1081">
        <v>600</v>
      </c>
      <c r="C310" s="1081">
        <v>576</v>
      </c>
      <c r="D310" s="1081">
        <v>6</v>
      </c>
      <c r="E310" s="1152">
        <v>130</v>
      </c>
      <c r="F310" s="1081">
        <f t="shared" si="55"/>
        <v>3600</v>
      </c>
      <c r="G310" s="1155">
        <v>0</v>
      </c>
      <c r="H310" s="1102">
        <f t="shared" si="56"/>
        <v>0</v>
      </c>
      <c r="I310" s="1102">
        <f t="shared" si="62"/>
        <v>0.90136986301369859</v>
      </c>
      <c r="J310" s="1088">
        <f t="shared" si="62"/>
        <v>0.9</v>
      </c>
      <c r="K310" s="1081">
        <v>350</v>
      </c>
      <c r="L310" s="1081">
        <f t="shared" si="58"/>
        <v>360</v>
      </c>
      <c r="M310" s="1158">
        <v>0</v>
      </c>
      <c r="N310" s="1086"/>
      <c r="O310" s="1087">
        <f t="shared" si="59"/>
        <v>58.876037260273982</v>
      </c>
    </row>
    <row r="311" spans="1:15" ht="14.5">
      <c r="A311" s="1080" t="s">
        <v>25</v>
      </c>
      <c r="B311" s="1081">
        <v>900</v>
      </c>
      <c r="C311" s="1081">
        <v>60</v>
      </c>
      <c r="D311" s="1081">
        <v>2</v>
      </c>
      <c r="E311" s="1152">
        <v>150</v>
      </c>
      <c r="F311" s="1081">
        <f t="shared" si="55"/>
        <v>1800</v>
      </c>
      <c r="G311" s="1155">
        <v>0</v>
      </c>
      <c r="H311" s="1102">
        <f t="shared" si="56"/>
        <v>0</v>
      </c>
      <c r="I311" s="1102">
        <f t="shared" si="62"/>
        <v>0.90136986301369859</v>
      </c>
      <c r="J311" s="1088">
        <f t="shared" si="62"/>
        <v>0.9</v>
      </c>
      <c r="K311" s="1081">
        <v>350</v>
      </c>
      <c r="L311" s="1081">
        <f t="shared" si="58"/>
        <v>360</v>
      </c>
      <c r="M311" s="1158">
        <v>0</v>
      </c>
      <c r="N311" s="1086"/>
      <c r="O311" s="1087">
        <f t="shared" si="59"/>
        <v>29.438018630136991</v>
      </c>
    </row>
    <row r="312" spans="1:15" ht="14.5">
      <c r="A312" s="1080" t="s">
        <v>25</v>
      </c>
      <c r="B312" s="1081">
        <v>900</v>
      </c>
      <c r="C312" s="1081">
        <v>384</v>
      </c>
      <c r="D312" s="1081">
        <v>3</v>
      </c>
      <c r="E312" s="1152">
        <v>80</v>
      </c>
      <c r="F312" s="1081">
        <f t="shared" si="55"/>
        <v>2700</v>
      </c>
      <c r="G312" s="1155">
        <v>0</v>
      </c>
      <c r="H312" s="1102">
        <f t="shared" si="56"/>
        <v>0</v>
      </c>
      <c r="I312" s="1102">
        <f t="shared" si="62"/>
        <v>0.90136986301369859</v>
      </c>
      <c r="J312" s="1088">
        <f t="shared" si="62"/>
        <v>0.9</v>
      </c>
      <c r="K312" s="1081">
        <v>350</v>
      </c>
      <c r="L312" s="1081">
        <f t="shared" si="58"/>
        <v>360</v>
      </c>
      <c r="M312" s="1158">
        <v>0</v>
      </c>
      <c r="N312" s="1086"/>
      <c r="O312" s="1087">
        <f t="shared" si="59"/>
        <v>44.157027945205478</v>
      </c>
    </row>
    <row r="313" spans="1:15" ht="14.5">
      <c r="A313" s="1080" t="s">
        <v>25</v>
      </c>
      <c r="B313" s="1081">
        <v>2700</v>
      </c>
      <c r="C313" s="1081">
        <v>1152</v>
      </c>
      <c r="D313" s="1081">
        <v>2</v>
      </c>
      <c r="E313" s="1152">
        <v>70</v>
      </c>
      <c r="F313" s="1081">
        <f t="shared" si="55"/>
        <v>5400</v>
      </c>
      <c r="G313" s="1155">
        <v>1</v>
      </c>
      <c r="H313" s="1102">
        <f t="shared" si="56"/>
        <v>7.8107623082937841E-5</v>
      </c>
      <c r="I313" s="1102">
        <f>I304</f>
        <v>0.90136986301369859</v>
      </c>
      <c r="J313" s="1088">
        <f>J304</f>
        <v>0.9</v>
      </c>
      <c r="K313" s="1081">
        <v>350</v>
      </c>
      <c r="L313" s="1081">
        <f t="shared" si="58"/>
        <v>360</v>
      </c>
      <c r="M313" s="1158">
        <f>257-K313</f>
        <v>-93</v>
      </c>
      <c r="N313" s="1086"/>
      <c r="O313" s="1087">
        <f t="shared" si="59"/>
        <v>65.499591452054787</v>
      </c>
    </row>
    <row r="314" spans="1:15" ht="14.5">
      <c r="A314" s="1080" t="s">
        <v>25</v>
      </c>
      <c r="B314" s="1142">
        <v>1400</v>
      </c>
      <c r="C314" s="1142">
        <v>360</v>
      </c>
      <c r="D314" s="1142">
        <v>2</v>
      </c>
      <c r="E314" s="1164">
        <v>180</v>
      </c>
      <c r="F314" s="1081">
        <f t="shared" si="55"/>
        <v>2800</v>
      </c>
      <c r="G314" s="1155">
        <v>46.393170390000002</v>
      </c>
      <c r="H314" s="1102">
        <f t="shared" si="56"/>
        <v>3.6236602664446328E-3</v>
      </c>
      <c r="I314" s="1102">
        <f t="shared" ref="I314:J329" si="63">I305</f>
        <v>0.90136986301369859</v>
      </c>
      <c r="J314" s="1088">
        <f t="shared" si="63"/>
        <v>0.9</v>
      </c>
      <c r="K314" s="1081">
        <v>350</v>
      </c>
      <c r="L314" s="1081">
        <f t="shared" si="58"/>
        <v>360</v>
      </c>
      <c r="M314" s="1158"/>
      <c r="N314" s="1086"/>
      <c r="O314" s="1087">
        <f t="shared" si="59"/>
        <v>45.792473424657523</v>
      </c>
    </row>
    <row r="315" spans="1:15" ht="14.5">
      <c r="A315" s="1080" t="s">
        <v>25</v>
      </c>
      <c r="B315" s="1142">
        <v>1400</v>
      </c>
      <c r="C315" s="1142">
        <v>240</v>
      </c>
      <c r="D315" s="1142">
        <v>2</v>
      </c>
      <c r="E315" s="1164">
        <v>180</v>
      </c>
      <c r="F315" s="1081">
        <f t="shared" si="55"/>
        <v>2800</v>
      </c>
      <c r="G315" s="1155">
        <v>109.28690370000001</v>
      </c>
      <c r="H315" s="1102">
        <f t="shared" si="56"/>
        <v>8.536140282100927E-3</v>
      </c>
      <c r="I315" s="1102">
        <f t="shared" si="63"/>
        <v>0.90136986301369859</v>
      </c>
      <c r="J315" s="1088">
        <f t="shared" si="63"/>
        <v>0.9</v>
      </c>
      <c r="K315" s="1081">
        <v>350</v>
      </c>
      <c r="L315" s="1081">
        <f t="shared" si="58"/>
        <v>360</v>
      </c>
      <c r="M315" s="1158"/>
      <c r="N315" s="1086"/>
      <c r="O315" s="1087">
        <f t="shared" si="59"/>
        <v>45.792473424657523</v>
      </c>
    </row>
    <row r="316" spans="1:15" ht="14.5">
      <c r="A316" s="1080" t="s">
        <v>25</v>
      </c>
      <c r="B316" s="1142">
        <v>1200</v>
      </c>
      <c r="C316" s="1142">
        <v>768</v>
      </c>
      <c r="D316" s="1142">
        <v>2</v>
      </c>
      <c r="E316" s="1164">
        <v>180</v>
      </c>
      <c r="F316" s="1081">
        <f t="shared" si="55"/>
        <v>2400</v>
      </c>
      <c r="G316" s="1155">
        <v>111.56452879500002</v>
      </c>
      <c r="H316" s="1102">
        <f t="shared" si="56"/>
        <v>8.7140401645454269E-3</v>
      </c>
      <c r="I316" s="1102">
        <f t="shared" si="63"/>
        <v>0.90136986301369859</v>
      </c>
      <c r="J316" s="1088">
        <f t="shared" si="63"/>
        <v>0.9</v>
      </c>
      <c r="K316" s="1081">
        <v>350</v>
      </c>
      <c r="L316" s="1081">
        <f t="shared" si="58"/>
        <v>360</v>
      </c>
      <c r="M316" s="1158"/>
      <c r="N316" s="1086"/>
      <c r="O316" s="1087">
        <f t="shared" si="59"/>
        <v>39.250691506849314</v>
      </c>
    </row>
    <row r="317" spans="1:15" ht="14.5">
      <c r="A317" s="1080" t="s">
        <v>25</v>
      </c>
      <c r="B317" s="1142">
        <v>1400</v>
      </c>
      <c r="C317" s="1142">
        <v>240</v>
      </c>
      <c r="D317" s="1142">
        <v>2</v>
      </c>
      <c r="E317" s="1164">
        <v>150</v>
      </c>
      <c r="F317" s="1081">
        <f t="shared" si="55"/>
        <v>2800</v>
      </c>
      <c r="G317" s="1155">
        <v>8.8367943600000007</v>
      </c>
      <c r="H317" s="1102">
        <f t="shared" si="56"/>
        <v>6.9022100313231101E-4</v>
      </c>
      <c r="I317" s="1102">
        <f t="shared" si="63"/>
        <v>0.90136986301369859</v>
      </c>
      <c r="J317" s="1088">
        <f t="shared" si="63"/>
        <v>0.9</v>
      </c>
      <c r="K317" s="1081">
        <v>350</v>
      </c>
      <c r="L317" s="1081">
        <f t="shared" si="58"/>
        <v>360</v>
      </c>
      <c r="M317" s="1158"/>
      <c r="N317" s="1086"/>
      <c r="O317" s="1087">
        <f t="shared" si="59"/>
        <v>45.792473424657523</v>
      </c>
    </row>
    <row r="318" spans="1:15" ht="14.5">
      <c r="A318" s="1080" t="s">
        <v>25</v>
      </c>
      <c r="B318" s="1142">
        <v>1800</v>
      </c>
      <c r="C318" s="1142">
        <v>120</v>
      </c>
      <c r="D318" s="1142">
        <v>2</v>
      </c>
      <c r="E318" s="1164">
        <v>180</v>
      </c>
      <c r="F318" s="1081">
        <f t="shared" si="55"/>
        <v>3600</v>
      </c>
      <c r="G318" s="1155">
        <v>13.034271680999998</v>
      </c>
      <c r="H318" s="1102">
        <f t="shared" si="56"/>
        <v>1.0180759796201584E-3</v>
      </c>
      <c r="I318" s="1102">
        <f t="shared" si="63"/>
        <v>0.90136986301369859</v>
      </c>
      <c r="J318" s="1084">
        <v>0.6</v>
      </c>
      <c r="K318" s="1081">
        <v>350</v>
      </c>
      <c r="L318" s="1081">
        <f t="shared" si="58"/>
        <v>360</v>
      </c>
      <c r="M318" s="1158"/>
      <c r="N318" s="1086"/>
      <c r="O318" s="1087">
        <f t="shared" si="59"/>
        <v>39.250691506849314</v>
      </c>
    </row>
    <row r="319" spans="1:15" ht="14.5">
      <c r="A319" s="1080" t="s">
        <v>25</v>
      </c>
      <c r="B319" s="1142">
        <v>1800</v>
      </c>
      <c r="C319" s="1142">
        <v>120</v>
      </c>
      <c r="D319" s="1142">
        <v>2</v>
      </c>
      <c r="E319" s="1164">
        <v>100</v>
      </c>
      <c r="F319" s="1081">
        <f t="shared" si="55"/>
        <v>3600</v>
      </c>
      <c r="G319" s="1155">
        <v>12.21901875</v>
      </c>
      <c r="H319" s="1102">
        <f t="shared" si="56"/>
        <v>9.5439851096835039E-4</v>
      </c>
      <c r="I319" s="1102">
        <f t="shared" si="63"/>
        <v>0.90136986301369859</v>
      </c>
      <c r="J319" s="1084">
        <v>0.6</v>
      </c>
      <c r="K319" s="1081">
        <v>350</v>
      </c>
      <c r="L319" s="1081">
        <f t="shared" si="58"/>
        <v>360</v>
      </c>
      <c r="M319" s="1158"/>
      <c r="N319" s="1086"/>
      <c r="O319" s="1087">
        <f t="shared" si="59"/>
        <v>39.250691506849314</v>
      </c>
    </row>
    <row r="320" spans="1:15" ht="14.5">
      <c r="A320" s="1080" t="s">
        <v>25</v>
      </c>
      <c r="B320" s="1142">
        <v>1200</v>
      </c>
      <c r="C320" s="1142">
        <v>240</v>
      </c>
      <c r="D320" s="1142">
        <v>3</v>
      </c>
      <c r="E320" s="1164">
        <v>150</v>
      </c>
      <c r="F320" s="1081">
        <f t="shared" si="55"/>
        <v>3600</v>
      </c>
      <c r="G320" s="1155">
        <v>103.22212297603011</v>
      </c>
      <c r="H320" s="1102">
        <f t="shared" si="56"/>
        <v>8.0624346752324189E-3</v>
      </c>
      <c r="I320" s="1102">
        <f t="shared" si="63"/>
        <v>0.90136986301369859</v>
      </c>
      <c r="J320" s="1084">
        <v>0.6</v>
      </c>
      <c r="K320" s="1081">
        <v>350</v>
      </c>
      <c r="L320" s="1081">
        <f t="shared" si="58"/>
        <v>360</v>
      </c>
      <c r="M320" s="1158"/>
      <c r="N320" s="1086"/>
      <c r="O320" s="1087">
        <f t="shared" si="59"/>
        <v>39.250691506849314</v>
      </c>
    </row>
    <row r="321" spans="1:16" ht="14.5">
      <c r="A321" s="1080" t="s">
        <v>25</v>
      </c>
      <c r="B321" s="1142">
        <v>1800</v>
      </c>
      <c r="C321" s="1142">
        <v>120</v>
      </c>
      <c r="D321" s="1142">
        <v>2</v>
      </c>
      <c r="E321" s="1164">
        <v>150</v>
      </c>
      <c r="F321" s="1081">
        <f t="shared" si="55"/>
        <v>3600</v>
      </c>
      <c r="G321" s="1155">
        <v>9.4537190399999975</v>
      </c>
      <c r="H321" s="1102">
        <f t="shared" si="56"/>
        <v>7.3840752350831282E-4</v>
      </c>
      <c r="I321" s="1102">
        <f t="shared" si="63"/>
        <v>0.90136986301369859</v>
      </c>
      <c r="J321" s="1084">
        <v>0.6</v>
      </c>
      <c r="K321" s="1081">
        <v>350</v>
      </c>
      <c r="L321" s="1081">
        <f t="shared" si="58"/>
        <v>360</v>
      </c>
      <c r="M321" s="1158"/>
      <c r="N321" s="1086"/>
      <c r="O321" s="1087">
        <f t="shared" si="59"/>
        <v>39.250691506849314</v>
      </c>
    </row>
    <row r="322" spans="1:16" ht="14.5">
      <c r="A322" s="1080" t="s">
        <v>25</v>
      </c>
      <c r="B322" s="1142">
        <v>1200</v>
      </c>
      <c r="C322" s="1142">
        <v>240</v>
      </c>
      <c r="D322" s="1142">
        <v>2</v>
      </c>
      <c r="E322" s="1164">
        <v>150</v>
      </c>
      <c r="F322" s="1081">
        <f t="shared" si="55"/>
        <v>2400</v>
      </c>
      <c r="G322" s="1155">
        <v>154.12527183749998</v>
      </c>
      <c r="H322" s="1102">
        <f t="shared" si="56"/>
        <v>1.2038358640238783E-2</v>
      </c>
      <c r="I322" s="1102">
        <f t="shared" si="63"/>
        <v>0.90136986301369859</v>
      </c>
      <c r="J322" s="1088">
        <f t="shared" si="63"/>
        <v>0.9</v>
      </c>
      <c r="K322" s="1081">
        <v>350</v>
      </c>
      <c r="L322" s="1081">
        <f t="shared" si="58"/>
        <v>360</v>
      </c>
      <c r="M322" s="1158"/>
      <c r="N322" s="1086"/>
      <c r="O322" s="1087">
        <f t="shared" si="59"/>
        <v>39.250691506849314</v>
      </c>
    </row>
    <row r="323" spans="1:16" ht="14.5">
      <c r="A323" s="1080" t="s">
        <v>25</v>
      </c>
      <c r="B323" s="1142">
        <v>1200</v>
      </c>
      <c r="C323" s="1142">
        <v>69</v>
      </c>
      <c r="D323" s="1142">
        <v>2</v>
      </c>
      <c r="E323" s="1164">
        <v>120</v>
      </c>
      <c r="F323" s="1081">
        <f t="shared" si="55"/>
        <v>2400</v>
      </c>
      <c r="G323" s="1155">
        <v>778.72367569512494</v>
      </c>
      <c r="H323" s="1102">
        <f t="shared" si="56"/>
        <v>6.0824255346954743E-2</v>
      </c>
      <c r="I323" s="1102">
        <f t="shared" si="63"/>
        <v>0.90136986301369859</v>
      </c>
      <c r="J323" s="1088">
        <f t="shared" si="63"/>
        <v>0.9</v>
      </c>
      <c r="K323" s="1081">
        <v>350</v>
      </c>
      <c r="L323" s="1081">
        <f t="shared" si="58"/>
        <v>360</v>
      </c>
      <c r="M323" s="1158"/>
      <c r="N323" s="1086"/>
      <c r="O323" s="1087">
        <f t="shared" si="59"/>
        <v>39.250691506849314</v>
      </c>
    </row>
    <row r="324" spans="1:16" ht="14.5">
      <c r="A324" s="1080" t="s">
        <v>25</v>
      </c>
      <c r="B324" s="1142">
        <v>1200</v>
      </c>
      <c r="C324" s="1142">
        <v>60</v>
      </c>
      <c r="D324" s="1142">
        <v>2</v>
      </c>
      <c r="E324" s="1164">
        <v>120</v>
      </c>
      <c r="F324" s="1081">
        <f t="shared" si="55"/>
        <v>2400</v>
      </c>
      <c r="G324" s="1155">
        <v>14.023540125000004</v>
      </c>
      <c r="H324" s="1102">
        <f t="shared" si="56"/>
        <v>1.0953453863719554E-3</v>
      </c>
      <c r="I324" s="1102">
        <f t="shared" si="63"/>
        <v>0.90136986301369859</v>
      </c>
      <c r="J324" s="1088">
        <f t="shared" si="63"/>
        <v>0.9</v>
      </c>
      <c r="K324" s="1081">
        <v>350</v>
      </c>
      <c r="L324" s="1081">
        <f t="shared" si="58"/>
        <v>360</v>
      </c>
      <c r="M324" s="1158"/>
      <c r="N324" s="1086"/>
      <c r="O324" s="1087">
        <f t="shared" si="59"/>
        <v>39.250691506849314</v>
      </c>
    </row>
    <row r="325" spans="1:16" ht="14.5">
      <c r="A325" s="1080" t="s">
        <v>25</v>
      </c>
      <c r="B325" s="1142">
        <v>1200</v>
      </c>
      <c r="C325" s="1142">
        <v>1152</v>
      </c>
      <c r="D325" s="1142">
        <v>2</v>
      </c>
      <c r="E325" s="1164">
        <v>90</v>
      </c>
      <c r="F325" s="1081">
        <f t="shared" si="55"/>
        <v>2400</v>
      </c>
      <c r="G325" s="1155">
        <v>112.95030640215857</v>
      </c>
      <c r="H325" s="1102">
        <f t="shared" si="56"/>
        <v>8.8222799595621439E-3</v>
      </c>
      <c r="I325" s="1102">
        <f t="shared" si="63"/>
        <v>0.90136986301369859</v>
      </c>
      <c r="J325" s="1088">
        <f t="shared" si="63"/>
        <v>0.9</v>
      </c>
      <c r="K325" s="1081">
        <v>350</v>
      </c>
      <c r="L325" s="1081">
        <f t="shared" si="58"/>
        <v>360</v>
      </c>
      <c r="M325" s="1158">
        <f t="shared" ref="M325:M331" si="64">244-L325</f>
        <v>-116</v>
      </c>
      <c r="N325" s="1086"/>
      <c r="O325" s="1087">
        <f t="shared" si="59"/>
        <v>26.603246465753429</v>
      </c>
    </row>
    <row r="326" spans="1:16" ht="14.5">
      <c r="A326" s="1080" t="s">
        <v>25</v>
      </c>
      <c r="B326" s="1142">
        <v>1200</v>
      </c>
      <c r="C326" s="1142">
        <v>1152</v>
      </c>
      <c r="D326" s="1142">
        <v>2</v>
      </c>
      <c r="E326" s="1164">
        <v>80</v>
      </c>
      <c r="F326" s="1081">
        <f t="shared" si="55"/>
        <v>2400</v>
      </c>
      <c r="G326" s="1155">
        <v>19.572388410427461</v>
      </c>
      <c r="H326" s="1102">
        <f t="shared" si="56"/>
        <v>1.528752736794529E-3</v>
      </c>
      <c r="I326" s="1102">
        <f t="shared" si="63"/>
        <v>0.90136986301369859</v>
      </c>
      <c r="J326" s="1088">
        <f t="shared" si="63"/>
        <v>0.9</v>
      </c>
      <c r="K326" s="1081">
        <v>350</v>
      </c>
      <c r="L326" s="1081">
        <f t="shared" si="58"/>
        <v>360</v>
      </c>
      <c r="M326" s="1158">
        <f t="shared" si="64"/>
        <v>-116</v>
      </c>
      <c r="N326" s="1086"/>
      <c r="O326" s="1087">
        <f t="shared" si="59"/>
        <v>26.603246465753429</v>
      </c>
    </row>
    <row r="327" spans="1:16" ht="14.5">
      <c r="A327" s="1080" t="s">
        <v>25</v>
      </c>
      <c r="B327" s="1142">
        <v>1200</v>
      </c>
      <c r="C327" s="1142">
        <v>1152</v>
      </c>
      <c r="D327" s="1142">
        <v>2</v>
      </c>
      <c r="E327" s="1164">
        <v>50</v>
      </c>
      <c r="F327" s="1081">
        <f t="shared" si="55"/>
        <v>2400</v>
      </c>
      <c r="G327" s="1155">
        <v>671.80627634027189</v>
      </c>
      <c r="H327" s="1102">
        <f t="shared" si="56"/>
        <v>5.2473191417137945E-2</v>
      </c>
      <c r="I327" s="1102">
        <f t="shared" si="63"/>
        <v>0.90136986301369859</v>
      </c>
      <c r="J327" s="1088">
        <f>J326</f>
        <v>0.9</v>
      </c>
      <c r="K327" s="1081">
        <v>350</v>
      </c>
      <c r="L327" s="1081">
        <f t="shared" si="58"/>
        <v>360</v>
      </c>
      <c r="M327" s="1158"/>
      <c r="N327" s="1086"/>
      <c r="O327" s="1087">
        <f t="shared" si="59"/>
        <v>39.250691506849314</v>
      </c>
    </row>
    <row r="328" spans="1:16" ht="14.5">
      <c r="A328" s="1080" t="s">
        <v>25</v>
      </c>
      <c r="B328" s="1142">
        <v>1800</v>
      </c>
      <c r="C328" s="1142">
        <v>1728</v>
      </c>
      <c r="D328" s="1142">
        <v>2</v>
      </c>
      <c r="E328" s="1164">
        <v>150</v>
      </c>
      <c r="F328" s="1081">
        <f t="shared" si="55"/>
        <v>3600</v>
      </c>
      <c r="G328" s="1155">
        <v>1665.4481071388134</v>
      </c>
      <c r="H328" s="1102">
        <f t="shared" si="56"/>
        <v>0.13008419301659072</v>
      </c>
      <c r="I328" s="1102">
        <f t="shared" si="63"/>
        <v>0.90136986301369859</v>
      </c>
      <c r="J328" s="1088">
        <f t="shared" si="63"/>
        <v>0.6</v>
      </c>
      <c r="K328" s="1081">
        <v>350</v>
      </c>
      <c r="L328" s="1081">
        <f t="shared" si="58"/>
        <v>360</v>
      </c>
      <c r="M328" s="1158">
        <f t="shared" si="64"/>
        <v>-116</v>
      </c>
      <c r="N328" s="1086"/>
      <c r="O328" s="1087">
        <f t="shared" si="59"/>
        <v>26.603246465753422</v>
      </c>
    </row>
    <row r="329" spans="1:16" ht="14.5">
      <c r="A329" s="1080" t="s">
        <v>25</v>
      </c>
      <c r="B329" s="1142">
        <v>1200</v>
      </c>
      <c r="C329" s="1142">
        <v>2304</v>
      </c>
      <c r="D329" s="1142">
        <v>2</v>
      </c>
      <c r="E329" s="1164">
        <v>70</v>
      </c>
      <c r="F329" s="1081">
        <f t="shared" si="55"/>
        <v>2400</v>
      </c>
      <c r="G329" s="1155">
        <v>106.00857514015469</v>
      </c>
      <c r="H329" s="1102">
        <f t="shared" si="56"/>
        <v>8.280077830606497E-3</v>
      </c>
      <c r="I329" s="1102">
        <f t="shared" si="63"/>
        <v>0.90136986301369859</v>
      </c>
      <c r="J329" s="1088">
        <f t="shared" si="63"/>
        <v>0.6</v>
      </c>
      <c r="K329" s="1081">
        <v>350</v>
      </c>
      <c r="L329" s="1081">
        <f t="shared" si="58"/>
        <v>360</v>
      </c>
      <c r="M329" s="1158">
        <f t="shared" si="64"/>
        <v>-116</v>
      </c>
      <c r="N329" s="1086"/>
      <c r="O329" s="1087">
        <f t="shared" si="59"/>
        <v>17.735497643835618</v>
      </c>
    </row>
    <row r="330" spans="1:16" ht="14.5">
      <c r="A330" s="1080" t="s">
        <v>25</v>
      </c>
      <c r="B330" s="1142">
        <v>450</v>
      </c>
      <c r="C330" s="1142">
        <v>384</v>
      </c>
      <c r="D330" s="1142">
        <v>2</v>
      </c>
      <c r="E330" s="1164">
        <v>130</v>
      </c>
      <c r="F330" s="1081">
        <f t="shared" si="55"/>
        <v>900</v>
      </c>
      <c r="G330" s="1155">
        <v>21.209912126701219</v>
      </c>
      <c r="H330" s="1102">
        <f t="shared" si="56"/>
        <v>1.6566558220146115E-3</v>
      </c>
      <c r="I330" s="1102">
        <f t="shared" ref="I330:J332" si="65">I321</f>
        <v>0.90136986301369859</v>
      </c>
      <c r="J330" s="1088">
        <f t="shared" si="65"/>
        <v>0.6</v>
      </c>
      <c r="K330" s="1081">
        <v>350</v>
      </c>
      <c r="L330" s="1081">
        <f t="shared" si="58"/>
        <v>360</v>
      </c>
      <c r="M330" s="1158"/>
      <c r="N330" s="1086"/>
      <c r="O330" s="1087">
        <f t="shared" si="59"/>
        <v>9.8126728767123286</v>
      </c>
    </row>
    <row r="331" spans="1:16" ht="14.5">
      <c r="A331" s="1080" t="s">
        <v>25</v>
      </c>
      <c r="B331" s="1142">
        <v>4050</v>
      </c>
      <c r="C331" s="1142">
        <v>2304</v>
      </c>
      <c r="D331" s="1142">
        <v>2</v>
      </c>
      <c r="E331" s="1164">
        <v>70</v>
      </c>
      <c r="F331" s="1081">
        <f t="shared" si="55"/>
        <v>8100</v>
      </c>
      <c r="G331" s="1155">
        <v>140.91749454507828</v>
      </c>
      <c r="H331" s="1102">
        <f t="shared" si="56"/>
        <v>1.1006730549718924E-2</v>
      </c>
      <c r="I331" s="1102">
        <f t="shared" si="65"/>
        <v>0.90136986301369859</v>
      </c>
      <c r="J331" s="1084">
        <v>0.5</v>
      </c>
      <c r="K331" s="1081">
        <v>350</v>
      </c>
      <c r="L331" s="1081">
        <f t="shared" si="58"/>
        <v>360</v>
      </c>
      <c r="M331" s="1158">
        <f t="shared" si="64"/>
        <v>-116</v>
      </c>
      <c r="N331" s="1086"/>
      <c r="O331" s="1087">
        <f t="shared" si="59"/>
        <v>49.881087123287664</v>
      </c>
    </row>
    <row r="332" spans="1:16" ht="14.5">
      <c r="A332" s="1080" t="s">
        <v>25</v>
      </c>
      <c r="B332" s="1142">
        <v>600</v>
      </c>
      <c r="C332" s="1142">
        <v>576</v>
      </c>
      <c r="D332" s="1142">
        <v>3</v>
      </c>
      <c r="E332" s="1164">
        <v>130</v>
      </c>
      <c r="F332" s="1081">
        <f t="shared" si="55"/>
        <v>1800</v>
      </c>
      <c r="G332" s="1155">
        <v>5.4900341127186278</v>
      </c>
      <c r="H332" s="1102">
        <f t="shared" si="56"/>
        <v>4.2881351518869769E-4</v>
      </c>
      <c r="I332" s="1102">
        <f t="shared" si="65"/>
        <v>0.90136986301369859</v>
      </c>
      <c r="J332" s="1088">
        <f t="shared" si="65"/>
        <v>0.9</v>
      </c>
      <c r="K332" s="1081">
        <v>350</v>
      </c>
      <c r="L332" s="1081">
        <f t="shared" si="58"/>
        <v>360</v>
      </c>
      <c r="M332" s="1158"/>
      <c r="N332" s="1086"/>
      <c r="O332" s="1087">
        <f t="shared" si="59"/>
        <v>29.438018630136991</v>
      </c>
    </row>
    <row r="333" spans="1:16">
      <c r="A333" s="1165"/>
      <c r="B333" s="1166"/>
      <c r="C333" s="1166"/>
      <c r="D333" s="1166"/>
      <c r="E333" s="1166"/>
      <c r="F333" s="1166">
        <f>SUMPRODUCT(F279:F332,G279:G332)/G333</f>
        <v>2659.1722160694967</v>
      </c>
      <c r="G333" s="1167">
        <f>SUM(G279:G332)</f>
        <v>12802.847667482589</v>
      </c>
      <c r="H333" s="1166"/>
      <c r="I333" s="1310">
        <f>SUMPRODUCT(I279:I332,H279:H332)</f>
        <v>0.90136986301369848</v>
      </c>
      <c r="J333" s="1310">
        <f>SUMPRODUCT(J279:J332,H279:H332)</f>
        <v>0.85035903477255004</v>
      </c>
      <c r="K333" s="1311">
        <f>SUMPRODUCT(K279:K332,H279:H332)</f>
        <v>350</v>
      </c>
      <c r="L333" s="1311">
        <f>SUMPRODUCT(L279:L332,H279:H332)</f>
        <v>359.99999999999994</v>
      </c>
      <c r="M333" s="1311">
        <f>SUMPRODUCT(M279:M332,H279:H332)</f>
        <v>-40.124824595383856</v>
      </c>
      <c r="N333" s="1312">
        <f>L333+M333</f>
        <v>319.87517540461607</v>
      </c>
      <c r="O333" s="1168">
        <f>SUMPRODUCT(O279:O332,H279:H332)</f>
        <v>35.452721906670085</v>
      </c>
    </row>
    <row r="334" spans="1:16" ht="14.5">
      <c r="G334" s="1097">
        <f>G333/F274</f>
        <v>38.914430600251031</v>
      </c>
      <c r="N334" s="1152"/>
      <c r="O334" s="1169">
        <f>G334/O333</f>
        <v>1.0976429596208144</v>
      </c>
      <c r="P334" s="1152"/>
    </row>
    <row r="335" spans="1:16">
      <c r="G335" s="1100">
        <v>12802.847667482587</v>
      </c>
      <c r="O335" s="1170">
        <f>G334-O333</f>
        <v>3.4617086935809454</v>
      </c>
    </row>
    <row r="336" spans="1:16">
      <c r="G336" s="1122">
        <f>G333-G335</f>
        <v>0</v>
      </c>
      <c r="O336" s="1170"/>
    </row>
    <row r="337" spans="1:15">
      <c r="G337" s="1100"/>
      <c r="O337" s="1170"/>
    </row>
    <row r="338" spans="1:15">
      <c r="A338" s="1072" t="s">
        <v>1408</v>
      </c>
      <c r="F338" s="1072">
        <v>357</v>
      </c>
    </row>
    <row r="339" spans="1:15">
      <c r="A339" s="1072" t="s">
        <v>1409</v>
      </c>
      <c r="F339" s="1072">
        <f>1*12</f>
        <v>12</v>
      </c>
    </row>
    <row r="340" spans="1:15">
      <c r="A340" s="1072" t="s">
        <v>489</v>
      </c>
      <c r="F340" s="1072">
        <v>0</v>
      </c>
    </row>
    <row r="341" spans="1:15">
      <c r="A341" s="1072" t="s">
        <v>1410</v>
      </c>
      <c r="F341" s="1072">
        <f>4*12</f>
        <v>48</v>
      </c>
    </row>
    <row r="342" spans="1:15">
      <c r="A342" s="1073" t="s">
        <v>1411</v>
      </c>
      <c r="F342" s="1073">
        <f>F338-F339-F341-F340</f>
        <v>297</v>
      </c>
      <c r="G342" s="1074">
        <f>F342/F338</f>
        <v>0.83193277310924374</v>
      </c>
    </row>
    <row r="343" spans="1:15">
      <c r="A343" s="1072" t="s">
        <v>1424</v>
      </c>
      <c r="E343" s="1072">
        <v>1</v>
      </c>
    </row>
    <row r="344" spans="1:15">
      <c r="A344" s="1072" t="s">
        <v>1425</v>
      </c>
      <c r="E344" s="1072">
        <v>84</v>
      </c>
    </row>
    <row r="345" spans="1:15">
      <c r="A345" s="1073" t="s">
        <v>1426</v>
      </c>
      <c r="B345" s="1073"/>
      <c r="C345" s="1073"/>
      <c r="D345" s="1073"/>
      <c r="E345" s="1073">
        <f>E343*E344</f>
        <v>84</v>
      </c>
    </row>
    <row r="346" spans="1:15">
      <c r="A346" s="1075" t="s">
        <v>1412</v>
      </c>
      <c r="B346" s="1076" t="s">
        <v>1209</v>
      </c>
      <c r="C346" s="1076" t="s">
        <v>1413</v>
      </c>
      <c r="D346" s="1076" t="s">
        <v>1414</v>
      </c>
      <c r="E346" s="1157" t="s">
        <v>327</v>
      </c>
      <c r="F346" s="1076" t="s">
        <v>1415</v>
      </c>
      <c r="G346" s="1076" t="s">
        <v>971</v>
      </c>
      <c r="H346" s="1076" t="s">
        <v>1416</v>
      </c>
      <c r="I346" s="1076" t="s">
        <v>1417</v>
      </c>
      <c r="J346" s="1076" t="s">
        <v>1418</v>
      </c>
      <c r="K346" s="1077" t="s">
        <v>35</v>
      </c>
      <c r="L346" s="1076" t="s">
        <v>1419</v>
      </c>
      <c r="M346" s="1078" t="s">
        <v>1430</v>
      </c>
      <c r="N346" s="1078" t="s">
        <v>490</v>
      </c>
      <c r="O346" s="1171" t="s">
        <v>983</v>
      </c>
    </row>
    <row r="347" spans="1:15" ht="14.5">
      <c r="A347" s="1080" t="s">
        <v>241</v>
      </c>
      <c r="B347" s="1081">
        <v>1200</v>
      </c>
      <c r="C347" s="1081">
        <v>120</v>
      </c>
      <c r="D347" s="1081">
        <v>2</v>
      </c>
      <c r="E347" s="1152">
        <v>130</v>
      </c>
      <c r="F347" s="1081">
        <f t="shared" ref="F347:F361" si="66">B347*D347</f>
        <v>2400</v>
      </c>
      <c r="G347" s="1172">
        <v>0</v>
      </c>
      <c r="H347" s="1102">
        <f t="shared" ref="H347:H360" si="67">G347/$G$362</f>
        <v>0</v>
      </c>
      <c r="I347" s="1102">
        <f>G342</f>
        <v>0.83193277310924374</v>
      </c>
      <c r="J347" s="1088">
        <f>[68]Assumption!$J$106</f>
        <v>0.8</v>
      </c>
      <c r="K347" s="1155">
        <f>[68]Assumption!$J$104</f>
        <v>400</v>
      </c>
      <c r="L347" s="1081">
        <v>84</v>
      </c>
      <c r="M347" s="1086">
        <v>0</v>
      </c>
      <c r="N347" s="1086"/>
      <c r="O347" s="1087">
        <f t="shared" ref="O347:O361" si="68">(F347*K347*I347*J347*(L347+M347)*1440)/(9000*1000000)</f>
        <v>8.5871435294117653</v>
      </c>
    </row>
    <row r="348" spans="1:15" ht="14.5">
      <c r="A348" s="1080" t="s">
        <v>241</v>
      </c>
      <c r="B348" s="1081">
        <v>1200</v>
      </c>
      <c r="C348" s="1081">
        <v>240</v>
      </c>
      <c r="D348" s="1081">
        <v>2</v>
      </c>
      <c r="E348" s="1152">
        <v>180</v>
      </c>
      <c r="F348" s="1081">
        <f t="shared" si="66"/>
        <v>2400</v>
      </c>
      <c r="G348" s="1172">
        <v>17.673588720000001</v>
      </c>
      <c r="H348" s="1102">
        <f t="shared" si="67"/>
        <v>1.3431312694501039E-2</v>
      </c>
      <c r="I348" s="1102">
        <f>$I$347</f>
        <v>0.83193277310924374</v>
      </c>
      <c r="J348" s="1088">
        <f>$J$347</f>
        <v>0.8</v>
      </c>
      <c r="K348" s="1155">
        <f t="shared" ref="K348:K361" si="69">$K$347</f>
        <v>400</v>
      </c>
      <c r="L348" s="1081">
        <v>84</v>
      </c>
      <c r="M348" s="1086">
        <v>0</v>
      </c>
      <c r="N348" s="1086"/>
      <c r="O348" s="1087">
        <f t="shared" si="68"/>
        <v>8.5871435294117653</v>
      </c>
    </row>
    <row r="349" spans="1:15" ht="14.5">
      <c r="A349" s="1080" t="s">
        <v>241</v>
      </c>
      <c r="B349" s="1081">
        <v>1200</v>
      </c>
      <c r="C349" s="1081">
        <v>360</v>
      </c>
      <c r="D349" s="1081">
        <v>2</v>
      </c>
      <c r="E349" s="1152">
        <v>150</v>
      </c>
      <c r="F349" s="1081">
        <f t="shared" si="66"/>
        <v>2400</v>
      </c>
      <c r="G349" s="1172">
        <v>0</v>
      </c>
      <c r="H349" s="1102">
        <f t="shared" si="67"/>
        <v>0</v>
      </c>
      <c r="I349" s="1102">
        <f t="shared" ref="I349:I361" si="70">$I$347</f>
        <v>0.83193277310924374</v>
      </c>
      <c r="J349" s="1088">
        <f t="shared" ref="J349:J361" si="71">$J$347</f>
        <v>0.8</v>
      </c>
      <c r="K349" s="1155">
        <f t="shared" si="69"/>
        <v>400</v>
      </c>
      <c r="L349" s="1081">
        <v>84</v>
      </c>
      <c r="M349" s="1086">
        <v>0</v>
      </c>
      <c r="N349" s="1086"/>
      <c r="O349" s="1087">
        <f t="shared" si="68"/>
        <v>8.5871435294117653</v>
      </c>
    </row>
    <row r="350" spans="1:15" ht="14.5">
      <c r="A350" s="1080" t="s">
        <v>241</v>
      </c>
      <c r="B350" s="1081">
        <v>1200</v>
      </c>
      <c r="C350" s="1081">
        <v>360</v>
      </c>
      <c r="D350" s="1081">
        <v>2</v>
      </c>
      <c r="E350" s="1152">
        <v>180</v>
      </c>
      <c r="F350" s="1081">
        <f t="shared" si="66"/>
        <v>2400</v>
      </c>
      <c r="G350" s="1172">
        <v>729.44668312555314</v>
      </c>
      <c r="H350" s="1102">
        <f t="shared" si="67"/>
        <v>0.55435410715079259</v>
      </c>
      <c r="I350" s="1102">
        <f t="shared" si="70"/>
        <v>0.83193277310924374</v>
      </c>
      <c r="J350" s="1088">
        <f t="shared" si="71"/>
        <v>0.8</v>
      </c>
      <c r="K350" s="1155">
        <f t="shared" si="69"/>
        <v>400</v>
      </c>
      <c r="L350" s="1081">
        <v>84</v>
      </c>
      <c r="M350" s="1086">
        <v>0</v>
      </c>
      <c r="N350" s="1086"/>
      <c r="O350" s="1087">
        <f t="shared" si="68"/>
        <v>8.5871435294117653</v>
      </c>
    </row>
    <row r="351" spans="1:15" ht="14.5">
      <c r="A351" s="1080" t="s">
        <v>241</v>
      </c>
      <c r="B351" s="1081">
        <v>1400</v>
      </c>
      <c r="C351" s="1081">
        <v>120</v>
      </c>
      <c r="D351" s="1081">
        <v>2</v>
      </c>
      <c r="E351" s="1152">
        <v>150</v>
      </c>
      <c r="F351" s="1081">
        <f t="shared" si="66"/>
        <v>2800</v>
      </c>
      <c r="G351" s="1172">
        <v>141.42118302423</v>
      </c>
      <c r="H351" s="1102">
        <f t="shared" si="67"/>
        <v>0.10747518010731978</v>
      </c>
      <c r="I351" s="1102">
        <f t="shared" si="70"/>
        <v>0.83193277310924374</v>
      </c>
      <c r="J351" s="1088">
        <f t="shared" si="71"/>
        <v>0.8</v>
      </c>
      <c r="K351" s="1155">
        <f t="shared" si="69"/>
        <v>400</v>
      </c>
      <c r="L351" s="1081">
        <v>84</v>
      </c>
      <c r="M351" s="1086">
        <v>0</v>
      </c>
      <c r="N351" s="1086"/>
      <c r="O351" s="1087">
        <f t="shared" si="68"/>
        <v>10.01833411764706</v>
      </c>
    </row>
    <row r="352" spans="1:15" ht="14.5">
      <c r="A352" s="1080" t="s">
        <v>241</v>
      </c>
      <c r="B352" s="1081">
        <v>1500</v>
      </c>
      <c r="C352" s="1081">
        <v>120</v>
      </c>
      <c r="D352" s="1081">
        <v>2</v>
      </c>
      <c r="E352" s="1152">
        <v>130</v>
      </c>
      <c r="F352" s="1081">
        <f t="shared" si="66"/>
        <v>3000</v>
      </c>
      <c r="G352" s="1172">
        <v>63.21336980688001</v>
      </c>
      <c r="H352" s="1102">
        <f t="shared" si="67"/>
        <v>4.8039962330261587E-2</v>
      </c>
      <c r="I352" s="1102">
        <f t="shared" si="70"/>
        <v>0.83193277310924374</v>
      </c>
      <c r="J352" s="1088">
        <f t="shared" si="71"/>
        <v>0.8</v>
      </c>
      <c r="K352" s="1155">
        <f t="shared" si="69"/>
        <v>400</v>
      </c>
      <c r="L352" s="1081">
        <v>84</v>
      </c>
      <c r="M352" s="1086">
        <v>0</v>
      </c>
      <c r="N352" s="1086"/>
      <c r="O352" s="1087">
        <f t="shared" si="68"/>
        <v>10.733929411764706</v>
      </c>
    </row>
    <row r="353" spans="1:16" ht="14.5">
      <c r="A353" s="1080" t="s">
        <v>241</v>
      </c>
      <c r="B353" s="1081">
        <v>450</v>
      </c>
      <c r="C353" s="1081">
        <v>384</v>
      </c>
      <c r="D353" s="1081">
        <v>2</v>
      </c>
      <c r="E353" s="1152">
        <v>130</v>
      </c>
      <c r="F353" s="1081">
        <f t="shared" si="66"/>
        <v>900</v>
      </c>
      <c r="G353" s="1172">
        <v>35.168792225344241</v>
      </c>
      <c r="H353" s="1102">
        <f t="shared" si="67"/>
        <v>2.6727058830558523E-2</v>
      </c>
      <c r="I353" s="1102">
        <f t="shared" si="70"/>
        <v>0.83193277310924374</v>
      </c>
      <c r="J353" s="1088">
        <f t="shared" si="71"/>
        <v>0.8</v>
      </c>
      <c r="K353" s="1155">
        <f t="shared" si="69"/>
        <v>400</v>
      </c>
      <c r="L353" s="1081">
        <v>84</v>
      </c>
      <c r="M353" s="1086">
        <v>0</v>
      </c>
      <c r="N353" s="1086"/>
      <c r="O353" s="1087">
        <f t="shared" si="68"/>
        <v>3.220178823529412</v>
      </c>
    </row>
    <row r="354" spans="1:16" ht="14.5">
      <c r="A354" s="1080" t="s">
        <v>241</v>
      </c>
      <c r="B354" s="1081">
        <v>1500</v>
      </c>
      <c r="C354" s="1081">
        <v>360</v>
      </c>
      <c r="D354" s="1081">
        <v>1</v>
      </c>
      <c r="E354" s="1152">
        <v>70</v>
      </c>
      <c r="F354" s="1081">
        <f t="shared" si="66"/>
        <v>1500</v>
      </c>
      <c r="G354" s="1172">
        <v>45.619950883500003</v>
      </c>
      <c r="H354" s="1102">
        <f t="shared" si="67"/>
        <v>3.4669575892680805E-2</v>
      </c>
      <c r="I354" s="1102">
        <f t="shared" si="70"/>
        <v>0.83193277310924374</v>
      </c>
      <c r="J354" s="1088">
        <f t="shared" si="71"/>
        <v>0.8</v>
      </c>
      <c r="K354" s="1155">
        <f t="shared" si="69"/>
        <v>400</v>
      </c>
      <c r="L354" s="1081">
        <v>84</v>
      </c>
      <c r="M354" s="1086">
        <v>0</v>
      </c>
      <c r="N354" s="1086"/>
      <c r="O354" s="1087">
        <f t="shared" si="68"/>
        <v>5.3669647058823529</v>
      </c>
    </row>
    <row r="355" spans="1:16" ht="14.5">
      <c r="A355" s="1080" t="s">
        <v>241</v>
      </c>
      <c r="B355" s="1081">
        <v>1800</v>
      </c>
      <c r="C355" s="1081">
        <v>360</v>
      </c>
      <c r="D355" s="1081">
        <v>2</v>
      </c>
      <c r="E355" s="1152">
        <v>180</v>
      </c>
      <c r="F355" s="1081">
        <f t="shared" si="66"/>
        <v>3600</v>
      </c>
      <c r="G355" s="1172">
        <v>21.722678277300002</v>
      </c>
      <c r="H355" s="1102">
        <f t="shared" si="67"/>
        <v>1.6508479920339658E-2</v>
      </c>
      <c r="I355" s="1102">
        <f t="shared" si="70"/>
        <v>0.83193277310924374</v>
      </c>
      <c r="J355" s="1088">
        <f t="shared" si="71"/>
        <v>0.8</v>
      </c>
      <c r="K355" s="1155">
        <f t="shared" si="69"/>
        <v>400</v>
      </c>
      <c r="L355" s="1081">
        <v>84</v>
      </c>
      <c r="M355" s="1086">
        <v>0</v>
      </c>
      <c r="N355" s="1086"/>
      <c r="O355" s="1087">
        <f t="shared" si="68"/>
        <v>12.880715294117648</v>
      </c>
    </row>
    <row r="356" spans="1:16" ht="14.5">
      <c r="A356" s="1080" t="s">
        <v>241</v>
      </c>
      <c r="B356" s="1142">
        <v>1200</v>
      </c>
      <c r="C356" s="1142">
        <v>360</v>
      </c>
      <c r="D356" s="1142">
        <v>2</v>
      </c>
      <c r="E356" s="1164">
        <v>130</v>
      </c>
      <c r="F356" s="1081">
        <f t="shared" si="66"/>
        <v>2400</v>
      </c>
      <c r="G356" s="1172">
        <v>63.840180487649995</v>
      </c>
      <c r="H356" s="1102">
        <f t="shared" si="67"/>
        <v>4.8516316645565286E-2</v>
      </c>
      <c r="I356" s="1102">
        <f t="shared" si="70"/>
        <v>0.83193277310924374</v>
      </c>
      <c r="J356" s="1088">
        <f t="shared" si="71"/>
        <v>0.8</v>
      </c>
      <c r="K356" s="1155">
        <f t="shared" si="69"/>
        <v>400</v>
      </c>
      <c r="L356" s="1081">
        <v>84</v>
      </c>
      <c r="M356" s="1086">
        <v>0</v>
      </c>
      <c r="N356" s="1086"/>
      <c r="O356" s="1087">
        <f t="shared" si="68"/>
        <v>8.5871435294117653</v>
      </c>
    </row>
    <row r="357" spans="1:16" ht="14.5">
      <c r="A357" s="1080" t="s">
        <v>241</v>
      </c>
      <c r="B357" s="1142">
        <v>1550</v>
      </c>
      <c r="C357" s="1142">
        <v>144</v>
      </c>
      <c r="D357" s="1142">
        <v>2</v>
      </c>
      <c r="E357" s="1164">
        <v>120</v>
      </c>
      <c r="F357" s="1081">
        <f t="shared" si="66"/>
        <v>3100</v>
      </c>
      <c r="G357" s="1172">
        <v>2.53615998132</v>
      </c>
      <c r="H357" s="1102">
        <f t="shared" si="67"/>
        <v>1.927393371660899E-3</v>
      </c>
      <c r="I357" s="1102">
        <f t="shared" si="70"/>
        <v>0.83193277310924374</v>
      </c>
      <c r="J357" s="1088">
        <f t="shared" si="71"/>
        <v>0.8</v>
      </c>
      <c r="K357" s="1155">
        <f t="shared" si="69"/>
        <v>400</v>
      </c>
      <c r="L357" s="1081">
        <v>84</v>
      </c>
      <c r="M357" s="1086">
        <v>0</v>
      </c>
      <c r="N357" s="1086"/>
      <c r="O357" s="1087">
        <f t="shared" si="68"/>
        <v>11.09172705882353</v>
      </c>
    </row>
    <row r="358" spans="1:16" ht="14.5">
      <c r="A358" s="1080" t="s">
        <v>241</v>
      </c>
      <c r="B358" s="1142">
        <v>1550</v>
      </c>
      <c r="C358" s="1142">
        <v>120</v>
      </c>
      <c r="D358" s="1142">
        <v>2</v>
      </c>
      <c r="E358" s="1164">
        <v>150</v>
      </c>
      <c r="F358" s="1081">
        <f t="shared" si="66"/>
        <v>3100</v>
      </c>
      <c r="G358" s="1172">
        <v>60.370217569282495</v>
      </c>
      <c r="H358" s="1102">
        <f t="shared" si="67"/>
        <v>4.5879265521807031E-2</v>
      </c>
      <c r="I358" s="1102">
        <f t="shared" si="70"/>
        <v>0.83193277310924374</v>
      </c>
      <c r="J358" s="1088">
        <f t="shared" si="71"/>
        <v>0.8</v>
      </c>
      <c r="K358" s="1155">
        <f t="shared" si="69"/>
        <v>400</v>
      </c>
      <c r="L358" s="1081">
        <v>84</v>
      </c>
      <c r="M358" s="1086">
        <v>0</v>
      </c>
      <c r="N358" s="1086"/>
      <c r="O358" s="1087">
        <f t="shared" si="68"/>
        <v>11.09172705882353</v>
      </c>
    </row>
    <row r="359" spans="1:16" ht="14.5">
      <c r="A359" s="1080" t="s">
        <v>241</v>
      </c>
      <c r="B359" s="1142">
        <v>1200</v>
      </c>
      <c r="C359" s="1142">
        <v>240</v>
      </c>
      <c r="D359" s="1142">
        <v>2</v>
      </c>
      <c r="E359" s="1164">
        <v>210</v>
      </c>
      <c r="F359" s="1081">
        <f t="shared" si="66"/>
        <v>2400</v>
      </c>
      <c r="G359" s="1172">
        <v>23.722374459420003</v>
      </c>
      <c r="H359" s="1102">
        <f t="shared" si="67"/>
        <v>1.8028179464194022E-2</v>
      </c>
      <c r="I359" s="1102">
        <f t="shared" si="70"/>
        <v>0.83193277310924374</v>
      </c>
      <c r="J359" s="1088">
        <f t="shared" si="71"/>
        <v>0.8</v>
      </c>
      <c r="K359" s="1155">
        <f t="shared" si="69"/>
        <v>400</v>
      </c>
      <c r="L359" s="1081">
        <v>84</v>
      </c>
      <c r="M359" s="1086">
        <v>0</v>
      </c>
      <c r="N359" s="1086"/>
      <c r="O359" s="1087">
        <f t="shared" si="68"/>
        <v>8.5871435294117653</v>
      </c>
    </row>
    <row r="360" spans="1:16" ht="14.5">
      <c r="A360" s="1080" t="s">
        <v>241</v>
      </c>
      <c r="B360" s="1142">
        <v>1200</v>
      </c>
      <c r="C360" s="1142">
        <v>360</v>
      </c>
      <c r="D360" s="1142">
        <v>2</v>
      </c>
      <c r="E360" s="1164">
        <v>210</v>
      </c>
      <c r="F360" s="1081">
        <f t="shared" si="66"/>
        <v>2400</v>
      </c>
      <c r="G360" s="1172">
        <v>44.968237299450003</v>
      </c>
      <c r="H360" s="1102">
        <f t="shared" si="67"/>
        <v>3.4174296237071085E-2</v>
      </c>
      <c r="I360" s="1102">
        <f t="shared" si="70"/>
        <v>0.83193277310924374</v>
      </c>
      <c r="J360" s="1088">
        <f t="shared" si="71"/>
        <v>0.8</v>
      </c>
      <c r="K360" s="1155">
        <f t="shared" si="69"/>
        <v>400</v>
      </c>
      <c r="L360" s="1081">
        <v>84</v>
      </c>
      <c r="M360" s="1086">
        <v>0</v>
      </c>
      <c r="N360" s="1086"/>
      <c r="O360" s="1087">
        <f t="shared" si="68"/>
        <v>8.5871435294117653</v>
      </c>
    </row>
    <row r="361" spans="1:16" ht="14.5">
      <c r="A361" s="1080" t="s">
        <v>241</v>
      </c>
      <c r="B361" s="1081">
        <v>900</v>
      </c>
      <c r="C361" s="1081">
        <v>60</v>
      </c>
      <c r="D361" s="1081">
        <v>2</v>
      </c>
      <c r="E361" s="1152">
        <v>150</v>
      </c>
      <c r="F361" s="1081">
        <f t="shared" si="66"/>
        <v>1800</v>
      </c>
      <c r="G361" s="1172">
        <v>66.146279697810002</v>
      </c>
      <c r="H361" s="1102">
        <f>G361/$G$362</f>
        <v>5.0268871833247672E-2</v>
      </c>
      <c r="I361" s="1102">
        <f t="shared" si="70"/>
        <v>0.83193277310924374</v>
      </c>
      <c r="J361" s="1088">
        <f t="shared" si="71"/>
        <v>0.8</v>
      </c>
      <c r="K361" s="1155">
        <f t="shared" si="69"/>
        <v>400</v>
      </c>
      <c r="L361" s="1081">
        <v>84</v>
      </c>
      <c r="M361" s="1086">
        <v>0</v>
      </c>
      <c r="N361" s="1086"/>
      <c r="O361" s="1087">
        <f t="shared" si="68"/>
        <v>6.440357647058824</v>
      </c>
    </row>
    <row r="362" spans="1:16">
      <c r="A362" s="1165"/>
      <c r="B362" s="1166"/>
      <c r="C362" s="1166"/>
      <c r="D362" s="1166"/>
      <c r="E362" s="1166"/>
      <c r="F362" s="1166">
        <f>SUMPRODUCT(F347:F361,H347:H361)</f>
        <v>2423.6343569217202</v>
      </c>
      <c r="G362" s="1167">
        <f>SUM(G347:G361)</f>
        <v>1315.84969555774</v>
      </c>
      <c r="H362" s="1166"/>
      <c r="I362" s="1310">
        <f>SUMPRODUCT(I347:I361,H347:H361)</f>
        <v>0.83193277310924374</v>
      </c>
      <c r="J362" s="1310">
        <f>SUMPRODUCT(J347:J361,H347:H361)</f>
        <v>0.79999999999999993</v>
      </c>
      <c r="K362" s="1311">
        <f>SUMPRODUCT(K347:K361,H347:H361)</f>
        <v>399.99999999999989</v>
      </c>
      <c r="L362" s="1311">
        <f>SUMPRODUCT(L347:L361,H347:H361)</f>
        <v>83.999999999999986</v>
      </c>
      <c r="M362" s="1166"/>
      <c r="N362" s="1166"/>
      <c r="O362" s="1168">
        <f>SUMPRODUCT(O347:O361,H347:H361)</f>
        <v>8.6717067023751664</v>
      </c>
    </row>
    <row r="363" spans="1:16" ht="14.5">
      <c r="G363" s="1097">
        <f>G362/F342</f>
        <v>4.4304703554132656</v>
      </c>
      <c r="N363" s="1152"/>
      <c r="O363" s="1169">
        <f>G363/O362</f>
        <v>0.51091100142948409</v>
      </c>
      <c r="P363" s="1152"/>
    </row>
    <row r="364" spans="1:16">
      <c r="G364" s="1100">
        <v>1315.8496955577402</v>
      </c>
      <c r="O364" s="1170">
        <f>G363-O362</f>
        <v>-4.2412363469619008</v>
      </c>
    </row>
    <row r="365" spans="1:16">
      <c r="G365" s="1122">
        <f>G362-G364</f>
        <v>0</v>
      </c>
    </row>
    <row r="366" spans="1:16">
      <c r="H366" s="1126"/>
    </row>
    <row r="368" spans="1:16">
      <c r="A368" s="1072" t="s">
        <v>1408</v>
      </c>
      <c r="F368" s="1072">
        <v>365</v>
      </c>
    </row>
    <row r="369" spans="1:14">
      <c r="A369" s="1072" t="s">
        <v>1409</v>
      </c>
      <c r="F369" s="1072">
        <f>1*12</f>
        <v>12</v>
      </c>
    </row>
    <row r="370" spans="1:14">
      <c r="A370" s="1072" t="s">
        <v>489</v>
      </c>
      <c r="F370" s="1072">
        <v>0</v>
      </c>
    </row>
    <row r="371" spans="1:14">
      <c r="A371" s="1072" t="s">
        <v>1410</v>
      </c>
      <c r="F371" s="1072">
        <f>1*12</f>
        <v>12</v>
      </c>
      <c r="L371" s="1097"/>
    </row>
    <row r="372" spans="1:14">
      <c r="A372" s="1073" t="s">
        <v>1411</v>
      </c>
      <c r="F372" s="1073">
        <f>F368-F369-F371-F370</f>
        <v>341</v>
      </c>
      <c r="G372" s="1074">
        <f>F372/F368</f>
        <v>0.9342465753424658</v>
      </c>
    </row>
    <row r="373" spans="1:14">
      <c r="A373" s="1072" t="s">
        <v>1424</v>
      </c>
      <c r="E373" s="1073">
        <v>2</v>
      </c>
      <c r="F373" s="1073">
        <v>1</v>
      </c>
    </row>
    <row r="374" spans="1:14">
      <c r="A374" s="1072" t="s">
        <v>1431</v>
      </c>
      <c r="E374" s="1072">
        <v>50</v>
      </c>
    </row>
    <row r="375" spans="1:14">
      <c r="A375" s="1073" t="s">
        <v>1432</v>
      </c>
      <c r="B375" s="1073"/>
      <c r="C375" s="1073"/>
      <c r="D375" s="1073"/>
      <c r="E375" s="1073">
        <f>E373*E374</f>
        <v>100</v>
      </c>
    </row>
    <row r="376" spans="1:14">
      <c r="A376" s="1075" t="s">
        <v>1412</v>
      </c>
      <c r="B376" s="1076" t="s">
        <v>1433</v>
      </c>
      <c r="C376" s="1076" t="s">
        <v>1434</v>
      </c>
      <c r="D376" s="1076" t="s">
        <v>1435</v>
      </c>
      <c r="E376" s="1076" t="s">
        <v>1436</v>
      </c>
      <c r="F376" s="1076" t="s">
        <v>1437</v>
      </c>
      <c r="G376" s="1076" t="s">
        <v>1417</v>
      </c>
      <c r="H376" s="1076" t="s">
        <v>1438</v>
      </c>
      <c r="I376" s="1076" t="s">
        <v>1439</v>
      </c>
      <c r="J376" s="1173" t="s">
        <v>1416</v>
      </c>
    </row>
    <row r="377" spans="1:14" ht="14.5">
      <c r="A377" s="1080" t="s">
        <v>1440</v>
      </c>
      <c r="B377" s="1081">
        <v>50</v>
      </c>
      <c r="C377" s="1081">
        <v>10</v>
      </c>
      <c r="D377" s="1081">
        <v>30</v>
      </c>
      <c r="E377" s="1102">
        <f>(D377*C377)/1440</f>
        <v>0.20833333333333334</v>
      </c>
      <c r="F377" s="1102">
        <f>1-E377</f>
        <v>0.79166666666666663</v>
      </c>
      <c r="G377" s="1134">
        <f>G372</f>
        <v>0.9342465753424658</v>
      </c>
      <c r="H377" s="1174">
        <f>B377*F377*G377*24/1000</f>
        <v>0.88753424657534241</v>
      </c>
      <c r="I377" s="1131">
        <v>291.64012308445001</v>
      </c>
      <c r="J377" s="1175">
        <f>I377/$I$380</f>
        <v>0.5</v>
      </c>
      <c r="L377" s="1154"/>
      <c r="M377" s="1176"/>
      <c r="N377" s="1097"/>
    </row>
    <row r="378" spans="1:14" ht="14.5">
      <c r="A378" s="1080" t="s">
        <v>1441</v>
      </c>
      <c r="B378" s="1081">
        <v>50</v>
      </c>
      <c r="C378" s="1081">
        <v>10</v>
      </c>
      <c r="D378" s="1081">
        <v>30</v>
      </c>
      <c r="E378" s="1102">
        <f>(D378*C378)/1440</f>
        <v>0.20833333333333334</v>
      </c>
      <c r="F378" s="1102">
        <f>1-E378</f>
        <v>0.79166666666666663</v>
      </c>
      <c r="G378" s="1134">
        <f>G377</f>
        <v>0.9342465753424658</v>
      </c>
      <c r="H378" s="1174">
        <f>B378*F378*G378*24/1000</f>
        <v>0.88753424657534241</v>
      </c>
      <c r="I378" s="1131">
        <v>291.64012308445001</v>
      </c>
      <c r="J378" s="1175">
        <f>I378/$I$380</f>
        <v>0.5</v>
      </c>
      <c r="L378" s="1154"/>
    </row>
    <row r="379" spans="1:14">
      <c r="A379" s="1080"/>
      <c r="B379" s="1105"/>
      <c r="C379" s="1124"/>
      <c r="D379" s="1105"/>
      <c r="E379" s="1081"/>
      <c r="F379" s="1104"/>
      <c r="G379" s="1081"/>
      <c r="H379" s="1177"/>
      <c r="I379" s="1146"/>
      <c r="J379" s="1178"/>
    </row>
    <row r="380" spans="1:14">
      <c r="A380" s="1108" t="s">
        <v>1420</v>
      </c>
      <c r="B380" s="1109"/>
      <c r="C380" s="1109"/>
      <c r="D380" s="1109"/>
      <c r="E380" s="1109"/>
      <c r="F380" s="1110"/>
      <c r="G380" s="1109"/>
      <c r="H380" s="1179">
        <f>SUM(H377:H379)</f>
        <v>1.7750684931506848</v>
      </c>
      <c r="I380" s="1180">
        <f>SUM(I377:I379)</f>
        <v>583.28024616890002</v>
      </c>
      <c r="J380" s="1181">
        <f>SUM(J377:J379)</f>
        <v>1</v>
      </c>
    </row>
    <row r="381" spans="1:14" ht="14.5">
      <c r="A381" s="1114" t="s">
        <v>1442</v>
      </c>
      <c r="H381" s="1182">
        <f>H380</f>
        <v>1.7750684931506848</v>
      </c>
      <c r="I381" s="1097">
        <f>I380/F372</f>
        <v>1.7104992556272729</v>
      </c>
      <c r="J381" s="1154">
        <f>I381/H380</f>
        <v>0.96362436842715637</v>
      </c>
    </row>
    <row r="382" spans="1:14">
      <c r="I382" s="1182">
        <f>H381-I381</f>
        <v>6.4569237523411926E-2</v>
      </c>
    </row>
    <row r="383" spans="1:14">
      <c r="H383" s="1097"/>
    </row>
  </sheetData>
  <autoFilter ref="A107:P165"/>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Z192"/>
  <sheetViews>
    <sheetView showGridLines="0" zoomScale="90" zoomScaleNormal="90" workbookViewId="0">
      <selection activeCell="J1" sqref="J1:J16"/>
    </sheetView>
  </sheetViews>
  <sheetFormatPr defaultColWidth="9.1796875" defaultRowHeight="14.5"/>
  <cols>
    <col min="1" max="1" width="3.1796875" style="1183" bestFit="1" customWidth="1"/>
    <col min="2" max="2" width="18.81640625" style="1183" bestFit="1" customWidth="1"/>
    <col min="3" max="3" width="11.81640625" style="1183" bestFit="1" customWidth="1"/>
    <col min="4" max="5" width="13.26953125" style="1183" customWidth="1"/>
    <col min="6" max="6" width="18.7265625" style="1183" customWidth="1"/>
    <col min="7" max="7" width="16.453125" style="1183" customWidth="1"/>
    <col min="8" max="8" width="9.7265625" style="1183" customWidth="1"/>
    <col min="9" max="9" width="11.81640625" style="1183" bestFit="1" customWidth="1"/>
    <col min="10" max="10" width="11.453125" style="1183" customWidth="1"/>
    <col min="11" max="11" width="13.26953125" style="1183" customWidth="1"/>
    <col min="12" max="12" width="13.54296875" style="1183" customWidth="1"/>
    <col min="13" max="13" width="14.26953125" style="1183" customWidth="1"/>
    <col min="14" max="14" width="13.453125" style="1183" customWidth="1"/>
    <col min="15" max="15" width="17.54296875" style="1183" bestFit="1" customWidth="1"/>
    <col min="16" max="16" width="15.54296875" style="1183" bestFit="1" customWidth="1"/>
    <col min="17" max="17" width="13.7265625" style="658" customWidth="1"/>
    <col min="18" max="18" width="13.453125" style="1183" customWidth="1"/>
    <col min="19" max="19" width="14" style="1183" customWidth="1"/>
    <col min="20" max="20" width="13.7265625" style="1183" customWidth="1"/>
    <col min="21" max="21" width="13.26953125" style="1183" customWidth="1"/>
    <col min="22" max="22" width="13.7265625" style="1183" customWidth="1"/>
    <col min="23" max="23" width="14" style="1183" customWidth="1"/>
    <col min="24" max="24" width="11.81640625" style="1183" customWidth="1"/>
    <col min="25" max="34" width="12.7265625" style="1183" customWidth="1"/>
    <col min="35" max="35" width="13.81640625" style="1183" customWidth="1"/>
    <col min="36" max="36" width="9.1796875" style="1183" customWidth="1"/>
    <col min="37" max="37" width="12.26953125" style="1183" customWidth="1"/>
    <col min="38" max="48" width="11.7265625" style="1183" customWidth="1"/>
    <col min="49" max="49" width="12.7265625" style="1183" bestFit="1" customWidth="1"/>
    <col min="50" max="16384" width="9.1796875" style="1183"/>
  </cols>
  <sheetData>
    <row r="2" spans="4:24">
      <c r="D2" s="655"/>
      <c r="E2" s="655"/>
      <c r="F2" s="655"/>
      <c r="G2" s="655"/>
      <c r="H2" s="655"/>
    </row>
    <row r="3" spans="4:24">
      <c r="D3" s="655"/>
      <c r="E3" s="655" t="s">
        <v>257</v>
      </c>
      <c r="F3" s="655" t="s">
        <v>1443</v>
      </c>
      <c r="G3" s="655" t="s">
        <v>1444</v>
      </c>
      <c r="H3" s="1184" t="s">
        <v>1445</v>
      </c>
      <c r="K3" s="655" t="s">
        <v>257</v>
      </c>
      <c r="L3" s="655" t="s">
        <v>1446</v>
      </c>
      <c r="M3" s="655" t="s">
        <v>1447</v>
      </c>
      <c r="N3" s="655" t="s">
        <v>1448</v>
      </c>
      <c r="O3" s="655" t="s">
        <v>1449</v>
      </c>
      <c r="P3" s="655" t="s">
        <v>1450</v>
      </c>
      <c r="Q3" s="655" t="s">
        <v>1451</v>
      </c>
      <c r="R3" s="655" t="s">
        <v>1452</v>
      </c>
      <c r="S3" s="655" t="s">
        <v>1453</v>
      </c>
      <c r="T3" s="655" t="s">
        <v>1454</v>
      </c>
      <c r="U3" s="655" t="s">
        <v>1455</v>
      </c>
      <c r="V3" s="655" t="s">
        <v>1456</v>
      </c>
      <c r="W3" s="655" t="s">
        <v>1457</v>
      </c>
      <c r="X3" s="655" t="s">
        <v>1458</v>
      </c>
    </row>
    <row r="4" spans="4:24">
      <c r="D4" s="655"/>
      <c r="E4" s="1185" t="s">
        <v>77</v>
      </c>
      <c r="F4" s="1186">
        <v>1063167.8758592044</v>
      </c>
      <c r="G4" s="1187">
        <v>217.87403705589864</v>
      </c>
      <c r="H4" s="1188" t="e">
        <f>SUMPRODUCT(--([69]Data!$MW$8:$MW$354='T&amp;C01'!E4),[69]Data!$MX$8:$MX$354,[69]Data!$MS$8:$MS$354)/F4</f>
        <v>#REF!</v>
      </c>
      <c r="I4" s="1189" t="e">
        <f>SUMIFS([69]Data!$MX$10:$MX$354,[69]Data!$MW$10:$MW$354,E4)</f>
        <v>#VALUE!</v>
      </c>
      <c r="K4" s="1190" t="s">
        <v>77</v>
      </c>
      <c r="L4" s="1191">
        <v>57357.893643539675</v>
      </c>
      <c r="M4" s="1191">
        <v>87246.530653561786</v>
      </c>
      <c r="N4" s="1191">
        <v>88707.001722841072</v>
      </c>
      <c r="O4" s="1191">
        <v>80184.970494010602</v>
      </c>
      <c r="P4" s="1191">
        <v>55326.922656268536</v>
      </c>
      <c r="Q4" s="1191">
        <v>47718.769000916138</v>
      </c>
      <c r="R4" s="1191">
        <v>115237.00248768306</v>
      </c>
      <c r="S4" s="1191">
        <v>122993.88167152141</v>
      </c>
      <c r="T4" s="1191">
        <v>113533.21146601043</v>
      </c>
      <c r="U4" s="1191">
        <v>110549.85091167485</v>
      </c>
      <c r="V4" s="1191">
        <v>93014.820784807758</v>
      </c>
      <c r="W4" s="1191">
        <v>91297.020366369194</v>
      </c>
      <c r="X4" s="1191">
        <v>1063167.8758592047</v>
      </c>
    </row>
    <row r="5" spans="4:24">
      <c r="D5" s="655"/>
      <c r="E5" s="1185" t="s">
        <v>85</v>
      </c>
      <c r="F5" s="1187">
        <v>6598889.0316686062</v>
      </c>
      <c r="G5" s="1187">
        <v>969.01764386947366</v>
      </c>
      <c r="H5" s="1188" t="e">
        <f>SUMPRODUCT(--([69]Data!$MW$8:$MW$354='T&amp;C01'!E5),[69]Data!$MX$8:$MX$354,[69]Data!$MS$8:$MS$354)/F5</f>
        <v>#REF!</v>
      </c>
      <c r="I5" s="1189" t="e">
        <f>SUMIFS([69]Data!$MX$10:$MX$354,[69]Data!$MW$10:$MW$354,E5)</f>
        <v>#VALUE!</v>
      </c>
      <c r="K5" s="1190" t="s">
        <v>85</v>
      </c>
      <c r="L5" s="1191">
        <v>538084.41403971356</v>
      </c>
      <c r="M5" s="1191">
        <v>535440.05685889127</v>
      </c>
      <c r="N5" s="1191">
        <v>500855.18313695799</v>
      </c>
      <c r="O5" s="1191">
        <v>595037.00200800155</v>
      </c>
      <c r="P5" s="1191">
        <v>604685.81053243345</v>
      </c>
      <c r="Q5" s="1191">
        <v>586017.54265352688</v>
      </c>
      <c r="R5" s="1191">
        <v>519489.35857526737</v>
      </c>
      <c r="S5" s="1191">
        <v>526822.93502643483</v>
      </c>
      <c r="T5" s="1191">
        <v>516859.09222692141</v>
      </c>
      <c r="U5" s="1191">
        <v>533900.44438980496</v>
      </c>
      <c r="V5" s="1191">
        <v>536880.12291328516</v>
      </c>
      <c r="W5" s="1191">
        <v>604817.06930736802</v>
      </c>
      <c r="X5" s="1191">
        <v>6598889.0316686062</v>
      </c>
    </row>
    <row r="6" spans="4:24">
      <c r="D6" s="655"/>
      <c r="E6" s="1190" t="s">
        <v>87</v>
      </c>
      <c r="F6" s="1186">
        <v>1083022.0929402164</v>
      </c>
      <c r="G6" s="1191">
        <v>364.72591240533529</v>
      </c>
      <c r="H6" s="1192" t="e">
        <f>SUMPRODUCT(--([69]Data!$MW$8:$MW$354='T&amp;C01'!E6),[69]Data!$MX$8:$MX$354,[69]Data!$MS$8:$MS$354)/F6</f>
        <v>#REF!</v>
      </c>
      <c r="I6" s="1189" t="e">
        <f>SUMIFS([69]Data!$MX$10:$MX$354,[69]Data!$MW$10:$MW$354,E6)</f>
        <v>#VALUE!</v>
      </c>
      <c r="K6" s="1190" t="s">
        <v>87</v>
      </c>
      <c r="L6" s="1191">
        <v>92620.313254440727</v>
      </c>
      <c r="M6" s="1191">
        <v>92357.278235463222</v>
      </c>
      <c r="N6" s="1191">
        <v>102578.7711909075</v>
      </c>
      <c r="O6" s="1191">
        <v>71896.276984346681</v>
      </c>
      <c r="P6" s="1191">
        <v>72940.995304546595</v>
      </c>
      <c r="Q6" s="1191">
        <v>73072.490898103089</v>
      </c>
      <c r="R6" s="1191">
        <v>74103.036794601372</v>
      </c>
      <c r="S6" s="1191">
        <v>74634.069739609957</v>
      </c>
      <c r="T6" s="1191">
        <v>74495.604681092009</v>
      </c>
      <c r="U6" s="1191">
        <v>79519.195083192986</v>
      </c>
      <c r="V6" s="1191">
        <v>79650.712592681753</v>
      </c>
      <c r="W6" s="1191">
        <v>195153.34818123066</v>
      </c>
      <c r="X6" s="1191">
        <v>1083022.0929402162</v>
      </c>
    </row>
    <row r="7" spans="4:24">
      <c r="D7" s="655"/>
      <c r="E7" s="1190" t="s">
        <v>88</v>
      </c>
      <c r="F7" s="1191">
        <v>1636530.2806713029</v>
      </c>
      <c r="G7" s="1191">
        <v>760.1640107646956</v>
      </c>
      <c r="H7" s="1192" t="e">
        <f>SUMPRODUCT(--([69]Data!$MW$8:$MW$354='T&amp;C01'!E7),[69]Data!$MX$8:$MX$354,[69]Data!$MS$8:$MS$354)/F7</f>
        <v>#REF!</v>
      </c>
      <c r="I7" s="1189" t="e">
        <f>SUMIFS([69]Data!$MX$10:$MX$354,[69]Data!$MW$10:$MW$354,E7)</f>
        <v>#VALUE!</v>
      </c>
      <c r="K7" s="1190" t="s">
        <v>88</v>
      </c>
      <c r="L7" s="1191">
        <v>266996.86866936961</v>
      </c>
      <c r="M7" s="1191">
        <v>240145.62346146145</v>
      </c>
      <c r="N7" s="1191">
        <v>108239.31847957811</v>
      </c>
      <c r="O7" s="1191">
        <v>96096.845956878911</v>
      </c>
      <c r="P7" s="1191">
        <v>112339.43358076997</v>
      </c>
      <c r="Q7" s="1191">
        <v>120097.1394302274</v>
      </c>
      <c r="R7" s="1191">
        <v>105977.45144705173</v>
      </c>
      <c r="S7" s="1191">
        <v>14472.234664387232</v>
      </c>
      <c r="T7" s="1191">
        <v>32685.63998619017</v>
      </c>
      <c r="U7" s="1191">
        <v>190974.58583536581</v>
      </c>
      <c r="V7" s="1191">
        <v>169838.16807354329</v>
      </c>
      <c r="W7" s="1191">
        <v>178666.97108647926</v>
      </c>
      <c r="X7" s="1191">
        <v>1636530.2806713029</v>
      </c>
    </row>
    <row r="8" spans="4:24">
      <c r="D8" s="655"/>
      <c r="E8" s="1190" t="s">
        <v>89</v>
      </c>
      <c r="F8" s="1186">
        <v>104000.95185605748</v>
      </c>
      <c r="G8" s="1191">
        <v>34.41198820476631</v>
      </c>
      <c r="H8" s="1192" t="e">
        <f>SUMPRODUCT(--([69]Data!$MW$8:$MW$354='T&amp;C01'!E8),[69]Data!$MX$8:$MX$354,[69]Data!$MS$8:$MS$354)/F8</f>
        <v>#REF!</v>
      </c>
      <c r="I8" s="1189" t="e">
        <f>SUMIFS([69]Data!$MX$10:$MX$354,[69]Data!$MW$10:$MW$354,E8)</f>
        <v>#VALUE!</v>
      </c>
      <c r="K8" s="1190" t="s">
        <v>89</v>
      </c>
      <c r="L8" s="1191">
        <v>2550.5798969072162</v>
      </c>
      <c r="M8" s="1191">
        <v>2550.5798969072162</v>
      </c>
      <c r="N8" s="1191">
        <v>10502.4388508255</v>
      </c>
      <c r="O8" s="1191">
        <v>7020.859903457078</v>
      </c>
      <c r="P8" s="1191">
        <v>7020.859903457078</v>
      </c>
      <c r="Q8" s="1191">
        <v>7020.859903457078</v>
      </c>
      <c r="R8" s="1191">
        <v>9767.6382539725419</v>
      </c>
      <c r="S8" s="1191">
        <v>9767.6382539725419</v>
      </c>
      <c r="T8" s="1191">
        <v>9767.6382539725419</v>
      </c>
      <c r="U8" s="1191">
        <v>13837.812562165705</v>
      </c>
      <c r="V8" s="1191">
        <v>10356.233614797284</v>
      </c>
      <c r="W8" s="1191">
        <v>13837.812562165705</v>
      </c>
      <c r="X8" s="1191">
        <v>104000.95185605747</v>
      </c>
    </row>
    <row r="9" spans="4:24">
      <c r="D9" s="655"/>
      <c r="E9" s="1185" t="s">
        <v>83</v>
      </c>
      <c r="F9" s="1186">
        <v>153681.42858362212</v>
      </c>
      <c r="G9" s="1187">
        <v>50.322016217514047</v>
      </c>
      <c r="H9" s="1188" t="e">
        <f>SUMPRODUCT(--([69]Data!$MW$8:$MW$354='T&amp;C01'!E9),[69]Data!$MX$8:$MX$354,[69]Data!$MS$8:$MS$354)/F9</f>
        <v>#REF!</v>
      </c>
      <c r="I9" s="1189" t="e">
        <f>SUMIFS([69]Data!$MX$10:$MX$354,[69]Data!$MW$10:$MW$354,E9)</f>
        <v>#VALUE!</v>
      </c>
      <c r="K9" s="1190" t="s">
        <v>83</v>
      </c>
      <c r="L9" s="1191">
        <v>11187.940631389341</v>
      </c>
      <c r="M9" s="1191">
        <v>11187.940631389341</v>
      </c>
      <c r="N9" s="1191">
        <v>11190.434731122878</v>
      </c>
      <c r="O9" s="1191">
        <v>13346.123621080063</v>
      </c>
      <c r="P9" s="1191">
        <v>13346.123621080063</v>
      </c>
      <c r="Q9" s="1191">
        <v>13346.123621080063</v>
      </c>
      <c r="R9" s="1191">
        <v>13346.123621080063</v>
      </c>
      <c r="S9" s="1191">
        <v>13346.123621080063</v>
      </c>
      <c r="T9" s="1191">
        <v>13346.123621080063</v>
      </c>
      <c r="U9" s="1191">
        <v>13346.123621080063</v>
      </c>
      <c r="V9" s="1191">
        <v>13346.123621080063</v>
      </c>
      <c r="W9" s="1191">
        <v>13346.123621080063</v>
      </c>
      <c r="X9" s="1191">
        <v>153681.42858362215</v>
      </c>
    </row>
    <row r="10" spans="4:24">
      <c r="D10" s="655"/>
      <c r="E10" s="1185" t="s">
        <v>66</v>
      </c>
      <c r="F10" s="1186">
        <v>548188.19247778214</v>
      </c>
      <c r="G10" s="1187">
        <v>183.34274528607591</v>
      </c>
      <c r="H10" s="1188" t="e">
        <f>SUMPRODUCT(--([69]Data!$MW$8:$MW$354='T&amp;C01'!E10),[69]Data!$MX$8:$MX$354,[69]Data!$MS$8:$MS$354)/F10</f>
        <v>#REF!</v>
      </c>
      <c r="I10" s="1189" t="e">
        <f>SUMIFS([69]Data!$MX$10:$MX$354,[69]Data!$MW$10:$MW$354,E10)</f>
        <v>#VALUE!</v>
      </c>
      <c r="K10" s="1190" t="s">
        <v>66</v>
      </c>
      <c r="L10" s="1191">
        <v>40822.929703852766</v>
      </c>
      <c r="M10" s="1191">
        <v>48531.79520222047</v>
      </c>
      <c r="N10" s="1191">
        <v>51086.122125297385</v>
      </c>
      <c r="O10" s="1191">
        <v>37208.811593226281</v>
      </c>
      <c r="P10" s="1191">
        <v>40276.576130055517</v>
      </c>
      <c r="Q10" s="1191">
        <v>39054.941514670893</v>
      </c>
      <c r="R10" s="1191">
        <v>45034.621466342855</v>
      </c>
      <c r="S10" s="1191">
        <v>46457.972522402852</v>
      </c>
      <c r="T10" s="1191">
        <v>47502.674464710552</v>
      </c>
      <c r="U10" s="1191">
        <v>44338.611355319859</v>
      </c>
      <c r="V10" s="1191">
        <v>52825.991276764478</v>
      </c>
      <c r="W10" s="1191">
        <v>48827.914353687549</v>
      </c>
      <c r="X10" s="1191">
        <v>541968.96170855139</v>
      </c>
    </row>
    <row r="11" spans="4:24">
      <c r="D11" s="655"/>
      <c r="E11" s="1185" t="s">
        <v>73</v>
      </c>
      <c r="F11" s="1186">
        <v>1328929.1703890334</v>
      </c>
      <c r="G11" s="1187">
        <v>314.64804752234193</v>
      </c>
      <c r="H11" s="1188" t="e">
        <f>SUMPRODUCT(--([69]Data!$MW$8:$MW$354='T&amp;C01'!E11),[69]Data!$MX$8:$MX$354,[69]Data!$MS$8:$MS$354)/F11</f>
        <v>#REF!</v>
      </c>
      <c r="I11" s="1189" t="e">
        <f>SUMIFS([69]Data!$MX$10:$MX$354,[69]Data!$MW$10:$MW$354,E11)</f>
        <v>#VALUE!</v>
      </c>
      <c r="K11" s="1190" t="s">
        <v>73</v>
      </c>
      <c r="L11" s="1191">
        <v>72039.765120623269</v>
      </c>
      <c r="M11" s="1191">
        <v>89971.06493315984</v>
      </c>
      <c r="N11" s="1191">
        <v>84627.514074351842</v>
      </c>
      <c r="O11" s="1191">
        <v>108922.13862656835</v>
      </c>
      <c r="P11" s="1191">
        <v>86702.916271063208</v>
      </c>
      <c r="Q11" s="1191">
        <v>128565.96035519511</v>
      </c>
      <c r="R11" s="1191">
        <v>113469.22752804392</v>
      </c>
      <c r="S11" s="1191">
        <v>128824.57302931653</v>
      </c>
      <c r="T11" s="1191">
        <v>92098.470358557635</v>
      </c>
      <c r="U11" s="1191">
        <v>146283.23245673621</v>
      </c>
      <c r="V11" s="1191">
        <v>137813.99666191748</v>
      </c>
      <c r="W11" s="1191">
        <v>139610.31097350034</v>
      </c>
      <c r="X11" s="1191">
        <v>1328929.1703890336</v>
      </c>
    </row>
    <row r="12" spans="4:24">
      <c r="D12" s="655"/>
      <c r="E12" s="1185" t="s">
        <v>79</v>
      </c>
      <c r="F12" s="1186">
        <v>3874715.3554466162</v>
      </c>
      <c r="G12" s="1187">
        <v>736.38542413799951</v>
      </c>
      <c r="H12" s="1188" t="e">
        <f>SUMPRODUCT(--([69]Data!$MW$8:$MW$354='T&amp;C01'!E12),[69]Data!$MX$8:$MX$354,[69]Data!$MS$8:$MS$354)/F12</f>
        <v>#REF!</v>
      </c>
      <c r="I12" s="1189" t="e">
        <f>SUMIFS([69]Data!$MX$10:$MX$354,[69]Data!$MW$10:$MW$354,E12)</f>
        <v>#VALUE!</v>
      </c>
      <c r="K12" s="1190" t="s">
        <v>79</v>
      </c>
      <c r="L12" s="1191">
        <v>290879.69794625411</v>
      </c>
      <c r="M12" s="1191">
        <v>267575.52491776983</v>
      </c>
      <c r="N12" s="1191">
        <v>335796.33514737553</v>
      </c>
      <c r="O12" s="1191">
        <v>319755.02023070242</v>
      </c>
      <c r="P12" s="1191">
        <v>340777.78810302075</v>
      </c>
      <c r="Q12" s="1191">
        <v>357244.32634548075</v>
      </c>
      <c r="R12" s="1191">
        <v>367899.29138278216</v>
      </c>
      <c r="S12" s="1191">
        <v>291618.00798262359</v>
      </c>
      <c r="T12" s="1191">
        <v>340199.53270627768</v>
      </c>
      <c r="U12" s="1191">
        <v>341242.03797996731</v>
      </c>
      <c r="V12" s="1191">
        <v>285522.6809458913</v>
      </c>
      <c r="W12" s="1191">
        <v>336205.11175846995</v>
      </c>
      <c r="X12" s="1191">
        <v>3874715.3554466162</v>
      </c>
    </row>
    <row r="13" spans="4:24">
      <c r="D13" s="655"/>
      <c r="E13" s="1185" t="s">
        <v>70</v>
      </c>
      <c r="F13" s="1186">
        <v>973292.13293303037</v>
      </c>
      <c r="G13" s="1187">
        <v>246.35036816054074</v>
      </c>
      <c r="H13" s="1188" t="e">
        <f>SUMPRODUCT(--([69]Data!$MW$8:$MW$354='T&amp;C01'!E13),[69]Data!$MX$8:$MX$354,[69]Data!$MS$8:$MS$354)/F13</f>
        <v>#REF!</v>
      </c>
      <c r="I13" s="1189" t="e">
        <f>SUMIFS([69]Data!$MX$10:$MX$354,[69]Data!$MW$10:$MW$354,E13)</f>
        <v>#VALUE!</v>
      </c>
      <c r="K13" s="1190" t="s">
        <v>70</v>
      </c>
      <c r="L13" s="1191">
        <v>46474.22251458621</v>
      </c>
      <c r="M13" s="1191">
        <v>45617.166158203087</v>
      </c>
      <c r="N13" s="1191">
        <v>72305.163163682184</v>
      </c>
      <c r="O13" s="1191">
        <v>71199.819901272858</v>
      </c>
      <c r="P13" s="1191">
        <v>77777.420229727286</v>
      </c>
      <c r="Q13" s="1191">
        <v>102523.02920033975</v>
      </c>
      <c r="R13" s="1191">
        <v>91100.400281779424</v>
      </c>
      <c r="S13" s="1191">
        <v>109967.61032525354</v>
      </c>
      <c r="T13" s="1191">
        <v>76350.340699456472</v>
      </c>
      <c r="U13" s="1191">
        <v>88417.926781572372</v>
      </c>
      <c r="V13" s="1191">
        <v>108993.67449221402</v>
      </c>
      <c r="W13" s="1191">
        <v>82565.359184943169</v>
      </c>
      <c r="X13" s="1191">
        <v>973292.13293303025</v>
      </c>
    </row>
    <row r="14" spans="4:24">
      <c r="D14" s="655"/>
      <c r="E14" s="1190" t="s">
        <v>265</v>
      </c>
      <c r="F14" s="1191">
        <v>17364416.51282547</v>
      </c>
      <c r="G14" s="1191">
        <v>3877.2421936246415</v>
      </c>
      <c r="H14" s="1193" t="e">
        <f>SUMPRODUCT(H4:H13,F4:F13)/F14</f>
        <v>#REF!</v>
      </c>
      <c r="I14" s="1189" t="e">
        <f>SUM(I4:I13)</f>
        <v>#VALUE!</v>
      </c>
      <c r="K14" s="1190" t="s">
        <v>265</v>
      </c>
      <c r="L14" s="1191">
        <v>1419014.6254206765</v>
      </c>
      <c r="M14" s="1191">
        <v>1420623.5609490275</v>
      </c>
      <c r="N14" s="1191">
        <v>1365888.2826229401</v>
      </c>
      <c r="O14" s="1191">
        <v>1400667.8693195449</v>
      </c>
      <c r="P14" s="1191">
        <v>1411194.8463324225</v>
      </c>
      <c r="Q14" s="1191">
        <v>1474661.182922997</v>
      </c>
      <c r="R14" s="1191">
        <v>1455424.1518386044</v>
      </c>
      <c r="S14" s="1191">
        <v>1338905.0468366025</v>
      </c>
      <c r="T14" s="1191">
        <v>1316838.3284642687</v>
      </c>
      <c r="U14" s="1191">
        <v>1562409.8209768799</v>
      </c>
      <c r="V14" s="1191">
        <v>1488242.5249769825</v>
      </c>
      <c r="W14" s="1191">
        <v>1704327.041395294</v>
      </c>
      <c r="X14" s="1191">
        <v>17358197.282056242</v>
      </c>
    </row>
    <row r="15" spans="4:24">
      <c r="D15" s="655"/>
      <c r="E15" s="655"/>
      <c r="F15" s="655">
        <f>F14*0.1</f>
        <v>1736441.651282547</v>
      </c>
      <c r="G15" s="655"/>
      <c r="H15" s="655"/>
      <c r="K15" s="655"/>
      <c r="L15" s="655"/>
      <c r="M15" s="655"/>
      <c r="N15" s="655"/>
      <c r="O15" s="655"/>
      <c r="P15" s="655"/>
      <c r="Q15" s="655"/>
      <c r="R15" s="655"/>
      <c r="S15" s="655"/>
      <c r="T15" s="655"/>
      <c r="U15" s="655"/>
      <c r="V15" s="655"/>
      <c r="W15" s="655"/>
      <c r="X15" s="655"/>
    </row>
    <row r="16" spans="4:24">
      <c r="D16" s="655"/>
      <c r="E16" s="655"/>
      <c r="F16" s="1192">
        <f>F15*[70]Assum!J130/10^7</f>
        <v>1.2345887302769922</v>
      </c>
      <c r="G16" s="655"/>
      <c r="H16" s="655"/>
      <c r="K16" s="655"/>
      <c r="L16" s="655"/>
      <c r="M16" s="655"/>
      <c r="N16" s="655"/>
      <c r="O16" s="655"/>
      <c r="P16" s="655"/>
      <c r="Q16" s="655"/>
      <c r="R16" s="655"/>
      <c r="S16" s="655"/>
      <c r="T16" s="655"/>
      <c r="U16" s="655"/>
      <c r="V16" s="655"/>
      <c r="W16" s="655"/>
      <c r="X16" s="655"/>
    </row>
    <row r="17" spans="1:52">
      <c r="D17" s="655"/>
      <c r="E17" s="655"/>
      <c r="F17" s="1191">
        <f>[69]Data!$GF$7</f>
        <v>1328929.1703890339</v>
      </c>
      <c r="G17" s="655"/>
      <c r="H17" s="655"/>
      <c r="K17" s="655"/>
      <c r="L17" s="655"/>
      <c r="M17" s="655"/>
      <c r="N17" s="655"/>
      <c r="O17" s="655"/>
      <c r="P17" s="655"/>
      <c r="Q17" s="655"/>
      <c r="R17" s="655"/>
      <c r="S17" s="655"/>
      <c r="T17" s="655"/>
      <c r="U17" s="655"/>
      <c r="V17" s="655"/>
      <c r="W17" s="655"/>
      <c r="X17" s="655"/>
    </row>
    <row r="18" spans="1:52">
      <c r="D18" s="655"/>
      <c r="E18" s="655"/>
      <c r="F18" s="1191"/>
      <c r="G18" s="655"/>
      <c r="H18" s="655"/>
      <c r="K18" s="655"/>
      <c r="L18" s="655"/>
      <c r="M18" s="655"/>
      <c r="N18" s="655"/>
      <c r="O18" s="655"/>
      <c r="P18" s="655"/>
      <c r="Q18" s="655"/>
      <c r="R18" s="655"/>
      <c r="S18" s="655"/>
      <c r="T18" s="655"/>
      <c r="U18" s="655"/>
      <c r="V18" s="655"/>
      <c r="W18" s="655"/>
      <c r="X18" s="655"/>
    </row>
    <row r="19" spans="1:52">
      <c r="B19" s="658" t="s">
        <v>1459</v>
      </c>
      <c r="C19" s="658"/>
      <c r="D19" s="658">
        <v>365</v>
      </c>
      <c r="K19" s="655"/>
      <c r="L19" s="655"/>
      <c r="M19" s="910"/>
    </row>
    <row r="20" spans="1:52">
      <c r="B20" s="1183" t="s">
        <v>488</v>
      </c>
      <c r="D20" s="1183">
        <f>12*1</f>
        <v>12</v>
      </c>
      <c r="K20" s="655"/>
      <c r="L20" s="655"/>
      <c r="M20" s="655"/>
    </row>
    <row r="21" spans="1:52">
      <c r="B21" s="1183" t="s">
        <v>489</v>
      </c>
    </row>
    <row r="22" spans="1:52">
      <c r="B22" s="1183" t="s">
        <v>1460</v>
      </c>
      <c r="D22" s="1183">
        <f>12*4</f>
        <v>48</v>
      </c>
      <c r="G22" s="1194"/>
      <c r="H22" s="1194"/>
    </row>
    <row r="23" spans="1:52">
      <c r="B23" s="658" t="s">
        <v>1461</v>
      </c>
      <c r="D23" s="658">
        <f>D19-D20-D21-D22</f>
        <v>305</v>
      </c>
      <c r="E23" s="1195"/>
    </row>
    <row r="24" spans="1:52">
      <c r="B24" s="658" t="s">
        <v>1462</v>
      </c>
      <c r="D24" s="1196">
        <v>1.5</v>
      </c>
      <c r="E24" s="1197"/>
    </row>
    <row r="25" spans="1:52">
      <c r="B25" s="658" t="s">
        <v>1463</v>
      </c>
      <c r="D25" s="681">
        <v>18</v>
      </c>
      <c r="E25" s="1197"/>
    </row>
    <row r="26" spans="1:52">
      <c r="B26" s="658" t="s">
        <v>1464</v>
      </c>
      <c r="D26" s="658">
        <f>165/60</f>
        <v>2.75</v>
      </c>
      <c r="E26" s="1197"/>
      <c r="F26" s="1198"/>
    </row>
    <row r="27" spans="1:52">
      <c r="B27" s="658" t="s">
        <v>1465</v>
      </c>
      <c r="D27" s="1199">
        <f>D26*D24*D25/24</f>
        <v>3.09375</v>
      </c>
      <c r="E27" s="1197"/>
    </row>
    <row r="28" spans="1:52">
      <c r="D28" s="1199">
        <f>D23-D27*30</f>
        <v>212.1875</v>
      </c>
      <c r="E28" s="1195">
        <f>D28/D19</f>
        <v>0.58133561643835618</v>
      </c>
      <c r="T28" s="655"/>
      <c r="U28" s="655"/>
      <c r="V28" s="655"/>
      <c r="W28" s="1183">
        <v>2</v>
      </c>
      <c r="X28" s="1183">
        <f>W28+1</f>
        <v>3</v>
      </c>
      <c r="Y28" s="1183">
        <f t="shared" ref="Y28:AI28" si="0">X28+1</f>
        <v>4</v>
      </c>
      <c r="Z28" s="1183">
        <f t="shared" si="0"/>
        <v>5</v>
      </c>
      <c r="AA28" s="1183">
        <f t="shared" si="0"/>
        <v>6</v>
      </c>
      <c r="AB28" s="1183">
        <f t="shared" si="0"/>
        <v>7</v>
      </c>
      <c r="AC28" s="1183">
        <f t="shared" si="0"/>
        <v>8</v>
      </c>
      <c r="AD28" s="1183">
        <f t="shared" si="0"/>
        <v>9</v>
      </c>
      <c r="AE28" s="1183">
        <f t="shared" si="0"/>
        <v>10</v>
      </c>
      <c r="AF28" s="1183">
        <f t="shared" si="0"/>
        <v>11</v>
      </c>
      <c r="AG28" s="1183">
        <f t="shared" si="0"/>
        <v>12</v>
      </c>
      <c r="AH28" s="1183">
        <f t="shared" si="0"/>
        <v>13</v>
      </c>
      <c r="AI28" s="1183">
        <f t="shared" si="0"/>
        <v>14</v>
      </c>
      <c r="AK28" s="1183">
        <v>2</v>
      </c>
      <c r="AL28" s="1183">
        <v>3</v>
      </c>
      <c r="AM28" s="1183">
        <v>4</v>
      </c>
      <c r="AN28" s="1183">
        <v>5</v>
      </c>
      <c r="AO28" s="1183">
        <v>6</v>
      </c>
      <c r="AP28" s="1183">
        <v>7</v>
      </c>
      <c r="AQ28" s="1183">
        <v>8</v>
      </c>
      <c r="AR28" s="1183">
        <v>9</v>
      </c>
      <c r="AS28" s="1183">
        <v>10</v>
      </c>
      <c r="AT28" s="1183">
        <v>11</v>
      </c>
      <c r="AU28" s="1183">
        <v>12</v>
      </c>
      <c r="AV28" s="1183">
        <v>13</v>
      </c>
      <c r="AW28" s="1183">
        <v>14</v>
      </c>
    </row>
    <row r="29" spans="1:52" ht="29">
      <c r="A29" s="1200" t="s">
        <v>54</v>
      </c>
      <c r="B29" s="1201" t="s">
        <v>55</v>
      </c>
      <c r="C29" s="1201" t="s">
        <v>56</v>
      </c>
      <c r="D29" s="1202" t="s">
        <v>57</v>
      </c>
      <c r="E29" s="1202" t="s">
        <v>58</v>
      </c>
      <c r="F29" s="1202" t="s">
        <v>59</v>
      </c>
      <c r="G29" s="1202" t="s">
        <v>60</v>
      </c>
      <c r="H29" s="1202" t="s">
        <v>61</v>
      </c>
      <c r="I29" s="1201" t="s">
        <v>62</v>
      </c>
      <c r="J29" s="1201" t="s">
        <v>63</v>
      </c>
      <c r="K29" s="1201" t="s">
        <v>64</v>
      </c>
      <c r="L29" s="1201" t="s">
        <v>65</v>
      </c>
      <c r="M29" s="1201" t="s">
        <v>1466</v>
      </c>
      <c r="N29" s="1201" t="s">
        <v>1467</v>
      </c>
      <c r="O29" s="1201" t="s">
        <v>1468</v>
      </c>
      <c r="P29" s="1201" t="s">
        <v>1469</v>
      </c>
      <c r="Q29" s="1201" t="s">
        <v>1470</v>
      </c>
      <c r="T29" s="655"/>
      <c r="U29" s="655"/>
      <c r="V29" s="655"/>
      <c r="W29" s="1203">
        <v>45748</v>
      </c>
      <c r="X29" s="1203">
        <v>45778</v>
      </c>
      <c r="Y29" s="1203">
        <v>45809</v>
      </c>
      <c r="Z29" s="1203">
        <v>45839</v>
      </c>
      <c r="AA29" s="1203">
        <v>45870</v>
      </c>
      <c r="AB29" s="1203">
        <v>45901</v>
      </c>
      <c r="AC29" s="1203">
        <v>45931</v>
      </c>
      <c r="AD29" s="1203">
        <v>45962</v>
      </c>
      <c r="AE29" s="1203">
        <v>45992</v>
      </c>
      <c r="AF29" s="1203">
        <v>46023</v>
      </c>
      <c r="AG29" s="1203">
        <v>46054</v>
      </c>
      <c r="AH29" s="1203">
        <v>46082</v>
      </c>
      <c r="AI29" s="1204" t="s">
        <v>1471</v>
      </c>
      <c r="AK29" s="1203">
        <v>45748</v>
      </c>
      <c r="AL29" s="1203">
        <v>45778</v>
      </c>
      <c r="AM29" s="1203">
        <v>45809</v>
      </c>
      <c r="AN29" s="1203">
        <v>45839</v>
      </c>
      <c r="AO29" s="1203">
        <v>45870</v>
      </c>
      <c r="AP29" s="1203">
        <v>45901</v>
      </c>
      <c r="AQ29" s="1203">
        <v>45931</v>
      </c>
      <c r="AR29" s="1203">
        <v>45962</v>
      </c>
      <c r="AS29" s="1203">
        <v>45992</v>
      </c>
      <c r="AT29" s="1203">
        <v>46023</v>
      </c>
      <c r="AU29" s="1203">
        <v>46054</v>
      </c>
      <c r="AV29" s="1203">
        <v>46082</v>
      </c>
      <c r="AW29" s="1204" t="s">
        <v>1471</v>
      </c>
    </row>
    <row r="30" spans="1:52">
      <c r="A30" s="1205">
        <v>1</v>
      </c>
      <c r="B30" s="1537" t="s">
        <v>66</v>
      </c>
      <c r="C30" s="1206" t="s">
        <v>67</v>
      </c>
      <c r="D30" s="1207" t="s">
        <v>68</v>
      </c>
      <c r="E30" s="1208">
        <v>0.6</v>
      </c>
      <c r="F30" s="1208">
        <f>E28</f>
        <v>0.58133561643835618</v>
      </c>
      <c r="G30" s="1206">
        <v>800</v>
      </c>
      <c r="H30" s="1209">
        <v>11.71</v>
      </c>
      <c r="I30" s="1209">
        <v>2</v>
      </c>
      <c r="J30" s="1210">
        <f>G30*60*24*E30*I30*F30/H30/39.37</f>
        <v>1743.1643955154129</v>
      </c>
      <c r="K30" s="1210">
        <v>1</v>
      </c>
      <c r="L30" s="1210">
        <f>J30*K30</f>
        <v>1743.1643955154129</v>
      </c>
      <c r="M30" s="1210">
        <f>L30/I30</f>
        <v>871.58219775770647</v>
      </c>
      <c r="N30" s="1211">
        <f>L30*30</f>
        <v>52294.931865462386</v>
      </c>
      <c r="O30" s="1210">
        <f>IF(K30&gt;0,(J30*$D$19),0)</f>
        <v>636255.00436312577</v>
      </c>
      <c r="P30" s="1212">
        <f>$F$10</f>
        <v>548188.19247778214</v>
      </c>
      <c r="Q30" s="1213">
        <f t="shared" ref="Q30" si="1">P30/O30</f>
        <v>0.86158566725381414</v>
      </c>
      <c r="R30" s="1214">
        <f>E30*F30</f>
        <v>0.34880136986301369</v>
      </c>
      <c r="T30" s="655"/>
      <c r="U30" s="655"/>
      <c r="V30" s="655"/>
      <c r="W30" s="707">
        <f>L10</f>
        <v>40822.929703852766</v>
      </c>
      <c r="X30" s="687">
        <f t="shared" ref="X30:AH30" si="2">M10</f>
        <v>48531.79520222047</v>
      </c>
      <c r="Y30" s="687">
        <f t="shared" si="2"/>
        <v>51086.122125297385</v>
      </c>
      <c r="Z30" s="687">
        <f t="shared" si="2"/>
        <v>37208.811593226281</v>
      </c>
      <c r="AA30" s="687">
        <f t="shared" si="2"/>
        <v>40276.576130055517</v>
      </c>
      <c r="AB30" s="687">
        <f t="shared" si="2"/>
        <v>39054.941514670893</v>
      </c>
      <c r="AC30" s="687">
        <f t="shared" si="2"/>
        <v>45034.621466342855</v>
      </c>
      <c r="AD30" s="687">
        <f t="shared" si="2"/>
        <v>46457.972522402852</v>
      </c>
      <c r="AE30" s="687">
        <f t="shared" si="2"/>
        <v>47502.674464710552</v>
      </c>
      <c r="AF30" s="687">
        <f>U10+6219</f>
        <v>50557.611355319859</v>
      </c>
      <c r="AG30" s="687">
        <f t="shared" si="2"/>
        <v>52825.991276764478</v>
      </c>
      <c r="AH30" s="687">
        <f t="shared" si="2"/>
        <v>48827.914353687549</v>
      </c>
      <c r="AI30" s="708">
        <f>SUM(W30:AH30)</f>
        <v>548187.96170855151</v>
      </c>
      <c r="AJ30" s="1215">
        <f>AI30-P30</f>
        <v>-0.2307692306349054</v>
      </c>
      <c r="AK30" s="1216">
        <f>W30</f>
        <v>40822.929703852766</v>
      </c>
      <c r="AL30" s="1216">
        <f t="shared" ref="AL30:AV30" si="3">X30</f>
        <v>48531.79520222047</v>
      </c>
      <c r="AM30" s="1216">
        <f t="shared" si="3"/>
        <v>51086.122125297385</v>
      </c>
      <c r="AN30" s="1216">
        <f t="shared" si="3"/>
        <v>37208.811593226281</v>
      </c>
      <c r="AO30" s="1216">
        <f t="shared" si="3"/>
        <v>40276.576130055517</v>
      </c>
      <c r="AP30" s="1216">
        <f t="shared" si="3"/>
        <v>39054.941514670893</v>
      </c>
      <c r="AQ30" s="1216">
        <f t="shared" si="3"/>
        <v>45034.621466342855</v>
      </c>
      <c r="AR30" s="1216">
        <f t="shared" si="3"/>
        <v>46457.972522402852</v>
      </c>
      <c r="AS30" s="1216">
        <f t="shared" si="3"/>
        <v>47502.674464710552</v>
      </c>
      <c r="AT30" s="1216">
        <f t="shared" si="3"/>
        <v>50557.611355319859</v>
      </c>
      <c r="AU30" s="1216">
        <f t="shared" si="3"/>
        <v>52825.991276764478</v>
      </c>
      <c r="AV30" s="1216">
        <f t="shared" si="3"/>
        <v>48827.914353687549</v>
      </c>
      <c r="AW30" s="1217">
        <f>SUM(AK30:AV30)</f>
        <v>548187.96170855151</v>
      </c>
      <c r="AX30" s="1218"/>
      <c r="AY30" s="1183">
        <v>1</v>
      </c>
      <c r="AZ30" s="1183" t="str">
        <f>'[71]Summy For BP 25'!$V$20</f>
        <v>TUFT2102</v>
      </c>
    </row>
    <row r="31" spans="1:52">
      <c r="A31" s="1205"/>
      <c r="B31" s="1537"/>
      <c r="C31" s="1206" t="s">
        <v>67</v>
      </c>
      <c r="D31" s="1207" t="s">
        <v>69</v>
      </c>
      <c r="E31" s="1208">
        <v>0.55000000000000004</v>
      </c>
      <c r="F31" s="1208">
        <f>$F$30</f>
        <v>0.58133561643835618</v>
      </c>
      <c r="G31" s="1206">
        <v>900</v>
      </c>
      <c r="H31" s="1209">
        <v>40</v>
      </c>
      <c r="I31" s="1209">
        <v>2</v>
      </c>
      <c r="J31" s="1210">
        <f t="shared" ref="J31:J49" si="4">G31*60*24*E31*I31*F31/H31/39.37</f>
        <v>526.25860731173532</v>
      </c>
      <c r="K31" s="1210">
        <v>0</v>
      </c>
      <c r="L31" s="1210">
        <f>J31*K31</f>
        <v>0</v>
      </c>
      <c r="M31" s="1210">
        <f>L31/I31</f>
        <v>0</v>
      </c>
      <c r="N31" s="1211">
        <f t="shared" ref="N31:N49" si="5">L31*30</f>
        <v>0</v>
      </c>
      <c r="O31" s="1210">
        <f t="shared" ref="O31:O49" si="6">IF(K31&gt;0,(J31*$D$19),0)</f>
        <v>0</v>
      </c>
      <c r="P31" s="1210"/>
      <c r="Q31" s="1219"/>
      <c r="R31" s="1214">
        <f t="shared" ref="R31:R49" si="7">E31*F31</f>
        <v>0.31973458904109592</v>
      </c>
      <c r="T31" s="655"/>
      <c r="U31" s="655"/>
      <c r="V31" s="655"/>
      <c r="W31" s="707">
        <f t="shared" ref="W31:AH33" si="8">IFERROR(VLOOKUP($T31,$K$3:$X$14,W$28,0),0)</f>
        <v>0</v>
      </c>
      <c r="X31" s="687">
        <f t="shared" si="8"/>
        <v>0</v>
      </c>
      <c r="Y31" s="687">
        <f t="shared" si="8"/>
        <v>0</v>
      </c>
      <c r="Z31" s="687">
        <f t="shared" si="8"/>
        <v>0</v>
      </c>
      <c r="AA31" s="687">
        <f t="shared" si="8"/>
        <v>0</v>
      </c>
      <c r="AB31" s="687">
        <f t="shared" si="8"/>
        <v>0</v>
      </c>
      <c r="AC31" s="687">
        <f t="shared" si="8"/>
        <v>0</v>
      </c>
      <c r="AD31" s="687">
        <f t="shared" si="8"/>
        <v>0</v>
      </c>
      <c r="AE31" s="687">
        <f t="shared" si="8"/>
        <v>0</v>
      </c>
      <c r="AF31" s="687">
        <f t="shared" si="8"/>
        <v>0</v>
      </c>
      <c r="AG31" s="687">
        <f t="shared" si="8"/>
        <v>0</v>
      </c>
      <c r="AH31" s="687">
        <f t="shared" si="8"/>
        <v>0</v>
      </c>
      <c r="AI31" s="708">
        <f t="shared" ref="AI31:AI49" si="9">SUM(W31:AH31)</f>
        <v>0</v>
      </c>
      <c r="AJ31" s="1215"/>
      <c r="AK31" s="1217"/>
      <c r="AL31" s="1217"/>
      <c r="AM31" s="1217"/>
      <c r="AN31" s="1217"/>
      <c r="AO31" s="1217"/>
      <c r="AP31" s="1217"/>
      <c r="AQ31" s="1217"/>
      <c r="AR31" s="1217"/>
      <c r="AS31" s="1217"/>
      <c r="AT31" s="1217"/>
      <c r="AU31" s="1217"/>
      <c r="AV31" s="1217"/>
      <c r="AW31" s="1217">
        <f t="shared" ref="AW31:AW38" si="10">SUM(AK31:AV31)</f>
        <v>0</v>
      </c>
    </row>
    <row r="32" spans="1:52">
      <c r="A32" s="1220">
        <v>2</v>
      </c>
      <c r="B32" s="1221" t="s">
        <v>70</v>
      </c>
      <c r="C32" s="1206" t="s">
        <v>71</v>
      </c>
      <c r="D32" s="1207" t="s">
        <v>72</v>
      </c>
      <c r="E32" s="1208">
        <v>0.56999999999999995</v>
      </c>
      <c r="F32" s="1208">
        <f t="shared" ref="F32:F49" si="11">$F$30</f>
        <v>0.58133561643835618</v>
      </c>
      <c r="G32" s="1206">
        <v>750</v>
      </c>
      <c r="H32" s="1222">
        <f>10.5</f>
        <v>10.5</v>
      </c>
      <c r="I32" s="1209">
        <v>4</v>
      </c>
      <c r="J32" s="1210">
        <f>G32*60*(24)*E32*I32*F32/H32/39.37</f>
        <v>3462.8271996270023</v>
      </c>
      <c r="K32" s="1210">
        <v>1</v>
      </c>
      <c r="L32" s="1210">
        <f t="shared" ref="L32:L49" si="12">J32*K32</f>
        <v>3462.8271996270023</v>
      </c>
      <c r="M32" s="1210">
        <f t="shared" ref="M32:M49" si="13">L32/I32</f>
        <v>865.70679990675058</v>
      </c>
      <c r="N32" s="1211">
        <f>L32*26</f>
        <v>90033.507190302058</v>
      </c>
      <c r="O32" s="1210">
        <f t="shared" si="6"/>
        <v>1263931.9278638558</v>
      </c>
      <c r="P32" s="1212">
        <f>F13</f>
        <v>973292.13293303037</v>
      </c>
      <c r="Q32" s="1213">
        <f>P32/O32</f>
        <v>0.77005106958407998</v>
      </c>
      <c r="R32" s="1214">
        <f t="shared" si="7"/>
        <v>0.33136130136986297</v>
      </c>
      <c r="T32" s="655"/>
      <c r="U32" s="655"/>
      <c r="V32" s="655"/>
      <c r="W32" s="707">
        <f t="shared" ref="W32:AH32" si="14">L13</f>
        <v>46474.22251458621</v>
      </c>
      <c r="X32" s="687">
        <f t="shared" si="14"/>
        <v>45617.166158203087</v>
      </c>
      <c r="Y32" s="687">
        <f t="shared" si="14"/>
        <v>72305.163163682184</v>
      </c>
      <c r="Z32" s="687">
        <f t="shared" si="14"/>
        <v>71199.819901272858</v>
      </c>
      <c r="AA32" s="687">
        <f t="shared" si="14"/>
        <v>77777.420229727286</v>
      </c>
      <c r="AB32" s="687">
        <f t="shared" si="14"/>
        <v>102523.02920033975</v>
      </c>
      <c r="AC32" s="687">
        <f t="shared" si="14"/>
        <v>91100.400281779424</v>
      </c>
      <c r="AD32" s="687">
        <f t="shared" si="14"/>
        <v>109967.61032525354</v>
      </c>
      <c r="AE32" s="687">
        <f t="shared" si="14"/>
        <v>76350.340699456472</v>
      </c>
      <c r="AF32" s="687">
        <f t="shared" si="14"/>
        <v>88417.926781572372</v>
      </c>
      <c r="AG32" s="687">
        <f t="shared" si="14"/>
        <v>108993.67449221402</v>
      </c>
      <c r="AH32" s="687">
        <f t="shared" si="14"/>
        <v>82565.359184943169</v>
      </c>
      <c r="AI32" s="708">
        <f t="shared" si="9"/>
        <v>973292.13293303037</v>
      </c>
      <c r="AJ32" s="1215">
        <f>AI32-P32</f>
        <v>0</v>
      </c>
      <c r="AK32" s="1216">
        <f>W32</f>
        <v>46474.22251458621</v>
      </c>
      <c r="AL32" s="1216">
        <f t="shared" ref="AL32:AV32" si="15">X32</f>
        <v>45617.166158203087</v>
      </c>
      <c r="AM32" s="1216">
        <f t="shared" si="15"/>
        <v>72305.163163682184</v>
      </c>
      <c r="AN32" s="1216">
        <f t="shared" si="15"/>
        <v>71199.819901272858</v>
      </c>
      <c r="AO32" s="1216">
        <f t="shared" si="15"/>
        <v>77777.420229727286</v>
      </c>
      <c r="AP32" s="1216">
        <f t="shared" si="15"/>
        <v>102523.02920033975</v>
      </c>
      <c r="AQ32" s="1216">
        <f t="shared" si="15"/>
        <v>91100.400281779424</v>
      </c>
      <c r="AR32" s="1216">
        <f t="shared" si="15"/>
        <v>109967.61032525354</v>
      </c>
      <c r="AS32" s="1216">
        <f t="shared" si="15"/>
        <v>76350.340699456472</v>
      </c>
      <c r="AT32" s="1216">
        <f t="shared" si="15"/>
        <v>88417.926781572372</v>
      </c>
      <c r="AU32" s="1216">
        <f t="shared" si="15"/>
        <v>108993.67449221402</v>
      </c>
      <c r="AV32" s="1216">
        <f t="shared" si="15"/>
        <v>82565.359184943169</v>
      </c>
      <c r="AW32" s="1217">
        <f>SUM(AK32:AV32)</f>
        <v>973292.13293303037</v>
      </c>
      <c r="AX32" s="1218"/>
      <c r="AY32" s="1183">
        <v>2</v>
      </c>
      <c r="AZ32" s="1183" t="str">
        <f>'[71]Summy For BP 25'!$V$16</f>
        <v>TUFT2104</v>
      </c>
    </row>
    <row r="33" spans="1:52">
      <c r="A33" s="1538">
        <v>3</v>
      </c>
      <c r="B33" s="1537" t="s">
        <v>73</v>
      </c>
      <c r="C33" s="1206" t="s">
        <v>74</v>
      </c>
      <c r="D33" s="1207" t="s">
        <v>75</v>
      </c>
      <c r="E33" s="1208">
        <v>0.56999999999999995</v>
      </c>
      <c r="F33" s="1208">
        <f t="shared" si="11"/>
        <v>0.58133561643835618</v>
      </c>
      <c r="G33" s="1206">
        <v>900</v>
      </c>
      <c r="H33" s="1209">
        <v>40</v>
      </c>
      <c r="I33" s="1209">
        <v>4</v>
      </c>
      <c r="J33" s="1210">
        <f t="shared" si="4"/>
        <v>1090.7905678825055</v>
      </c>
      <c r="K33" s="1210">
        <v>0</v>
      </c>
      <c r="L33" s="1210">
        <f t="shared" si="12"/>
        <v>0</v>
      </c>
      <c r="M33" s="1210">
        <f t="shared" si="13"/>
        <v>0</v>
      </c>
      <c r="N33" s="1211">
        <f t="shared" si="5"/>
        <v>0</v>
      </c>
      <c r="O33" s="1210">
        <f t="shared" si="6"/>
        <v>0</v>
      </c>
      <c r="P33" s="1539">
        <f>F11</f>
        <v>1328929.1703890334</v>
      </c>
      <c r="Q33" s="1219"/>
      <c r="R33" s="1214">
        <f t="shared" si="7"/>
        <v>0.33136130136986297</v>
      </c>
      <c r="T33" s="655"/>
      <c r="U33" s="655"/>
      <c r="V33" s="655"/>
      <c r="W33" s="707">
        <f t="shared" si="8"/>
        <v>0</v>
      </c>
      <c r="X33" s="687">
        <f t="shared" si="8"/>
        <v>0</v>
      </c>
      <c r="Y33" s="687">
        <f t="shared" si="8"/>
        <v>0</v>
      </c>
      <c r="Z33" s="687">
        <f t="shared" si="8"/>
        <v>0</v>
      </c>
      <c r="AA33" s="687">
        <f t="shared" si="8"/>
        <v>0</v>
      </c>
      <c r="AB33" s="687">
        <f t="shared" si="8"/>
        <v>0</v>
      </c>
      <c r="AC33" s="687">
        <f t="shared" si="8"/>
        <v>0</v>
      </c>
      <c r="AD33" s="687">
        <f t="shared" si="8"/>
        <v>0</v>
      </c>
      <c r="AE33" s="687">
        <f t="shared" si="8"/>
        <v>0</v>
      </c>
      <c r="AF33" s="687">
        <f t="shared" si="8"/>
        <v>0</v>
      </c>
      <c r="AG33" s="687">
        <f t="shared" si="8"/>
        <v>0</v>
      </c>
      <c r="AH33" s="687">
        <f t="shared" si="8"/>
        <v>0</v>
      </c>
      <c r="AI33" s="708">
        <f t="shared" si="9"/>
        <v>0</v>
      </c>
      <c r="AJ33" s="1215"/>
      <c r="AK33" s="1217"/>
      <c r="AL33" s="1217"/>
      <c r="AM33" s="1217"/>
      <c r="AN33" s="1217"/>
      <c r="AO33" s="1217"/>
      <c r="AP33" s="1217"/>
      <c r="AQ33" s="1217"/>
      <c r="AR33" s="1217"/>
      <c r="AS33" s="1217"/>
      <c r="AT33" s="1217"/>
      <c r="AU33" s="1217"/>
      <c r="AV33" s="1217"/>
      <c r="AW33" s="1217">
        <f t="shared" si="10"/>
        <v>0</v>
      </c>
    </row>
    <row r="34" spans="1:52">
      <c r="A34" s="1538"/>
      <c r="B34" s="1537"/>
      <c r="C34" s="1206" t="s">
        <v>74</v>
      </c>
      <c r="D34" s="1207" t="s">
        <v>76</v>
      </c>
      <c r="E34" s="1208">
        <v>0.56999999999999995</v>
      </c>
      <c r="F34" s="1208">
        <f t="shared" si="11"/>
        <v>0.58133561643835618</v>
      </c>
      <c r="G34" s="1206">
        <v>800</v>
      </c>
      <c r="H34" s="1222">
        <f>12.4</f>
        <v>12.4</v>
      </c>
      <c r="I34" s="1209">
        <v>4</v>
      </c>
      <c r="J34" s="1210">
        <f>G34*60*((24-(1.5*1.5))*E34*I34*F34/H34/39.37)</f>
        <v>2834.4916190495214</v>
      </c>
      <c r="K34" s="1210">
        <v>1</v>
      </c>
      <c r="L34" s="1210">
        <f t="shared" si="12"/>
        <v>2834.4916190495214</v>
      </c>
      <c r="M34" s="1210">
        <f t="shared" si="13"/>
        <v>708.62290476238036</v>
      </c>
      <c r="N34" s="1211">
        <f>L34*26</f>
        <v>73696.782095287563</v>
      </c>
      <c r="O34" s="1210">
        <f t="shared" si="6"/>
        <v>1034589.4409530753</v>
      </c>
      <c r="P34" s="1539"/>
      <c r="Q34" s="1223">
        <f>P33/O34</f>
        <v>1.284499065798322</v>
      </c>
      <c r="R34" s="1214">
        <f t="shared" si="7"/>
        <v>0.33136130136986297</v>
      </c>
      <c r="T34" s="655"/>
      <c r="U34" s="655"/>
      <c r="V34" s="655"/>
      <c r="W34" s="707">
        <f t="shared" ref="W34:AH34" si="16">L11</f>
        <v>72039.765120623269</v>
      </c>
      <c r="X34" s="687">
        <f t="shared" si="16"/>
        <v>89971.06493315984</v>
      </c>
      <c r="Y34" s="687">
        <f t="shared" si="16"/>
        <v>84627.514074351842</v>
      </c>
      <c r="Z34" s="687">
        <f t="shared" si="16"/>
        <v>108922.13862656835</v>
      </c>
      <c r="AA34" s="687">
        <f t="shared" si="16"/>
        <v>86702.916271063208</v>
      </c>
      <c r="AB34" s="687">
        <f t="shared" si="16"/>
        <v>128565.96035519511</v>
      </c>
      <c r="AC34" s="687">
        <f t="shared" si="16"/>
        <v>113469.22752804392</v>
      </c>
      <c r="AD34" s="687">
        <f t="shared" si="16"/>
        <v>128824.57302931653</v>
      </c>
      <c r="AE34" s="687">
        <f t="shared" si="16"/>
        <v>92098.470358557635</v>
      </c>
      <c r="AF34" s="687">
        <f t="shared" si="16"/>
        <v>146283.23245673621</v>
      </c>
      <c r="AG34" s="687">
        <f t="shared" si="16"/>
        <v>137813.99666191748</v>
      </c>
      <c r="AH34" s="687">
        <f t="shared" si="16"/>
        <v>139610.31097350034</v>
      </c>
      <c r="AI34" s="708">
        <f t="shared" si="9"/>
        <v>1328929.1703890339</v>
      </c>
      <c r="AJ34" s="1215"/>
      <c r="AK34" s="1216">
        <f>W34</f>
        <v>72039.765120623269</v>
      </c>
      <c r="AL34" s="1216">
        <f t="shared" ref="AL34:AV49" si="17">X34</f>
        <v>89971.06493315984</v>
      </c>
      <c r="AM34" s="1216">
        <f t="shared" si="17"/>
        <v>84627.514074351842</v>
      </c>
      <c r="AN34" s="1216">
        <f t="shared" si="17"/>
        <v>108922.13862656835</v>
      </c>
      <c r="AO34" s="1216">
        <f t="shared" si="17"/>
        <v>86702.916271063208</v>
      </c>
      <c r="AP34" s="1216">
        <f t="shared" si="17"/>
        <v>128565.96035519511</v>
      </c>
      <c r="AQ34" s="1216">
        <f t="shared" si="17"/>
        <v>113469.22752804392</v>
      </c>
      <c r="AR34" s="1216">
        <f t="shared" si="17"/>
        <v>128824.57302931653</v>
      </c>
      <c r="AS34" s="1216">
        <f t="shared" si="17"/>
        <v>92098.470358557635</v>
      </c>
      <c r="AT34" s="1216">
        <f t="shared" si="17"/>
        <v>146283.23245673621</v>
      </c>
      <c r="AU34" s="1216">
        <f t="shared" si="17"/>
        <v>137813.99666191748</v>
      </c>
      <c r="AV34" s="1216">
        <f t="shared" si="17"/>
        <v>139610.31097350034</v>
      </c>
      <c r="AW34" s="1217">
        <f t="shared" si="10"/>
        <v>1328929.1703890339</v>
      </c>
      <c r="AX34" s="1218"/>
      <c r="AY34" s="1183">
        <v>3</v>
      </c>
      <c r="AZ34" s="1183" t="str">
        <f>'[71]Summy For BP 25'!$V$17</f>
        <v>TUFT2103</v>
      </c>
    </row>
    <row r="35" spans="1:52">
      <c r="A35" s="1205">
        <v>4</v>
      </c>
      <c r="B35" s="1224" t="s">
        <v>77</v>
      </c>
      <c r="C35" s="1206" t="s">
        <v>33</v>
      </c>
      <c r="D35" s="1207" t="s">
        <v>78</v>
      </c>
      <c r="E35" s="1208">
        <v>0.49</v>
      </c>
      <c r="F35" s="1208">
        <f t="shared" si="11"/>
        <v>0.58133561643835618</v>
      </c>
      <c r="G35" s="1206">
        <v>1000</v>
      </c>
      <c r="H35" s="1209">
        <v>8.9435775085430276</v>
      </c>
      <c r="I35" s="1209">
        <v>3.9</v>
      </c>
      <c r="J35" s="1210">
        <f t="shared" si="4"/>
        <v>4543.3209851272695</v>
      </c>
      <c r="K35" s="1210">
        <v>1</v>
      </c>
      <c r="L35" s="1210">
        <f t="shared" si="12"/>
        <v>4543.3209851272695</v>
      </c>
      <c r="M35" s="1210">
        <f t="shared" si="13"/>
        <v>1164.954098750582</v>
      </c>
      <c r="N35" s="1211">
        <f t="shared" si="5"/>
        <v>136299.62955381809</v>
      </c>
      <c r="O35" s="1210">
        <f t="shared" si="6"/>
        <v>1658312.1595714535</v>
      </c>
      <c r="P35" s="1212">
        <f>F4</f>
        <v>1063167.8758592044</v>
      </c>
      <c r="Q35" s="1213">
        <f t="shared" ref="Q35:Q50" si="18">P35/O35</f>
        <v>0.64111444261130657</v>
      </c>
      <c r="R35" s="1214">
        <f t="shared" si="7"/>
        <v>0.28485445205479454</v>
      </c>
      <c r="T35" s="655"/>
      <c r="U35" s="655"/>
      <c r="V35" s="655"/>
      <c r="W35" s="707">
        <f t="shared" ref="W35:AH35" si="19">L4</f>
        <v>57357.893643539675</v>
      </c>
      <c r="X35" s="687">
        <f t="shared" si="19"/>
        <v>87246.530653561786</v>
      </c>
      <c r="Y35" s="687">
        <f t="shared" si="19"/>
        <v>88707.001722841072</v>
      </c>
      <c r="Z35" s="687">
        <f t="shared" si="19"/>
        <v>80184.970494010602</v>
      </c>
      <c r="AA35" s="687">
        <f t="shared" si="19"/>
        <v>55326.922656268536</v>
      </c>
      <c r="AB35" s="687">
        <f t="shared" si="19"/>
        <v>47718.769000916138</v>
      </c>
      <c r="AC35" s="687">
        <f t="shared" si="19"/>
        <v>115237.00248768306</v>
      </c>
      <c r="AD35" s="687">
        <f t="shared" si="19"/>
        <v>122993.88167152141</v>
      </c>
      <c r="AE35" s="687">
        <f t="shared" si="19"/>
        <v>113533.21146601043</v>
      </c>
      <c r="AF35" s="687">
        <f t="shared" si="19"/>
        <v>110549.85091167485</v>
      </c>
      <c r="AG35" s="687">
        <f t="shared" si="19"/>
        <v>93014.820784807758</v>
      </c>
      <c r="AH35" s="687">
        <f t="shared" si="19"/>
        <v>91297.020366369194</v>
      </c>
      <c r="AI35" s="708">
        <f t="shared" si="9"/>
        <v>1063167.8758592044</v>
      </c>
      <c r="AJ35" s="1215">
        <f t="shared" ref="AJ35:AJ49" si="20">AI35-P35</f>
        <v>0</v>
      </c>
      <c r="AK35" s="1216">
        <f t="shared" ref="AK35:AK38" si="21">W35</f>
        <v>57357.893643539675</v>
      </c>
      <c r="AL35" s="1216">
        <f t="shared" si="17"/>
        <v>87246.530653561786</v>
      </c>
      <c r="AM35" s="1216">
        <f t="shared" si="17"/>
        <v>88707.001722841072</v>
      </c>
      <c r="AN35" s="1216">
        <f t="shared" si="17"/>
        <v>80184.970494010602</v>
      </c>
      <c r="AO35" s="1216">
        <f t="shared" si="17"/>
        <v>55326.922656268536</v>
      </c>
      <c r="AP35" s="1216">
        <f t="shared" si="17"/>
        <v>47718.769000916138</v>
      </c>
      <c r="AQ35" s="1216">
        <f t="shared" si="17"/>
        <v>115237.00248768306</v>
      </c>
      <c r="AR35" s="1216">
        <f t="shared" si="17"/>
        <v>122993.88167152141</v>
      </c>
      <c r="AS35" s="1216">
        <f t="shared" si="17"/>
        <v>113533.21146601043</v>
      </c>
      <c r="AT35" s="1216">
        <f t="shared" si="17"/>
        <v>110549.85091167485</v>
      </c>
      <c r="AU35" s="1216">
        <f t="shared" si="17"/>
        <v>93014.820784807758</v>
      </c>
      <c r="AV35" s="1216">
        <f t="shared" si="17"/>
        <v>91297.020366369194</v>
      </c>
      <c r="AW35" s="1217">
        <f t="shared" si="10"/>
        <v>1063167.8758592044</v>
      </c>
      <c r="AX35" s="1218"/>
      <c r="AY35" s="1183">
        <v>11</v>
      </c>
      <c r="AZ35" s="1183" t="str">
        <f>'[71]Summy For BP 25'!$V$18</f>
        <v>TUFT2113</v>
      </c>
    </row>
    <row r="36" spans="1:52">
      <c r="A36" s="1220">
        <v>5</v>
      </c>
      <c r="B36" s="1221" t="s">
        <v>79</v>
      </c>
      <c r="C36" s="1206" t="s">
        <v>71</v>
      </c>
      <c r="D36" s="1207" t="s">
        <v>80</v>
      </c>
      <c r="E36" s="1208">
        <v>0.56999999999999995</v>
      </c>
      <c r="F36" s="1208">
        <f t="shared" si="11"/>
        <v>0.58133561643835618</v>
      </c>
      <c r="G36" s="1206">
        <v>750</v>
      </c>
      <c r="H36" s="1209">
        <v>10.199999999999999</v>
      </c>
      <c r="I36" s="1209">
        <v>3.9</v>
      </c>
      <c r="J36" s="1210">
        <f t="shared" si="4"/>
        <v>3475.5581819785721</v>
      </c>
      <c r="K36" s="1210">
        <v>1</v>
      </c>
      <c r="L36" s="1210">
        <f t="shared" si="12"/>
        <v>3475.5581819785721</v>
      </c>
      <c r="M36" s="1210">
        <f t="shared" si="13"/>
        <v>891.16876460989033</v>
      </c>
      <c r="N36" s="1211">
        <f t="shared" si="5"/>
        <v>104266.74545935716</v>
      </c>
      <c r="O36" s="1210">
        <f t="shared" si="6"/>
        <v>1268578.7364221788</v>
      </c>
      <c r="P36" s="1212">
        <f>$F$12/4</f>
        <v>968678.83886165405</v>
      </c>
      <c r="Q36" s="1213">
        <f t="shared" si="18"/>
        <v>0.76359378495784669</v>
      </c>
      <c r="R36" s="1214">
        <f t="shared" si="7"/>
        <v>0.33136130136986297</v>
      </c>
      <c r="T36" s="655"/>
      <c r="U36" s="655"/>
      <c r="V36" s="655"/>
      <c r="W36" s="707">
        <f>L12/4</f>
        <v>72719.924486563526</v>
      </c>
      <c r="X36" s="687">
        <f t="shared" ref="X36:AH36" si="22">M12/4</f>
        <v>66893.881229442457</v>
      </c>
      <c r="Y36" s="687">
        <f t="shared" si="22"/>
        <v>83949.083786843883</v>
      </c>
      <c r="Z36" s="687">
        <f t="shared" si="22"/>
        <v>79938.755057675604</v>
      </c>
      <c r="AA36" s="687">
        <f t="shared" si="22"/>
        <v>85194.447025755187</v>
      </c>
      <c r="AB36" s="687">
        <f t="shared" si="22"/>
        <v>89311.081586370186</v>
      </c>
      <c r="AC36" s="687">
        <f t="shared" si="22"/>
        <v>91974.82284569554</v>
      </c>
      <c r="AD36" s="687">
        <f t="shared" si="22"/>
        <v>72904.501995655897</v>
      </c>
      <c r="AE36" s="687">
        <f t="shared" si="22"/>
        <v>85049.883176569419</v>
      </c>
      <c r="AF36" s="687">
        <f t="shared" si="22"/>
        <v>85310.509494991828</v>
      </c>
      <c r="AG36" s="687">
        <f t="shared" si="22"/>
        <v>71380.670236472826</v>
      </c>
      <c r="AH36" s="687">
        <f t="shared" si="22"/>
        <v>84051.277939617488</v>
      </c>
      <c r="AI36" s="708">
        <f t="shared" si="9"/>
        <v>968678.83886165393</v>
      </c>
      <c r="AJ36" s="1215">
        <f t="shared" si="20"/>
        <v>0</v>
      </c>
      <c r="AK36" s="1216">
        <f t="shared" si="21"/>
        <v>72719.924486563526</v>
      </c>
      <c r="AL36" s="1216">
        <f t="shared" si="17"/>
        <v>66893.881229442457</v>
      </c>
      <c r="AM36" s="1216">
        <f t="shared" si="17"/>
        <v>83949.083786843883</v>
      </c>
      <c r="AN36" s="1216">
        <f t="shared" si="17"/>
        <v>79938.755057675604</v>
      </c>
      <c r="AO36" s="1216">
        <f t="shared" si="17"/>
        <v>85194.447025755187</v>
      </c>
      <c r="AP36" s="1216">
        <f t="shared" si="17"/>
        <v>89311.081586370186</v>
      </c>
      <c r="AQ36" s="1216">
        <f t="shared" si="17"/>
        <v>91974.82284569554</v>
      </c>
      <c r="AR36" s="1216">
        <f t="shared" si="17"/>
        <v>72904.501995655897</v>
      </c>
      <c r="AS36" s="1216">
        <f t="shared" si="17"/>
        <v>85049.883176569419</v>
      </c>
      <c r="AT36" s="1216">
        <f t="shared" si="17"/>
        <v>85310.509494991828</v>
      </c>
      <c r="AU36" s="1216">
        <f t="shared" si="17"/>
        <v>71380.670236472826</v>
      </c>
      <c r="AV36" s="1216">
        <f t="shared" si="17"/>
        <v>84051.277939617488</v>
      </c>
      <c r="AW36" s="1217">
        <f t="shared" si="10"/>
        <v>968678.83886165393</v>
      </c>
      <c r="AX36" s="1194"/>
      <c r="AY36" s="1183">
        <v>14</v>
      </c>
      <c r="AZ36" s="1183" t="str">
        <f>'[71]Summy For BP 25'!$V$25</f>
        <v>TUFT2105</v>
      </c>
    </row>
    <row r="37" spans="1:52">
      <c r="A37" s="1220">
        <f>A36+1</f>
        <v>6</v>
      </c>
      <c r="B37" s="1221" t="s">
        <v>79</v>
      </c>
      <c r="C37" s="1206" t="s">
        <v>71</v>
      </c>
      <c r="D37" s="1207" t="s">
        <v>81</v>
      </c>
      <c r="E37" s="1208">
        <v>0.56999999999999995</v>
      </c>
      <c r="F37" s="1208">
        <f t="shared" si="11"/>
        <v>0.58133561643835618</v>
      </c>
      <c r="G37" s="1206">
        <v>550</v>
      </c>
      <c r="H37" s="1209">
        <v>10.199999999999999</v>
      </c>
      <c r="I37" s="1209">
        <v>3.66</v>
      </c>
      <c r="J37" s="1210">
        <f t="shared" si="4"/>
        <v>2391.8969642129459</v>
      </c>
      <c r="K37" s="1210">
        <v>1</v>
      </c>
      <c r="L37" s="1210">
        <f t="shared" si="12"/>
        <v>2391.8969642129459</v>
      </c>
      <c r="M37" s="1210">
        <f t="shared" si="13"/>
        <v>653.52376071391961</v>
      </c>
      <c r="N37" s="1211">
        <f t="shared" si="5"/>
        <v>71756.90892638838</v>
      </c>
      <c r="O37" s="1210">
        <f t="shared" si="6"/>
        <v>873042.39193772525</v>
      </c>
      <c r="P37" s="1212">
        <f t="shared" ref="P37:P39" si="23">$F$12/4</f>
        <v>968678.83886165405</v>
      </c>
      <c r="Q37" s="1213">
        <f t="shared" si="18"/>
        <v>1.1095438753113269</v>
      </c>
      <c r="R37" s="1214">
        <f t="shared" si="7"/>
        <v>0.33136130136986297</v>
      </c>
      <c r="T37" s="655"/>
      <c r="U37" s="655"/>
      <c r="V37" s="655"/>
      <c r="W37" s="707">
        <f>W36</f>
        <v>72719.924486563526</v>
      </c>
      <c r="X37" s="707">
        <f t="shared" ref="X37:AH39" si="24">X36</f>
        <v>66893.881229442457</v>
      </c>
      <c r="Y37" s="707">
        <f t="shared" si="24"/>
        <v>83949.083786843883</v>
      </c>
      <c r="Z37" s="707">
        <f t="shared" si="24"/>
        <v>79938.755057675604</v>
      </c>
      <c r="AA37" s="707">
        <f t="shared" si="24"/>
        <v>85194.447025755187</v>
      </c>
      <c r="AB37" s="707">
        <f t="shared" si="24"/>
        <v>89311.081586370186</v>
      </c>
      <c r="AC37" s="707">
        <f t="shared" si="24"/>
        <v>91974.82284569554</v>
      </c>
      <c r="AD37" s="707">
        <f t="shared" si="24"/>
        <v>72904.501995655897</v>
      </c>
      <c r="AE37" s="707">
        <f t="shared" si="24"/>
        <v>85049.883176569419</v>
      </c>
      <c r="AF37" s="707">
        <f t="shared" si="24"/>
        <v>85310.509494991828</v>
      </c>
      <c r="AG37" s="707">
        <f t="shared" si="24"/>
        <v>71380.670236472826</v>
      </c>
      <c r="AH37" s="707">
        <f t="shared" si="24"/>
        <v>84051.277939617488</v>
      </c>
      <c r="AI37" s="708">
        <f t="shared" si="9"/>
        <v>968678.83886165393</v>
      </c>
      <c r="AJ37" s="1215">
        <f t="shared" si="20"/>
        <v>0</v>
      </c>
      <c r="AK37" s="1216">
        <f t="shared" si="21"/>
        <v>72719.924486563526</v>
      </c>
      <c r="AL37" s="1216">
        <f t="shared" si="17"/>
        <v>66893.881229442457</v>
      </c>
      <c r="AM37" s="1216">
        <f t="shared" si="17"/>
        <v>83949.083786843883</v>
      </c>
      <c r="AN37" s="1216">
        <f t="shared" si="17"/>
        <v>79938.755057675604</v>
      </c>
      <c r="AO37" s="1216">
        <f t="shared" si="17"/>
        <v>85194.447025755187</v>
      </c>
      <c r="AP37" s="1216">
        <f t="shared" si="17"/>
        <v>89311.081586370186</v>
      </c>
      <c r="AQ37" s="1216">
        <f t="shared" si="17"/>
        <v>91974.82284569554</v>
      </c>
      <c r="AR37" s="1216">
        <f t="shared" si="17"/>
        <v>72904.501995655897</v>
      </c>
      <c r="AS37" s="1216">
        <f t="shared" si="17"/>
        <v>85049.883176569419</v>
      </c>
      <c r="AT37" s="1216">
        <f t="shared" si="17"/>
        <v>85310.509494991828</v>
      </c>
      <c r="AU37" s="1216">
        <f t="shared" si="17"/>
        <v>71380.670236472826</v>
      </c>
      <c r="AV37" s="1216">
        <f t="shared" si="17"/>
        <v>84051.277939617488</v>
      </c>
      <c r="AW37" s="1217">
        <f t="shared" si="10"/>
        <v>968678.83886165393</v>
      </c>
      <c r="AX37" s="1194"/>
      <c r="AY37" s="1225">
        <v>4</v>
      </c>
      <c r="AZ37" s="1183" t="str">
        <f>'[71]Summy For BP 25'!$V$23</f>
        <v>TUFT2111</v>
      </c>
    </row>
    <row r="38" spans="1:52">
      <c r="A38" s="1220">
        <f t="shared" ref="A38:A49" si="25">A37+1</f>
        <v>7</v>
      </c>
      <c r="B38" s="1221" t="s">
        <v>82</v>
      </c>
      <c r="C38" s="1206" t="s">
        <v>71</v>
      </c>
      <c r="D38" s="1207" t="s">
        <v>81</v>
      </c>
      <c r="E38" s="1208">
        <v>0.56999999999999995</v>
      </c>
      <c r="F38" s="1208">
        <f t="shared" si="11"/>
        <v>0.58133561643835618</v>
      </c>
      <c r="G38" s="1206">
        <v>550</v>
      </c>
      <c r="H38" s="1209">
        <v>10.199999999999999</v>
      </c>
      <c r="I38" s="1209">
        <v>3.66</v>
      </c>
      <c r="J38" s="1210">
        <f t="shared" si="4"/>
        <v>2391.8969642129459</v>
      </c>
      <c r="K38" s="1210">
        <v>1</v>
      </c>
      <c r="L38" s="1210">
        <f t="shared" si="12"/>
        <v>2391.8969642129459</v>
      </c>
      <c r="M38" s="1210">
        <f t="shared" si="13"/>
        <v>653.52376071391961</v>
      </c>
      <c r="N38" s="1211">
        <f t="shared" si="5"/>
        <v>71756.90892638838</v>
      </c>
      <c r="O38" s="1210">
        <f t="shared" si="6"/>
        <v>873042.39193772525</v>
      </c>
      <c r="P38" s="1212">
        <f t="shared" si="23"/>
        <v>968678.83886165405</v>
      </c>
      <c r="Q38" s="1213">
        <f t="shared" si="18"/>
        <v>1.1095438753113269</v>
      </c>
      <c r="R38" s="1214">
        <f t="shared" si="7"/>
        <v>0.33136130136986297</v>
      </c>
      <c r="T38" s="655"/>
      <c r="U38" s="655"/>
      <c r="V38" s="655"/>
      <c r="W38" s="707">
        <f t="shared" ref="W38:W39" si="26">W37</f>
        <v>72719.924486563526</v>
      </c>
      <c r="X38" s="707">
        <f t="shared" si="24"/>
        <v>66893.881229442457</v>
      </c>
      <c r="Y38" s="707">
        <f t="shared" si="24"/>
        <v>83949.083786843883</v>
      </c>
      <c r="Z38" s="707">
        <f t="shared" si="24"/>
        <v>79938.755057675604</v>
      </c>
      <c r="AA38" s="707">
        <f t="shared" si="24"/>
        <v>85194.447025755187</v>
      </c>
      <c r="AB38" s="707">
        <f t="shared" si="24"/>
        <v>89311.081586370186</v>
      </c>
      <c r="AC38" s="707">
        <f t="shared" si="24"/>
        <v>91974.82284569554</v>
      </c>
      <c r="AD38" s="707">
        <f t="shared" si="24"/>
        <v>72904.501995655897</v>
      </c>
      <c r="AE38" s="707">
        <f t="shared" si="24"/>
        <v>85049.883176569419</v>
      </c>
      <c r="AF38" s="707">
        <f t="shared" si="24"/>
        <v>85310.509494991828</v>
      </c>
      <c r="AG38" s="707">
        <f t="shared" si="24"/>
        <v>71380.670236472826</v>
      </c>
      <c r="AH38" s="707">
        <f t="shared" si="24"/>
        <v>84051.277939617488</v>
      </c>
      <c r="AI38" s="708">
        <f t="shared" si="9"/>
        <v>968678.83886165393</v>
      </c>
      <c r="AJ38" s="1215">
        <f t="shared" si="20"/>
        <v>0</v>
      </c>
      <c r="AK38" s="1216">
        <f t="shared" si="21"/>
        <v>72719.924486563526</v>
      </c>
      <c r="AL38" s="1216">
        <f t="shared" si="17"/>
        <v>66893.881229442457</v>
      </c>
      <c r="AM38" s="1216">
        <f t="shared" si="17"/>
        <v>83949.083786843883</v>
      </c>
      <c r="AN38" s="1216">
        <f t="shared" si="17"/>
        <v>79938.755057675604</v>
      </c>
      <c r="AO38" s="1216">
        <f t="shared" si="17"/>
        <v>85194.447025755187</v>
      </c>
      <c r="AP38" s="1216">
        <f t="shared" si="17"/>
        <v>89311.081586370186</v>
      </c>
      <c r="AQ38" s="1216">
        <f t="shared" si="17"/>
        <v>91974.82284569554</v>
      </c>
      <c r="AR38" s="1216">
        <f t="shared" si="17"/>
        <v>72904.501995655897</v>
      </c>
      <c r="AS38" s="1216">
        <f t="shared" si="17"/>
        <v>85049.883176569419</v>
      </c>
      <c r="AT38" s="1216">
        <f t="shared" si="17"/>
        <v>85310.509494991828</v>
      </c>
      <c r="AU38" s="1216">
        <f t="shared" si="17"/>
        <v>71380.670236472826</v>
      </c>
      <c r="AV38" s="1216">
        <f t="shared" si="17"/>
        <v>84051.277939617488</v>
      </c>
      <c r="AW38" s="1217">
        <f t="shared" si="10"/>
        <v>968678.83886165393</v>
      </c>
      <c r="AX38" s="1194"/>
      <c r="AY38" s="1183">
        <v>12</v>
      </c>
      <c r="AZ38" s="1183" t="str">
        <f>'[71]Summy For BP 25'!$V$22</f>
        <v>TUFT2115</v>
      </c>
    </row>
    <row r="39" spans="1:52" s="1237" customFormat="1">
      <c r="A39" s="1226">
        <f t="shared" si="25"/>
        <v>8</v>
      </c>
      <c r="B39" s="1227" t="s">
        <v>82</v>
      </c>
      <c r="C39" s="1228" t="s">
        <v>71</v>
      </c>
      <c r="D39" s="1229" t="s">
        <v>81</v>
      </c>
      <c r="E39" s="1230">
        <v>0.56999999999999995</v>
      </c>
      <c r="F39" s="1230">
        <f t="shared" si="11"/>
        <v>0.58133561643835618</v>
      </c>
      <c r="G39" s="1228">
        <v>550</v>
      </c>
      <c r="H39" s="1231">
        <v>10.199999999999999</v>
      </c>
      <c r="I39" s="1231">
        <v>3.66</v>
      </c>
      <c r="J39" s="1232">
        <f t="shared" si="4"/>
        <v>2391.8969642129459</v>
      </c>
      <c r="K39" s="1232">
        <v>1</v>
      </c>
      <c r="L39" s="1232">
        <f t="shared" si="12"/>
        <v>2391.8969642129459</v>
      </c>
      <c r="M39" s="1232">
        <f t="shared" si="13"/>
        <v>653.52376071391961</v>
      </c>
      <c r="N39" s="1233">
        <f t="shared" si="5"/>
        <v>71756.90892638838</v>
      </c>
      <c r="O39" s="1232">
        <f t="shared" si="6"/>
        <v>873042.39193772525</v>
      </c>
      <c r="P39" s="1234">
        <f t="shared" si="23"/>
        <v>968678.83886165405</v>
      </c>
      <c r="Q39" s="1235">
        <f t="shared" si="18"/>
        <v>1.1095438753113269</v>
      </c>
      <c r="R39" s="1236">
        <f t="shared" si="7"/>
        <v>0.33136130136986297</v>
      </c>
      <c r="T39" s="655"/>
      <c r="U39" s="655"/>
      <c r="V39" s="655"/>
      <c r="W39" s="1238">
        <f t="shared" si="26"/>
        <v>72719.924486563526</v>
      </c>
      <c r="X39" s="1238">
        <f t="shared" si="24"/>
        <v>66893.881229442457</v>
      </c>
      <c r="Y39" s="1238">
        <f t="shared" si="24"/>
        <v>83949.083786843883</v>
      </c>
      <c r="Z39" s="1238">
        <f t="shared" si="24"/>
        <v>79938.755057675604</v>
      </c>
      <c r="AA39" s="1238">
        <f t="shared" si="24"/>
        <v>85194.447025755187</v>
      </c>
      <c r="AB39" s="1238">
        <f t="shared" si="24"/>
        <v>89311.081586370186</v>
      </c>
      <c r="AC39" s="1238">
        <f t="shared" si="24"/>
        <v>91974.82284569554</v>
      </c>
      <c r="AD39" s="1238">
        <f t="shared" si="24"/>
        <v>72904.501995655897</v>
      </c>
      <c r="AE39" s="1238">
        <f t="shared" si="24"/>
        <v>85049.883176569419</v>
      </c>
      <c r="AF39" s="1238">
        <f t="shared" si="24"/>
        <v>85310.509494991828</v>
      </c>
      <c r="AG39" s="1238">
        <f t="shared" si="24"/>
        <v>71380.670236472826</v>
      </c>
      <c r="AH39" s="1238">
        <f t="shared" si="24"/>
        <v>84051.277939617488</v>
      </c>
      <c r="AI39" s="1239">
        <f t="shared" si="9"/>
        <v>968678.83886165393</v>
      </c>
      <c r="AJ39" s="1215">
        <f t="shared" si="20"/>
        <v>0</v>
      </c>
      <c r="AK39" s="1216">
        <f>W39</f>
        <v>72719.924486563526</v>
      </c>
      <c r="AL39" s="1216">
        <f t="shared" si="17"/>
        <v>66893.881229442457</v>
      </c>
      <c r="AM39" s="1216">
        <f t="shared" si="17"/>
        <v>83949.083786843883</v>
      </c>
      <c r="AN39" s="1216">
        <f t="shared" si="17"/>
        <v>79938.755057675604</v>
      </c>
      <c r="AO39" s="1216">
        <f t="shared" si="17"/>
        <v>85194.447025755187</v>
      </c>
      <c r="AP39" s="1216">
        <f t="shared" si="17"/>
        <v>89311.081586370186</v>
      </c>
      <c r="AQ39" s="1216">
        <f t="shared" si="17"/>
        <v>91974.82284569554</v>
      </c>
      <c r="AR39" s="1216">
        <f t="shared" si="17"/>
        <v>72904.501995655897</v>
      </c>
      <c r="AS39" s="1216">
        <f t="shared" si="17"/>
        <v>85049.883176569419</v>
      </c>
      <c r="AT39" s="1216">
        <f t="shared" si="17"/>
        <v>85310.509494991828</v>
      </c>
      <c r="AU39" s="1216">
        <f t="shared" si="17"/>
        <v>71380.670236472826</v>
      </c>
      <c r="AV39" s="1216">
        <f t="shared" si="17"/>
        <v>84051.277939617488</v>
      </c>
      <c r="AW39" s="1217">
        <f>SUM(AK39:AV39)</f>
        <v>968678.83886165393</v>
      </c>
      <c r="AX39" s="1240"/>
    </row>
    <row r="40" spans="1:52">
      <c r="A40" s="1220">
        <f t="shared" si="25"/>
        <v>9</v>
      </c>
      <c r="B40" s="1221" t="s">
        <v>83</v>
      </c>
      <c r="C40" s="1206" t="s">
        <v>74</v>
      </c>
      <c r="D40" s="1207" t="s">
        <v>84</v>
      </c>
      <c r="E40" s="1208">
        <v>0.5</v>
      </c>
      <c r="F40" s="1208">
        <f t="shared" si="11"/>
        <v>0.58133561643835618</v>
      </c>
      <c r="G40" s="1206">
        <v>600</v>
      </c>
      <c r="H40" s="1209">
        <v>12</v>
      </c>
      <c r="I40" s="1209">
        <v>4</v>
      </c>
      <c r="J40" s="1210">
        <f t="shared" si="4"/>
        <v>2126.2974032797383</v>
      </c>
      <c r="K40" s="1241">
        <v>1</v>
      </c>
      <c r="L40" s="1210">
        <f t="shared" si="12"/>
        <v>2126.2974032797383</v>
      </c>
      <c r="M40" s="1210">
        <f t="shared" si="13"/>
        <v>531.57435081993458</v>
      </c>
      <c r="N40" s="1211">
        <f t="shared" si="5"/>
        <v>63788.922098392148</v>
      </c>
      <c r="O40" s="1210">
        <f t="shared" si="6"/>
        <v>776098.55219710444</v>
      </c>
      <c r="P40" s="1210">
        <f>F9</f>
        <v>153681.42858362212</v>
      </c>
      <c r="Q40" s="1213">
        <f>IFERROR(P40/O40,0)</f>
        <v>0.19801792974430379</v>
      </c>
      <c r="R40" s="1214">
        <f t="shared" si="7"/>
        <v>0.29066780821917809</v>
      </c>
      <c r="T40" s="655"/>
      <c r="U40" s="655"/>
      <c r="V40" s="655"/>
      <c r="W40" s="707">
        <f t="shared" ref="W40:AH40" si="27">L9</f>
        <v>11187.940631389341</v>
      </c>
      <c r="X40" s="687">
        <f t="shared" si="27"/>
        <v>11187.940631389341</v>
      </c>
      <c r="Y40" s="687">
        <f t="shared" si="27"/>
        <v>11190.434731122878</v>
      </c>
      <c r="Z40" s="687">
        <f t="shared" si="27"/>
        <v>13346.123621080063</v>
      </c>
      <c r="AA40" s="687">
        <f t="shared" si="27"/>
        <v>13346.123621080063</v>
      </c>
      <c r="AB40" s="687">
        <f t="shared" si="27"/>
        <v>13346.123621080063</v>
      </c>
      <c r="AC40" s="687">
        <f t="shared" si="27"/>
        <v>13346.123621080063</v>
      </c>
      <c r="AD40" s="687">
        <f t="shared" si="27"/>
        <v>13346.123621080063</v>
      </c>
      <c r="AE40" s="687">
        <f t="shared" si="27"/>
        <v>13346.123621080063</v>
      </c>
      <c r="AF40" s="687">
        <f t="shared" si="27"/>
        <v>13346.123621080063</v>
      </c>
      <c r="AG40" s="687">
        <f t="shared" si="27"/>
        <v>13346.123621080063</v>
      </c>
      <c r="AH40" s="687">
        <f t="shared" si="27"/>
        <v>13346.123621080063</v>
      </c>
      <c r="AI40" s="708">
        <f t="shared" si="9"/>
        <v>153681.42858362218</v>
      </c>
      <c r="AJ40" s="1215">
        <f t="shared" si="20"/>
        <v>0</v>
      </c>
      <c r="AK40" s="1216">
        <f t="shared" ref="AK40:AK49" si="28">W40</f>
        <v>11187.940631389341</v>
      </c>
      <c r="AL40" s="1216">
        <f t="shared" si="17"/>
        <v>11187.940631389341</v>
      </c>
      <c r="AM40" s="1216">
        <f t="shared" si="17"/>
        <v>11190.434731122878</v>
      </c>
      <c r="AN40" s="1216">
        <f t="shared" si="17"/>
        <v>13346.123621080063</v>
      </c>
      <c r="AO40" s="1216">
        <f t="shared" si="17"/>
        <v>13346.123621080063</v>
      </c>
      <c r="AP40" s="1216">
        <f t="shared" si="17"/>
        <v>13346.123621080063</v>
      </c>
      <c r="AQ40" s="1216">
        <f t="shared" si="17"/>
        <v>13346.123621080063</v>
      </c>
      <c r="AR40" s="1216">
        <f t="shared" si="17"/>
        <v>13346.123621080063</v>
      </c>
      <c r="AS40" s="1216">
        <f t="shared" si="17"/>
        <v>13346.123621080063</v>
      </c>
      <c r="AT40" s="1216">
        <f t="shared" si="17"/>
        <v>13346.123621080063</v>
      </c>
      <c r="AU40" s="1216">
        <f t="shared" si="17"/>
        <v>13346.123621080063</v>
      </c>
      <c r="AV40" s="1216">
        <f t="shared" si="17"/>
        <v>13346.123621080063</v>
      </c>
      <c r="AW40" s="1217">
        <f t="shared" ref="AW40:AW49" si="29">SUM(AK40:AV40)</f>
        <v>153681.42858362218</v>
      </c>
      <c r="AY40" s="1183">
        <v>5</v>
      </c>
      <c r="AZ40" s="1183" t="str">
        <f>'[71]Summy For BP 25'!$V$32</f>
        <v>TUFT2101</v>
      </c>
    </row>
    <row r="41" spans="1:52">
      <c r="A41" s="1220">
        <f t="shared" si="25"/>
        <v>10</v>
      </c>
      <c r="B41" s="1221" t="s">
        <v>85</v>
      </c>
      <c r="C41" s="1206" t="s">
        <v>71</v>
      </c>
      <c r="D41" s="1207" t="s">
        <v>85</v>
      </c>
      <c r="E41" s="1208">
        <v>0.6</v>
      </c>
      <c r="F41" s="1208">
        <f t="shared" si="11"/>
        <v>0.58133561643835618</v>
      </c>
      <c r="G41" s="1206">
        <v>750</v>
      </c>
      <c r="H41" s="1209">
        <v>6.5</v>
      </c>
      <c r="I41" s="1209">
        <v>3.66</v>
      </c>
      <c r="J41" s="1210">
        <f t="shared" si="4"/>
        <v>5387.7104972334291</v>
      </c>
      <c r="K41" s="1210">
        <v>1</v>
      </c>
      <c r="L41" s="1210">
        <f t="shared" si="12"/>
        <v>5387.7104972334291</v>
      </c>
      <c r="M41" s="1210">
        <f t="shared" si="13"/>
        <v>1472.0520484244341</v>
      </c>
      <c r="N41" s="1211">
        <f t="shared" si="5"/>
        <v>161631.31491700286</v>
      </c>
      <c r="O41" s="1210">
        <f t="shared" si="6"/>
        <v>1966514.3314902016</v>
      </c>
      <c r="P41" s="1212">
        <f>$F$5/5</f>
        <v>1319777.8063337211</v>
      </c>
      <c r="Q41" s="1213">
        <f t="shared" si="18"/>
        <v>0.67112544526111284</v>
      </c>
      <c r="R41" s="1214">
        <f t="shared" si="7"/>
        <v>0.34880136986301369</v>
      </c>
      <c r="T41" s="655"/>
      <c r="U41" s="655"/>
      <c r="V41" s="655"/>
      <c r="W41" s="707">
        <f>L5/5</f>
        <v>107616.88280794272</v>
      </c>
      <c r="X41" s="687">
        <f t="shared" ref="X41:AH41" si="30">M5/5</f>
        <v>107088.01137177825</v>
      </c>
      <c r="Y41" s="687">
        <f t="shared" si="30"/>
        <v>100171.0366273916</v>
      </c>
      <c r="Z41" s="687">
        <f t="shared" si="30"/>
        <v>119007.40040160032</v>
      </c>
      <c r="AA41" s="687">
        <f t="shared" si="30"/>
        <v>120937.16210648669</v>
      </c>
      <c r="AB41" s="687">
        <f t="shared" si="30"/>
        <v>117203.50853070538</v>
      </c>
      <c r="AC41" s="687">
        <f t="shared" si="30"/>
        <v>103897.87171505348</v>
      </c>
      <c r="AD41" s="687">
        <f t="shared" si="30"/>
        <v>105364.58700528697</v>
      </c>
      <c r="AE41" s="687">
        <f t="shared" si="30"/>
        <v>103371.81844538428</v>
      </c>
      <c r="AF41" s="687">
        <f t="shared" si="30"/>
        <v>106780.088877961</v>
      </c>
      <c r="AG41" s="687">
        <f t="shared" si="30"/>
        <v>107376.02458265703</v>
      </c>
      <c r="AH41" s="687">
        <f t="shared" si="30"/>
        <v>120963.4138614736</v>
      </c>
      <c r="AI41" s="708">
        <f t="shared" si="9"/>
        <v>1319777.8063337211</v>
      </c>
      <c r="AJ41" s="1215">
        <f t="shared" si="20"/>
        <v>0</v>
      </c>
      <c r="AK41" s="1216">
        <f t="shared" si="28"/>
        <v>107616.88280794272</v>
      </c>
      <c r="AL41" s="1216">
        <f t="shared" si="17"/>
        <v>107088.01137177825</v>
      </c>
      <c r="AM41" s="1216">
        <f t="shared" si="17"/>
        <v>100171.0366273916</v>
      </c>
      <c r="AN41" s="1216">
        <f t="shared" si="17"/>
        <v>119007.40040160032</v>
      </c>
      <c r="AO41" s="1216">
        <f t="shared" si="17"/>
        <v>120937.16210648669</v>
      </c>
      <c r="AP41" s="1216">
        <f t="shared" si="17"/>
        <v>117203.50853070538</v>
      </c>
      <c r="AQ41" s="1216">
        <f t="shared" si="17"/>
        <v>103897.87171505348</v>
      </c>
      <c r="AR41" s="1216">
        <f t="shared" si="17"/>
        <v>105364.58700528697</v>
      </c>
      <c r="AS41" s="1216">
        <f t="shared" si="17"/>
        <v>103371.81844538428</v>
      </c>
      <c r="AT41" s="1216">
        <f t="shared" si="17"/>
        <v>106780.088877961</v>
      </c>
      <c r="AU41" s="1216">
        <f t="shared" si="17"/>
        <v>107376.02458265703</v>
      </c>
      <c r="AV41" s="1216">
        <f t="shared" si="17"/>
        <v>120963.4138614736</v>
      </c>
      <c r="AW41" s="1217">
        <f t="shared" si="29"/>
        <v>1319777.8063337211</v>
      </c>
      <c r="AX41" s="1194"/>
      <c r="AY41" s="1183">
        <v>6</v>
      </c>
      <c r="AZ41" s="1183" t="str">
        <f>'[71]Summy For BP 25'!$V$28</f>
        <v>TUFT2109</v>
      </c>
    </row>
    <row r="42" spans="1:52">
      <c r="A42" s="1220">
        <f t="shared" si="25"/>
        <v>11</v>
      </c>
      <c r="B42" s="1221" t="s">
        <v>85</v>
      </c>
      <c r="C42" s="1206" t="s">
        <v>71</v>
      </c>
      <c r="D42" s="1207" t="s">
        <v>85</v>
      </c>
      <c r="E42" s="1208">
        <v>0.6</v>
      </c>
      <c r="F42" s="1208">
        <f t="shared" si="11"/>
        <v>0.58133561643835618</v>
      </c>
      <c r="G42" s="1206">
        <v>750</v>
      </c>
      <c r="H42" s="1209">
        <f>6.5*0+5.7</f>
        <v>5.7</v>
      </c>
      <c r="I42" s="1209">
        <v>3.66</v>
      </c>
      <c r="J42" s="1210">
        <f t="shared" si="4"/>
        <v>6143.8803915819799</v>
      </c>
      <c r="K42" s="1210">
        <v>1</v>
      </c>
      <c r="L42" s="1210">
        <f t="shared" si="12"/>
        <v>6143.8803915819799</v>
      </c>
      <c r="M42" s="1210">
        <f t="shared" si="13"/>
        <v>1678.6558446945301</v>
      </c>
      <c r="N42" s="1211">
        <f t="shared" si="5"/>
        <v>184316.41174745941</v>
      </c>
      <c r="O42" s="1210">
        <f t="shared" si="6"/>
        <v>2242516.3429274228</v>
      </c>
      <c r="P42" s="1212">
        <f>P41</f>
        <v>1319777.8063337211</v>
      </c>
      <c r="Q42" s="1213">
        <f t="shared" si="18"/>
        <v>0.58852539045974506</v>
      </c>
      <c r="R42" s="1214">
        <f t="shared" si="7"/>
        <v>0.34880136986301369</v>
      </c>
      <c r="T42" s="655"/>
      <c r="U42" s="655"/>
      <c r="V42" s="655"/>
      <c r="W42" s="707">
        <f>W41</f>
        <v>107616.88280794272</v>
      </c>
      <c r="X42" s="707">
        <f t="shared" ref="X42:AH45" si="31">X41</f>
        <v>107088.01137177825</v>
      </c>
      <c r="Y42" s="707">
        <f t="shared" si="31"/>
        <v>100171.0366273916</v>
      </c>
      <c r="Z42" s="707">
        <f t="shared" si="31"/>
        <v>119007.40040160032</v>
      </c>
      <c r="AA42" s="707">
        <f t="shared" si="31"/>
        <v>120937.16210648669</v>
      </c>
      <c r="AB42" s="707">
        <f t="shared" si="31"/>
        <v>117203.50853070538</v>
      </c>
      <c r="AC42" s="707">
        <f t="shared" si="31"/>
        <v>103897.87171505348</v>
      </c>
      <c r="AD42" s="707">
        <f t="shared" si="31"/>
        <v>105364.58700528697</v>
      </c>
      <c r="AE42" s="707">
        <f t="shared" si="31"/>
        <v>103371.81844538428</v>
      </c>
      <c r="AF42" s="707">
        <f t="shared" si="31"/>
        <v>106780.088877961</v>
      </c>
      <c r="AG42" s="707">
        <f t="shared" si="31"/>
        <v>107376.02458265703</v>
      </c>
      <c r="AH42" s="707">
        <f t="shared" si="31"/>
        <v>120963.4138614736</v>
      </c>
      <c r="AI42" s="708">
        <f t="shared" si="9"/>
        <v>1319777.8063337211</v>
      </c>
      <c r="AJ42" s="1215">
        <f t="shared" si="20"/>
        <v>0</v>
      </c>
      <c r="AK42" s="1216">
        <f t="shared" si="28"/>
        <v>107616.88280794272</v>
      </c>
      <c r="AL42" s="1216">
        <f t="shared" si="17"/>
        <v>107088.01137177825</v>
      </c>
      <c r="AM42" s="1216">
        <f t="shared" si="17"/>
        <v>100171.0366273916</v>
      </c>
      <c r="AN42" s="1216">
        <f t="shared" si="17"/>
        <v>119007.40040160032</v>
      </c>
      <c r="AO42" s="1216">
        <f t="shared" si="17"/>
        <v>120937.16210648669</v>
      </c>
      <c r="AP42" s="1216">
        <f t="shared" si="17"/>
        <v>117203.50853070538</v>
      </c>
      <c r="AQ42" s="1216">
        <f t="shared" si="17"/>
        <v>103897.87171505348</v>
      </c>
      <c r="AR42" s="1216">
        <f t="shared" si="17"/>
        <v>105364.58700528697</v>
      </c>
      <c r="AS42" s="1216">
        <f t="shared" si="17"/>
        <v>103371.81844538428</v>
      </c>
      <c r="AT42" s="1216">
        <f t="shared" si="17"/>
        <v>106780.088877961</v>
      </c>
      <c r="AU42" s="1216">
        <f t="shared" si="17"/>
        <v>107376.02458265703</v>
      </c>
      <c r="AV42" s="1216">
        <f t="shared" si="17"/>
        <v>120963.4138614736</v>
      </c>
      <c r="AW42" s="1217">
        <f t="shared" si="29"/>
        <v>1319777.8063337211</v>
      </c>
      <c r="AX42" s="1194"/>
      <c r="AY42" s="1183">
        <v>8</v>
      </c>
      <c r="AZ42" s="1183" t="str">
        <f>'[71]Summy For BP 25'!$V$27</f>
        <v>TUFT2117</v>
      </c>
    </row>
    <row r="43" spans="1:52">
      <c r="A43" s="1220">
        <f t="shared" si="25"/>
        <v>12</v>
      </c>
      <c r="B43" s="1221" t="s">
        <v>85</v>
      </c>
      <c r="C43" s="1206" t="s">
        <v>71</v>
      </c>
      <c r="D43" s="1207" t="s">
        <v>85</v>
      </c>
      <c r="E43" s="1208">
        <v>0.6</v>
      </c>
      <c r="F43" s="1208">
        <f t="shared" si="11"/>
        <v>0.58133561643835618</v>
      </c>
      <c r="G43" s="1206">
        <v>750</v>
      </c>
      <c r="H43" s="1209">
        <v>6.5</v>
      </c>
      <c r="I43" s="1209">
        <v>3.66</v>
      </c>
      <c r="J43" s="1210">
        <f t="shared" si="4"/>
        <v>5387.7104972334291</v>
      </c>
      <c r="K43" s="1210">
        <v>1</v>
      </c>
      <c r="L43" s="1210">
        <f t="shared" si="12"/>
        <v>5387.7104972334291</v>
      </c>
      <c r="M43" s="1210">
        <f t="shared" si="13"/>
        <v>1472.0520484244341</v>
      </c>
      <c r="N43" s="1211">
        <f t="shared" si="5"/>
        <v>161631.31491700286</v>
      </c>
      <c r="O43" s="1210">
        <f t="shared" si="6"/>
        <v>1966514.3314902016</v>
      </c>
      <c r="P43" s="1212">
        <f>P42</f>
        <v>1319777.8063337211</v>
      </c>
      <c r="Q43" s="1213">
        <f t="shared" si="18"/>
        <v>0.67112544526111284</v>
      </c>
      <c r="R43" s="1214">
        <f t="shared" si="7"/>
        <v>0.34880136986301369</v>
      </c>
      <c r="T43" s="655"/>
      <c r="U43" s="655"/>
      <c r="V43" s="655"/>
      <c r="W43" s="707">
        <f t="shared" ref="W43:W45" si="32">W42</f>
        <v>107616.88280794272</v>
      </c>
      <c r="X43" s="707">
        <f t="shared" si="31"/>
        <v>107088.01137177825</v>
      </c>
      <c r="Y43" s="707">
        <f t="shared" si="31"/>
        <v>100171.0366273916</v>
      </c>
      <c r="Z43" s="707">
        <f t="shared" si="31"/>
        <v>119007.40040160032</v>
      </c>
      <c r="AA43" s="707">
        <f t="shared" si="31"/>
        <v>120937.16210648669</v>
      </c>
      <c r="AB43" s="707">
        <f t="shared" si="31"/>
        <v>117203.50853070538</v>
      </c>
      <c r="AC43" s="707">
        <f t="shared" si="31"/>
        <v>103897.87171505348</v>
      </c>
      <c r="AD43" s="707">
        <f t="shared" si="31"/>
        <v>105364.58700528697</v>
      </c>
      <c r="AE43" s="707">
        <f t="shared" si="31"/>
        <v>103371.81844538428</v>
      </c>
      <c r="AF43" s="707">
        <f t="shared" si="31"/>
        <v>106780.088877961</v>
      </c>
      <c r="AG43" s="707">
        <f t="shared" si="31"/>
        <v>107376.02458265703</v>
      </c>
      <c r="AH43" s="707">
        <f t="shared" si="31"/>
        <v>120963.4138614736</v>
      </c>
      <c r="AI43" s="708">
        <f t="shared" si="9"/>
        <v>1319777.8063337211</v>
      </c>
      <c r="AJ43" s="1215">
        <f t="shared" si="20"/>
        <v>0</v>
      </c>
      <c r="AK43" s="1216">
        <f t="shared" si="28"/>
        <v>107616.88280794272</v>
      </c>
      <c r="AL43" s="1216">
        <f t="shared" si="17"/>
        <v>107088.01137177825</v>
      </c>
      <c r="AM43" s="1216">
        <f t="shared" si="17"/>
        <v>100171.0366273916</v>
      </c>
      <c r="AN43" s="1216">
        <f t="shared" si="17"/>
        <v>119007.40040160032</v>
      </c>
      <c r="AO43" s="1216">
        <f t="shared" si="17"/>
        <v>120937.16210648669</v>
      </c>
      <c r="AP43" s="1216">
        <f t="shared" si="17"/>
        <v>117203.50853070538</v>
      </c>
      <c r="AQ43" s="1216">
        <f t="shared" si="17"/>
        <v>103897.87171505348</v>
      </c>
      <c r="AR43" s="1216">
        <f t="shared" si="17"/>
        <v>105364.58700528697</v>
      </c>
      <c r="AS43" s="1216">
        <f t="shared" si="17"/>
        <v>103371.81844538428</v>
      </c>
      <c r="AT43" s="1216">
        <f t="shared" si="17"/>
        <v>106780.088877961</v>
      </c>
      <c r="AU43" s="1216">
        <f t="shared" si="17"/>
        <v>107376.02458265703</v>
      </c>
      <c r="AV43" s="1216">
        <f t="shared" si="17"/>
        <v>120963.4138614736</v>
      </c>
      <c r="AW43" s="1217">
        <f t="shared" si="29"/>
        <v>1319777.8063337211</v>
      </c>
      <c r="AX43" s="1194"/>
      <c r="AY43" s="1183">
        <v>10</v>
      </c>
      <c r="AZ43" s="1183" t="str">
        <f>'[71]Summy For BP 25'!$V$29</f>
        <v>TUFT2110</v>
      </c>
    </row>
    <row r="44" spans="1:52">
      <c r="A44" s="1220">
        <f t="shared" si="25"/>
        <v>13</v>
      </c>
      <c r="B44" s="1221" t="s">
        <v>85</v>
      </c>
      <c r="C44" s="1206" t="s">
        <v>71</v>
      </c>
      <c r="D44" s="1207" t="s">
        <v>85</v>
      </c>
      <c r="E44" s="1208">
        <v>0.49</v>
      </c>
      <c r="F44" s="1208">
        <f t="shared" si="11"/>
        <v>0.58133561643835618</v>
      </c>
      <c r="G44" s="1206">
        <v>700</v>
      </c>
      <c r="H44" s="1209">
        <v>6.5</v>
      </c>
      <c r="I44" s="1209">
        <v>4</v>
      </c>
      <c r="J44" s="1210">
        <f t="shared" si="4"/>
        <v>4488.123134307386</v>
      </c>
      <c r="K44" s="1210">
        <v>1</v>
      </c>
      <c r="L44" s="1210">
        <f t="shared" si="12"/>
        <v>4488.123134307386</v>
      </c>
      <c r="M44" s="1210">
        <f t="shared" si="13"/>
        <v>1122.0307835768465</v>
      </c>
      <c r="N44" s="1211">
        <f t="shared" si="5"/>
        <v>134643.69402922157</v>
      </c>
      <c r="O44" s="1210">
        <f t="shared" si="6"/>
        <v>1638164.9440221959</v>
      </c>
      <c r="P44" s="1212">
        <f>P43</f>
        <v>1319777.8063337211</v>
      </c>
      <c r="Q44" s="1213">
        <f>P44/O44</f>
        <v>0.80564402940601521</v>
      </c>
      <c r="R44" s="1214">
        <f t="shared" si="7"/>
        <v>0.28485445205479454</v>
      </c>
      <c r="T44" s="655"/>
      <c r="U44" s="655"/>
      <c r="V44" s="655"/>
      <c r="W44" s="707">
        <f t="shared" si="32"/>
        <v>107616.88280794272</v>
      </c>
      <c r="X44" s="707">
        <f t="shared" si="31"/>
        <v>107088.01137177825</v>
      </c>
      <c r="Y44" s="707">
        <f t="shared" si="31"/>
        <v>100171.0366273916</v>
      </c>
      <c r="Z44" s="707">
        <f t="shared" si="31"/>
        <v>119007.40040160032</v>
      </c>
      <c r="AA44" s="707">
        <f t="shared" si="31"/>
        <v>120937.16210648669</v>
      </c>
      <c r="AB44" s="707">
        <f t="shared" si="31"/>
        <v>117203.50853070538</v>
      </c>
      <c r="AC44" s="707">
        <f t="shared" si="31"/>
        <v>103897.87171505348</v>
      </c>
      <c r="AD44" s="707">
        <f t="shared" si="31"/>
        <v>105364.58700528697</v>
      </c>
      <c r="AE44" s="707">
        <f t="shared" si="31"/>
        <v>103371.81844538428</v>
      </c>
      <c r="AF44" s="707">
        <f t="shared" si="31"/>
        <v>106780.088877961</v>
      </c>
      <c r="AG44" s="707">
        <f t="shared" si="31"/>
        <v>107376.02458265703</v>
      </c>
      <c r="AH44" s="707">
        <f t="shared" si="31"/>
        <v>120963.4138614736</v>
      </c>
      <c r="AI44" s="708">
        <f t="shared" si="9"/>
        <v>1319777.8063337211</v>
      </c>
      <c r="AJ44" s="1215">
        <f t="shared" si="20"/>
        <v>0</v>
      </c>
      <c r="AK44" s="1216">
        <f t="shared" si="28"/>
        <v>107616.88280794272</v>
      </c>
      <c r="AL44" s="1216">
        <f t="shared" si="17"/>
        <v>107088.01137177825</v>
      </c>
      <c r="AM44" s="1216">
        <f t="shared" si="17"/>
        <v>100171.0366273916</v>
      </c>
      <c r="AN44" s="1216">
        <f t="shared" si="17"/>
        <v>119007.40040160032</v>
      </c>
      <c r="AO44" s="1216">
        <f t="shared" si="17"/>
        <v>120937.16210648669</v>
      </c>
      <c r="AP44" s="1216">
        <f t="shared" si="17"/>
        <v>117203.50853070538</v>
      </c>
      <c r="AQ44" s="1216">
        <f t="shared" si="17"/>
        <v>103897.87171505348</v>
      </c>
      <c r="AR44" s="1216">
        <f t="shared" si="17"/>
        <v>105364.58700528697</v>
      </c>
      <c r="AS44" s="1216">
        <f t="shared" si="17"/>
        <v>103371.81844538428</v>
      </c>
      <c r="AT44" s="1216">
        <f t="shared" si="17"/>
        <v>106780.088877961</v>
      </c>
      <c r="AU44" s="1216">
        <f t="shared" si="17"/>
        <v>107376.02458265703</v>
      </c>
      <c r="AV44" s="1216">
        <f t="shared" si="17"/>
        <v>120963.4138614736</v>
      </c>
      <c r="AW44" s="1217">
        <f t="shared" si="29"/>
        <v>1319777.8063337211</v>
      </c>
      <c r="AX44" s="1194"/>
      <c r="AY44" s="1183">
        <v>16</v>
      </c>
      <c r="AZ44" s="1183" t="str">
        <f>'[71]Summy For BP 25'!$V$31</f>
        <v>TUFT2106</v>
      </c>
    </row>
    <row r="45" spans="1:52" s="1237" customFormat="1">
      <c r="A45" s="1226">
        <f t="shared" si="25"/>
        <v>14</v>
      </c>
      <c r="B45" s="1227" t="s">
        <v>86</v>
      </c>
      <c r="C45" s="1228" t="s">
        <v>71</v>
      </c>
      <c r="D45" s="1229" t="s">
        <v>85</v>
      </c>
      <c r="E45" s="1230">
        <v>0.6</v>
      </c>
      <c r="F45" s="1230">
        <f t="shared" si="11"/>
        <v>0.58133561643835618</v>
      </c>
      <c r="G45" s="1228">
        <v>550</v>
      </c>
      <c r="H45" s="1231">
        <v>6.5</v>
      </c>
      <c r="I45" s="1231">
        <v>4</v>
      </c>
      <c r="J45" s="1232">
        <f>G45*60*24*E45*I45*F45/H45/39.37</f>
        <v>4318.0193420450078</v>
      </c>
      <c r="K45" s="1232">
        <v>1</v>
      </c>
      <c r="L45" s="1232">
        <f>J45*K45</f>
        <v>4318.0193420450078</v>
      </c>
      <c r="M45" s="1232">
        <f>L45/I45</f>
        <v>1079.5048355112519</v>
      </c>
      <c r="N45" s="1233">
        <f>L45*30</f>
        <v>129540.58026135023</v>
      </c>
      <c r="O45" s="1232">
        <f t="shared" si="6"/>
        <v>1576077.0598464278</v>
      </c>
      <c r="P45" s="1232">
        <f>P44</f>
        <v>1319777.8063337211</v>
      </c>
      <c r="Q45" s="1235">
        <f>IFERROR(P45/O45,0)</f>
        <v>0.83738152147352474</v>
      </c>
      <c r="R45" s="1236">
        <f t="shared" si="7"/>
        <v>0.34880136986301369</v>
      </c>
      <c r="T45" s="655"/>
      <c r="U45" s="655"/>
      <c r="V45" s="655"/>
      <c r="W45" s="1238">
        <f t="shared" si="32"/>
        <v>107616.88280794272</v>
      </c>
      <c r="X45" s="1238">
        <f t="shared" si="31"/>
        <v>107088.01137177825</v>
      </c>
      <c r="Y45" s="1238">
        <f t="shared" si="31"/>
        <v>100171.0366273916</v>
      </c>
      <c r="Z45" s="1238">
        <f t="shared" si="31"/>
        <v>119007.40040160032</v>
      </c>
      <c r="AA45" s="1238">
        <f t="shared" si="31"/>
        <v>120937.16210648669</v>
      </c>
      <c r="AB45" s="1238">
        <f t="shared" si="31"/>
        <v>117203.50853070538</v>
      </c>
      <c r="AC45" s="1238">
        <f t="shared" si="31"/>
        <v>103897.87171505348</v>
      </c>
      <c r="AD45" s="1238">
        <f t="shared" si="31"/>
        <v>105364.58700528697</v>
      </c>
      <c r="AE45" s="1238">
        <f t="shared" si="31"/>
        <v>103371.81844538428</v>
      </c>
      <c r="AF45" s="1238">
        <f t="shared" si="31"/>
        <v>106780.088877961</v>
      </c>
      <c r="AG45" s="1238">
        <f t="shared" si="31"/>
        <v>107376.02458265703</v>
      </c>
      <c r="AH45" s="1238">
        <f t="shared" si="31"/>
        <v>120963.4138614736</v>
      </c>
      <c r="AI45" s="1239">
        <f t="shared" si="9"/>
        <v>1319777.8063337211</v>
      </c>
      <c r="AJ45" s="1215">
        <f t="shared" si="20"/>
        <v>0</v>
      </c>
      <c r="AK45" s="1216">
        <f t="shared" si="28"/>
        <v>107616.88280794272</v>
      </c>
      <c r="AL45" s="1216">
        <f t="shared" si="17"/>
        <v>107088.01137177825</v>
      </c>
      <c r="AM45" s="1216">
        <f t="shared" si="17"/>
        <v>100171.0366273916</v>
      </c>
      <c r="AN45" s="1216">
        <f t="shared" si="17"/>
        <v>119007.40040160032</v>
      </c>
      <c r="AO45" s="1216">
        <f t="shared" si="17"/>
        <v>120937.16210648669</v>
      </c>
      <c r="AP45" s="1216">
        <f t="shared" si="17"/>
        <v>117203.50853070538</v>
      </c>
      <c r="AQ45" s="1216">
        <f t="shared" si="17"/>
        <v>103897.87171505348</v>
      </c>
      <c r="AR45" s="1216">
        <f t="shared" si="17"/>
        <v>105364.58700528697</v>
      </c>
      <c r="AS45" s="1216">
        <f t="shared" si="17"/>
        <v>103371.81844538428</v>
      </c>
      <c r="AT45" s="1216">
        <f t="shared" si="17"/>
        <v>106780.088877961</v>
      </c>
      <c r="AU45" s="1216">
        <f t="shared" si="17"/>
        <v>107376.02458265703</v>
      </c>
      <c r="AV45" s="1216">
        <f t="shared" si="17"/>
        <v>120963.4138614736</v>
      </c>
      <c r="AW45" s="1217">
        <f t="shared" si="29"/>
        <v>1319777.8063337211</v>
      </c>
      <c r="AX45" s="1194"/>
    </row>
    <row r="46" spans="1:52">
      <c r="A46" s="1220">
        <f t="shared" si="25"/>
        <v>15</v>
      </c>
      <c r="B46" s="1221" t="s">
        <v>87</v>
      </c>
      <c r="C46" s="1206" t="s">
        <v>71</v>
      </c>
      <c r="D46" s="1207" t="s">
        <v>87</v>
      </c>
      <c r="E46" s="1208">
        <v>0.49</v>
      </c>
      <c r="F46" s="1208">
        <f t="shared" si="11"/>
        <v>0.58133561643835618</v>
      </c>
      <c r="G46" s="1206">
        <v>500</v>
      </c>
      <c r="H46" s="1209">
        <v>5.8</v>
      </c>
      <c r="I46" s="1209">
        <v>4</v>
      </c>
      <c r="J46" s="1210">
        <f t="shared" si="4"/>
        <v>3592.7094055416269</v>
      </c>
      <c r="K46" s="1210">
        <v>1</v>
      </c>
      <c r="L46" s="1210">
        <f t="shared" si="12"/>
        <v>3592.7094055416269</v>
      </c>
      <c r="M46" s="1210">
        <f t="shared" si="13"/>
        <v>898.17735138540672</v>
      </c>
      <c r="N46" s="1211">
        <f t="shared" si="5"/>
        <v>107781.28216624881</v>
      </c>
      <c r="O46" s="1210">
        <f t="shared" si="6"/>
        <v>1311338.9330226937</v>
      </c>
      <c r="P46" s="1212">
        <f>F6</f>
        <v>1083022.0929402164</v>
      </c>
      <c r="Q46" s="1213">
        <f>IFERROR(P46/O46,0)</f>
        <v>0.82589029095918243</v>
      </c>
      <c r="R46" s="1214">
        <f t="shared" si="7"/>
        <v>0.28485445205479454</v>
      </c>
      <c r="T46" s="655"/>
      <c r="U46" s="655"/>
      <c r="V46" s="655"/>
      <c r="W46" s="707">
        <f t="shared" ref="W46:AH46" si="33">L6</f>
        <v>92620.313254440727</v>
      </c>
      <c r="X46" s="687">
        <f t="shared" si="33"/>
        <v>92357.278235463222</v>
      </c>
      <c r="Y46" s="687">
        <f t="shared" si="33"/>
        <v>102578.7711909075</v>
      </c>
      <c r="Z46" s="687">
        <f t="shared" si="33"/>
        <v>71896.276984346681</v>
      </c>
      <c r="AA46" s="687">
        <f t="shared" si="33"/>
        <v>72940.995304546595</v>
      </c>
      <c r="AB46" s="687">
        <f t="shared" si="33"/>
        <v>73072.490898103089</v>
      </c>
      <c r="AC46" s="687">
        <f t="shared" si="33"/>
        <v>74103.036794601372</v>
      </c>
      <c r="AD46" s="687">
        <f t="shared" si="33"/>
        <v>74634.069739609957</v>
      </c>
      <c r="AE46" s="687">
        <f t="shared" si="33"/>
        <v>74495.604681092009</v>
      </c>
      <c r="AF46" s="687">
        <f t="shared" si="33"/>
        <v>79519.195083192986</v>
      </c>
      <c r="AG46" s="687">
        <f t="shared" si="33"/>
        <v>79650.712592681753</v>
      </c>
      <c r="AH46" s="687">
        <f t="shared" si="33"/>
        <v>195153.34818123066</v>
      </c>
      <c r="AI46" s="708">
        <f t="shared" si="9"/>
        <v>1083022.0929402167</v>
      </c>
      <c r="AJ46" s="1215">
        <f t="shared" si="20"/>
        <v>0</v>
      </c>
      <c r="AK46" s="1216">
        <f t="shared" si="28"/>
        <v>92620.313254440727</v>
      </c>
      <c r="AL46" s="1216">
        <f t="shared" si="17"/>
        <v>92357.278235463222</v>
      </c>
      <c r="AM46" s="1216">
        <f t="shared" si="17"/>
        <v>102578.7711909075</v>
      </c>
      <c r="AN46" s="1216">
        <f t="shared" si="17"/>
        <v>71896.276984346681</v>
      </c>
      <c r="AO46" s="1216">
        <f t="shared" si="17"/>
        <v>72940.995304546595</v>
      </c>
      <c r="AP46" s="1216">
        <f t="shared" si="17"/>
        <v>73072.490898103089</v>
      </c>
      <c r="AQ46" s="1216">
        <f t="shared" si="17"/>
        <v>74103.036794601372</v>
      </c>
      <c r="AR46" s="1216">
        <f t="shared" si="17"/>
        <v>74634.069739609957</v>
      </c>
      <c r="AS46" s="1216">
        <f t="shared" si="17"/>
        <v>74495.604681092009</v>
      </c>
      <c r="AT46" s="1216">
        <f t="shared" si="17"/>
        <v>79519.195083192986</v>
      </c>
      <c r="AU46" s="1216">
        <f t="shared" si="17"/>
        <v>79650.712592681753</v>
      </c>
      <c r="AV46" s="1216">
        <f t="shared" si="17"/>
        <v>195153.34818123066</v>
      </c>
      <c r="AW46" s="1217">
        <f t="shared" si="29"/>
        <v>1083022.0929402167</v>
      </c>
      <c r="AX46" s="1218"/>
      <c r="AY46" s="1183">
        <v>9</v>
      </c>
      <c r="AZ46" s="1183" t="str">
        <f>'[71]Summy For BP 25'!$V$30</f>
        <v>TUFT2112</v>
      </c>
    </row>
    <row r="47" spans="1:52">
      <c r="A47" s="1220">
        <f t="shared" si="25"/>
        <v>16</v>
      </c>
      <c r="B47" s="1221" t="s">
        <v>88</v>
      </c>
      <c r="C47" s="1206" t="s">
        <v>71</v>
      </c>
      <c r="D47" s="1207" t="s">
        <v>88</v>
      </c>
      <c r="E47" s="1208">
        <v>0.55000000000000004</v>
      </c>
      <c r="F47" s="1208">
        <f t="shared" si="11"/>
        <v>0.58133561643835618</v>
      </c>
      <c r="G47" s="1206">
        <v>350</v>
      </c>
      <c r="H47" s="1209">
        <v>7</v>
      </c>
      <c r="I47" s="1209">
        <v>3.9</v>
      </c>
      <c r="J47" s="1210">
        <f t="shared" si="4"/>
        <v>2280.4539650175193</v>
      </c>
      <c r="K47" s="1210">
        <v>1</v>
      </c>
      <c r="L47" s="1210">
        <f t="shared" si="12"/>
        <v>2280.4539650175193</v>
      </c>
      <c r="M47" s="1210">
        <f t="shared" si="13"/>
        <v>584.73178590192799</v>
      </c>
      <c r="N47" s="1211">
        <f t="shared" si="5"/>
        <v>68413.618950525575</v>
      </c>
      <c r="O47" s="1210">
        <f t="shared" si="6"/>
        <v>832365.69723139459</v>
      </c>
      <c r="P47" s="872">
        <f>F7/2</f>
        <v>818265.14033565146</v>
      </c>
      <c r="Q47" s="1213">
        <f t="shared" si="18"/>
        <v>0.98305966122505495</v>
      </c>
      <c r="R47" s="1214">
        <f t="shared" si="7"/>
        <v>0.31973458904109592</v>
      </c>
      <c r="T47" s="655"/>
      <c r="U47" s="655"/>
      <c r="V47" s="655"/>
      <c r="W47" s="707">
        <f>L7/2</f>
        <v>133498.4343346848</v>
      </c>
      <c r="X47" s="687">
        <f t="shared" ref="X47:AH47" si="34">M7/2</f>
        <v>120072.81173073073</v>
      </c>
      <c r="Y47" s="687">
        <f t="shared" si="34"/>
        <v>54119.659239789056</v>
      </c>
      <c r="Z47" s="687">
        <f t="shared" si="34"/>
        <v>48048.422978439456</v>
      </c>
      <c r="AA47" s="687">
        <f t="shared" si="34"/>
        <v>56169.716790384984</v>
      </c>
      <c r="AB47" s="687">
        <f t="shared" si="34"/>
        <v>60048.569715113699</v>
      </c>
      <c r="AC47" s="687">
        <f t="shared" si="34"/>
        <v>52988.725723525866</v>
      </c>
      <c r="AD47" s="687">
        <f t="shared" si="34"/>
        <v>7236.1173321936158</v>
      </c>
      <c r="AE47" s="687">
        <f t="shared" si="34"/>
        <v>16342.819993095085</v>
      </c>
      <c r="AF47" s="687">
        <f t="shared" si="34"/>
        <v>95487.292917682906</v>
      </c>
      <c r="AG47" s="687">
        <f t="shared" si="34"/>
        <v>84919.084036771645</v>
      </c>
      <c r="AH47" s="687">
        <f t="shared" si="34"/>
        <v>89333.485543239629</v>
      </c>
      <c r="AI47" s="708">
        <f t="shared" si="9"/>
        <v>818265.14033565158</v>
      </c>
      <c r="AJ47" s="1215">
        <f t="shared" si="20"/>
        <v>0</v>
      </c>
      <c r="AK47" s="1216">
        <f t="shared" si="28"/>
        <v>133498.4343346848</v>
      </c>
      <c r="AL47" s="1216">
        <f t="shared" si="17"/>
        <v>120072.81173073073</v>
      </c>
      <c r="AM47" s="1216">
        <f t="shared" si="17"/>
        <v>54119.659239789056</v>
      </c>
      <c r="AN47" s="1216">
        <f t="shared" si="17"/>
        <v>48048.422978439456</v>
      </c>
      <c r="AO47" s="1216">
        <f t="shared" si="17"/>
        <v>56169.716790384984</v>
      </c>
      <c r="AP47" s="1216">
        <f t="shared" si="17"/>
        <v>60048.569715113699</v>
      </c>
      <c r="AQ47" s="1216">
        <f t="shared" si="17"/>
        <v>52988.725723525866</v>
      </c>
      <c r="AR47" s="1216">
        <f t="shared" si="17"/>
        <v>7236.1173321936158</v>
      </c>
      <c r="AS47" s="1216">
        <f t="shared" si="17"/>
        <v>16342.819993095085</v>
      </c>
      <c r="AT47" s="1216">
        <f t="shared" si="17"/>
        <v>95487.292917682906</v>
      </c>
      <c r="AU47" s="1216">
        <f t="shared" si="17"/>
        <v>84919.084036771645</v>
      </c>
      <c r="AV47" s="1216">
        <f t="shared" si="17"/>
        <v>89333.485543239629</v>
      </c>
      <c r="AW47" s="1217">
        <f t="shared" si="29"/>
        <v>818265.14033565158</v>
      </c>
      <c r="AX47" s="1218"/>
      <c r="AY47" s="1183">
        <v>13</v>
      </c>
      <c r="AZ47" s="1183" t="str">
        <f>'[71]Summy For BP 25'!$V$24</f>
        <v>TUFT2114</v>
      </c>
    </row>
    <row r="48" spans="1:52" s="1225" customFormat="1">
      <c r="A48" s="1205">
        <f t="shared" si="25"/>
        <v>17</v>
      </c>
      <c r="B48" s="1221" t="s">
        <v>88</v>
      </c>
      <c r="C48" s="1206" t="s">
        <v>71</v>
      </c>
      <c r="D48" s="1207" t="s">
        <v>88</v>
      </c>
      <c r="E48" s="1208">
        <v>0.55000000000000004</v>
      </c>
      <c r="F48" s="1208">
        <f t="shared" si="11"/>
        <v>0.58133561643835618</v>
      </c>
      <c r="G48" s="1206">
        <v>350</v>
      </c>
      <c r="H48" s="1209">
        <v>7</v>
      </c>
      <c r="I48" s="1209">
        <v>3.9</v>
      </c>
      <c r="J48" s="1210">
        <f t="shared" si="4"/>
        <v>2280.4539650175193</v>
      </c>
      <c r="K48" s="1210">
        <v>1</v>
      </c>
      <c r="L48" s="1210">
        <f t="shared" si="12"/>
        <v>2280.4539650175193</v>
      </c>
      <c r="M48" s="1210">
        <f t="shared" si="13"/>
        <v>584.73178590192799</v>
      </c>
      <c r="N48" s="1211">
        <f t="shared" si="5"/>
        <v>68413.618950525575</v>
      </c>
      <c r="O48" s="1210">
        <f t="shared" si="6"/>
        <v>832365.69723139459</v>
      </c>
      <c r="P48" s="1212">
        <f>P47</f>
        <v>818265.14033565146</v>
      </c>
      <c r="Q48" s="1213">
        <f t="shared" si="18"/>
        <v>0.98305966122505495</v>
      </c>
      <c r="R48" s="1214">
        <f t="shared" si="7"/>
        <v>0.31973458904109592</v>
      </c>
      <c r="T48" s="655"/>
      <c r="U48" s="655"/>
      <c r="V48" s="655"/>
      <c r="W48" s="707">
        <f>W47</f>
        <v>133498.4343346848</v>
      </c>
      <c r="X48" s="707">
        <f t="shared" ref="X48:AH48" si="35">X47</f>
        <v>120072.81173073073</v>
      </c>
      <c r="Y48" s="707">
        <f t="shared" si="35"/>
        <v>54119.659239789056</v>
      </c>
      <c r="Z48" s="707">
        <f t="shared" si="35"/>
        <v>48048.422978439456</v>
      </c>
      <c r="AA48" s="707">
        <f t="shared" si="35"/>
        <v>56169.716790384984</v>
      </c>
      <c r="AB48" s="707">
        <f t="shared" si="35"/>
        <v>60048.569715113699</v>
      </c>
      <c r="AC48" s="707">
        <f t="shared" si="35"/>
        <v>52988.725723525866</v>
      </c>
      <c r="AD48" s="707">
        <f t="shared" si="35"/>
        <v>7236.1173321936158</v>
      </c>
      <c r="AE48" s="707">
        <f t="shared" si="35"/>
        <v>16342.819993095085</v>
      </c>
      <c r="AF48" s="707">
        <f t="shared" si="35"/>
        <v>95487.292917682906</v>
      </c>
      <c r="AG48" s="707">
        <f t="shared" si="35"/>
        <v>84919.084036771645</v>
      </c>
      <c r="AH48" s="707">
        <f t="shared" si="35"/>
        <v>89333.485543239629</v>
      </c>
      <c r="AI48" s="708">
        <f t="shared" si="9"/>
        <v>818265.14033565158</v>
      </c>
      <c r="AJ48" s="1215">
        <f t="shared" si="20"/>
        <v>0</v>
      </c>
      <c r="AK48" s="1216">
        <f t="shared" si="28"/>
        <v>133498.4343346848</v>
      </c>
      <c r="AL48" s="1216">
        <f t="shared" si="17"/>
        <v>120072.81173073073</v>
      </c>
      <c r="AM48" s="1216">
        <f t="shared" si="17"/>
        <v>54119.659239789056</v>
      </c>
      <c r="AN48" s="1216">
        <f t="shared" si="17"/>
        <v>48048.422978439456</v>
      </c>
      <c r="AO48" s="1216">
        <f t="shared" si="17"/>
        <v>56169.716790384984</v>
      </c>
      <c r="AP48" s="1216">
        <f t="shared" si="17"/>
        <v>60048.569715113699</v>
      </c>
      <c r="AQ48" s="1216">
        <f t="shared" si="17"/>
        <v>52988.725723525866</v>
      </c>
      <c r="AR48" s="1216">
        <f t="shared" si="17"/>
        <v>7236.1173321936158</v>
      </c>
      <c r="AS48" s="1216">
        <f t="shared" si="17"/>
        <v>16342.819993095085</v>
      </c>
      <c r="AT48" s="1216">
        <f t="shared" si="17"/>
        <v>95487.292917682906</v>
      </c>
      <c r="AU48" s="1216">
        <f t="shared" si="17"/>
        <v>84919.084036771645</v>
      </c>
      <c r="AV48" s="1216">
        <f t="shared" si="17"/>
        <v>89333.485543239629</v>
      </c>
      <c r="AW48" s="1217">
        <f t="shared" si="29"/>
        <v>818265.14033565158</v>
      </c>
      <c r="AX48" s="1242"/>
      <c r="AY48" s="1225">
        <v>15</v>
      </c>
      <c r="AZ48" s="1225" t="str">
        <f>'[71]Summy For BP 25'!$V$21</f>
        <v>TUFT2116</v>
      </c>
    </row>
    <row r="49" spans="1:52" s="1225" customFormat="1">
      <c r="A49" s="1205">
        <f t="shared" si="25"/>
        <v>18</v>
      </c>
      <c r="B49" s="1224" t="s">
        <v>89</v>
      </c>
      <c r="C49" s="1206" t="s">
        <v>71</v>
      </c>
      <c r="D49" s="1207" t="s">
        <v>90</v>
      </c>
      <c r="E49" s="1208">
        <v>0.5</v>
      </c>
      <c r="F49" s="1208">
        <f t="shared" si="11"/>
        <v>0.58133561643835618</v>
      </c>
      <c r="G49" s="1206">
        <v>800</v>
      </c>
      <c r="H49" s="1209">
        <v>10</v>
      </c>
      <c r="I49" s="1209">
        <v>4</v>
      </c>
      <c r="J49" s="1210">
        <f t="shared" si="4"/>
        <v>3402.0758452475811</v>
      </c>
      <c r="K49" s="1210">
        <v>1</v>
      </c>
      <c r="L49" s="1210">
        <f t="shared" si="12"/>
        <v>3402.0758452475811</v>
      </c>
      <c r="M49" s="1210">
        <f t="shared" si="13"/>
        <v>850.51896131189528</v>
      </c>
      <c r="N49" s="1211">
        <f t="shared" si="5"/>
        <v>102062.27535742744</v>
      </c>
      <c r="O49" s="1210">
        <f t="shared" si="6"/>
        <v>1241757.6835153671</v>
      </c>
      <c r="P49" s="1210">
        <f>$F$8</f>
        <v>104000.95185605748</v>
      </c>
      <c r="Q49" s="1213">
        <f t="shared" si="18"/>
        <v>8.3753016580203385E-2</v>
      </c>
      <c r="R49" s="1214">
        <f t="shared" si="7"/>
        <v>0.29066780821917809</v>
      </c>
      <c r="T49" s="655"/>
      <c r="U49" s="655"/>
      <c r="V49" s="655"/>
      <c r="W49" s="707">
        <f t="shared" ref="W49:AH49" si="36">L8</f>
        <v>2550.5798969072162</v>
      </c>
      <c r="X49" s="687">
        <f t="shared" si="36"/>
        <v>2550.5798969072162</v>
      </c>
      <c r="Y49" s="687">
        <f t="shared" si="36"/>
        <v>10502.4388508255</v>
      </c>
      <c r="Z49" s="687">
        <f t="shared" si="36"/>
        <v>7020.859903457078</v>
      </c>
      <c r="AA49" s="687">
        <f t="shared" si="36"/>
        <v>7020.859903457078</v>
      </c>
      <c r="AB49" s="687">
        <f t="shared" si="36"/>
        <v>7020.859903457078</v>
      </c>
      <c r="AC49" s="687">
        <f t="shared" si="36"/>
        <v>9767.6382539725419</v>
      </c>
      <c r="AD49" s="687">
        <f t="shared" si="36"/>
        <v>9767.6382539725419</v>
      </c>
      <c r="AE49" s="687">
        <f t="shared" si="36"/>
        <v>9767.6382539725419</v>
      </c>
      <c r="AF49" s="687">
        <f t="shared" si="36"/>
        <v>13837.812562165705</v>
      </c>
      <c r="AG49" s="687">
        <f t="shared" si="36"/>
        <v>10356.233614797284</v>
      </c>
      <c r="AH49" s="687">
        <f t="shared" si="36"/>
        <v>13837.812562165705</v>
      </c>
      <c r="AI49" s="708">
        <f t="shared" si="9"/>
        <v>104000.95185605751</v>
      </c>
      <c r="AJ49" s="1215">
        <f t="shared" si="20"/>
        <v>0</v>
      </c>
      <c r="AK49" s="1216">
        <f t="shared" si="28"/>
        <v>2550.5798969072162</v>
      </c>
      <c r="AL49" s="1216">
        <f t="shared" si="17"/>
        <v>2550.5798969072162</v>
      </c>
      <c r="AM49" s="1216">
        <f t="shared" si="17"/>
        <v>10502.4388508255</v>
      </c>
      <c r="AN49" s="1216">
        <f t="shared" si="17"/>
        <v>7020.859903457078</v>
      </c>
      <c r="AO49" s="1216">
        <f t="shared" si="17"/>
        <v>7020.859903457078</v>
      </c>
      <c r="AP49" s="1216">
        <f t="shared" si="17"/>
        <v>7020.859903457078</v>
      </c>
      <c r="AQ49" s="1216">
        <f t="shared" si="17"/>
        <v>9767.6382539725419</v>
      </c>
      <c r="AR49" s="1216">
        <f t="shared" si="17"/>
        <v>9767.6382539725419</v>
      </c>
      <c r="AS49" s="1216">
        <f t="shared" si="17"/>
        <v>9767.6382539725419</v>
      </c>
      <c r="AT49" s="1216">
        <f t="shared" si="17"/>
        <v>13837.812562165705</v>
      </c>
      <c r="AU49" s="1216">
        <f t="shared" si="17"/>
        <v>10356.233614797284</v>
      </c>
      <c r="AV49" s="1216">
        <f t="shared" si="17"/>
        <v>13837.812562165705</v>
      </c>
      <c r="AW49" s="1217">
        <f t="shared" si="29"/>
        <v>104000.95185605751</v>
      </c>
      <c r="AZ49" s="1225" t="str">
        <f>'[71]Summy For BP 25'!$V$19</f>
        <v>TUFT2107</v>
      </c>
    </row>
    <row r="50" spans="1:52" ht="18.5">
      <c r="A50" s="1243"/>
      <c r="B50" s="1243"/>
      <c r="C50" s="1243"/>
      <c r="D50" s="1243"/>
      <c r="E50" s="1244">
        <f>SUMPRODUCT(E30:E49,$P$30:$P$49)/$P$50</f>
        <v>0.56117581569139963</v>
      </c>
      <c r="F50" s="1244">
        <f>SUMPRODUCT(F30:F49,$P$30:$P$49)/$P$50</f>
        <v>0.5813356164383563</v>
      </c>
      <c r="G50" s="1245">
        <f>SUMPRODUCT(G30:G49,$P$30:$P$49)/$P$50</f>
        <v>671.57347746491587</v>
      </c>
      <c r="H50" s="1246"/>
      <c r="I50" s="1247" t="s">
        <v>91</v>
      </c>
      <c r="J50" s="1248">
        <f t="shared" ref="J50:P50" si="37">SUM(J30:J49)</f>
        <v>64259.536895636069</v>
      </c>
      <c r="K50" s="1249">
        <f t="shared" si="37"/>
        <v>18</v>
      </c>
      <c r="L50" s="1250">
        <f t="shared" si="37"/>
        <v>62642.48772044183</v>
      </c>
      <c r="M50" s="1250">
        <f t="shared" si="37"/>
        <v>16736.635843881657</v>
      </c>
      <c r="N50" s="1250">
        <f t="shared" si="37"/>
        <v>1854085.3563385487</v>
      </c>
      <c r="O50" s="1251">
        <f t="shared" si="37"/>
        <v>22864508.017961264</v>
      </c>
      <c r="P50" s="1251">
        <f t="shared" si="37"/>
        <v>17364416.51282547</v>
      </c>
      <c r="Q50" s="1252">
        <f t="shared" si="18"/>
        <v>0.75944850854367019</v>
      </c>
      <c r="T50" s="655"/>
      <c r="U50" s="655"/>
      <c r="V50" s="655"/>
      <c r="W50" s="1253">
        <f t="shared" ref="W50:AI50" si="38">SUM(W30:W49)</f>
        <v>1419014.6254206768</v>
      </c>
      <c r="X50" s="1254">
        <f t="shared" si="38"/>
        <v>1420623.5609490275</v>
      </c>
      <c r="Y50" s="1254">
        <f t="shared" si="38"/>
        <v>1365888.2826229399</v>
      </c>
      <c r="Z50" s="1254">
        <f t="shared" si="38"/>
        <v>1400667.8693195446</v>
      </c>
      <c r="AA50" s="1254">
        <f t="shared" si="38"/>
        <v>1411194.8463324229</v>
      </c>
      <c r="AB50" s="1254">
        <f t="shared" si="38"/>
        <v>1474661.182922997</v>
      </c>
      <c r="AC50" s="1254">
        <f t="shared" si="38"/>
        <v>1455424.1518386048</v>
      </c>
      <c r="AD50" s="1254">
        <f t="shared" si="38"/>
        <v>1338905.0468366025</v>
      </c>
      <c r="AE50" s="1254">
        <f t="shared" si="38"/>
        <v>1316838.3284642689</v>
      </c>
      <c r="AF50" s="1254">
        <f t="shared" si="38"/>
        <v>1568628.8209768804</v>
      </c>
      <c r="AG50" s="1254">
        <f t="shared" si="38"/>
        <v>1488242.5249769827</v>
      </c>
      <c r="AH50" s="1254">
        <f t="shared" si="38"/>
        <v>1704327.041395294</v>
      </c>
      <c r="AI50" s="1255">
        <f t="shared" si="38"/>
        <v>17364416.282056239</v>
      </c>
      <c r="AK50" s="1256">
        <f t="shared" ref="AK50:AW50" si="39">SUM(AK30:AK49)</f>
        <v>1419014.6254206768</v>
      </c>
      <c r="AL50" s="1256">
        <f t="shared" si="39"/>
        <v>1420623.5609490275</v>
      </c>
      <c r="AM50" s="1256">
        <f t="shared" si="39"/>
        <v>1365888.2826229399</v>
      </c>
      <c r="AN50" s="1256">
        <f t="shared" si="39"/>
        <v>1400667.8693195446</v>
      </c>
      <c r="AO50" s="1256">
        <f t="shared" si="39"/>
        <v>1411194.8463324229</v>
      </c>
      <c r="AP50" s="1256">
        <f t="shared" si="39"/>
        <v>1474661.182922997</v>
      </c>
      <c r="AQ50" s="1256">
        <f t="shared" si="39"/>
        <v>1455424.1518386048</v>
      </c>
      <c r="AR50" s="1256">
        <f t="shared" si="39"/>
        <v>1338905.0468366025</v>
      </c>
      <c r="AS50" s="1256">
        <f t="shared" si="39"/>
        <v>1316838.3284642689</v>
      </c>
      <c r="AT50" s="1256">
        <f t="shared" si="39"/>
        <v>1568628.8209768804</v>
      </c>
      <c r="AU50" s="1256">
        <f t="shared" si="39"/>
        <v>1488242.5249769827</v>
      </c>
      <c r="AV50" s="1256">
        <f t="shared" si="39"/>
        <v>1704327.041395294</v>
      </c>
      <c r="AW50" s="1256">
        <f t="shared" si="39"/>
        <v>17364416.282056239</v>
      </c>
      <c r="AX50" s="1257"/>
    </row>
    <row r="51" spans="1:52">
      <c r="B51" s="658" t="s">
        <v>271</v>
      </c>
      <c r="F51" s="1258">
        <f>E50*F50</f>
        <v>0.3262314887452572</v>
      </c>
      <c r="O51" s="1259">
        <f>O50/12</f>
        <v>1905375.6681634386</v>
      </c>
      <c r="P51" s="1260">
        <f>P50/12</f>
        <v>1447034.7094021225</v>
      </c>
      <c r="T51" s="655"/>
      <c r="U51" s="655"/>
      <c r="V51" s="655"/>
    </row>
    <row r="52" spans="1:52">
      <c r="B52" s="1183" t="s">
        <v>1459</v>
      </c>
      <c r="D52" s="1183">
        <v>365</v>
      </c>
      <c r="P52" s="1261">
        <f>[69]Data!$GF$367</f>
        <v>17364416.51282547</v>
      </c>
      <c r="Q52" s="1195">
        <f>P50/O50</f>
        <v>0.75944850854367019</v>
      </c>
      <c r="T52" s="655"/>
      <c r="U52" s="655"/>
      <c r="V52" s="655"/>
    </row>
    <row r="53" spans="1:52">
      <c r="B53" s="1183" t="s">
        <v>488</v>
      </c>
      <c r="D53" s="1183">
        <f>12*1</f>
        <v>12</v>
      </c>
      <c r="P53" s="1215"/>
      <c r="T53" s="1259">
        <f>O50/1000</f>
        <v>22864.508017961263</v>
      </c>
    </row>
    <row r="54" spans="1:52">
      <c r="B54" s="1183" t="s">
        <v>489</v>
      </c>
      <c r="D54" s="1183">
        <v>10</v>
      </c>
      <c r="H54" s="1262">
        <f>H58*D52/1000</f>
        <v>9734.4</v>
      </c>
      <c r="P54" s="1259"/>
      <c r="T54" s="1194">
        <f>'[69]PL WTW'!X13</f>
        <v>1780.6355980000001</v>
      </c>
    </row>
    <row r="55" spans="1:52">
      <c r="B55" s="1183" t="s">
        <v>1460</v>
      </c>
      <c r="D55" s="1183">
        <f>1.5*12</f>
        <v>18</v>
      </c>
      <c r="H55" s="1259">
        <f>H60*365/1000*0.5</f>
        <v>2489.7600000000002</v>
      </c>
      <c r="P55" s="1215">
        <f>O50-P50</f>
        <v>5500091.5051357932</v>
      </c>
      <c r="T55" s="1194">
        <f>'[69]PL AR'!X13</f>
        <v>2397.2153891453409</v>
      </c>
    </row>
    <row r="56" spans="1:52">
      <c r="B56" s="658" t="s">
        <v>1461</v>
      </c>
      <c r="D56" s="658">
        <f>D52-D53-D54-D55</f>
        <v>325</v>
      </c>
      <c r="E56" s="1214">
        <f>D56/D52</f>
        <v>0.8904109589041096</v>
      </c>
      <c r="T56" s="1194">
        <f>'[69]PL CT'!X13</f>
        <v>1689.2907399999999</v>
      </c>
      <c r="AK56" s="1183">
        <f>DAY(EOMONTH(AK57,0))</f>
        <v>30</v>
      </c>
      <c r="AL56" s="1183">
        <f t="shared" ref="AL56:AV56" si="40">DAY(EOMONTH(AL57,0))</f>
        <v>31</v>
      </c>
      <c r="AM56" s="1183">
        <f t="shared" si="40"/>
        <v>30</v>
      </c>
      <c r="AN56" s="1183">
        <f t="shared" si="40"/>
        <v>31</v>
      </c>
      <c r="AO56" s="1183">
        <f t="shared" si="40"/>
        <v>31</v>
      </c>
      <c r="AP56" s="1183">
        <f t="shared" si="40"/>
        <v>30</v>
      </c>
      <c r="AQ56" s="1183">
        <f t="shared" si="40"/>
        <v>31</v>
      </c>
      <c r="AR56" s="1183">
        <f t="shared" si="40"/>
        <v>30</v>
      </c>
      <c r="AS56" s="1183">
        <f t="shared" si="40"/>
        <v>31</v>
      </c>
      <c r="AT56" s="1183">
        <f t="shared" si="40"/>
        <v>31</v>
      </c>
      <c r="AU56" s="1183">
        <f t="shared" si="40"/>
        <v>28</v>
      </c>
      <c r="AV56" s="1183">
        <f t="shared" si="40"/>
        <v>31</v>
      </c>
      <c r="AW56" s="1183">
        <f>SUM(AK56:AV56)</f>
        <v>365</v>
      </c>
    </row>
    <row r="57" spans="1:52">
      <c r="B57" s="1263" t="s">
        <v>1472</v>
      </c>
      <c r="C57" s="1263" t="s">
        <v>32</v>
      </c>
      <c r="D57" s="1263" t="s">
        <v>35</v>
      </c>
      <c r="E57" s="1263" t="s">
        <v>46</v>
      </c>
      <c r="F57" s="1263" t="s">
        <v>36</v>
      </c>
      <c r="G57" s="1263" t="s">
        <v>27</v>
      </c>
      <c r="H57" s="1263" t="s">
        <v>47</v>
      </c>
      <c r="I57" s="1263" t="s">
        <v>1473</v>
      </c>
      <c r="J57" s="1264" t="s">
        <v>1416</v>
      </c>
      <c r="K57" s="1265" t="s">
        <v>1474</v>
      </c>
      <c r="L57" s="1263" t="s">
        <v>46</v>
      </c>
      <c r="N57" s="1259">
        <f>SUM(N58:N59)</f>
        <v>4572497.7464069128</v>
      </c>
      <c r="T57" s="1259">
        <f>T53-SUM(T54:T56)</f>
        <v>16997.366290815924</v>
      </c>
      <c r="AK57" s="1203">
        <v>45748</v>
      </c>
      <c r="AL57" s="1203">
        <v>45778</v>
      </c>
      <c r="AM57" s="1203">
        <v>45809</v>
      </c>
      <c r="AN57" s="1203">
        <v>45839</v>
      </c>
      <c r="AO57" s="1203">
        <v>45870</v>
      </c>
      <c r="AP57" s="1203">
        <v>45901</v>
      </c>
      <c r="AQ57" s="1203">
        <v>45931</v>
      </c>
      <c r="AR57" s="1203">
        <v>45962</v>
      </c>
      <c r="AS57" s="1203">
        <v>45992</v>
      </c>
      <c r="AT57" s="1203">
        <v>46023</v>
      </c>
      <c r="AU57" s="1203">
        <v>46054</v>
      </c>
      <c r="AV57" s="1203">
        <v>46082</v>
      </c>
      <c r="AW57" s="1204" t="s">
        <v>1471</v>
      </c>
    </row>
    <row r="58" spans="1:52">
      <c r="B58" s="1266" t="s">
        <v>271</v>
      </c>
      <c r="C58" s="1266" t="s">
        <v>1475</v>
      </c>
      <c r="D58" s="1267">
        <v>6.5</v>
      </c>
      <c r="E58" s="1268">
        <f>E56</f>
        <v>0.8904109589041096</v>
      </c>
      <c r="F58" s="1269">
        <f>[70]Assum!$J$67</f>
        <v>0.8</v>
      </c>
      <c r="G58" s="1267">
        <v>4</v>
      </c>
      <c r="H58" s="1217">
        <f>(D58*E58*F58*G58*1440)</f>
        <v>26669.589041095889</v>
      </c>
      <c r="I58" s="1270">
        <f>[69]Data!$AE$374</f>
        <v>1869667.3779000002</v>
      </c>
      <c r="J58" s="1269">
        <f>I58/$I$61</f>
        <v>0.39388422052343852</v>
      </c>
      <c r="K58" s="1215">
        <f>H58*D$52</f>
        <v>9734400</v>
      </c>
      <c r="L58" s="1268"/>
      <c r="M58" s="1183">
        <f>D58*E58*F58*G58*1440</f>
        <v>26669.589041095889</v>
      </c>
      <c r="N58" s="1259">
        <f>K58*J58</f>
        <v>3834226.5562633597</v>
      </c>
      <c r="O58" s="1262">
        <f>(N58-N59)/1000</f>
        <v>3095.9553661198065</v>
      </c>
      <c r="P58" s="1183" t="s">
        <v>271</v>
      </c>
      <c r="AK58" s="1189">
        <f>[69]Data!QE374</f>
        <v>65595.600000000006</v>
      </c>
      <c r="AL58" s="1189">
        <f>[69]Data!QF374</f>
        <v>82792.5</v>
      </c>
      <c r="AM58" s="1189">
        <f>[69]Data!QG374</f>
        <v>109012.36395</v>
      </c>
      <c r="AN58" s="1189">
        <f>[69]Data!QH374</f>
        <v>142347.45000000001</v>
      </c>
      <c r="AO58" s="1189">
        <f>[69]Data!QI374</f>
        <v>160479.9</v>
      </c>
      <c r="AP58" s="1189">
        <f>[69]Data!QJ374</f>
        <v>207480</v>
      </c>
      <c r="AQ58" s="1189">
        <f>[69]Data!QK374</f>
        <v>196089.95</v>
      </c>
      <c r="AR58" s="1189">
        <f>[69]Data!QL374</f>
        <v>185274.95</v>
      </c>
      <c r="AS58" s="1189">
        <f>[69]Data!QM374</f>
        <v>187939.84999999998</v>
      </c>
      <c r="AT58" s="1189">
        <f>[69]Data!QN374</f>
        <v>190155</v>
      </c>
      <c r="AU58" s="1189">
        <f>[69]Data!QO374</f>
        <v>145289.86395</v>
      </c>
      <c r="AV58" s="1189">
        <f>[69]Data!QP374</f>
        <v>197209.95</v>
      </c>
      <c r="AW58" s="1189">
        <f>SUM(AK58:AV58)</f>
        <v>1869667.3778999997</v>
      </c>
      <c r="AX58" s="1189">
        <f>AW58-I58</f>
        <v>0</v>
      </c>
    </row>
    <row r="59" spans="1:52">
      <c r="B59" s="1266" t="s">
        <v>1476</v>
      </c>
      <c r="C59" s="1266" t="s">
        <v>45</v>
      </c>
      <c r="D59" s="1267">
        <v>6.5</v>
      </c>
      <c r="E59" s="1268">
        <f>E58</f>
        <v>0.8904109589041096</v>
      </c>
      <c r="F59" s="1268">
        <f>F58</f>
        <v>0.8</v>
      </c>
      <c r="G59" s="1267">
        <v>4</v>
      </c>
      <c r="H59" s="1217">
        <f>(D59*E59*F59*G59*1440)</f>
        <v>26669.589041095889</v>
      </c>
      <c r="I59" s="1270">
        <v>360000</v>
      </c>
      <c r="J59" s="1269">
        <f>I59/$I$61</f>
        <v>7.5841468415470209E-2</v>
      </c>
      <c r="K59" s="1215">
        <f>H59*D$52</f>
        <v>9734400</v>
      </c>
      <c r="L59" s="1268"/>
      <c r="N59" s="1259">
        <f>K59*J59</f>
        <v>738271.19014355319</v>
      </c>
      <c r="O59" s="1262">
        <f>[69]Data!AE374/10^3</f>
        <v>1869.6673779000002</v>
      </c>
      <c r="P59" s="1183" t="s">
        <v>497</v>
      </c>
      <c r="AK59" s="1189" t="e">
        <f>SUM([69]Data!YG10:YG98)</f>
        <v>#REF!</v>
      </c>
      <c r="AL59" s="1189" t="e">
        <f>SUM([69]Data!YH10:YH98)</f>
        <v>#REF!</v>
      </c>
      <c r="AM59" s="1189" t="e">
        <f>SUM([69]Data!YI10:YI98)</f>
        <v>#REF!</v>
      </c>
      <c r="AN59" s="1189" t="e">
        <f>SUM([69]Data!YJ10:YJ98)</f>
        <v>#REF!</v>
      </c>
      <c r="AO59" s="1189" t="e">
        <f>SUM([69]Data!YK10:YK98)</f>
        <v>#REF!</v>
      </c>
      <c r="AP59" s="1189" t="e">
        <f>SUM([69]Data!YL10:YL98)</f>
        <v>#REF!</v>
      </c>
      <c r="AQ59" s="1189" t="e">
        <f>SUM([69]Data!YM10:YM98)</f>
        <v>#REF!</v>
      </c>
      <c r="AR59" s="1189" t="e">
        <f>SUM([69]Data!YN10:YN98)</f>
        <v>#REF!</v>
      </c>
      <c r="AS59" s="1189" t="e">
        <f>SUM([69]Data!YO10:YO98)</f>
        <v>#REF!</v>
      </c>
      <c r="AT59" s="1189" t="e">
        <f>SUM([69]Data!YP10:YP98)</f>
        <v>#REF!</v>
      </c>
      <c r="AU59" s="1189" t="e">
        <f>SUM([69]Data!YQ10:YQ98)</f>
        <v>#REF!</v>
      </c>
      <c r="AV59" s="1189" t="e">
        <f>SUM([69]Data!YR10:YR98)</f>
        <v>#REF!</v>
      </c>
      <c r="AW59" s="1189" t="e">
        <f>SUM(AK59:AV59)</f>
        <v>#REF!</v>
      </c>
      <c r="AX59" s="1189" t="e">
        <f>AW59-I59</f>
        <v>#REF!</v>
      </c>
    </row>
    <row r="60" spans="1:52">
      <c r="B60" s="1266" t="s">
        <v>280</v>
      </c>
      <c r="C60" s="1266"/>
      <c r="D60" s="1267">
        <v>3.5</v>
      </c>
      <c r="E60" s="1268">
        <f>E59</f>
        <v>0.8904109589041096</v>
      </c>
      <c r="F60" s="1268">
        <f>F59</f>
        <v>0.8</v>
      </c>
      <c r="G60" s="1267">
        <v>3.8</v>
      </c>
      <c r="H60" s="1217">
        <f>(D60*E60*F60*G60*1440)</f>
        <v>13642.520547945205</v>
      </c>
      <c r="I60" s="1270">
        <f>[69]Data!$AE$380</f>
        <v>2517076.1586026084</v>
      </c>
      <c r="J60" s="1269">
        <f>I60/$I$61</f>
        <v>0.53027431106109113</v>
      </c>
      <c r="K60" s="1215">
        <f>H60*D$52</f>
        <v>4979520</v>
      </c>
      <c r="L60" s="1268"/>
      <c r="O60" s="1214">
        <f>O59/O58</f>
        <v>0.60390643817429257</v>
      </c>
      <c r="AK60" s="1189">
        <f>[69]Data!QE380</f>
        <v>195193.57893839999</v>
      </c>
      <c r="AL60" s="1189">
        <f>[69]Data!QF380</f>
        <v>175797.26075939997</v>
      </c>
      <c r="AM60" s="1189">
        <f>[69]Data!QG380</f>
        <v>180251.4993699</v>
      </c>
      <c r="AN60" s="1189">
        <f>[69]Data!QH380</f>
        <v>191894.09255870807</v>
      </c>
      <c r="AO60" s="1189">
        <f>[69]Data!QI380</f>
        <v>214495.2706343999</v>
      </c>
      <c r="AP60" s="1189">
        <f>[69]Data!QJ380</f>
        <v>190937.78561339999</v>
      </c>
      <c r="AQ60" s="1189">
        <f>[69]Data!QK380</f>
        <v>206121.06391589984</v>
      </c>
      <c r="AR60" s="1189">
        <f>[69]Data!QL380</f>
        <v>208644.89480939991</v>
      </c>
      <c r="AS60" s="1189">
        <f>[69]Data!QM380</f>
        <v>200241.26178839989</v>
      </c>
      <c r="AT60" s="1189">
        <f>[69]Data!QN380</f>
        <v>203955.48243839992</v>
      </c>
      <c r="AU60" s="1189">
        <f>[69]Data!QO380</f>
        <v>197807.03638289988</v>
      </c>
      <c r="AV60" s="1189">
        <f>[69]Data!QP380</f>
        <v>351736.93139340007</v>
      </c>
      <c r="AW60" s="1189">
        <f>SUM(AK60:AV60)</f>
        <v>2517076.1586026074</v>
      </c>
      <c r="AX60" s="1189">
        <f>AW60-I60</f>
        <v>0</v>
      </c>
    </row>
    <row r="61" spans="1:52">
      <c r="B61" s="1266" t="s">
        <v>1477</v>
      </c>
      <c r="C61" s="1266"/>
      <c r="D61" s="1266"/>
      <c r="E61" s="1266"/>
      <c r="F61" s="1266"/>
      <c r="G61" s="1266"/>
      <c r="H61" s="1266"/>
      <c r="I61" s="1270">
        <f>SUM(I58:I60)</f>
        <v>4746743.536502609</v>
      </c>
      <c r="J61" s="1266"/>
      <c r="K61" s="1270">
        <f>SUMPRODUCT(J58:J60,K58:K60)</f>
        <v>7213009.283821838</v>
      </c>
      <c r="L61" s="1266"/>
      <c r="N61" s="1271">
        <f>K61/1000</f>
        <v>7213.0092838218379</v>
      </c>
      <c r="Q61" s="1272" t="s">
        <v>271</v>
      </c>
      <c r="AK61" s="1273" t="e">
        <f>SUM(AK58:AK60)</f>
        <v>#REF!</v>
      </c>
      <c r="AL61" s="1273" t="e">
        <f t="shared" ref="AL61:AW61" si="41">SUM(AL58:AL60)</f>
        <v>#REF!</v>
      </c>
      <c r="AM61" s="1273" t="e">
        <f t="shared" si="41"/>
        <v>#REF!</v>
      </c>
      <c r="AN61" s="1273" t="e">
        <f t="shared" si="41"/>
        <v>#REF!</v>
      </c>
      <c r="AO61" s="1273" t="e">
        <f t="shared" si="41"/>
        <v>#REF!</v>
      </c>
      <c r="AP61" s="1273" t="e">
        <f t="shared" si="41"/>
        <v>#REF!</v>
      </c>
      <c r="AQ61" s="1273" t="e">
        <f t="shared" si="41"/>
        <v>#REF!</v>
      </c>
      <c r="AR61" s="1273" t="e">
        <f t="shared" si="41"/>
        <v>#REF!</v>
      </c>
      <c r="AS61" s="1273" t="e">
        <f t="shared" si="41"/>
        <v>#REF!</v>
      </c>
      <c r="AT61" s="1273" t="e">
        <f t="shared" si="41"/>
        <v>#REF!</v>
      </c>
      <c r="AU61" s="1273" t="e">
        <f t="shared" si="41"/>
        <v>#REF!</v>
      </c>
      <c r="AV61" s="1273" t="e">
        <f t="shared" si="41"/>
        <v>#REF!</v>
      </c>
      <c r="AW61" s="1273" t="e">
        <f t="shared" si="41"/>
        <v>#REF!</v>
      </c>
      <c r="AX61" s="1189" t="e">
        <f>AW61-I61</f>
        <v>#REF!</v>
      </c>
    </row>
    <row r="62" spans="1:52">
      <c r="B62" s="1274"/>
      <c r="C62" s="1274"/>
      <c r="D62" s="1275">
        <f>SUMPRODUCT(D58:D60,I58:I60)/I61</f>
        <v>4.9091770668167252</v>
      </c>
      <c r="E62" s="1322">
        <f>SUMPRODUCT(E58:E60,$J$58:$J$60)</f>
        <v>0.89041095890410937</v>
      </c>
      <c r="F62" s="1322">
        <f>SUMPRODUCT(F58:F60,$J$58:$J$60)</f>
        <v>0.79999999999999993</v>
      </c>
      <c r="G62" s="1321">
        <f>SUMPRODUCT(G58:G60,$J$58:$J$60)</f>
        <v>3.8939451377877812</v>
      </c>
      <c r="H62" s="1276">
        <f>SUMPRODUCT(H58:H60,J58:J60)</f>
        <v>19761.669270744758</v>
      </c>
      <c r="I62" s="1276">
        <f>I61/D52</f>
        <v>13004.776812335915</v>
      </c>
      <c r="J62" s="1277">
        <f>I62/H62</f>
        <v>0.65808088548411392</v>
      </c>
      <c r="K62" s="1278">
        <f>I61/K61</f>
        <v>0.65808088548411381</v>
      </c>
      <c r="L62" s="1274"/>
      <c r="N62" s="1194">
        <f>N61/365</f>
        <v>19.761669270744761</v>
      </c>
      <c r="AK62" s="1189" t="e">
        <f>AK61/AK56</f>
        <v>#REF!</v>
      </c>
      <c r="AL62" s="1189" t="e">
        <f t="shared" ref="AL62:AW62" si="42">AL61/AL56</f>
        <v>#REF!</v>
      </c>
      <c r="AM62" s="1189" t="e">
        <f t="shared" si="42"/>
        <v>#REF!</v>
      </c>
      <c r="AN62" s="1189" t="e">
        <f t="shared" si="42"/>
        <v>#REF!</v>
      </c>
      <c r="AO62" s="1189" t="e">
        <f t="shared" si="42"/>
        <v>#REF!</v>
      </c>
      <c r="AP62" s="1189" t="e">
        <f t="shared" si="42"/>
        <v>#REF!</v>
      </c>
      <c r="AQ62" s="1189" t="e">
        <f t="shared" si="42"/>
        <v>#REF!</v>
      </c>
      <c r="AR62" s="1189" t="e">
        <f t="shared" si="42"/>
        <v>#REF!</v>
      </c>
      <c r="AS62" s="1189" t="e">
        <f t="shared" si="42"/>
        <v>#REF!</v>
      </c>
      <c r="AT62" s="1189" t="e">
        <f t="shared" si="42"/>
        <v>#REF!</v>
      </c>
      <c r="AU62" s="1189" t="e">
        <f t="shared" si="42"/>
        <v>#REF!</v>
      </c>
      <c r="AV62" s="1189" t="e">
        <f t="shared" si="42"/>
        <v>#REF!</v>
      </c>
      <c r="AW62" s="1189" t="e">
        <f t="shared" si="42"/>
        <v>#REF!</v>
      </c>
    </row>
    <row r="63" spans="1:52">
      <c r="I63" s="1189"/>
      <c r="J63" s="1262"/>
      <c r="Q63" s="1272" t="s">
        <v>35</v>
      </c>
      <c r="AK63" s="1279" t="e">
        <f t="shared" ref="AK63:AW63" si="43">SUMPRODUCT(AK58:AK60,$D$58:$D$60)/AK61</f>
        <v>#REF!</v>
      </c>
      <c r="AL63" s="1279" t="e">
        <f t="shared" si="43"/>
        <v>#REF!</v>
      </c>
      <c r="AM63" s="1279" t="e">
        <f t="shared" si="43"/>
        <v>#REF!</v>
      </c>
      <c r="AN63" s="1279" t="e">
        <f t="shared" si="43"/>
        <v>#REF!</v>
      </c>
      <c r="AO63" s="1279" t="e">
        <f t="shared" si="43"/>
        <v>#REF!</v>
      </c>
      <c r="AP63" s="1279" t="e">
        <f t="shared" si="43"/>
        <v>#REF!</v>
      </c>
      <c r="AQ63" s="1279" t="e">
        <f t="shared" si="43"/>
        <v>#REF!</v>
      </c>
      <c r="AR63" s="1279" t="e">
        <f t="shared" si="43"/>
        <v>#REF!</v>
      </c>
      <c r="AS63" s="1279" t="e">
        <f t="shared" si="43"/>
        <v>#REF!</v>
      </c>
      <c r="AT63" s="1279" t="e">
        <f t="shared" si="43"/>
        <v>#REF!</v>
      </c>
      <c r="AU63" s="1279" t="e">
        <f t="shared" si="43"/>
        <v>#REF!</v>
      </c>
      <c r="AV63" s="1279" t="e">
        <f t="shared" si="43"/>
        <v>#REF!</v>
      </c>
      <c r="AW63" s="1279" t="e">
        <f t="shared" si="43"/>
        <v>#REF!</v>
      </c>
    </row>
    <row r="64" spans="1:52">
      <c r="H64" s="1259">
        <f>H62*365/1000</f>
        <v>7213.009283821837</v>
      </c>
      <c r="K64" s="1194"/>
      <c r="Q64" s="1272" t="s">
        <v>27</v>
      </c>
      <c r="AK64" s="1280" t="e">
        <f>SUMPRODUCT(AK58:AK60,$G$58:$G$60)/AK61</f>
        <v>#REF!</v>
      </c>
      <c r="AL64" s="1280" t="e">
        <f t="shared" ref="AL64:AW64" si="44">SUMPRODUCT(AL58:AL60,$G$58:$G$60)/AL61</f>
        <v>#REF!</v>
      </c>
      <c r="AM64" s="1280" t="e">
        <f t="shared" si="44"/>
        <v>#REF!</v>
      </c>
      <c r="AN64" s="1280" t="e">
        <f t="shared" si="44"/>
        <v>#REF!</v>
      </c>
      <c r="AO64" s="1280" t="e">
        <f t="shared" si="44"/>
        <v>#REF!</v>
      </c>
      <c r="AP64" s="1280" t="e">
        <f t="shared" si="44"/>
        <v>#REF!</v>
      </c>
      <c r="AQ64" s="1280" t="e">
        <f t="shared" si="44"/>
        <v>#REF!</v>
      </c>
      <c r="AR64" s="1280" t="e">
        <f t="shared" si="44"/>
        <v>#REF!</v>
      </c>
      <c r="AS64" s="1280" t="e">
        <f t="shared" si="44"/>
        <v>#REF!</v>
      </c>
      <c r="AT64" s="1280" t="e">
        <f t="shared" si="44"/>
        <v>#REF!</v>
      </c>
      <c r="AU64" s="1280" t="e">
        <f t="shared" si="44"/>
        <v>#REF!</v>
      </c>
      <c r="AV64" s="1280" t="e">
        <f t="shared" si="44"/>
        <v>#REF!</v>
      </c>
      <c r="AW64" s="1280" t="e">
        <f t="shared" si="44"/>
        <v>#REF!</v>
      </c>
    </row>
    <row r="65" spans="2:50">
      <c r="B65" s="658" t="s">
        <v>48</v>
      </c>
      <c r="Q65" s="1272" t="s">
        <v>36</v>
      </c>
      <c r="AK65" s="1281">
        <f>$F$58</f>
        <v>0.8</v>
      </c>
      <c r="AL65" s="1281">
        <f t="shared" ref="AL65:AW65" si="45">$F$58</f>
        <v>0.8</v>
      </c>
      <c r="AM65" s="1281">
        <f t="shared" si="45"/>
        <v>0.8</v>
      </c>
      <c r="AN65" s="1281">
        <f t="shared" si="45"/>
        <v>0.8</v>
      </c>
      <c r="AO65" s="1281">
        <f t="shared" si="45"/>
        <v>0.8</v>
      </c>
      <c r="AP65" s="1281">
        <f t="shared" si="45"/>
        <v>0.8</v>
      </c>
      <c r="AQ65" s="1281">
        <f t="shared" si="45"/>
        <v>0.8</v>
      </c>
      <c r="AR65" s="1281">
        <f t="shared" si="45"/>
        <v>0.8</v>
      </c>
      <c r="AS65" s="1281">
        <f t="shared" si="45"/>
        <v>0.8</v>
      </c>
      <c r="AT65" s="1281">
        <f t="shared" si="45"/>
        <v>0.8</v>
      </c>
      <c r="AU65" s="1281">
        <f t="shared" si="45"/>
        <v>0.8</v>
      </c>
      <c r="AV65" s="1281">
        <f t="shared" si="45"/>
        <v>0.8</v>
      </c>
      <c r="AW65" s="1281">
        <f t="shared" si="45"/>
        <v>0.8</v>
      </c>
    </row>
    <row r="66" spans="2:50">
      <c r="B66" s="1183" t="s">
        <v>1459</v>
      </c>
      <c r="D66" s="1183">
        <v>365</v>
      </c>
      <c r="AK66" s="1189" t="e">
        <f>AK63*AK64*AK65*60*24*$E$58</f>
        <v>#REF!</v>
      </c>
      <c r="AL66" s="1189" t="e">
        <f t="shared" ref="AL66:AW66" si="46">AL63*AL64*AL65*60*24*$E$58</f>
        <v>#REF!</v>
      </c>
      <c r="AM66" s="1189" t="e">
        <f t="shared" si="46"/>
        <v>#REF!</v>
      </c>
      <c r="AN66" s="1189" t="e">
        <f t="shared" si="46"/>
        <v>#REF!</v>
      </c>
      <c r="AO66" s="1189" t="e">
        <f t="shared" si="46"/>
        <v>#REF!</v>
      </c>
      <c r="AP66" s="1189" t="e">
        <f t="shared" si="46"/>
        <v>#REF!</v>
      </c>
      <c r="AQ66" s="1189" t="e">
        <f t="shared" si="46"/>
        <v>#REF!</v>
      </c>
      <c r="AR66" s="1189" t="e">
        <f t="shared" si="46"/>
        <v>#REF!</v>
      </c>
      <c r="AS66" s="1189" t="e">
        <f t="shared" si="46"/>
        <v>#REF!</v>
      </c>
      <c r="AT66" s="1189" t="e">
        <f t="shared" si="46"/>
        <v>#REF!</v>
      </c>
      <c r="AU66" s="1189" t="e">
        <f t="shared" si="46"/>
        <v>#REF!</v>
      </c>
      <c r="AV66" s="1189" t="e">
        <f t="shared" si="46"/>
        <v>#REF!</v>
      </c>
      <c r="AW66" s="1189" t="e">
        <f t="shared" si="46"/>
        <v>#REF!</v>
      </c>
    </row>
    <row r="67" spans="2:50">
      <c r="B67" s="1183" t="s">
        <v>488</v>
      </c>
      <c r="D67" s="1183">
        <f>12*1</f>
        <v>12</v>
      </c>
      <c r="AK67" s="1214" t="e">
        <f>AK62/AK66</f>
        <v>#REF!</v>
      </c>
      <c r="AL67" s="1214" t="e">
        <f t="shared" ref="AL67:AW67" si="47">AL62/AL66</f>
        <v>#REF!</v>
      </c>
      <c r="AM67" s="1214" t="e">
        <f t="shared" si="47"/>
        <v>#REF!</v>
      </c>
      <c r="AN67" s="1214" t="e">
        <f t="shared" si="47"/>
        <v>#REF!</v>
      </c>
      <c r="AO67" s="1214" t="e">
        <f t="shared" si="47"/>
        <v>#REF!</v>
      </c>
      <c r="AP67" s="1214" t="e">
        <f t="shared" si="47"/>
        <v>#REF!</v>
      </c>
      <c r="AQ67" s="1214" t="e">
        <f t="shared" si="47"/>
        <v>#REF!</v>
      </c>
      <c r="AR67" s="1214" t="e">
        <f t="shared" si="47"/>
        <v>#REF!</v>
      </c>
      <c r="AS67" s="1214" t="e">
        <f t="shared" si="47"/>
        <v>#REF!</v>
      </c>
      <c r="AT67" s="1214" t="e">
        <f t="shared" si="47"/>
        <v>#REF!</v>
      </c>
      <c r="AU67" s="1214" t="e">
        <f t="shared" si="47"/>
        <v>#REF!</v>
      </c>
      <c r="AV67" s="1214" t="e">
        <f t="shared" si="47"/>
        <v>#REF!</v>
      </c>
      <c r="AW67" s="1214" t="e">
        <f t="shared" si="47"/>
        <v>#REF!</v>
      </c>
    </row>
    <row r="68" spans="2:50">
      <c r="B68" s="1183" t="s">
        <v>489</v>
      </c>
      <c r="D68" s="1183">
        <v>10</v>
      </c>
      <c r="Q68" s="1272" t="s">
        <v>6</v>
      </c>
      <c r="AK68" s="1282" t="e">
        <f>AK67*$E$60</f>
        <v>#REF!</v>
      </c>
      <c r="AL68" s="1282" t="e">
        <f t="shared" ref="AL68:AW68" si="48">AL67*$E$60</f>
        <v>#REF!</v>
      </c>
      <c r="AM68" s="1282" t="e">
        <f t="shared" si="48"/>
        <v>#REF!</v>
      </c>
      <c r="AN68" s="1282" t="e">
        <f t="shared" si="48"/>
        <v>#REF!</v>
      </c>
      <c r="AO68" s="1282" t="e">
        <f t="shared" si="48"/>
        <v>#REF!</v>
      </c>
      <c r="AP68" s="1282" t="e">
        <f t="shared" si="48"/>
        <v>#REF!</v>
      </c>
      <c r="AQ68" s="1282" t="e">
        <f t="shared" si="48"/>
        <v>#REF!</v>
      </c>
      <c r="AR68" s="1282" t="e">
        <f t="shared" si="48"/>
        <v>#REF!</v>
      </c>
      <c r="AS68" s="1282" t="e">
        <f t="shared" si="48"/>
        <v>#REF!</v>
      </c>
      <c r="AT68" s="1282" t="e">
        <f t="shared" si="48"/>
        <v>#REF!</v>
      </c>
      <c r="AU68" s="1282" t="e">
        <f t="shared" si="48"/>
        <v>#REF!</v>
      </c>
      <c r="AV68" s="1282" t="e">
        <f t="shared" si="48"/>
        <v>#REF!</v>
      </c>
      <c r="AW68" s="1282" t="e">
        <f t="shared" si="48"/>
        <v>#REF!</v>
      </c>
    </row>
    <row r="69" spans="2:50">
      <c r="B69" s="1183" t="s">
        <v>1460</v>
      </c>
      <c r="D69" s="1183">
        <f>0.75*12</f>
        <v>9</v>
      </c>
      <c r="AK69" s="1189" t="e">
        <f>AK68*AK65*AK64*AK63*1440</f>
        <v>#REF!</v>
      </c>
      <c r="AL69" s="1189" t="e">
        <f t="shared" ref="AL69:AW69" si="49">AL68*AL65*AL64*AL63*1440</f>
        <v>#REF!</v>
      </c>
      <c r="AM69" s="1189" t="e">
        <f t="shared" si="49"/>
        <v>#REF!</v>
      </c>
      <c r="AN69" s="1189" t="e">
        <f t="shared" si="49"/>
        <v>#REF!</v>
      </c>
      <c r="AO69" s="1189" t="e">
        <f t="shared" si="49"/>
        <v>#REF!</v>
      </c>
      <c r="AP69" s="1189" t="e">
        <f t="shared" si="49"/>
        <v>#REF!</v>
      </c>
      <c r="AQ69" s="1189" t="e">
        <f t="shared" si="49"/>
        <v>#REF!</v>
      </c>
      <c r="AR69" s="1189" t="e">
        <f t="shared" si="49"/>
        <v>#REF!</v>
      </c>
      <c r="AS69" s="1189" t="e">
        <f t="shared" si="49"/>
        <v>#REF!</v>
      </c>
      <c r="AT69" s="1189" t="e">
        <f t="shared" si="49"/>
        <v>#REF!</v>
      </c>
      <c r="AU69" s="1189" t="e">
        <f t="shared" si="49"/>
        <v>#REF!</v>
      </c>
      <c r="AV69" s="1189" t="e">
        <f t="shared" si="49"/>
        <v>#REF!</v>
      </c>
      <c r="AW69" s="1189" t="e">
        <f t="shared" si="49"/>
        <v>#REF!</v>
      </c>
    </row>
    <row r="70" spans="2:50">
      <c r="B70" s="658" t="s">
        <v>1461</v>
      </c>
      <c r="D70" s="658">
        <f>D66-D67-D68-D69</f>
        <v>334</v>
      </c>
      <c r="E70" s="1214">
        <f>D70/D66</f>
        <v>0.91506849315068495</v>
      </c>
      <c r="AK70" s="1194"/>
    </row>
    <row r="71" spans="2:50" ht="29">
      <c r="B71" s="1263" t="s">
        <v>1472</v>
      </c>
      <c r="C71" s="1263" t="s">
        <v>32</v>
      </c>
      <c r="D71" s="1263" t="s">
        <v>35</v>
      </c>
      <c r="E71" s="1263" t="s">
        <v>46</v>
      </c>
      <c r="F71" s="1263" t="s">
        <v>36</v>
      </c>
      <c r="G71" s="1263" t="s">
        <v>27</v>
      </c>
      <c r="H71" s="1263" t="s">
        <v>47</v>
      </c>
      <c r="I71" s="1263" t="s">
        <v>1473</v>
      </c>
      <c r="J71" s="1264" t="s">
        <v>1416</v>
      </c>
      <c r="K71" s="1283" t="s">
        <v>1478</v>
      </c>
    </row>
    <row r="72" spans="2:50">
      <c r="B72" s="1266" t="s">
        <v>48</v>
      </c>
      <c r="C72" s="1266" t="s">
        <v>48</v>
      </c>
      <c r="D72" s="1266">
        <v>7</v>
      </c>
      <c r="E72" s="1268">
        <f>E70</f>
        <v>0.91506849315068495</v>
      </c>
      <c r="F72" s="1269">
        <f>[70]Assum!J53</f>
        <v>0.8</v>
      </c>
      <c r="G72" s="1267">
        <f>[69]Data!$MG$377</f>
        <v>2</v>
      </c>
      <c r="H72" s="1217">
        <f>(D72*E72*F72*G72*1440)</f>
        <v>14758.224657534249</v>
      </c>
      <c r="I72" s="1270">
        <f>[69]Data!AE377</f>
        <v>1773755.277</v>
      </c>
      <c r="J72" s="1269">
        <f>I72/I72</f>
        <v>1</v>
      </c>
      <c r="K72" s="1217">
        <f>H72*D$66</f>
        <v>5386752.0000000009</v>
      </c>
      <c r="Q72" s="1272" t="s">
        <v>1479</v>
      </c>
      <c r="R72" s="1284"/>
      <c r="S72" s="1284"/>
      <c r="T72" s="1284"/>
      <c r="U72" s="1284"/>
      <c r="V72" s="1284"/>
      <c r="W72" s="1284"/>
      <c r="X72" s="1284"/>
      <c r="Y72" s="1284"/>
      <c r="Z72" s="1284"/>
      <c r="AA72" s="1284"/>
      <c r="AB72" s="1284"/>
      <c r="AC72" s="1284"/>
      <c r="AD72" s="1284"/>
      <c r="AE72" s="1284"/>
      <c r="AF72" s="1284"/>
      <c r="AG72" s="1284"/>
      <c r="AH72" s="1284"/>
      <c r="AI72" s="1284"/>
      <c r="AJ72" s="1284"/>
      <c r="AK72" s="1285">
        <f>[69]Data!QE377</f>
        <v>101956.05</v>
      </c>
      <c r="AL72" s="1285">
        <f>[69]Data!QF377</f>
        <v>124320</v>
      </c>
      <c r="AM72" s="1285">
        <f>[69]Data!QG377</f>
        <v>134651.2818</v>
      </c>
      <c r="AN72" s="1285">
        <f>[69]Data!QH377</f>
        <v>139983.84540000002</v>
      </c>
      <c r="AO72" s="1285">
        <f>[69]Data!QI377</f>
        <v>117180.00000000001</v>
      </c>
      <c r="AP72" s="1285">
        <f>[69]Data!QJ377</f>
        <v>157833.84540000002</v>
      </c>
      <c r="AQ72" s="1285">
        <f>[69]Data!QK377</f>
        <v>149841.2818</v>
      </c>
      <c r="AR72" s="1285">
        <f>[69]Data!QL377</f>
        <v>168340.12719999999</v>
      </c>
      <c r="AS72" s="1285">
        <f>[69]Data!QM377</f>
        <v>130060</v>
      </c>
      <c r="AT72" s="1285">
        <f>[69]Data!QN377</f>
        <v>187390</v>
      </c>
      <c r="AU72" s="1285">
        <f>[69]Data!QO377</f>
        <v>174055</v>
      </c>
      <c r="AV72" s="1285">
        <f>[69]Data!QP377</f>
        <v>188143.84540000002</v>
      </c>
      <c r="AW72" s="1285">
        <f>[69]Data!QQ377</f>
        <v>1773755.2770000002</v>
      </c>
      <c r="AX72" s="1189">
        <f>AW72-I72</f>
        <v>0</v>
      </c>
    </row>
    <row r="73" spans="2:50">
      <c r="B73" s="1266"/>
      <c r="C73" s="1266"/>
      <c r="D73" s="1266"/>
      <c r="E73" s="1268"/>
      <c r="F73" s="1268"/>
      <c r="G73" s="1267"/>
      <c r="H73" s="1286"/>
      <c r="I73" s="1270"/>
      <c r="J73" s="1269"/>
      <c r="K73" s="1269"/>
      <c r="Q73" s="1272" t="s">
        <v>1480</v>
      </c>
      <c r="R73" s="1284"/>
      <c r="S73" s="1284"/>
      <c r="T73" s="1284"/>
      <c r="U73" s="1284"/>
      <c r="V73" s="1284"/>
      <c r="W73" s="1284"/>
      <c r="X73" s="1284"/>
      <c r="Y73" s="1284"/>
      <c r="Z73" s="1284"/>
      <c r="AA73" s="1284"/>
      <c r="AB73" s="1284"/>
      <c r="AC73" s="1284"/>
      <c r="AD73" s="1284"/>
      <c r="AE73" s="1284"/>
      <c r="AF73" s="1284"/>
      <c r="AG73" s="1284"/>
      <c r="AH73" s="1284"/>
      <c r="AI73" s="1284"/>
      <c r="AJ73" s="1284"/>
      <c r="AK73" s="1287">
        <f>(AK72/AK56)/$H$72*$E$72</f>
        <v>0.21072265624999997</v>
      </c>
      <c r="AL73" s="1287">
        <f t="shared" ref="AL73:AW73" si="50">(AL72/AL56)/$H$72*$E$72</f>
        <v>0.2486559139784946</v>
      </c>
      <c r="AM73" s="1287">
        <f t="shared" si="50"/>
        <v>0.27829712673611107</v>
      </c>
      <c r="AN73" s="1287">
        <f t="shared" si="50"/>
        <v>0.27998560987903226</v>
      </c>
      <c r="AO73" s="1287">
        <f t="shared" si="50"/>
        <v>0.23437500000000003</v>
      </c>
      <c r="AP73" s="1287">
        <f t="shared" si="50"/>
        <v>0.32621082465277779</v>
      </c>
      <c r="AQ73" s="1287">
        <f t="shared" si="50"/>
        <v>0.29970174451164872</v>
      </c>
      <c r="AR73" s="1287">
        <f t="shared" si="50"/>
        <v>0.3479251967592592</v>
      </c>
      <c r="AS73" s="1287">
        <f t="shared" si="50"/>
        <v>0.26013664874551962</v>
      </c>
      <c r="AT73" s="1287">
        <f t="shared" si="50"/>
        <v>0.37480398745519711</v>
      </c>
      <c r="AU73" s="1287">
        <f t="shared" si="50"/>
        <v>0.38543216765873012</v>
      </c>
      <c r="AV73" s="1287">
        <f t="shared" si="50"/>
        <v>0.37631177475358418</v>
      </c>
      <c r="AW73" s="1287">
        <f t="shared" si="50"/>
        <v>0.30131470105593605</v>
      </c>
    </row>
    <row r="74" spans="2:50">
      <c r="B74" s="1274" t="s">
        <v>1481</v>
      </c>
      <c r="C74" s="1274"/>
      <c r="D74" s="1274">
        <f>D72</f>
        <v>7</v>
      </c>
      <c r="E74" s="1274"/>
      <c r="F74" s="1274"/>
      <c r="G74" s="1274"/>
      <c r="H74" s="1276">
        <f>H72</f>
        <v>14758.224657534249</v>
      </c>
      <c r="I74" s="1276">
        <f>I72/D66</f>
        <v>4859.6034986301374</v>
      </c>
      <c r="J74" s="1288">
        <f>I74/H74</f>
        <v>0.32928103558507982</v>
      </c>
      <c r="K74" s="1288">
        <f>I74/H74</f>
        <v>0.32928103558507982</v>
      </c>
      <c r="AK74" s="1271">
        <f>$D$72*$F$72*AK73*1440*$G$72</f>
        <v>3398.5349999999999</v>
      </c>
      <c r="AL74" s="1271">
        <f t="shared" ref="AL74:AW74" si="51">$D$72*$F$72*AL73*1440*$G$72</f>
        <v>4010.322580645161</v>
      </c>
      <c r="AM74" s="1271">
        <f t="shared" si="51"/>
        <v>4488.3760599999996</v>
      </c>
      <c r="AN74" s="1271">
        <f t="shared" si="51"/>
        <v>4515.6079161290327</v>
      </c>
      <c r="AO74" s="1271">
        <f t="shared" si="51"/>
        <v>3780.0000000000005</v>
      </c>
      <c r="AP74" s="1271">
        <f t="shared" si="51"/>
        <v>5261.1281800000006</v>
      </c>
      <c r="AQ74" s="1271">
        <f t="shared" si="51"/>
        <v>4833.5897354838708</v>
      </c>
      <c r="AR74" s="1271">
        <f t="shared" si="51"/>
        <v>5611.3375733333332</v>
      </c>
      <c r="AS74" s="1271">
        <f t="shared" si="51"/>
        <v>4195.4838709677406</v>
      </c>
      <c r="AT74" s="1271">
        <f t="shared" si="51"/>
        <v>6044.8387096774195</v>
      </c>
      <c r="AU74" s="1271">
        <f t="shared" si="51"/>
        <v>6216.25</v>
      </c>
      <c r="AV74" s="1271">
        <f t="shared" si="51"/>
        <v>6069.1563032258055</v>
      </c>
      <c r="AW74" s="1271">
        <f t="shared" si="51"/>
        <v>4859.6034986301365</v>
      </c>
    </row>
    <row r="75" spans="2:50">
      <c r="AK75" s="1189">
        <f>AK72/AK56</f>
        <v>3398.5350000000003</v>
      </c>
      <c r="AL75" s="1189">
        <f t="shared" ref="AL75:AW75" si="52">AL72/AL56</f>
        <v>4010.3225806451615</v>
      </c>
      <c r="AM75" s="1189">
        <f t="shared" si="52"/>
        <v>4488.3760599999996</v>
      </c>
      <c r="AN75" s="1189">
        <f t="shared" si="52"/>
        <v>4515.6079161290327</v>
      </c>
      <c r="AO75" s="1189">
        <f t="shared" si="52"/>
        <v>3780.0000000000005</v>
      </c>
      <c r="AP75" s="1189">
        <f t="shared" si="52"/>
        <v>5261.1281800000006</v>
      </c>
      <c r="AQ75" s="1189">
        <f t="shared" si="52"/>
        <v>4833.5897354838708</v>
      </c>
      <c r="AR75" s="1189">
        <f t="shared" si="52"/>
        <v>5611.3375733333332</v>
      </c>
      <c r="AS75" s="1189">
        <f t="shared" si="52"/>
        <v>4195.4838709677415</v>
      </c>
      <c r="AT75" s="1189">
        <f t="shared" si="52"/>
        <v>6044.8387096774195</v>
      </c>
      <c r="AU75" s="1189">
        <f t="shared" si="52"/>
        <v>6216.25</v>
      </c>
      <c r="AV75" s="1189">
        <f t="shared" si="52"/>
        <v>6069.1563032258073</v>
      </c>
      <c r="AW75" s="1189">
        <f t="shared" si="52"/>
        <v>4859.6034986301374</v>
      </c>
    </row>
    <row r="76" spans="2:50">
      <c r="H76" s="1259">
        <f>H74*365/1000</f>
        <v>5386.7520000000013</v>
      </c>
      <c r="AK76" s="1194"/>
    </row>
    <row r="77" spans="2:50">
      <c r="B77" s="658" t="s">
        <v>1482</v>
      </c>
    </row>
    <row r="78" spans="2:50">
      <c r="B78" s="1183" t="s">
        <v>1459</v>
      </c>
      <c r="D78" s="1183">
        <v>365</v>
      </c>
    </row>
    <row r="79" spans="2:50">
      <c r="B79" s="1183" t="s">
        <v>488</v>
      </c>
      <c r="D79" s="1183">
        <f>12*1</f>
        <v>12</v>
      </c>
    </row>
    <row r="80" spans="2:50">
      <c r="B80" s="1183" t="s">
        <v>489</v>
      </c>
      <c r="D80" s="1183">
        <v>10</v>
      </c>
    </row>
    <row r="81" spans="2:50">
      <c r="B81" s="1183" t="s">
        <v>1460</v>
      </c>
      <c r="D81" s="1183">
        <v>60</v>
      </c>
    </row>
    <row r="82" spans="2:50">
      <c r="B82" s="658" t="s">
        <v>1461</v>
      </c>
      <c r="D82" s="658">
        <f>D78-D79-D80-D81</f>
        <v>283</v>
      </c>
      <c r="E82" s="1214">
        <f>D82/D78</f>
        <v>0.77534246575342469</v>
      </c>
      <c r="AK82" s="1214"/>
    </row>
    <row r="83" spans="2:50">
      <c r="B83" s="1289" t="s">
        <v>1472</v>
      </c>
      <c r="C83" s="1289" t="s">
        <v>1482</v>
      </c>
      <c r="D83" s="1289" t="s">
        <v>35</v>
      </c>
      <c r="E83" s="1289" t="s">
        <v>46</v>
      </c>
      <c r="F83" s="1289" t="s">
        <v>36</v>
      </c>
      <c r="G83" s="1289" t="s">
        <v>27</v>
      </c>
      <c r="H83" s="1289" t="s">
        <v>47</v>
      </c>
      <c r="I83" s="1289" t="s">
        <v>1473</v>
      </c>
      <c r="J83" s="1290" t="s">
        <v>1483</v>
      </c>
      <c r="AK83" s="1194"/>
    </row>
    <row r="84" spans="2:50">
      <c r="B84" s="1205" t="s">
        <v>1482</v>
      </c>
      <c r="C84" s="1220"/>
      <c r="D84" s="1220">
        <v>1</v>
      </c>
      <c r="E84" s="1291">
        <f>E82</f>
        <v>0.77534246575342469</v>
      </c>
      <c r="F84" s="1291">
        <v>0.8</v>
      </c>
      <c r="G84" s="1220">
        <v>4</v>
      </c>
      <c r="H84" s="1220">
        <f>(D84*E84*F84*G84*1440)</f>
        <v>3572.7780821917809</v>
      </c>
      <c r="I84" s="1292">
        <f>[69]Data!GF385</f>
        <v>1757258.7225658353</v>
      </c>
      <c r="J84" s="1220"/>
      <c r="Q84" s="1272" t="s">
        <v>1482</v>
      </c>
      <c r="R84" s="1284"/>
      <c r="S84" s="1284"/>
      <c r="T84" s="1284"/>
      <c r="U84" s="1284"/>
      <c r="V84" s="1284"/>
      <c r="W84" s="1284"/>
      <c r="X84" s="1284"/>
      <c r="Y84" s="1284"/>
      <c r="Z84" s="1284"/>
      <c r="AA84" s="1284"/>
      <c r="AB84" s="1284"/>
      <c r="AC84" s="1284"/>
      <c r="AD84" s="1284"/>
      <c r="AE84" s="1284"/>
      <c r="AF84" s="1284"/>
      <c r="AG84" s="1284"/>
      <c r="AH84" s="1284"/>
      <c r="AI84" s="1284"/>
      <c r="AJ84" s="1284"/>
      <c r="AK84" s="1285">
        <f>[69]Data!YG385</f>
        <v>112966.57787092168</v>
      </c>
      <c r="AL84" s="1285">
        <f>[69]Data!YH385</f>
        <v>141477.77881777429</v>
      </c>
      <c r="AM84" s="1285">
        <f>[69]Data!YI385</f>
        <v>160436.39597695507</v>
      </c>
      <c r="AN84" s="1285">
        <f>[69]Data!YJ385</f>
        <v>140411.56595631511</v>
      </c>
      <c r="AO84" s="1285">
        <f>[69]Data!YK385</f>
        <v>104563.99016213471</v>
      </c>
      <c r="AP84" s="1285">
        <f>[69]Data!YL385</f>
        <v>96210.678558857166</v>
      </c>
      <c r="AQ84" s="1285">
        <f>[69]Data!YM385</f>
        <v>177859.62472710162</v>
      </c>
      <c r="AR84" s="1285">
        <f>[69]Data!YN385</f>
        <v>180190.86597649407</v>
      </c>
      <c r="AS84" s="1285">
        <f>[69]Data!YO385</f>
        <v>169714.92502606357</v>
      </c>
      <c r="AT84" s="1285">
        <f>[69]Data!YP385</f>
        <v>168954.77548365996</v>
      </c>
      <c r="AU84" s="1285">
        <f>[69]Data!YQ385</f>
        <v>155619.40431227852</v>
      </c>
      <c r="AV84" s="1285">
        <f>[69]Data!YR385</f>
        <v>148852.13969727958</v>
      </c>
      <c r="AW84" s="1285">
        <f>SUM(AK84:AV84)</f>
        <v>1757258.7225658356</v>
      </c>
      <c r="AX84" s="1189">
        <f>AW84-I84</f>
        <v>0</v>
      </c>
    </row>
    <row r="85" spans="2:50">
      <c r="B85" s="1293" t="s">
        <v>1484</v>
      </c>
      <c r="C85" s="1293"/>
      <c r="D85" s="1293"/>
      <c r="E85" s="1293"/>
      <c r="F85" s="1293"/>
      <c r="G85" s="1293"/>
      <c r="H85" s="1293"/>
      <c r="I85" s="1294">
        <f>I84/D78</f>
        <v>4814.4074590844803</v>
      </c>
      <c r="J85" s="1295">
        <f>I85/H84</f>
        <v>1.3475249087206114</v>
      </c>
      <c r="Q85" s="1272" t="s">
        <v>1480</v>
      </c>
      <c r="R85" s="1284"/>
      <c r="S85" s="1284"/>
      <c r="T85" s="1284"/>
      <c r="U85" s="1284"/>
      <c r="V85" s="1284"/>
      <c r="W85" s="1284"/>
      <c r="X85" s="1284"/>
      <c r="Y85" s="1284"/>
      <c r="Z85" s="1284"/>
      <c r="AA85" s="1284"/>
      <c r="AB85" s="1284"/>
      <c r="AC85" s="1284"/>
      <c r="AD85" s="1284"/>
      <c r="AE85" s="1284"/>
      <c r="AF85" s="1284"/>
      <c r="AG85" s="1284"/>
      <c r="AH85" s="1284"/>
      <c r="AI85" s="1284"/>
      <c r="AJ85" s="1284"/>
      <c r="AK85" s="1287">
        <f>(AK84/AK$56)/$H$84*$E$84</f>
        <v>0.81717721260794041</v>
      </c>
      <c r="AL85" s="1287">
        <f t="shared" ref="AL85:AW85" si="53">(AL84/AL$56)/$H$84*$E$84</f>
        <v>0.99040783782604103</v>
      </c>
      <c r="AM85" s="1287">
        <f t="shared" si="53"/>
        <v>1.1605642070092237</v>
      </c>
      <c r="AN85" s="1287">
        <f t="shared" si="53"/>
        <v>0.98294387010189233</v>
      </c>
      <c r="AO85" s="1287">
        <f t="shared" si="53"/>
        <v>0.73199477880078623</v>
      </c>
      <c r="AP85" s="1287">
        <f t="shared" si="53"/>
        <v>0.69596845022321441</v>
      </c>
      <c r="AQ85" s="1287">
        <f t="shared" si="53"/>
        <v>1.2450970593015065</v>
      </c>
      <c r="AR85" s="1287">
        <f t="shared" si="53"/>
        <v>1.3034640189271851</v>
      </c>
      <c r="AS85" s="1287">
        <f t="shared" si="53"/>
        <v>1.1880805123352345</v>
      </c>
      <c r="AT85" s="1287">
        <f t="shared" si="53"/>
        <v>1.1827591249696179</v>
      </c>
      <c r="AU85" s="1287">
        <f t="shared" si="53"/>
        <v>1.2061275755849961</v>
      </c>
      <c r="AV85" s="1287">
        <f t="shared" si="53"/>
        <v>1.0420316679077033</v>
      </c>
      <c r="AW85" s="1287">
        <f t="shared" si="53"/>
        <v>1.0447932853915975</v>
      </c>
    </row>
    <row r="86" spans="2:50">
      <c r="AK86" s="1271">
        <f>$D$84*$F$84*AK85*1440*$G$84</f>
        <v>3765.5525956973897</v>
      </c>
      <c r="AL86" s="1271">
        <f t="shared" ref="AL86:AW86" si="54">$D$84*$F$84*AL85*1440*$G$84</f>
        <v>4563.7993167023978</v>
      </c>
      <c r="AM86" s="1271">
        <f t="shared" si="54"/>
        <v>5347.8798658985024</v>
      </c>
      <c r="AN86" s="1271">
        <f t="shared" si="54"/>
        <v>4529.4053534295199</v>
      </c>
      <c r="AO86" s="1271">
        <f t="shared" si="54"/>
        <v>3373.0319407140228</v>
      </c>
      <c r="AP86" s="1271">
        <f t="shared" si="54"/>
        <v>3207.0226186285718</v>
      </c>
      <c r="AQ86" s="1271">
        <f t="shared" si="54"/>
        <v>5737.4072492613423</v>
      </c>
      <c r="AR86" s="1271">
        <f t="shared" si="54"/>
        <v>6006.362199216469</v>
      </c>
      <c r="AS86" s="1271">
        <f t="shared" si="54"/>
        <v>5474.6750008407607</v>
      </c>
      <c r="AT86" s="1271">
        <f t="shared" si="54"/>
        <v>5450.1540478599991</v>
      </c>
      <c r="AU86" s="1271">
        <f t="shared" si="54"/>
        <v>5557.8358682956623</v>
      </c>
      <c r="AV86" s="1271">
        <f t="shared" si="54"/>
        <v>4801.6819257186971</v>
      </c>
      <c r="AW86" s="1271">
        <f t="shared" si="54"/>
        <v>4814.4074590844812</v>
      </c>
    </row>
    <row r="87" spans="2:50">
      <c r="AK87" s="1189">
        <f>AK84/AK56</f>
        <v>3765.5525956973893</v>
      </c>
      <c r="AL87" s="1189">
        <f t="shared" ref="AL87:AW87" si="55">AL84/AL56</f>
        <v>4563.7993167023969</v>
      </c>
      <c r="AM87" s="1189">
        <f t="shared" si="55"/>
        <v>5347.8798658985024</v>
      </c>
      <c r="AN87" s="1189">
        <f t="shared" si="55"/>
        <v>4529.4053534295199</v>
      </c>
      <c r="AO87" s="1189">
        <f t="shared" si="55"/>
        <v>3373.0319407140228</v>
      </c>
      <c r="AP87" s="1189">
        <f t="shared" si="55"/>
        <v>3207.0226186285722</v>
      </c>
      <c r="AQ87" s="1189">
        <f t="shared" si="55"/>
        <v>5737.4072492613423</v>
      </c>
      <c r="AR87" s="1189">
        <f t="shared" si="55"/>
        <v>6006.362199216469</v>
      </c>
      <c r="AS87" s="1189">
        <f t="shared" si="55"/>
        <v>5474.6750008407607</v>
      </c>
      <c r="AT87" s="1189">
        <f t="shared" si="55"/>
        <v>5450.1540478599991</v>
      </c>
      <c r="AU87" s="1189">
        <f t="shared" si="55"/>
        <v>5557.8358682956614</v>
      </c>
      <c r="AV87" s="1189">
        <f t="shared" si="55"/>
        <v>4801.6819257186962</v>
      </c>
      <c r="AW87" s="1189">
        <f t="shared" si="55"/>
        <v>4814.4074590844812</v>
      </c>
    </row>
    <row r="88" spans="2:50">
      <c r="B88" s="658" t="s">
        <v>1485</v>
      </c>
    </row>
    <row r="89" spans="2:50">
      <c r="B89" s="1183" t="s">
        <v>1459</v>
      </c>
      <c r="D89" s="1183">
        <v>365</v>
      </c>
    </row>
    <row r="90" spans="2:50">
      <c r="B90" s="1183" t="s">
        <v>488</v>
      </c>
      <c r="D90" s="1183">
        <f>12*1</f>
        <v>12</v>
      </c>
    </row>
    <row r="91" spans="2:50">
      <c r="B91" s="1183" t="s">
        <v>489</v>
      </c>
      <c r="D91" s="1183">
        <v>10</v>
      </c>
    </row>
    <row r="92" spans="2:50">
      <c r="B92" s="1183" t="s">
        <v>1460</v>
      </c>
      <c r="D92" s="1183">
        <f>5*12</f>
        <v>60</v>
      </c>
    </row>
    <row r="93" spans="2:50">
      <c r="B93" s="658" t="s">
        <v>1461</v>
      </c>
      <c r="D93" s="658">
        <f>D89-D90-D91-D92</f>
        <v>283</v>
      </c>
      <c r="E93" s="1214">
        <f>D93/D89</f>
        <v>0.77534246575342469</v>
      </c>
    </row>
    <row r="94" spans="2:50">
      <c r="B94" s="1289" t="s">
        <v>1472</v>
      </c>
      <c r="C94" s="1289" t="s">
        <v>1482</v>
      </c>
      <c r="D94" s="1289" t="s">
        <v>35</v>
      </c>
      <c r="E94" s="1289" t="s">
        <v>46</v>
      </c>
      <c r="F94" s="1289" t="s">
        <v>36</v>
      </c>
      <c r="G94" s="1289" t="s">
        <v>27</v>
      </c>
      <c r="H94" s="1289" t="s">
        <v>47</v>
      </c>
      <c r="I94" s="1289" t="s">
        <v>1473</v>
      </c>
      <c r="J94" s="1290" t="s">
        <v>1483</v>
      </c>
    </row>
    <row r="95" spans="2:50">
      <c r="B95" s="1205" t="s">
        <v>1485</v>
      </c>
      <c r="C95" s="1220"/>
      <c r="D95" s="1220">
        <v>1</v>
      </c>
      <c r="E95" s="1291">
        <f>E93</f>
        <v>0.77534246575342469</v>
      </c>
      <c r="F95" s="1291">
        <v>0.8</v>
      </c>
      <c r="G95" s="1220">
        <v>4</v>
      </c>
      <c r="H95" s="1220">
        <f>(D95*E95*F95*G95*1440)</f>
        <v>3572.7780821917809</v>
      </c>
      <c r="I95" s="1292">
        <f>[69]Data!$GF$384</f>
        <v>345912.33046102937</v>
      </c>
      <c r="J95" s="1220"/>
      <c r="Q95" s="1272" t="s">
        <v>1482</v>
      </c>
      <c r="R95" s="1284"/>
      <c r="S95" s="1284"/>
      <c r="T95" s="1284"/>
      <c r="U95" s="1284"/>
      <c r="V95" s="1284"/>
      <c r="W95" s="1284"/>
      <c r="X95" s="1284"/>
      <c r="Y95" s="1284"/>
      <c r="Z95" s="1284"/>
      <c r="AA95" s="1284"/>
      <c r="AB95" s="1284"/>
      <c r="AC95" s="1284"/>
      <c r="AD95" s="1284"/>
      <c r="AE95" s="1284"/>
      <c r="AF95" s="1284"/>
      <c r="AG95" s="1284"/>
      <c r="AH95" s="1284"/>
      <c r="AI95" s="1284"/>
      <c r="AJ95" s="1284"/>
      <c r="AK95" s="1285">
        <f>[69]Data!YG384</f>
        <v>21514.340101522841</v>
      </c>
      <c r="AL95" s="1285">
        <f>[69]Data!YH384</f>
        <v>19836.867529065006</v>
      </c>
      <c r="AM95" s="1285">
        <f>[69]Data!YI384</f>
        <v>32775.833018988633</v>
      </c>
      <c r="AN95" s="1285">
        <f>[69]Data!YJ384</f>
        <v>22910.185033568036</v>
      </c>
      <c r="AO95" s="1285">
        <f>[69]Data!YK384</f>
        <v>30733.175045030293</v>
      </c>
      <c r="AP95" s="1285">
        <f>[69]Data!YL384</f>
        <v>24921.811036515472</v>
      </c>
      <c r="AQ95" s="1285">
        <f>[69]Data!YM384</f>
        <v>32111.511380383163</v>
      </c>
      <c r="AR95" s="1285">
        <f>[69]Data!YN384</f>
        <v>28200.016374652034</v>
      </c>
      <c r="AS95" s="1285">
        <f>[69]Data!YO384</f>
        <v>33787.866382839362</v>
      </c>
      <c r="AT95" s="1285">
        <f>[69]Data!YP384</f>
        <v>40654.701530532759</v>
      </c>
      <c r="AU95" s="1285">
        <f>[69]Data!YQ384</f>
        <v>28609.79204191911</v>
      </c>
      <c r="AV95" s="1285">
        <f>[69]Data!YR384</f>
        <v>29856.230986012601</v>
      </c>
      <c r="AW95" s="1285">
        <f>SUM(AK95:AV95)</f>
        <v>345912.33046102937</v>
      </c>
      <c r="AX95" s="1189">
        <f>AW95-I95</f>
        <v>0</v>
      </c>
    </row>
    <row r="96" spans="2:50">
      <c r="B96" s="1293" t="s">
        <v>1484</v>
      </c>
      <c r="C96" s="1293"/>
      <c r="D96" s="1293"/>
      <c r="E96" s="1293"/>
      <c r="F96" s="1293"/>
      <c r="G96" s="1293"/>
      <c r="H96" s="1293"/>
      <c r="I96" s="1294">
        <f>I95/D89</f>
        <v>947.70501496172426</v>
      </c>
      <c r="J96" s="1295">
        <f>I96/H95</f>
        <v>0.26525717331436904</v>
      </c>
      <c r="Q96" s="1272" t="s">
        <v>1480</v>
      </c>
      <c r="R96" s="1284"/>
      <c r="S96" s="1284"/>
      <c r="T96" s="1284"/>
      <c r="U96" s="1284"/>
      <c r="V96" s="1284"/>
      <c r="W96" s="1284"/>
      <c r="X96" s="1284"/>
      <c r="Y96" s="1284"/>
      <c r="Z96" s="1284"/>
      <c r="AA96" s="1284"/>
      <c r="AB96" s="1284"/>
      <c r="AC96" s="1284"/>
      <c r="AD96" s="1284"/>
      <c r="AE96" s="1284"/>
      <c r="AF96" s="1284"/>
      <c r="AG96" s="1284"/>
      <c r="AH96" s="1284"/>
      <c r="AI96" s="1284"/>
      <c r="AJ96" s="1284"/>
      <c r="AK96" s="1287">
        <f>(AK95/AK$56)/$H$95*$E$95</f>
        <v>0.15563035374365483</v>
      </c>
      <c r="AL96" s="1287">
        <f t="shared" ref="AL96:AW96" si="56">(AL95/AL$56)/$H$95*$E$95</f>
        <v>0.13886696018890712</v>
      </c>
      <c r="AM96" s="1287">
        <f t="shared" si="56"/>
        <v>0.23709369950078585</v>
      </c>
      <c r="AN96" s="1287">
        <f t="shared" si="56"/>
        <v>0.16038155965479414</v>
      </c>
      <c r="AO96" s="1287">
        <f t="shared" si="56"/>
        <v>0.21514599465887024</v>
      </c>
      <c r="AP96" s="1287">
        <f t="shared" si="56"/>
        <v>0.18027930437294179</v>
      </c>
      <c r="AQ96" s="1287">
        <f t="shared" si="56"/>
        <v>0.22479496654054076</v>
      </c>
      <c r="AR96" s="1287">
        <f t="shared" si="56"/>
        <v>0.20399317400645278</v>
      </c>
      <c r="AS96" s="1287">
        <f t="shared" si="56"/>
        <v>0.23653020261284277</v>
      </c>
      <c r="AT96" s="1287">
        <f t="shared" si="56"/>
        <v>0.28460112518574121</v>
      </c>
      <c r="AU96" s="1287">
        <f t="shared" si="56"/>
        <v>0.22174007968997328</v>
      </c>
      <c r="AV96" s="1287">
        <f t="shared" si="56"/>
        <v>0.20900699334966258</v>
      </c>
      <c r="AW96" s="1287">
        <f t="shared" si="56"/>
        <v>0.20566515081634643</v>
      </c>
    </row>
    <row r="97" spans="17:50">
      <c r="AK97" s="1271">
        <f>$D$95*$F$95*AK96*1440*$G$95</f>
        <v>717.14467005076153</v>
      </c>
      <c r="AL97" s="1271">
        <f t="shared" ref="AL97:AW97" si="57">$D$95*$F$95*AL96*1440*$G$95</f>
        <v>639.89895255048407</v>
      </c>
      <c r="AM97" s="1271">
        <f t="shared" si="57"/>
        <v>1092.5277672996212</v>
      </c>
      <c r="AN97" s="1271">
        <f t="shared" si="57"/>
        <v>739.03822688929142</v>
      </c>
      <c r="AO97" s="1271">
        <f t="shared" si="57"/>
        <v>991.39274338807411</v>
      </c>
      <c r="AP97" s="1271">
        <f t="shared" si="57"/>
        <v>830.7270345505159</v>
      </c>
      <c r="AQ97" s="1271">
        <f t="shared" si="57"/>
        <v>1035.8552058188118</v>
      </c>
      <c r="AR97" s="1271">
        <f t="shared" si="57"/>
        <v>940.00054582173459</v>
      </c>
      <c r="AS97" s="1271">
        <f t="shared" si="57"/>
        <v>1089.9311736399795</v>
      </c>
      <c r="AT97" s="1271">
        <f t="shared" si="57"/>
        <v>1311.4419848558957</v>
      </c>
      <c r="AU97" s="1271">
        <f t="shared" si="57"/>
        <v>1021.7782872113969</v>
      </c>
      <c r="AV97" s="1271">
        <f t="shared" si="57"/>
        <v>963.10422535524515</v>
      </c>
      <c r="AW97" s="1271">
        <f t="shared" si="57"/>
        <v>947.70501496172437</v>
      </c>
    </row>
    <row r="98" spans="17:50">
      <c r="AK98" s="1189">
        <f>AK95/AK56</f>
        <v>717.14467005076142</v>
      </c>
      <c r="AL98" s="1189">
        <f t="shared" ref="AL98:AW98" si="58">AL95/AL56</f>
        <v>639.89895255048407</v>
      </c>
      <c r="AM98" s="1189">
        <f t="shared" si="58"/>
        <v>1092.527767299621</v>
      </c>
      <c r="AN98" s="1189">
        <f t="shared" si="58"/>
        <v>739.03822688929142</v>
      </c>
      <c r="AO98" s="1189">
        <f t="shared" si="58"/>
        <v>991.392743388074</v>
      </c>
      <c r="AP98" s="1189">
        <f t="shared" si="58"/>
        <v>830.72703455051567</v>
      </c>
      <c r="AQ98" s="1189">
        <f t="shared" si="58"/>
        <v>1035.8552058188118</v>
      </c>
      <c r="AR98" s="1189">
        <f t="shared" si="58"/>
        <v>940.00054582173448</v>
      </c>
      <c r="AS98" s="1189">
        <f t="shared" si="58"/>
        <v>1089.9311736399793</v>
      </c>
      <c r="AT98" s="1189">
        <f t="shared" si="58"/>
        <v>1311.4419848558955</v>
      </c>
      <c r="AU98" s="1189">
        <f t="shared" si="58"/>
        <v>1021.7782872113968</v>
      </c>
      <c r="AV98" s="1189">
        <f t="shared" si="58"/>
        <v>963.10422535524515</v>
      </c>
      <c r="AW98" s="1189">
        <f t="shared" si="58"/>
        <v>947.70501496172426</v>
      </c>
    </row>
    <row r="101" spans="17:50">
      <c r="Q101" s="1285" t="s">
        <v>92</v>
      </c>
      <c r="AK101" s="1285">
        <f>[69]Data!QE380</f>
        <v>195193.57893839999</v>
      </c>
      <c r="AL101" s="1285">
        <f>[69]Data!QF380</f>
        <v>175797.26075939997</v>
      </c>
      <c r="AM101" s="1285">
        <f>[69]Data!QG380</f>
        <v>180251.4993699</v>
      </c>
      <c r="AN101" s="1285">
        <f>[69]Data!QH380</f>
        <v>191894.09255870807</v>
      </c>
      <c r="AO101" s="1285">
        <f>[69]Data!QI380</f>
        <v>214495.2706343999</v>
      </c>
      <c r="AP101" s="1285">
        <f>[69]Data!QJ380</f>
        <v>190937.78561339999</v>
      </c>
      <c r="AQ101" s="1285">
        <f>[69]Data!QK380</f>
        <v>206121.06391589984</v>
      </c>
      <c r="AR101" s="1285">
        <f>[69]Data!QL380</f>
        <v>208644.89480939991</v>
      </c>
      <c r="AS101" s="1285">
        <f>[69]Data!QM380</f>
        <v>200241.26178839989</v>
      </c>
      <c r="AT101" s="1285">
        <f>[69]Data!QN380</f>
        <v>203955.48243839992</v>
      </c>
      <c r="AU101" s="1285">
        <f>[69]Data!QO380</f>
        <v>197807.03638289988</v>
      </c>
      <c r="AV101" s="1285">
        <f>[69]Data!QP380</f>
        <v>351736.93139340007</v>
      </c>
      <c r="AW101" s="1285">
        <f>[69]Data!QQ380</f>
        <v>2517076.1586026084</v>
      </c>
      <c r="AX101" s="1189"/>
    </row>
    <row r="126" spans="2:13" ht="26">
      <c r="B126" s="1296" t="s">
        <v>1472</v>
      </c>
      <c r="C126" s="1296" t="s">
        <v>1486</v>
      </c>
      <c r="D126" s="1296" t="s">
        <v>1487</v>
      </c>
      <c r="E126" s="1296" t="s">
        <v>35</v>
      </c>
      <c r="F126" s="1296" t="s">
        <v>1488</v>
      </c>
      <c r="G126" s="1296" t="s">
        <v>1489</v>
      </c>
      <c r="K126" s="655" t="s">
        <v>257</v>
      </c>
      <c r="L126" s="655" t="s">
        <v>1443</v>
      </c>
      <c r="M126" s="655" t="s">
        <v>1444</v>
      </c>
    </row>
    <row r="127" spans="2:13">
      <c r="B127" s="1297" t="s">
        <v>271</v>
      </c>
      <c r="C127" s="1298" t="s">
        <v>261</v>
      </c>
      <c r="D127" s="1299" t="s">
        <v>79</v>
      </c>
      <c r="E127" s="1300">
        <f>VLOOKUP(D127,$B$29:$G$49,6,0)</f>
        <v>750</v>
      </c>
      <c r="F127" s="1301">
        <f>VLOOKUP($D127,$B$29:$J$50,4,0)</f>
        <v>0.56999999999999995</v>
      </c>
      <c r="G127" s="1301">
        <f>VLOOKUP($D127,$B$29:$J$50,5,0)</f>
        <v>0.58133561643835618</v>
      </c>
      <c r="K127" s="1190" t="s">
        <v>77</v>
      </c>
      <c r="L127" s="1191">
        <v>1063167.8758592044</v>
      </c>
      <c r="M127" s="1191">
        <v>217.87403705589864</v>
      </c>
    </row>
    <row r="128" spans="2:13">
      <c r="B128" s="1297" t="s">
        <v>271</v>
      </c>
      <c r="C128" s="1298" t="s">
        <v>1490</v>
      </c>
      <c r="D128" s="1299" t="s">
        <v>79</v>
      </c>
      <c r="E128" s="1300">
        <f t="shared" ref="E128:E162" si="59">VLOOKUP(D128,$B$29:$G$49,6,0)</f>
        <v>750</v>
      </c>
      <c r="F128" s="1301">
        <f t="shared" ref="F128:F162" si="60">VLOOKUP($D128,$B$29:$J$50,4,0)</f>
        <v>0.56999999999999995</v>
      </c>
      <c r="G128" s="1301">
        <f t="shared" ref="G128:G162" si="61">VLOOKUP($D128,$B$29:$J$50,5,0)</f>
        <v>0.58133561643835618</v>
      </c>
      <c r="K128" s="1302" t="s">
        <v>85</v>
      </c>
      <c r="L128" s="1303">
        <v>6598889.0316686062</v>
      </c>
      <c r="M128" s="1303">
        <v>969.01764386947366</v>
      </c>
    </row>
    <row r="129" spans="2:13">
      <c r="B129" s="1297" t="s">
        <v>271</v>
      </c>
      <c r="C129" s="1298" t="s">
        <v>1491</v>
      </c>
      <c r="D129" s="1299" t="s">
        <v>70</v>
      </c>
      <c r="E129" s="1300">
        <f t="shared" si="59"/>
        <v>750</v>
      </c>
      <c r="F129" s="1301">
        <f t="shared" si="60"/>
        <v>0.56999999999999995</v>
      </c>
      <c r="G129" s="1301">
        <f t="shared" si="61"/>
        <v>0.58133561643835618</v>
      </c>
      <c r="K129" s="1190" t="s">
        <v>87</v>
      </c>
      <c r="L129" s="1191">
        <v>1083022.0929402164</v>
      </c>
      <c r="M129" s="1191">
        <v>364.72591240533529</v>
      </c>
    </row>
    <row r="130" spans="2:13">
      <c r="B130" s="1297" t="s">
        <v>271</v>
      </c>
      <c r="C130" s="1298" t="s">
        <v>1335</v>
      </c>
      <c r="D130" s="1299" t="s">
        <v>85</v>
      </c>
      <c r="E130" s="1300">
        <f t="shared" si="59"/>
        <v>750</v>
      </c>
      <c r="F130" s="1301">
        <f t="shared" si="60"/>
        <v>0.6</v>
      </c>
      <c r="G130" s="1301">
        <f t="shared" si="61"/>
        <v>0.58133561643835618</v>
      </c>
      <c r="K130" s="1190" t="s">
        <v>88</v>
      </c>
      <c r="L130" s="1191">
        <v>1636530.2806713029</v>
      </c>
      <c r="M130" s="1191">
        <v>760.1640107646956</v>
      </c>
    </row>
    <row r="131" spans="2:13">
      <c r="B131" s="1297" t="s">
        <v>271</v>
      </c>
      <c r="C131" s="1298" t="s">
        <v>88</v>
      </c>
      <c r="D131" s="1299" t="s">
        <v>88</v>
      </c>
      <c r="E131" s="1300">
        <f t="shared" si="59"/>
        <v>350</v>
      </c>
      <c r="F131" s="1301">
        <f t="shared" si="60"/>
        <v>0.55000000000000004</v>
      </c>
      <c r="G131" s="1301">
        <f t="shared" si="61"/>
        <v>0.58133561643835618</v>
      </c>
      <c r="K131" s="1190" t="s">
        <v>89</v>
      </c>
      <c r="L131" s="1191">
        <v>104000.95185605748</v>
      </c>
      <c r="M131" s="1191">
        <v>34.41198820476631</v>
      </c>
    </row>
    <row r="132" spans="2:13">
      <c r="B132" s="1297" t="s">
        <v>271</v>
      </c>
      <c r="C132" s="1298" t="s">
        <v>1492</v>
      </c>
      <c r="D132" s="1299" t="s">
        <v>73</v>
      </c>
      <c r="E132" s="1300">
        <f t="shared" si="59"/>
        <v>900</v>
      </c>
      <c r="F132" s="1301">
        <f t="shared" si="60"/>
        <v>0.56999999999999995</v>
      </c>
      <c r="G132" s="1301">
        <f t="shared" si="61"/>
        <v>0.58133561643835618</v>
      </c>
      <c r="K132" s="1190" t="s">
        <v>83</v>
      </c>
      <c r="L132" s="1191">
        <v>153681.42858362212</v>
      </c>
      <c r="M132" s="1191">
        <v>50.322016217514047</v>
      </c>
    </row>
    <row r="133" spans="2:13">
      <c r="B133" s="1297" t="s">
        <v>271</v>
      </c>
      <c r="C133" s="1298" t="s">
        <v>89</v>
      </c>
      <c r="D133" s="1299" t="s">
        <v>89</v>
      </c>
      <c r="E133" s="1300">
        <f t="shared" si="59"/>
        <v>800</v>
      </c>
      <c r="F133" s="1301">
        <f t="shared" si="60"/>
        <v>0.5</v>
      </c>
      <c r="G133" s="1301">
        <f t="shared" si="61"/>
        <v>0.58133561643835618</v>
      </c>
      <c r="K133" s="1190" t="s">
        <v>66</v>
      </c>
      <c r="L133" s="1191">
        <v>548188.19247778214</v>
      </c>
      <c r="M133" s="1191">
        <v>183.34274528607591</v>
      </c>
    </row>
    <row r="134" spans="2:13">
      <c r="B134" s="1297" t="s">
        <v>280</v>
      </c>
      <c r="C134" s="1298" t="s">
        <v>1336</v>
      </c>
      <c r="D134" s="1304" t="s">
        <v>87</v>
      </c>
      <c r="E134" s="1300">
        <f t="shared" si="59"/>
        <v>500</v>
      </c>
      <c r="F134" s="1301">
        <f t="shared" si="60"/>
        <v>0.49</v>
      </c>
      <c r="G134" s="1301">
        <f t="shared" si="61"/>
        <v>0.58133561643835618</v>
      </c>
      <c r="K134" s="1190" t="s">
        <v>73</v>
      </c>
      <c r="L134" s="1191">
        <v>1328929.1703890334</v>
      </c>
      <c r="M134" s="1191">
        <v>314.64804752234193</v>
      </c>
    </row>
    <row r="135" spans="2:13">
      <c r="B135" s="1297" t="s">
        <v>280</v>
      </c>
      <c r="C135" s="1298" t="s">
        <v>1335</v>
      </c>
      <c r="D135" s="1299" t="s">
        <v>85</v>
      </c>
      <c r="E135" s="1300">
        <f t="shared" si="59"/>
        <v>750</v>
      </c>
      <c r="F135" s="1301">
        <f t="shared" si="60"/>
        <v>0.6</v>
      </c>
      <c r="G135" s="1301">
        <f t="shared" si="61"/>
        <v>0.58133561643835618</v>
      </c>
      <c r="K135" s="1190" t="s">
        <v>79</v>
      </c>
      <c r="L135" s="1191">
        <v>3874715.3554466162</v>
      </c>
      <c r="M135" s="1191">
        <v>736.38542413799951</v>
      </c>
    </row>
    <row r="136" spans="2:13">
      <c r="B136" s="1297" t="s">
        <v>280</v>
      </c>
      <c r="C136" s="1298" t="s">
        <v>1493</v>
      </c>
      <c r="D136" s="1299" t="s">
        <v>79</v>
      </c>
      <c r="E136" s="1300">
        <f t="shared" si="59"/>
        <v>750</v>
      </c>
      <c r="F136" s="1301">
        <f t="shared" si="60"/>
        <v>0.56999999999999995</v>
      </c>
      <c r="G136" s="1301">
        <f t="shared" si="61"/>
        <v>0.58133561643835618</v>
      </c>
      <c r="K136" s="1190" t="s">
        <v>70</v>
      </c>
      <c r="L136" s="1191">
        <v>973292.13293303037</v>
      </c>
      <c r="M136" s="1191">
        <v>246.35036816054074</v>
      </c>
    </row>
    <row r="137" spans="2:13">
      <c r="B137" s="1297" t="s">
        <v>280</v>
      </c>
      <c r="C137" s="1298" t="s">
        <v>77</v>
      </c>
      <c r="D137" s="1304" t="s">
        <v>77</v>
      </c>
      <c r="E137" s="1300">
        <f t="shared" si="59"/>
        <v>1000</v>
      </c>
      <c r="F137" s="1301">
        <f t="shared" si="60"/>
        <v>0.49</v>
      </c>
      <c r="G137" s="1301">
        <f t="shared" si="61"/>
        <v>0.58133561643835618</v>
      </c>
      <c r="K137" s="1190" t="s">
        <v>265</v>
      </c>
      <c r="L137" s="1191">
        <v>17364416.51282547</v>
      </c>
      <c r="M137" s="1191">
        <v>3877.2421936246415</v>
      </c>
    </row>
    <row r="138" spans="2:13">
      <c r="B138" s="1297" t="s">
        <v>280</v>
      </c>
      <c r="C138" s="1298" t="s">
        <v>1494</v>
      </c>
      <c r="D138" s="1304" t="s">
        <v>77</v>
      </c>
      <c r="E138" s="1300">
        <f t="shared" si="59"/>
        <v>1000</v>
      </c>
      <c r="F138" s="1301">
        <f t="shared" si="60"/>
        <v>0.49</v>
      </c>
      <c r="G138" s="1301">
        <f t="shared" si="61"/>
        <v>0.58133561643835618</v>
      </c>
      <c r="K138" s="655"/>
      <c r="L138" s="655"/>
      <c r="M138" s="655"/>
    </row>
    <row r="139" spans="2:13">
      <c r="B139" s="1297" t="s">
        <v>280</v>
      </c>
      <c r="C139" s="1298" t="s">
        <v>1495</v>
      </c>
      <c r="D139" s="1304" t="s">
        <v>87</v>
      </c>
      <c r="E139" s="1300">
        <f t="shared" si="59"/>
        <v>500</v>
      </c>
      <c r="F139" s="1301">
        <f t="shared" si="60"/>
        <v>0.49</v>
      </c>
      <c r="G139" s="1301">
        <f t="shared" si="61"/>
        <v>0.58133561643835618</v>
      </c>
      <c r="K139" s="655"/>
      <c r="L139" s="655"/>
      <c r="M139" s="655"/>
    </row>
    <row r="140" spans="2:13">
      <c r="B140" s="1297" t="s">
        <v>280</v>
      </c>
      <c r="C140" s="1298" t="s">
        <v>1496</v>
      </c>
      <c r="D140" s="1299" t="s">
        <v>88</v>
      </c>
      <c r="E140" s="1300">
        <f t="shared" si="59"/>
        <v>350</v>
      </c>
      <c r="F140" s="1301">
        <f t="shared" si="60"/>
        <v>0.55000000000000004</v>
      </c>
      <c r="G140" s="1301">
        <f t="shared" si="61"/>
        <v>0.58133561643835618</v>
      </c>
      <c r="K140" s="655"/>
      <c r="L140" s="655"/>
      <c r="M140" s="655"/>
    </row>
    <row r="141" spans="2:13">
      <c r="B141" s="1297" t="s">
        <v>280</v>
      </c>
      <c r="C141" s="1298" t="s">
        <v>1497</v>
      </c>
      <c r="D141" s="1304" t="s">
        <v>73</v>
      </c>
      <c r="E141" s="1300">
        <f t="shared" si="59"/>
        <v>900</v>
      </c>
      <c r="F141" s="1301">
        <f t="shared" si="60"/>
        <v>0.56999999999999995</v>
      </c>
      <c r="G141" s="1301">
        <f t="shared" si="61"/>
        <v>0.58133561643835618</v>
      </c>
      <c r="K141" s="655"/>
      <c r="L141" s="655"/>
      <c r="M141" s="655"/>
    </row>
    <row r="142" spans="2:13">
      <c r="B142" s="1297" t="s">
        <v>280</v>
      </c>
      <c r="C142" s="1298" t="s">
        <v>1498</v>
      </c>
      <c r="D142" s="1304" t="s">
        <v>87</v>
      </c>
      <c r="E142" s="1300">
        <f t="shared" si="59"/>
        <v>500</v>
      </c>
      <c r="F142" s="1301">
        <f t="shared" si="60"/>
        <v>0.49</v>
      </c>
      <c r="G142" s="1301">
        <f t="shared" si="61"/>
        <v>0.58133561643835618</v>
      </c>
      <c r="K142" s="655"/>
      <c r="L142" s="655"/>
      <c r="M142" s="655"/>
    </row>
    <row r="143" spans="2:13">
      <c r="B143" s="1297" t="s">
        <v>280</v>
      </c>
      <c r="C143" s="1298" t="s">
        <v>1499</v>
      </c>
      <c r="D143" s="1304" t="s">
        <v>79</v>
      </c>
      <c r="E143" s="1300">
        <f t="shared" si="59"/>
        <v>750</v>
      </c>
      <c r="F143" s="1301">
        <f t="shared" si="60"/>
        <v>0.56999999999999995</v>
      </c>
      <c r="G143" s="1301">
        <f t="shared" si="61"/>
        <v>0.58133561643835618</v>
      </c>
      <c r="K143" s="655"/>
      <c r="L143" s="655"/>
      <c r="M143" s="655"/>
    </row>
    <row r="144" spans="2:13">
      <c r="B144" s="1297" t="s">
        <v>280</v>
      </c>
      <c r="C144" s="1298" t="s">
        <v>1500</v>
      </c>
      <c r="D144" s="1304" t="s">
        <v>77</v>
      </c>
      <c r="E144" s="1300">
        <f t="shared" si="59"/>
        <v>1000</v>
      </c>
      <c r="F144" s="1301">
        <f t="shared" si="60"/>
        <v>0.49</v>
      </c>
      <c r="G144" s="1301">
        <f t="shared" si="61"/>
        <v>0.58133561643835618</v>
      </c>
      <c r="K144" s="655"/>
      <c r="L144" s="655"/>
      <c r="M144" s="655"/>
    </row>
    <row r="145" spans="2:13">
      <c r="B145" s="1297" t="s">
        <v>280</v>
      </c>
      <c r="C145" s="1298" t="s">
        <v>1501</v>
      </c>
      <c r="D145" s="1304" t="s">
        <v>77</v>
      </c>
      <c r="E145" s="1300">
        <f t="shared" si="59"/>
        <v>1000</v>
      </c>
      <c r="F145" s="1301">
        <f t="shared" si="60"/>
        <v>0.49</v>
      </c>
      <c r="G145" s="1301">
        <f t="shared" si="61"/>
        <v>0.58133561643835618</v>
      </c>
      <c r="K145" s="655"/>
      <c r="L145" s="655"/>
      <c r="M145" s="655"/>
    </row>
    <row r="146" spans="2:13">
      <c r="B146" s="1297" t="s">
        <v>280</v>
      </c>
      <c r="C146" s="1298" t="s">
        <v>1502</v>
      </c>
      <c r="D146" s="1304" t="s">
        <v>77</v>
      </c>
      <c r="E146" s="1300">
        <f t="shared" si="59"/>
        <v>1000</v>
      </c>
      <c r="F146" s="1301">
        <f t="shared" si="60"/>
        <v>0.49</v>
      </c>
      <c r="G146" s="1301">
        <f t="shared" si="61"/>
        <v>0.58133561643835618</v>
      </c>
      <c r="K146" s="655"/>
      <c r="L146" s="655"/>
      <c r="M146" s="655"/>
    </row>
    <row r="147" spans="2:13">
      <c r="B147" s="1297" t="s">
        <v>280</v>
      </c>
      <c r="C147" s="1298" t="s">
        <v>1503</v>
      </c>
      <c r="D147" s="1304" t="s">
        <v>87</v>
      </c>
      <c r="E147" s="1300">
        <f t="shared" si="59"/>
        <v>500</v>
      </c>
      <c r="F147" s="1301">
        <f t="shared" si="60"/>
        <v>0.49</v>
      </c>
      <c r="G147" s="1301">
        <f t="shared" si="61"/>
        <v>0.58133561643835618</v>
      </c>
      <c r="K147" s="655"/>
      <c r="L147" s="655"/>
      <c r="M147" s="655"/>
    </row>
    <row r="148" spans="2:13">
      <c r="B148" s="1297" t="s">
        <v>280</v>
      </c>
      <c r="C148" s="1298" t="s">
        <v>83</v>
      </c>
      <c r="D148" s="1299" t="s">
        <v>83</v>
      </c>
      <c r="E148" s="1300">
        <f t="shared" si="59"/>
        <v>600</v>
      </c>
      <c r="F148" s="1301">
        <f t="shared" si="60"/>
        <v>0.5</v>
      </c>
      <c r="G148" s="1301">
        <f t="shared" si="61"/>
        <v>0.58133561643835618</v>
      </c>
      <c r="K148" s="655"/>
      <c r="L148" s="655"/>
      <c r="M148" s="655"/>
    </row>
    <row r="149" spans="2:13">
      <c r="B149" s="1297" t="s">
        <v>1504</v>
      </c>
      <c r="C149" s="1298" t="s">
        <v>1495</v>
      </c>
      <c r="D149" s="1304" t="s">
        <v>87</v>
      </c>
      <c r="E149" s="1300">
        <f t="shared" si="59"/>
        <v>500</v>
      </c>
      <c r="F149" s="1301">
        <f t="shared" si="60"/>
        <v>0.49</v>
      </c>
      <c r="G149" s="1301">
        <f t="shared" si="61"/>
        <v>0.58133561643835618</v>
      </c>
      <c r="K149" s="655"/>
      <c r="L149" s="655"/>
      <c r="M149" s="655"/>
    </row>
    <row r="150" spans="2:13">
      <c r="B150" s="1297" t="s">
        <v>1504</v>
      </c>
      <c r="C150" s="1298" t="s">
        <v>1502</v>
      </c>
      <c r="D150" s="1304" t="s">
        <v>77</v>
      </c>
      <c r="E150" s="1300">
        <f t="shared" si="59"/>
        <v>1000</v>
      </c>
      <c r="F150" s="1301">
        <f t="shared" si="60"/>
        <v>0.49</v>
      </c>
      <c r="G150" s="1301">
        <f t="shared" si="61"/>
        <v>0.58133561643835618</v>
      </c>
      <c r="K150" s="655"/>
      <c r="L150" s="655"/>
      <c r="M150" s="655"/>
    </row>
    <row r="151" spans="2:13">
      <c r="B151" s="1297" t="s">
        <v>1504</v>
      </c>
      <c r="C151" s="1298" t="s">
        <v>1505</v>
      </c>
      <c r="D151" s="1304" t="s">
        <v>87</v>
      </c>
      <c r="E151" s="1300">
        <f t="shared" si="59"/>
        <v>500</v>
      </c>
      <c r="F151" s="1301">
        <f t="shared" si="60"/>
        <v>0.49</v>
      </c>
      <c r="G151" s="1301">
        <f t="shared" si="61"/>
        <v>0.58133561643835618</v>
      </c>
      <c r="K151" s="655"/>
      <c r="L151" s="655"/>
      <c r="M151" s="655"/>
    </row>
    <row r="152" spans="2:13">
      <c r="B152" s="1297" t="s">
        <v>1504</v>
      </c>
      <c r="C152" s="1297" t="s">
        <v>1506</v>
      </c>
      <c r="D152" s="1304" t="s">
        <v>88</v>
      </c>
      <c r="E152" s="1300">
        <f t="shared" si="59"/>
        <v>350</v>
      </c>
      <c r="F152" s="1301">
        <f t="shared" si="60"/>
        <v>0.55000000000000004</v>
      </c>
      <c r="G152" s="1301">
        <f t="shared" si="61"/>
        <v>0.58133561643835618</v>
      </c>
      <c r="K152" s="655"/>
      <c r="L152" s="655"/>
      <c r="M152" s="655"/>
    </row>
    <row r="153" spans="2:13">
      <c r="B153" s="1297" t="s">
        <v>1504</v>
      </c>
      <c r="C153" s="1297" t="s">
        <v>1507</v>
      </c>
      <c r="D153" s="1304" t="s">
        <v>70</v>
      </c>
      <c r="E153" s="1300">
        <f t="shared" si="59"/>
        <v>750</v>
      </c>
      <c r="F153" s="1301">
        <f t="shared" si="60"/>
        <v>0.56999999999999995</v>
      </c>
      <c r="G153" s="1301">
        <f t="shared" si="61"/>
        <v>0.58133561643835618</v>
      </c>
      <c r="K153" s="655"/>
      <c r="L153" s="655"/>
      <c r="M153" s="655"/>
    </row>
    <row r="154" spans="2:13">
      <c r="B154" s="1297" t="s">
        <v>1504</v>
      </c>
      <c r="C154" s="1297" t="s">
        <v>1508</v>
      </c>
      <c r="D154" s="1304" t="s">
        <v>85</v>
      </c>
      <c r="E154" s="1300">
        <f t="shared" si="59"/>
        <v>750</v>
      </c>
      <c r="F154" s="1301">
        <f t="shared" si="60"/>
        <v>0.6</v>
      </c>
      <c r="G154" s="1301">
        <f t="shared" si="61"/>
        <v>0.58133561643835618</v>
      </c>
      <c r="K154" s="655"/>
      <c r="L154" s="655"/>
      <c r="M154" s="655"/>
    </row>
    <row r="155" spans="2:13">
      <c r="B155" s="1297" t="s">
        <v>1504</v>
      </c>
      <c r="C155" s="1297" t="s">
        <v>1509</v>
      </c>
      <c r="D155" s="1304" t="s">
        <v>79</v>
      </c>
      <c r="E155" s="1300">
        <f t="shared" si="59"/>
        <v>750</v>
      </c>
      <c r="F155" s="1301">
        <f t="shared" si="60"/>
        <v>0.56999999999999995</v>
      </c>
      <c r="G155" s="1301">
        <f t="shared" si="61"/>
        <v>0.58133561643835618</v>
      </c>
      <c r="K155" s="655"/>
      <c r="L155" s="655"/>
      <c r="M155" s="655"/>
    </row>
    <row r="156" spans="2:13">
      <c r="B156" s="1297" t="s">
        <v>1504</v>
      </c>
      <c r="C156" s="1297" t="s">
        <v>1510</v>
      </c>
      <c r="D156" s="1304" t="s">
        <v>73</v>
      </c>
      <c r="E156" s="1300">
        <f t="shared" si="59"/>
        <v>900</v>
      </c>
      <c r="F156" s="1301">
        <f t="shared" si="60"/>
        <v>0.56999999999999995</v>
      </c>
      <c r="G156" s="1301">
        <f t="shared" si="61"/>
        <v>0.58133561643835618</v>
      </c>
      <c r="K156" s="655"/>
      <c r="L156" s="655"/>
      <c r="M156" s="655"/>
    </row>
    <row r="157" spans="2:13">
      <c r="B157" s="1297" t="s">
        <v>1504</v>
      </c>
      <c r="C157" s="1297" t="s">
        <v>1511</v>
      </c>
      <c r="D157" s="1304" t="s">
        <v>79</v>
      </c>
      <c r="E157" s="1300">
        <f t="shared" si="59"/>
        <v>750</v>
      </c>
      <c r="F157" s="1301">
        <f t="shared" si="60"/>
        <v>0.56999999999999995</v>
      </c>
      <c r="G157" s="1301">
        <f t="shared" si="61"/>
        <v>0.58133561643835618</v>
      </c>
    </row>
    <row r="158" spans="2:13">
      <c r="B158" s="1297" t="s">
        <v>48</v>
      </c>
      <c r="C158" s="1297" t="s">
        <v>1512</v>
      </c>
      <c r="D158" s="1304" t="s">
        <v>66</v>
      </c>
      <c r="E158" s="1300">
        <f t="shared" si="59"/>
        <v>800</v>
      </c>
      <c r="F158" s="1301">
        <f t="shared" si="60"/>
        <v>0.6</v>
      </c>
      <c r="G158" s="1301">
        <f t="shared" si="61"/>
        <v>0.58133561643835618</v>
      </c>
    </row>
    <row r="159" spans="2:13">
      <c r="B159" s="1297" t="s">
        <v>48</v>
      </c>
      <c r="C159" s="1297" t="s">
        <v>1492</v>
      </c>
      <c r="D159" s="1304" t="s">
        <v>73</v>
      </c>
      <c r="E159" s="1300">
        <f t="shared" si="59"/>
        <v>900</v>
      </c>
      <c r="F159" s="1301">
        <f t="shared" si="60"/>
        <v>0.56999999999999995</v>
      </c>
      <c r="G159" s="1301">
        <f t="shared" si="61"/>
        <v>0.58133561643835618</v>
      </c>
    </row>
    <row r="160" spans="2:13">
      <c r="B160" s="1297" t="s">
        <v>48</v>
      </c>
      <c r="C160" s="1297" t="s">
        <v>89</v>
      </c>
      <c r="D160" s="1305" t="s">
        <v>89</v>
      </c>
      <c r="E160" s="1300">
        <f t="shared" si="59"/>
        <v>800</v>
      </c>
      <c r="F160" s="1301">
        <f t="shared" si="60"/>
        <v>0.5</v>
      </c>
      <c r="G160" s="1301">
        <f t="shared" si="61"/>
        <v>0.58133561643835618</v>
      </c>
    </row>
    <row r="161" spans="2:12">
      <c r="B161" s="1297" t="s">
        <v>48</v>
      </c>
      <c r="C161" s="1297" t="s">
        <v>1513</v>
      </c>
      <c r="D161" s="1304" t="s">
        <v>66</v>
      </c>
      <c r="E161" s="1300">
        <f t="shared" si="59"/>
        <v>800</v>
      </c>
      <c r="F161" s="1301">
        <f t="shared" si="60"/>
        <v>0.6</v>
      </c>
      <c r="G161" s="1301">
        <f t="shared" si="61"/>
        <v>0.58133561643835618</v>
      </c>
    </row>
    <row r="162" spans="2:12">
      <c r="B162" s="1297" t="s">
        <v>48</v>
      </c>
      <c r="C162" s="1297" t="s">
        <v>1514</v>
      </c>
      <c r="D162" s="1304" t="s">
        <v>73</v>
      </c>
      <c r="E162" s="1300">
        <f t="shared" si="59"/>
        <v>900</v>
      </c>
      <c r="F162" s="1301">
        <f t="shared" si="60"/>
        <v>0.56999999999999995</v>
      </c>
      <c r="G162" s="1301">
        <f t="shared" si="61"/>
        <v>0.58133561643835618</v>
      </c>
    </row>
    <row r="164" spans="2:12">
      <c r="J164" s="658" t="s">
        <v>1487</v>
      </c>
      <c r="K164" s="658"/>
      <c r="L164" s="658" t="s">
        <v>1515</v>
      </c>
    </row>
    <row r="165" spans="2:12">
      <c r="J165" s="1183" t="s">
        <v>70</v>
      </c>
      <c r="L165" s="1189">
        <f>SUMIF($J$127:$J$162,$J165,$L$127:$L$162)</f>
        <v>0</v>
      </c>
    </row>
    <row r="166" spans="2:12">
      <c r="J166" s="1183" t="s">
        <v>77</v>
      </c>
      <c r="L166" s="1189">
        <f t="shared" ref="L166:L174" si="62">SUMIF($J$127:$J$162,$J166,$L$127:$L$162)</f>
        <v>0</v>
      </c>
    </row>
    <row r="167" spans="2:12">
      <c r="J167" s="1183" t="s">
        <v>73</v>
      </c>
      <c r="L167" s="1189">
        <f t="shared" si="62"/>
        <v>0</v>
      </c>
    </row>
    <row r="168" spans="2:12">
      <c r="J168" s="1183" t="s">
        <v>66</v>
      </c>
      <c r="L168" s="1189">
        <f t="shared" si="62"/>
        <v>0</v>
      </c>
    </row>
    <row r="169" spans="2:12">
      <c r="J169" s="1183" t="s">
        <v>79</v>
      </c>
      <c r="L169" s="1189">
        <f t="shared" si="62"/>
        <v>0</v>
      </c>
    </row>
    <row r="170" spans="2:12">
      <c r="J170" s="1183" t="s">
        <v>87</v>
      </c>
      <c r="L170" s="1189">
        <f t="shared" si="62"/>
        <v>0</v>
      </c>
    </row>
    <row r="171" spans="2:12">
      <c r="J171" s="1183" t="s">
        <v>85</v>
      </c>
      <c r="L171" s="1189">
        <f t="shared" si="62"/>
        <v>0</v>
      </c>
    </row>
    <row r="172" spans="2:12">
      <c r="J172" s="1183" t="s">
        <v>88</v>
      </c>
      <c r="L172" s="1189">
        <f t="shared" si="62"/>
        <v>0</v>
      </c>
    </row>
    <row r="173" spans="2:12">
      <c r="J173" s="1183" t="s">
        <v>89</v>
      </c>
      <c r="L173" s="1189">
        <f t="shared" si="62"/>
        <v>0</v>
      </c>
    </row>
    <row r="174" spans="2:12">
      <c r="J174" s="1183" t="s">
        <v>83</v>
      </c>
      <c r="L174" s="1189">
        <f t="shared" si="62"/>
        <v>0</v>
      </c>
    </row>
    <row r="175" spans="2:12">
      <c r="J175" s="658" t="s">
        <v>91</v>
      </c>
      <c r="L175" s="1306">
        <f>SUM(L165:L174)</f>
        <v>0</v>
      </c>
    </row>
    <row r="176" spans="2:12">
      <c r="J176" s="655"/>
    </row>
    <row r="177" spans="10:10">
      <c r="J177" s="655"/>
    </row>
    <row r="178" spans="10:10">
      <c r="J178" s="655"/>
    </row>
    <row r="179" spans="10:10">
      <c r="J179" s="655"/>
    </row>
    <row r="180" spans="10:10">
      <c r="J180" s="655"/>
    </row>
    <row r="181" spans="10:10">
      <c r="J181" s="655"/>
    </row>
    <row r="182" spans="10:10">
      <c r="J182" s="655"/>
    </row>
    <row r="183" spans="10:10">
      <c r="J183" s="655"/>
    </row>
    <row r="184" spans="10:10">
      <c r="J184" s="655"/>
    </row>
    <row r="185" spans="10:10">
      <c r="J185" s="655"/>
    </row>
    <row r="186" spans="10:10">
      <c r="J186" s="655"/>
    </row>
    <row r="187" spans="10:10">
      <c r="J187" s="655"/>
    </row>
    <row r="188" spans="10:10">
      <c r="J188" s="655"/>
    </row>
    <row r="189" spans="10:10">
      <c r="J189" s="655"/>
    </row>
    <row r="190" spans="10:10">
      <c r="J190" s="655"/>
    </row>
    <row r="191" spans="10:10">
      <c r="J191" s="655"/>
    </row>
    <row r="192" spans="10:10">
      <c r="J192" s="655"/>
    </row>
  </sheetData>
  <autoFilter ref="A29:Q74"/>
  <mergeCells count="4">
    <mergeCell ref="B30:B31"/>
    <mergeCell ref="A33:A34"/>
    <mergeCell ref="B33:B34"/>
    <mergeCell ref="P33:P34"/>
  </mergeCells>
  <pageMargins left="0.7" right="0.7" top="0.75" bottom="0.75" header="0.3" footer="0.3"/>
  <pageSetup paperSize="9" orientation="portrait" r:id="rId4"/>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T18"/>
  <sheetViews>
    <sheetView topLeftCell="C1" workbookViewId="0">
      <selection activeCell="I4" sqref="I4"/>
    </sheetView>
  </sheetViews>
  <sheetFormatPr defaultRowHeight="14.5"/>
  <cols>
    <col min="1" max="2" width="0" hidden="1" customWidth="1"/>
    <col min="4" max="4" width="27.453125" bestFit="1" customWidth="1"/>
    <col min="5" max="5" width="10.54296875" customWidth="1"/>
    <col min="6" max="6" width="9.1796875" customWidth="1"/>
    <col min="7" max="7" width="8.7265625" customWidth="1"/>
    <col min="8" max="8" width="10.26953125" bestFit="1" customWidth="1"/>
    <col min="9" max="9" width="7.81640625" customWidth="1"/>
    <col min="10" max="10" width="9" customWidth="1"/>
    <col min="11" max="11" width="10.26953125" bestFit="1" customWidth="1"/>
    <col min="12" max="12" width="7.26953125" customWidth="1"/>
    <col min="13" max="13" width="8.54296875" customWidth="1"/>
    <col min="14" max="14" width="10.81640625" customWidth="1"/>
    <col min="15" max="15" width="8.7265625" customWidth="1"/>
    <col min="16" max="16" width="9" customWidth="1"/>
    <col min="20" max="20" width="55.81640625" customWidth="1"/>
  </cols>
  <sheetData>
    <row r="1" spans="3:20">
      <c r="Q1" s="2">
        <f>SUBTOTAL(9,Q4:Q18)</f>
        <v>21</v>
      </c>
      <c r="R1" s="2">
        <f>SUBTOTAL(9,R4:R18)</f>
        <v>18</v>
      </c>
      <c r="S1" s="2">
        <f>SUBTOTAL(9,S4:S18)</f>
        <v>42</v>
      </c>
    </row>
    <row r="2" spans="3:20">
      <c r="C2" s="13"/>
      <c r="D2" s="13"/>
      <c r="E2" s="1541" t="s">
        <v>895</v>
      </c>
      <c r="F2" s="1541"/>
      <c r="G2" s="1541"/>
      <c r="H2" s="1542" t="s">
        <v>896</v>
      </c>
      <c r="I2" s="1542"/>
      <c r="J2" s="1542"/>
      <c r="K2" s="1543" t="s">
        <v>897</v>
      </c>
      <c r="L2" s="1543"/>
      <c r="M2" s="1543"/>
      <c r="N2" s="1544" t="s">
        <v>898</v>
      </c>
      <c r="O2" s="1545"/>
      <c r="P2" s="1546"/>
      <c r="Q2" s="1547" t="s">
        <v>561</v>
      </c>
      <c r="R2" s="1548"/>
      <c r="S2" s="1548"/>
      <c r="T2" s="1540" t="s">
        <v>899</v>
      </c>
    </row>
    <row r="3" spans="3:20" ht="43.5">
      <c r="C3" s="579" t="s">
        <v>900</v>
      </c>
      <c r="D3" s="579" t="s">
        <v>270</v>
      </c>
      <c r="E3" s="580" t="s">
        <v>901</v>
      </c>
      <c r="F3" s="580" t="s">
        <v>194</v>
      </c>
      <c r="G3" s="580" t="s">
        <v>902</v>
      </c>
      <c r="H3" s="581" t="s">
        <v>901</v>
      </c>
      <c r="I3" s="581" t="s">
        <v>194</v>
      </c>
      <c r="J3" s="581" t="s">
        <v>902</v>
      </c>
      <c r="K3" s="582" t="s">
        <v>901</v>
      </c>
      <c r="L3" s="582" t="s">
        <v>194</v>
      </c>
      <c r="M3" s="582" t="s">
        <v>902</v>
      </c>
      <c r="N3" s="583" t="s">
        <v>901</v>
      </c>
      <c r="O3" s="583" t="s">
        <v>194</v>
      </c>
      <c r="P3" s="583" t="s">
        <v>902</v>
      </c>
      <c r="Q3" s="584" t="s">
        <v>903</v>
      </c>
      <c r="R3" s="584" t="s">
        <v>904</v>
      </c>
      <c r="S3" s="585" t="s">
        <v>905</v>
      </c>
      <c r="T3" s="1540"/>
    </row>
    <row r="4" spans="3:20" ht="156.5">
      <c r="C4" s="394">
        <v>1</v>
      </c>
      <c r="D4" s="579" t="s">
        <v>906</v>
      </c>
      <c r="E4" s="586">
        <v>1</v>
      </c>
      <c r="F4" s="586">
        <v>1</v>
      </c>
      <c r="G4" s="586">
        <v>0</v>
      </c>
      <c r="H4" s="587">
        <v>1</v>
      </c>
      <c r="I4" s="587">
        <v>1</v>
      </c>
      <c r="J4" s="587">
        <v>0</v>
      </c>
      <c r="K4" s="588">
        <v>0</v>
      </c>
      <c r="L4" s="588">
        <v>0</v>
      </c>
      <c r="M4" s="588">
        <v>0</v>
      </c>
      <c r="N4" s="589">
        <v>1</v>
      </c>
      <c r="O4" s="589">
        <v>0</v>
      </c>
      <c r="P4" s="589">
        <v>0</v>
      </c>
      <c r="Q4" s="590">
        <f>E4+H4+K4+N4</f>
        <v>3</v>
      </c>
      <c r="R4" s="590">
        <f>F4+I4+L4+O4</f>
        <v>2</v>
      </c>
      <c r="S4" s="591">
        <f>G4+J4+M4+P4</f>
        <v>0</v>
      </c>
      <c r="T4" s="592" t="s">
        <v>907</v>
      </c>
    </row>
    <row r="5" spans="3:20" ht="100" customHeight="1">
      <c r="C5" s="394">
        <v>2</v>
      </c>
      <c r="D5" s="579" t="s">
        <v>908</v>
      </c>
      <c r="E5" s="586">
        <v>1</v>
      </c>
      <c r="F5" s="586">
        <v>1</v>
      </c>
      <c r="G5" s="586">
        <v>0</v>
      </c>
      <c r="H5" s="587">
        <v>1</v>
      </c>
      <c r="I5" s="587">
        <v>1</v>
      </c>
      <c r="J5" s="587">
        <v>0</v>
      </c>
      <c r="K5" s="588">
        <v>1</v>
      </c>
      <c r="L5" s="588">
        <v>2</v>
      </c>
      <c r="M5" s="588">
        <v>0</v>
      </c>
      <c r="N5" s="589">
        <v>0</v>
      </c>
      <c r="O5" s="589">
        <v>0</v>
      </c>
      <c r="P5" s="589">
        <v>0</v>
      </c>
      <c r="Q5" s="590">
        <f t="shared" ref="Q5:S18" si="0">E5+H5+K5+N5</f>
        <v>3</v>
      </c>
      <c r="R5" s="590">
        <f t="shared" si="0"/>
        <v>4</v>
      </c>
      <c r="S5" s="591">
        <f t="shared" si="0"/>
        <v>0</v>
      </c>
      <c r="T5" s="592" t="s">
        <v>909</v>
      </c>
    </row>
    <row r="6" spans="3:20" ht="78.5">
      <c r="C6" s="394">
        <v>3</v>
      </c>
      <c r="D6" s="579" t="s">
        <v>910</v>
      </c>
      <c r="E6" s="586">
        <v>1</v>
      </c>
      <c r="F6" s="586">
        <v>0</v>
      </c>
      <c r="G6" s="586">
        <v>0</v>
      </c>
      <c r="H6" s="587">
        <v>0</v>
      </c>
      <c r="I6" s="587">
        <v>1</v>
      </c>
      <c r="J6" s="587">
        <v>1</v>
      </c>
      <c r="K6" s="588">
        <v>0</v>
      </c>
      <c r="L6" s="588">
        <v>0</v>
      </c>
      <c r="M6" s="588">
        <v>0</v>
      </c>
      <c r="N6" s="589">
        <v>0</v>
      </c>
      <c r="O6" s="589">
        <v>0</v>
      </c>
      <c r="P6" s="589">
        <v>0</v>
      </c>
      <c r="Q6" s="590">
        <f t="shared" si="0"/>
        <v>1</v>
      </c>
      <c r="R6" s="590">
        <f t="shared" si="0"/>
        <v>1</v>
      </c>
      <c r="S6" s="591">
        <f t="shared" si="0"/>
        <v>1</v>
      </c>
      <c r="T6" s="592" t="s">
        <v>911</v>
      </c>
    </row>
    <row r="7" spans="3:20" ht="91.5">
      <c r="C7" s="394">
        <v>4</v>
      </c>
      <c r="D7" s="579" t="s">
        <v>912</v>
      </c>
      <c r="E7" s="586">
        <v>1</v>
      </c>
      <c r="F7" s="586">
        <v>1</v>
      </c>
      <c r="G7" s="586">
        <v>0</v>
      </c>
      <c r="H7" s="587">
        <v>1</v>
      </c>
      <c r="I7" s="587">
        <v>0</v>
      </c>
      <c r="J7" s="587">
        <v>0</v>
      </c>
      <c r="K7" s="588">
        <v>0</v>
      </c>
      <c r="L7" s="588">
        <v>0</v>
      </c>
      <c r="M7" s="588">
        <v>0</v>
      </c>
      <c r="N7" s="589">
        <v>0</v>
      </c>
      <c r="O7" s="589">
        <v>0</v>
      </c>
      <c r="P7" s="589">
        <v>0</v>
      </c>
      <c r="Q7" s="590">
        <f>E7+H7+K7+N7</f>
        <v>2</v>
      </c>
      <c r="R7" s="590">
        <f>F7+I7+L7+O7</f>
        <v>1</v>
      </c>
      <c r="S7" s="591">
        <f>G7+J7+M7+P7</f>
        <v>0</v>
      </c>
      <c r="T7" s="592" t="s">
        <v>913</v>
      </c>
    </row>
    <row r="8" spans="3:20" ht="78.5">
      <c r="C8" s="394">
        <v>5</v>
      </c>
      <c r="D8" s="579" t="s">
        <v>914</v>
      </c>
      <c r="E8" s="586">
        <v>1</v>
      </c>
      <c r="F8" s="586">
        <v>1</v>
      </c>
      <c r="G8" s="586">
        <v>0</v>
      </c>
      <c r="H8" s="587">
        <v>0</v>
      </c>
      <c r="I8" s="587">
        <v>1</v>
      </c>
      <c r="J8" s="587">
        <v>1</v>
      </c>
      <c r="K8" s="588">
        <v>1</v>
      </c>
      <c r="L8" s="588">
        <v>1</v>
      </c>
      <c r="M8" s="588">
        <v>0</v>
      </c>
      <c r="N8" s="589">
        <v>0</v>
      </c>
      <c r="O8" s="589">
        <v>0</v>
      </c>
      <c r="P8" s="589">
        <v>0</v>
      </c>
      <c r="Q8" s="590">
        <f t="shared" si="0"/>
        <v>2</v>
      </c>
      <c r="R8" s="590">
        <f t="shared" si="0"/>
        <v>3</v>
      </c>
      <c r="S8" s="591">
        <f t="shared" si="0"/>
        <v>1</v>
      </c>
      <c r="T8" s="592" t="s">
        <v>915</v>
      </c>
    </row>
    <row r="9" spans="3:20" ht="104.5">
      <c r="C9" s="394">
        <v>6</v>
      </c>
      <c r="D9" s="579" t="s">
        <v>916</v>
      </c>
      <c r="E9" s="586">
        <v>1</v>
      </c>
      <c r="F9" s="586">
        <v>1</v>
      </c>
      <c r="G9" s="586">
        <v>0</v>
      </c>
      <c r="H9" s="587">
        <v>0</v>
      </c>
      <c r="I9" s="587">
        <v>1</v>
      </c>
      <c r="J9" s="587">
        <v>1</v>
      </c>
      <c r="K9" s="588">
        <v>0</v>
      </c>
      <c r="L9" s="588">
        <v>0</v>
      </c>
      <c r="M9" s="588">
        <v>0</v>
      </c>
      <c r="N9" s="589">
        <v>0</v>
      </c>
      <c r="O9" s="589">
        <v>0</v>
      </c>
      <c r="P9" s="589">
        <v>0</v>
      </c>
      <c r="Q9" s="590">
        <f t="shared" si="0"/>
        <v>1</v>
      </c>
      <c r="R9" s="590">
        <f t="shared" si="0"/>
        <v>2</v>
      </c>
      <c r="S9" s="591">
        <f t="shared" si="0"/>
        <v>1</v>
      </c>
      <c r="T9" s="592" t="s">
        <v>917</v>
      </c>
    </row>
    <row r="10" spans="3:20" ht="130.5">
      <c r="C10" s="394">
        <v>7</v>
      </c>
      <c r="D10" s="579" t="s">
        <v>918</v>
      </c>
      <c r="E10" s="586">
        <v>1</v>
      </c>
      <c r="F10" s="586">
        <v>0</v>
      </c>
      <c r="G10" s="586">
        <v>2</v>
      </c>
      <c r="H10" s="587">
        <v>1</v>
      </c>
      <c r="I10" s="587">
        <v>0</v>
      </c>
      <c r="J10" s="587">
        <v>2</v>
      </c>
      <c r="K10" s="588">
        <v>0</v>
      </c>
      <c r="L10" s="588">
        <v>0</v>
      </c>
      <c r="M10" s="588">
        <v>0</v>
      </c>
      <c r="N10" s="589">
        <v>1</v>
      </c>
      <c r="O10" s="589">
        <v>0</v>
      </c>
      <c r="P10" s="589">
        <v>3</v>
      </c>
      <c r="Q10" s="590">
        <f t="shared" si="0"/>
        <v>3</v>
      </c>
      <c r="R10" s="590">
        <f t="shared" si="0"/>
        <v>0</v>
      </c>
      <c r="S10" s="591">
        <f t="shared" si="0"/>
        <v>7</v>
      </c>
      <c r="T10" s="592" t="s">
        <v>919</v>
      </c>
    </row>
    <row r="11" spans="3:20" ht="143.5">
      <c r="C11" s="394">
        <v>8</v>
      </c>
      <c r="D11" s="579" t="s">
        <v>920</v>
      </c>
      <c r="E11" s="586">
        <v>1</v>
      </c>
      <c r="F11" s="586">
        <v>2</v>
      </c>
      <c r="G11" s="586">
        <v>0</v>
      </c>
      <c r="H11" s="587">
        <v>1</v>
      </c>
      <c r="I11" s="587">
        <v>2</v>
      </c>
      <c r="J11" s="587">
        <v>0</v>
      </c>
      <c r="K11" s="588">
        <v>0</v>
      </c>
      <c r="L11" s="588">
        <v>0</v>
      </c>
      <c r="M11" s="588">
        <v>0</v>
      </c>
      <c r="N11" s="589">
        <v>0</v>
      </c>
      <c r="O11" s="589">
        <v>0</v>
      </c>
      <c r="P11" s="589">
        <v>1</v>
      </c>
      <c r="Q11" s="590">
        <f t="shared" si="0"/>
        <v>2</v>
      </c>
      <c r="R11" s="590">
        <f t="shared" si="0"/>
        <v>4</v>
      </c>
      <c r="S11" s="591">
        <f t="shared" si="0"/>
        <v>1</v>
      </c>
      <c r="T11" s="592" t="s">
        <v>921</v>
      </c>
    </row>
    <row r="12" spans="3:20" ht="143.5">
      <c r="C12" s="394">
        <v>9</v>
      </c>
      <c r="D12" s="579" t="s">
        <v>922</v>
      </c>
      <c r="E12" s="586">
        <v>0</v>
      </c>
      <c r="F12" s="586">
        <v>0</v>
      </c>
      <c r="G12" s="586">
        <v>0</v>
      </c>
      <c r="H12" s="587">
        <v>0</v>
      </c>
      <c r="I12" s="587">
        <v>0</v>
      </c>
      <c r="J12" s="587">
        <v>0</v>
      </c>
      <c r="K12" s="588">
        <v>0</v>
      </c>
      <c r="L12" s="588">
        <v>0</v>
      </c>
      <c r="M12" s="588">
        <v>0</v>
      </c>
      <c r="N12" s="589">
        <v>1</v>
      </c>
      <c r="O12" s="589">
        <v>0</v>
      </c>
      <c r="P12" s="589">
        <v>0</v>
      </c>
      <c r="Q12" s="590">
        <f t="shared" si="0"/>
        <v>1</v>
      </c>
      <c r="R12" s="590">
        <f t="shared" si="0"/>
        <v>0</v>
      </c>
      <c r="S12" s="591">
        <f t="shared" si="0"/>
        <v>0</v>
      </c>
      <c r="T12" s="592" t="s">
        <v>921</v>
      </c>
    </row>
    <row r="13" spans="3:20" ht="29">
      <c r="C13" s="394">
        <v>10</v>
      </c>
      <c r="D13" s="579" t="s">
        <v>923</v>
      </c>
      <c r="E13" s="586">
        <v>0</v>
      </c>
      <c r="F13" s="586">
        <v>0</v>
      </c>
      <c r="G13" s="586">
        <v>1</v>
      </c>
      <c r="H13" s="587">
        <v>0</v>
      </c>
      <c r="I13" s="587">
        <v>0</v>
      </c>
      <c r="J13" s="587">
        <v>1</v>
      </c>
      <c r="K13" s="588">
        <v>0</v>
      </c>
      <c r="L13" s="588">
        <v>0</v>
      </c>
      <c r="M13" s="588">
        <v>1</v>
      </c>
      <c r="N13" s="589">
        <v>0</v>
      </c>
      <c r="O13" s="589">
        <v>0</v>
      </c>
      <c r="P13" s="589">
        <v>0</v>
      </c>
      <c r="Q13" s="590">
        <f t="shared" si="0"/>
        <v>0</v>
      </c>
      <c r="R13" s="590">
        <f t="shared" si="0"/>
        <v>0</v>
      </c>
      <c r="S13" s="591">
        <f t="shared" si="0"/>
        <v>3</v>
      </c>
      <c r="T13" s="593" t="s">
        <v>924</v>
      </c>
    </row>
    <row r="14" spans="3:20" ht="117.5">
      <c r="C14" s="394">
        <v>11</v>
      </c>
      <c r="D14" s="579" t="s">
        <v>925</v>
      </c>
      <c r="E14" s="586">
        <v>0</v>
      </c>
      <c r="F14" s="586">
        <v>0</v>
      </c>
      <c r="G14" s="586">
        <v>0</v>
      </c>
      <c r="H14" s="587">
        <v>0</v>
      </c>
      <c r="I14" s="587">
        <v>0</v>
      </c>
      <c r="J14" s="587">
        <v>0</v>
      </c>
      <c r="K14" s="588">
        <v>0</v>
      </c>
      <c r="L14" s="588">
        <v>0</v>
      </c>
      <c r="M14" s="588">
        <v>0</v>
      </c>
      <c r="N14" s="589">
        <v>2</v>
      </c>
      <c r="O14" s="589">
        <v>0</v>
      </c>
      <c r="P14" s="589">
        <v>1</v>
      </c>
      <c r="Q14" s="590">
        <f t="shared" si="0"/>
        <v>2</v>
      </c>
      <c r="R14" s="590">
        <f t="shared" si="0"/>
        <v>0</v>
      </c>
      <c r="S14" s="591">
        <f t="shared" si="0"/>
        <v>1</v>
      </c>
      <c r="T14" s="592" t="s">
        <v>926</v>
      </c>
    </row>
    <row r="15" spans="3:20" ht="104.5">
      <c r="C15" s="394">
        <v>12</v>
      </c>
      <c r="D15" s="579" t="s">
        <v>927</v>
      </c>
      <c r="E15" s="586">
        <v>0</v>
      </c>
      <c r="F15" s="586">
        <v>0</v>
      </c>
      <c r="G15" s="586">
        <v>0</v>
      </c>
      <c r="H15" s="587">
        <v>0</v>
      </c>
      <c r="I15" s="587">
        <v>0</v>
      </c>
      <c r="J15" s="587">
        <v>0</v>
      </c>
      <c r="K15" s="588">
        <v>0</v>
      </c>
      <c r="L15" s="588">
        <v>0</v>
      </c>
      <c r="M15" s="588">
        <v>0</v>
      </c>
      <c r="N15" s="589">
        <v>1</v>
      </c>
      <c r="O15" s="589">
        <v>1</v>
      </c>
      <c r="P15" s="589">
        <v>4</v>
      </c>
      <c r="Q15" s="590">
        <f t="shared" si="0"/>
        <v>1</v>
      </c>
      <c r="R15" s="590">
        <f t="shared" si="0"/>
        <v>1</v>
      </c>
      <c r="S15" s="591">
        <f t="shared" si="0"/>
        <v>4</v>
      </c>
      <c r="T15" s="592" t="s">
        <v>928</v>
      </c>
    </row>
    <row r="16" spans="3:20">
      <c r="C16" s="33">
        <v>13</v>
      </c>
      <c r="D16" s="13" t="s">
        <v>929</v>
      </c>
      <c r="E16" s="563">
        <v>0</v>
      </c>
      <c r="F16" s="563">
        <v>0</v>
      </c>
      <c r="G16" s="563">
        <v>4</v>
      </c>
      <c r="H16" s="466">
        <v>0</v>
      </c>
      <c r="I16" s="466">
        <v>0</v>
      </c>
      <c r="J16" s="466">
        <v>4</v>
      </c>
      <c r="K16" s="594">
        <v>0</v>
      </c>
      <c r="L16" s="594">
        <v>0</v>
      </c>
      <c r="M16" s="594">
        <v>4</v>
      </c>
      <c r="N16" s="595">
        <v>0</v>
      </c>
      <c r="O16" s="595">
        <v>0</v>
      </c>
      <c r="P16" s="595">
        <v>0</v>
      </c>
      <c r="Q16" s="596">
        <f t="shared" si="0"/>
        <v>0</v>
      </c>
      <c r="R16" s="596">
        <f t="shared" si="0"/>
        <v>0</v>
      </c>
      <c r="S16" s="597">
        <f t="shared" si="0"/>
        <v>12</v>
      </c>
      <c r="T16" s="164" t="s">
        <v>930</v>
      </c>
    </row>
    <row r="17" spans="3:20">
      <c r="C17" s="33">
        <v>14</v>
      </c>
      <c r="D17" s="13" t="s">
        <v>931</v>
      </c>
      <c r="E17" s="563">
        <v>0</v>
      </c>
      <c r="F17" s="563">
        <v>0</v>
      </c>
      <c r="G17" s="563">
        <v>0</v>
      </c>
      <c r="H17" s="466">
        <v>0</v>
      </c>
      <c r="I17" s="466">
        <v>0</v>
      </c>
      <c r="J17" s="466">
        <v>0</v>
      </c>
      <c r="K17" s="594">
        <v>0</v>
      </c>
      <c r="L17" s="594">
        <v>0</v>
      </c>
      <c r="M17" s="594">
        <v>0</v>
      </c>
      <c r="N17" s="595">
        <v>0</v>
      </c>
      <c r="O17" s="595">
        <v>0</v>
      </c>
      <c r="P17" s="595">
        <v>10</v>
      </c>
      <c r="Q17" s="596">
        <f t="shared" si="0"/>
        <v>0</v>
      </c>
      <c r="R17" s="596">
        <f t="shared" si="0"/>
        <v>0</v>
      </c>
      <c r="S17" s="597">
        <f t="shared" si="0"/>
        <v>10</v>
      </c>
      <c r="T17" s="13" t="s">
        <v>932</v>
      </c>
    </row>
    <row r="18" spans="3:20" ht="39.5">
      <c r="C18" s="394">
        <v>15</v>
      </c>
      <c r="D18" s="598" t="s">
        <v>933</v>
      </c>
      <c r="E18" s="586">
        <v>0</v>
      </c>
      <c r="F18" s="586">
        <v>0</v>
      </c>
      <c r="G18" s="586">
        <v>0</v>
      </c>
      <c r="H18" s="587">
        <v>0</v>
      </c>
      <c r="I18" s="587">
        <v>0</v>
      </c>
      <c r="J18" s="587">
        <v>0</v>
      </c>
      <c r="K18" s="588">
        <v>0</v>
      </c>
      <c r="L18" s="588">
        <v>0</v>
      </c>
      <c r="M18" s="588">
        <v>0</v>
      </c>
      <c r="N18" s="589">
        <v>0</v>
      </c>
      <c r="O18" s="589">
        <v>0</v>
      </c>
      <c r="P18" s="589">
        <v>1</v>
      </c>
      <c r="Q18" s="590">
        <f t="shared" si="0"/>
        <v>0</v>
      </c>
      <c r="R18" s="590">
        <f t="shared" si="0"/>
        <v>0</v>
      </c>
      <c r="S18" s="591">
        <f t="shared" si="0"/>
        <v>1</v>
      </c>
      <c r="T18" s="592" t="s">
        <v>934</v>
      </c>
    </row>
  </sheetData>
  <mergeCells count="6">
    <mergeCell ref="T2:T3"/>
    <mergeCell ref="E2:G2"/>
    <mergeCell ref="H2:J2"/>
    <mergeCell ref="K2:M2"/>
    <mergeCell ref="N2:P2"/>
    <mergeCell ref="Q2:S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vt:i4>
      </vt:variant>
    </vt:vector>
  </HeadingPairs>
  <TitlesOfParts>
    <vt:vector size="35" baseType="lpstr">
      <vt:lpstr>BP Value Comparision</vt:lpstr>
      <vt:lpstr>Comparison BP 25-26 Vs 26-27 </vt:lpstr>
      <vt:lpstr>BP_Strucured</vt:lpstr>
      <vt:lpstr>BP_Structured_edit</vt:lpstr>
      <vt:lpstr>Sectionwise Working</vt:lpstr>
      <vt:lpstr>Reqd_MC</vt:lpstr>
      <vt:lpstr>Hyderabad</vt:lpstr>
      <vt:lpstr>Manpower Allocation</vt:lpstr>
      <vt:lpstr>Workmen Category</vt:lpstr>
      <vt:lpstr>PPP Trend overall</vt:lpstr>
      <vt:lpstr>Monthly HC &amp; Prodn Working</vt:lpstr>
      <vt:lpstr>Production 2nd</vt:lpstr>
      <vt:lpstr>Comparision BP old Vs. New</vt:lpstr>
      <vt:lpstr>PPP Trend</vt:lpstr>
      <vt:lpstr>Comp.</vt:lpstr>
      <vt:lpstr>Actual MP</vt:lpstr>
      <vt:lpstr>Actual Prod</vt:lpstr>
      <vt:lpstr>Multiply</vt:lpstr>
      <vt:lpstr>Tufting</vt:lpstr>
      <vt:lpstr>CSP</vt:lpstr>
      <vt:lpstr>Tufting (2)</vt:lpstr>
      <vt:lpstr>Cut and Sew</vt:lpstr>
      <vt:lpstr>Sheet4</vt:lpstr>
      <vt:lpstr>BP</vt:lpstr>
      <vt:lpstr>Tufting PPC to BP Sheet conver</vt:lpstr>
      <vt:lpstr>Tufting 2</vt:lpstr>
      <vt:lpstr>CSP Working 1st Draft</vt:lpstr>
      <vt:lpstr>CSP Working 26-27</vt:lpstr>
      <vt:lpstr>CSP Working 26-27 Base Data</vt:lpstr>
      <vt:lpstr>PH Working</vt:lpstr>
      <vt:lpstr>Mandays to PR conversion</vt:lpstr>
      <vt:lpstr>YN01</vt:lpstr>
      <vt:lpstr>T&amp;C01</vt:lpstr>
      <vt:lpstr>Stores</vt:lpstr>
      <vt:lpstr>'Monthly HC &amp; Prodn Working'!Print_Area</vt:lpstr>
    </vt:vector>
  </TitlesOfParts>
  <Company>HP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Ajit Agrahari</dc:creator>
  <cp:lastModifiedBy>MirzaAli Jaffer</cp:lastModifiedBy>
  <dcterms:created xsi:type="dcterms:W3CDTF">2025-03-17T06:26:11Z</dcterms:created>
  <dcterms:modified xsi:type="dcterms:W3CDTF">2026-05-13T13:26:56Z</dcterms:modified>
</cp:coreProperties>
</file>